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g\Desktop\玩转vs code\mp3\"/>
    </mc:Choice>
  </mc:AlternateContent>
  <xr:revisionPtr revIDLastSave="0" documentId="10_ncr:100000_{57203B11-2D5D-4D23-8C21-3B09D68DFA41}" xr6:coauthVersionLast="31" xr6:coauthVersionMax="31" xr10:uidLastSave="{00000000-0000-0000-0000-000000000000}"/>
  <bookViews>
    <workbookView xWindow="0" yWindow="0" windowWidth="28800" windowHeight="11925" xr2:uid="{00000000-000D-0000-FFFF-FFFF00000000}"/>
  </bookViews>
  <sheets>
    <sheet name="QueryResults - China Region - b" sheetId="1" r:id="rId1"/>
  </sheets>
  <calcPr calcId="179017"/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</calcChain>
</file>

<file path=xl/sharedStrings.xml><?xml version="1.0" encoding="utf-8"?>
<sst xmlns="http://schemas.openxmlformats.org/spreadsheetml/2006/main" count="22006" uniqueCount="1168">
  <si>
    <t>Link in CSV</t>
  </si>
  <si>
    <t>Location</t>
  </si>
  <si>
    <t>Reputation</t>
  </si>
  <si>
    <t>Suzhou, China</t>
  </si>
  <si>
    <t>Shanghai, China</t>
  </si>
  <si>
    <t>Beijing, China</t>
  </si>
  <si>
    <t>Qingdao, China</t>
  </si>
  <si>
    <t>Shenzhen, Guangdong, China</t>
  </si>
  <si>
    <t>Wuhan, China</t>
  </si>
  <si>
    <t>Hangzhou / Dali, CHINA</t>
  </si>
  <si>
    <t>Wuxi, Jiangsu, China</t>
  </si>
  <si>
    <t>Ningbo, Zhejiang, China</t>
  </si>
  <si>
    <t>Hangzhou, China</t>
  </si>
  <si>
    <t>Shandong, China</t>
  </si>
  <si>
    <t>Finland, Italy, China</t>
  </si>
  <si>
    <t>Xiamen, Fujian, China</t>
  </si>
  <si>
    <t>Hangzhou, Zhejiang, China</t>
  </si>
  <si>
    <t>Shenzhen, China</t>
  </si>
  <si>
    <t>Beijing, Beijing, China</t>
  </si>
  <si>
    <t>Harbin, Heilongjiang, China</t>
  </si>
  <si>
    <t>GuangZhou, China</t>
  </si>
  <si>
    <t>Guangzhou, China</t>
  </si>
  <si>
    <t>Chengdu, China</t>
  </si>
  <si>
    <t>Huizhou, China</t>
  </si>
  <si>
    <t>Fuzhou, China</t>
  </si>
  <si>
    <t>Guangzhou, Guangdong, China</t>
  </si>
  <si>
    <t>Shanghai, Shanghai, China</t>
  </si>
  <si>
    <t>Peking, Beijing, China</t>
  </si>
  <si>
    <t>Chengdu, Sichuan, China</t>
  </si>
  <si>
    <t>Changsha, Hunan, China</t>
  </si>
  <si>
    <t>Sichuan/Shanghai, China</t>
  </si>
  <si>
    <t>Hefei, China</t>
  </si>
  <si>
    <t>Sanya, China</t>
  </si>
  <si>
    <t>Shenyang, Liaoning, China</t>
  </si>
  <si>
    <t>Jinan, China</t>
  </si>
  <si>
    <t>Dalian, China</t>
  </si>
  <si>
    <t>Nanning, Guangxi, China</t>
  </si>
  <si>
    <t>Nanjing, China</t>
  </si>
  <si>
    <t>Xiamen, China</t>
  </si>
  <si>
    <t>Dongcheng, Beijing, China</t>
  </si>
  <si>
    <t>Jiaozuo, China</t>
  </si>
  <si>
    <t>Canton, China</t>
  </si>
  <si>
    <t>Zhuhai, Guangdong, China</t>
  </si>
  <si>
    <t>Suzhou, Jiangsu, China</t>
  </si>
  <si>
    <t>Hong Kong/Shenzhen, China</t>
  </si>
  <si>
    <t>Shanghai-Jiaxing-Ningbo, China</t>
  </si>
  <si>
    <t>中国上海 Shanghai, China</t>
  </si>
  <si>
    <t>Guangdong, China</t>
  </si>
  <si>
    <t>Ningbo, China</t>
  </si>
  <si>
    <t>Hong Kong, China</t>
  </si>
  <si>
    <t>Harbin Institute of Technology, Harbin, Heilongjiang, China</t>
  </si>
  <si>
    <t>Dali, China</t>
  </si>
  <si>
    <t>Wuhan, Hubei, China</t>
  </si>
  <si>
    <t>Lanzhou, China</t>
  </si>
  <si>
    <t>Xi'an, China</t>
  </si>
  <si>
    <t>Nanjing, Jiangsu, China</t>
  </si>
  <si>
    <t>Harbin, China</t>
  </si>
  <si>
    <t>Tianjin, China</t>
  </si>
  <si>
    <t>Fujian, China</t>
  </si>
  <si>
    <t>Zhuhai, China</t>
  </si>
  <si>
    <t>Linyi, Shandong, China</t>
  </si>
  <si>
    <t>Kunming, China</t>
  </si>
  <si>
    <t>Chongqing, China</t>
  </si>
  <si>
    <t>Zhengzhou, China</t>
  </si>
  <si>
    <t>Chongqing, China.</t>
  </si>
  <si>
    <t>Wuyishan, Fujian, China</t>
  </si>
  <si>
    <t>Haidian, Beijing, China</t>
  </si>
  <si>
    <t>Shanxi, China</t>
  </si>
  <si>
    <t>Banana Republic, Haishu, Ningbo, Zhejiang, China</t>
  </si>
  <si>
    <t>Gongyi, Zhengzhou, Henan, China</t>
  </si>
  <si>
    <t>Nantong, China</t>
  </si>
  <si>
    <t>Shantou, China</t>
  </si>
  <si>
    <t>Yibin, China</t>
  </si>
  <si>
    <t>Wuxi, China</t>
  </si>
  <si>
    <t>Dalian, Liaoning, China</t>
  </si>
  <si>
    <t>Shantou, Guangdong, China</t>
  </si>
  <si>
    <t>Dongguan, Guangdong, China</t>
  </si>
  <si>
    <t>China , Guangzhou, Guangdong, China</t>
  </si>
  <si>
    <t>Sichuan, China</t>
  </si>
  <si>
    <t>Qingdao, Shandong, China</t>
  </si>
  <si>
    <t>Nanjin, China</t>
  </si>
  <si>
    <t>Langfang, China</t>
  </si>
  <si>
    <t>Quanzhou, China</t>
  </si>
  <si>
    <t>HangZhou, China</t>
  </si>
  <si>
    <t>Xi'erqi, Beijing, China</t>
  </si>
  <si>
    <t>shenzhen, Canton, China</t>
  </si>
  <si>
    <t>Hubei, China</t>
  </si>
  <si>
    <t>Urumqi, Xinjiang, China</t>
  </si>
  <si>
    <t>Weifang, China</t>
  </si>
  <si>
    <t>SH, CHINA</t>
  </si>
  <si>
    <t>Shenyang, China</t>
  </si>
  <si>
    <t>Xian, Shaanxi, China</t>
  </si>
  <si>
    <t>Beijing, CHINA</t>
  </si>
  <si>
    <t>Shenzhen Bay Port, Shenzhen, Guangdong, China</t>
  </si>
  <si>
    <t>BJ, China</t>
  </si>
  <si>
    <t>Peking University, Beijing, China</t>
  </si>
  <si>
    <t>Fuzhou, Fujian, China</t>
  </si>
  <si>
    <t>Hunan, China</t>
  </si>
  <si>
    <t>Kunshan, Suzhou, Jiangsu, China</t>
  </si>
  <si>
    <t>Xuzhou, China</t>
  </si>
  <si>
    <t>Haidian District, Beijing, China</t>
  </si>
  <si>
    <t>Chaoyang, Beijing, China</t>
  </si>
  <si>
    <t>Shanghai city, China</t>
  </si>
  <si>
    <t>Gaiti, Yushu, Qinghai, China</t>
  </si>
  <si>
    <t>Shanghai City, China</t>
  </si>
  <si>
    <t>Xibeiwang, Haidian, Beijing, China</t>
  </si>
  <si>
    <t>shenzhen, China</t>
  </si>
  <si>
    <t>South Taibai Road, Xi’an, Shaanxi, China</t>
  </si>
  <si>
    <t>Zhejiang, China</t>
  </si>
  <si>
    <t>Luoyang, Henan, China</t>
  </si>
  <si>
    <t>Yunnan, China</t>
  </si>
  <si>
    <t>Shenyang City, China</t>
  </si>
  <si>
    <t>Gwong Zau, China</t>
  </si>
  <si>
    <t>Changchun, China</t>
  </si>
  <si>
    <t>Jinan, Shandong, China</t>
  </si>
  <si>
    <t>Nanchang, Jiangxi, China</t>
  </si>
  <si>
    <t>hangzhou, China</t>
  </si>
  <si>
    <t>Nanshan, Shenzhen, China</t>
  </si>
  <si>
    <t>Hefei, Anhui, China</t>
  </si>
  <si>
    <t>Tibet, China</t>
  </si>
  <si>
    <t>Pudong, Shanghai, China</t>
  </si>
  <si>
    <t>Yangquan, China</t>
  </si>
  <si>
    <t>Minhang, Shanghai, China</t>
  </si>
  <si>
    <t>Dalian Liaoning, China</t>
  </si>
  <si>
    <t>Guangzhou East Railway Station, Guangzhou, China</t>
  </si>
  <si>
    <t>Huilongguan, Beijing, China</t>
  </si>
  <si>
    <t>Shanghái, China</t>
  </si>
  <si>
    <t>Shaoxing, Zhejiang, China</t>
  </si>
  <si>
    <t>East, Beijing, China</t>
  </si>
  <si>
    <t>Dongguan, China</t>
  </si>
  <si>
    <t>Changsha, China</t>
  </si>
  <si>
    <t>Xi'an, Shaanxi, China</t>
  </si>
  <si>
    <t>Minhang, China</t>
  </si>
  <si>
    <t>Yanji, Yanbian, Jilin, China</t>
  </si>
  <si>
    <t>Baijing, China</t>
  </si>
  <si>
    <t>Jiangsu, China</t>
  </si>
  <si>
    <t>Guanzhou, China</t>
  </si>
  <si>
    <t>Xikang Road, Jing'an, Shanghai, China</t>
  </si>
  <si>
    <t>BieJing, China</t>
  </si>
  <si>
    <t>Nanjing, Jiansu, China</t>
  </si>
  <si>
    <t>Shenzhen Shi, China</t>
  </si>
  <si>
    <t>Lyon, France - Shanghai, China</t>
  </si>
  <si>
    <t>Zhenjiang, China</t>
  </si>
  <si>
    <t>Shangsha, Shenzhen, Guangdong, China</t>
  </si>
  <si>
    <t>Hefei, Anhui, China (中国 安徽省 合肥市)</t>
  </si>
  <si>
    <t>China Hotel, Guangzhou, Guangdong, China</t>
  </si>
  <si>
    <t>Anhui, China</t>
  </si>
  <si>
    <t>chengdu, china</t>
  </si>
  <si>
    <t>Optics Valley Square, Wuhan, Hubei, China</t>
  </si>
  <si>
    <t>Beijiang, China</t>
  </si>
  <si>
    <t>Neijiang, China</t>
  </si>
  <si>
    <t>Beiji, China</t>
  </si>
  <si>
    <t>Haidian District, China</t>
  </si>
  <si>
    <t>Weihai, China</t>
  </si>
  <si>
    <t>Shenzhen North Station, Shenzhen, Guangdong, China</t>
  </si>
  <si>
    <t>Langfang, Hebei, China</t>
  </si>
  <si>
    <t>Northeastern University, Shenyang, Liaoning, China</t>
  </si>
  <si>
    <t>Hefei University of Technology, Hefei, Anhui, China</t>
  </si>
  <si>
    <t>Kowloon, HK, China</t>
  </si>
  <si>
    <t>Shenzhen Software Park, Shenzhen, Guangdong, China</t>
  </si>
  <si>
    <t>China International Exhibition Center, Beijing, China</t>
  </si>
  <si>
    <t>Xuhui, China</t>
  </si>
  <si>
    <t>University of Science and Technology of China, Hefei, Anhui, China</t>
  </si>
  <si>
    <t>Guizhou, China</t>
  </si>
  <si>
    <t>Songjiang, Shanghai, China</t>
  </si>
  <si>
    <t>Beijing Normal University, Beijing, China</t>
  </si>
  <si>
    <t>Anji, China</t>
  </si>
  <si>
    <t>HUST ,Wuhan, China</t>
  </si>
  <si>
    <t>Wenzhou, Zhejiang, China</t>
  </si>
  <si>
    <t>Wenzhou, China</t>
  </si>
  <si>
    <t>CQ, CHINA</t>
  </si>
  <si>
    <t>Wangshang Road, Hangzhou, Zhejiang, China</t>
  </si>
  <si>
    <t>Heilongjiang, China</t>
  </si>
  <si>
    <t>Zhangjiang High Technology Park, Shanghai, China</t>
  </si>
  <si>
    <t>Yulin, China</t>
  </si>
  <si>
    <t>Changzhou, Jiangsu, China</t>
  </si>
  <si>
    <t>Tsinghua University, Beijing, China</t>
  </si>
  <si>
    <t>West Lake, Hangzhou, Zhejiang, China</t>
  </si>
  <si>
    <t>Jiangxi, China</t>
  </si>
  <si>
    <t>Nanjing China Virescence Read Extensively Yuanyuan, Jianye, Jiangsu, China</t>
  </si>
  <si>
    <t>Shijiazhuang, Hebei, China</t>
  </si>
  <si>
    <t>Xibeiwang, Beijing, China</t>
  </si>
  <si>
    <t>Xuhui, Shanghai, China</t>
  </si>
  <si>
    <t>Zhoushan, Zhejiang, China</t>
  </si>
  <si>
    <t>Zhengzhou, Henan, China</t>
  </si>
  <si>
    <t>Jiaxing, China</t>
  </si>
  <si>
    <t>Yunnan University, Kunming, Yunnan, China</t>
  </si>
  <si>
    <t>West Lake, Xihu, Hangzhou, China</t>
  </si>
  <si>
    <t>Chengde, China</t>
  </si>
  <si>
    <t>Tianhe, Guangzhou, Guangdong, China</t>
  </si>
  <si>
    <t>Jieyang, China</t>
  </si>
  <si>
    <t>hz, china</t>
  </si>
  <si>
    <t>ShenZhen, China</t>
  </si>
  <si>
    <t>Peking, China</t>
  </si>
  <si>
    <t>Yantai, China</t>
  </si>
  <si>
    <t>Wudaokou, Beijing, China</t>
  </si>
  <si>
    <t>TJU, China</t>
  </si>
  <si>
    <t>Zhenjiang, Jiangsu, China</t>
  </si>
  <si>
    <t>Yangshuo, China</t>
  </si>
  <si>
    <t>Guang Dong, China</t>
  </si>
  <si>
    <t>Jinhua, China</t>
  </si>
  <si>
    <t>Hubei China Travel Service （Hanyang Salesroom）, Wuhan, Hubei, China</t>
  </si>
  <si>
    <t>Tsingtao, Shandong, China</t>
  </si>
  <si>
    <t>Handan, China</t>
  </si>
  <si>
    <t>Shenzhen Shi, Guangdong, China</t>
  </si>
  <si>
    <t>Yangzhou, Jiangsu, China</t>
  </si>
  <si>
    <t>Beijing, China 中国北京</t>
  </si>
  <si>
    <t>Wuxi, Jiangsu province, China</t>
  </si>
  <si>
    <t>Pekín, China</t>
  </si>
  <si>
    <t>Nanning, China</t>
  </si>
  <si>
    <t>Luoyang, China</t>
  </si>
  <si>
    <t>Tianjin Port, Tianjin, China</t>
  </si>
  <si>
    <t>Los Angeles, CA, United States &amp; Beijing, China</t>
  </si>
  <si>
    <t>Hang Zhou, China</t>
  </si>
  <si>
    <t>Liaoning, China</t>
  </si>
  <si>
    <t>Weihai, Shandong, China</t>
  </si>
  <si>
    <t>Gui Yang, China</t>
  </si>
  <si>
    <t>Jilin, China</t>
  </si>
  <si>
    <t>Mianyang, China</t>
  </si>
  <si>
    <t>中国厦门; Xiamen, China</t>
  </si>
  <si>
    <t>Yuhuatai, Nanjing, Jiangsu, China</t>
  </si>
  <si>
    <t>Jilin, Changchun, China</t>
  </si>
  <si>
    <t>Shenxian, China</t>
  </si>
  <si>
    <t>Tangshan, China</t>
  </si>
  <si>
    <t>Sh, China</t>
  </si>
  <si>
    <t>Shenzhen Guangdong, China</t>
  </si>
  <si>
    <t>Huidong, Guangdong, China</t>
  </si>
  <si>
    <t>Shangdu Road, Zhengzhou, Henan, China</t>
  </si>
  <si>
    <t>Chengfu Road, Haidian, Beijing, China</t>
  </si>
  <si>
    <t>Macao SAR, China</t>
  </si>
  <si>
    <t>Huangshan, China</t>
  </si>
  <si>
    <t>Zhongguancun, Beijing, China</t>
  </si>
  <si>
    <t>Yueyang, China</t>
  </si>
  <si>
    <t>SZ, GD, China</t>
  </si>
  <si>
    <t>Haerbin Shi, Heilongjiang Sheng, China</t>
  </si>
  <si>
    <t>Beijing, Pekín, China</t>
  </si>
  <si>
    <t>Bengbu, Anhui, China</t>
  </si>
  <si>
    <t>Hangzhou, China PR</t>
  </si>
  <si>
    <t>Hangzhou, ZheJiang Province, China</t>
  </si>
  <si>
    <t>Panlongxincun Unit, Foshan, Guangdong, China</t>
  </si>
  <si>
    <t>Yantai, Shandong, China</t>
  </si>
  <si>
    <t>Wuhan University, Wuchang, Wuhan, Hubei, China</t>
  </si>
  <si>
    <t>Kunming, Yunnan, China</t>
  </si>
  <si>
    <t>SH, China</t>
  </si>
  <si>
    <t>shanghai, china</t>
  </si>
  <si>
    <t>Beijing, China.</t>
  </si>
  <si>
    <t>China World Trade Center Phase 3, Guomao, Chaoyang, Beijing, China</t>
  </si>
  <si>
    <t>Middle Huaxia Road, Shanghai, China</t>
  </si>
  <si>
    <t>Shenzhen Bay, Shenzhen, Guangdong, China</t>
  </si>
  <si>
    <t>Nankai, Tianjin, China</t>
  </si>
  <si>
    <t>Bei Jing, China</t>
  </si>
  <si>
    <t>Cangzhou, China</t>
  </si>
  <si>
    <t>Guangzhou East Railway Station, Guangzhou, Guangdong, China</t>
  </si>
  <si>
    <t>Wuhu, China</t>
  </si>
  <si>
    <t>Dalian Maritime University, Dalian, Liaoning, China</t>
  </si>
  <si>
    <t>Mianyang, Sichuan, China</t>
  </si>
  <si>
    <t>Qingxi, China</t>
  </si>
  <si>
    <t>Linyi, China</t>
  </si>
  <si>
    <t>Shenzhen University South Campus Experiment Building, Shenzhen, Guangdong, China</t>
  </si>
  <si>
    <t>Bristol, United Kingdom; Beijing, China;</t>
  </si>
  <si>
    <t>Zhuhai Port Plaza, Zhuhai, Guangdong, China</t>
  </si>
  <si>
    <t>Shenzhen, Guangdong Province, China</t>
  </si>
  <si>
    <t>beijing, china</t>
  </si>
  <si>
    <t>Shenzhen , China</t>
  </si>
  <si>
    <t>Shuangliu, China</t>
  </si>
  <si>
    <t>Jinhua, Zhejiang, China</t>
  </si>
  <si>
    <t>Wuhan University, Wuhan, Hubei, China</t>
  </si>
  <si>
    <t>Shishi, Quanzhou, Fujian, China</t>
  </si>
  <si>
    <t>Atlanta, GA. Shanghai, China</t>
  </si>
  <si>
    <t>Nantong, Jiangsu, China</t>
  </si>
  <si>
    <t>Guiyang, Guizhou, China</t>
  </si>
  <si>
    <t>Beijing Forestry University, Beijing, China</t>
  </si>
  <si>
    <t>I Am Living, Shenyang, Liaoning, China</t>
  </si>
  <si>
    <t>Huazhong University of Science and Technology Students' Apartment, Wuhan, Hubei, China</t>
  </si>
  <si>
    <t>SHA, China</t>
  </si>
  <si>
    <t>Guiyang, China</t>
  </si>
  <si>
    <t>Jiangnan University, Wuxi, Jiangsu, China</t>
  </si>
  <si>
    <t>Zhangdian, China</t>
  </si>
  <si>
    <t>Southeast University Jiulonghu Campus, Nanjing, China</t>
  </si>
  <si>
    <t>Qingcheng Mountain, China</t>
  </si>
  <si>
    <t>JiangSu, China</t>
  </si>
  <si>
    <t>Donggang, Dandong, Liaoning, China</t>
  </si>
  <si>
    <t>Xi'an, Шэньси, China</t>
  </si>
  <si>
    <t>Central China Normal University, Wuhan, Hubei, China</t>
  </si>
  <si>
    <t>China Unicom Chongqing Branch, Chongqing, China</t>
  </si>
  <si>
    <t>ChongQing, china</t>
  </si>
  <si>
    <t>Nahui, Fangchenggang, Guangxi, China</t>
  </si>
  <si>
    <t>Xixian, China</t>
  </si>
  <si>
    <t>Anhui, CHINA</t>
  </si>
  <si>
    <t>Yanliang, Xi'an, Shaanxi, China</t>
  </si>
  <si>
    <t>Zhangjiagang, China</t>
  </si>
  <si>
    <t>Changzhou, China</t>
  </si>
  <si>
    <t>Changde, Hunan, China</t>
  </si>
  <si>
    <t>Foshan, China</t>
  </si>
  <si>
    <t>Jing'an, Shanghai, China</t>
  </si>
  <si>
    <t>Tianfu 5th Street, Chengdu, Sichuan, China</t>
  </si>
  <si>
    <t>Baoding, China</t>
  </si>
  <si>
    <t>Tian Town, China</t>
  </si>
  <si>
    <t>Amoy, China</t>
  </si>
  <si>
    <t>Zunyi, China</t>
  </si>
  <si>
    <t>ChongQing, China</t>
  </si>
  <si>
    <t>Chongqing University, Chongqing, China</t>
  </si>
  <si>
    <t>Shaanxi, China</t>
  </si>
  <si>
    <t>Nanchang, China</t>
  </si>
  <si>
    <t>Yangliuqingzhen, Tianjin, China</t>
  </si>
  <si>
    <t>Chengdu Panda Breeding Research Center, Chengdu, Sichuan, China</t>
  </si>
  <si>
    <t>Bishkek, Kyrgyzstan &amp; Guangzhou, China</t>
  </si>
  <si>
    <t>Mainland Manor, Shenzhen, Guangdong, China</t>
  </si>
  <si>
    <t>Qinhuangdao, Hebei, China</t>
  </si>
  <si>
    <t>University of Science and Technology of China East Campus, Baohe, Hefei, Anhui, China</t>
  </si>
  <si>
    <t>ShangHai, China</t>
  </si>
  <si>
    <t>Jiaotong University, China</t>
  </si>
  <si>
    <t>Shen zhen, China</t>
  </si>
  <si>
    <t>Hsi-an, China</t>
  </si>
  <si>
    <t>NanJing, China</t>
  </si>
  <si>
    <t>Hohhot, Inner Mongolia, China</t>
  </si>
  <si>
    <t>Shenzhen North Railway Station, Shenzhen, China</t>
  </si>
  <si>
    <t>Nanyang, Henan, China</t>
  </si>
  <si>
    <t>No.95 ZhongGuanCun East St, HaiDian District, Beiging, China</t>
  </si>
  <si>
    <t>Yichun, Jiangxi, China</t>
  </si>
  <si>
    <t>Dandong, Liaoning, China</t>
  </si>
  <si>
    <t>Dalain, China</t>
  </si>
  <si>
    <t>where, Nanchang, Jiangxi, China</t>
  </si>
  <si>
    <t>Changsha, Hunan Province, China</t>
  </si>
  <si>
    <t>Xi'an JiaoTong University, China</t>
  </si>
  <si>
    <t>Changchun, Jilin, China</t>
  </si>
  <si>
    <t>TianJin, China.</t>
  </si>
  <si>
    <t>Yushu, Guangzhou, China</t>
  </si>
  <si>
    <t>Cantón, Guangdong, China</t>
  </si>
  <si>
    <t>China Guangzhou Acrobatic Troupe, Guangzhou, Guangdong, China</t>
  </si>
  <si>
    <t>Chaoyang District, China</t>
  </si>
  <si>
    <t>Houchangcun Road, Beijing, China</t>
  </si>
  <si>
    <t>Inner Mongolia, China</t>
  </si>
  <si>
    <t>Nanshan District, Shenzhen, Guangdong, China</t>
  </si>
  <si>
    <t>FZ, China</t>
  </si>
  <si>
    <t>Dalian, Liaoning Province, China</t>
  </si>
  <si>
    <t>Shen Zhen, China</t>
  </si>
  <si>
    <t>Zhuhai, Guangdong Province, China</t>
  </si>
  <si>
    <t>Zhongshan, Guangdong, China</t>
  </si>
  <si>
    <t>BeiJing, China</t>
  </si>
  <si>
    <t>Yanji, China</t>
  </si>
  <si>
    <t>Beijing Institute of Technology, Beijing, China</t>
  </si>
  <si>
    <t>Shenzhen, Guandong, China</t>
  </si>
  <si>
    <t>shanghai, China</t>
  </si>
  <si>
    <t>Harbin Institute of Technology, Harbin, China</t>
  </si>
  <si>
    <t>WuHan, China</t>
  </si>
  <si>
    <t>linyi city, Shandong Province, China</t>
  </si>
  <si>
    <t>Guangzhou Guangdong, China</t>
  </si>
  <si>
    <t>Huzhou, Zhejiang, China</t>
  </si>
  <si>
    <t>Huilongguan East Street, Beijing, China</t>
  </si>
  <si>
    <t>Qingtao, China</t>
  </si>
  <si>
    <t>Sun Yat-sen University, Guangzhou, Guangdong, China</t>
  </si>
  <si>
    <t>Zhejiang University Zijingang Campus, Hangzhou, China</t>
  </si>
  <si>
    <t>Anhui University, Hefei, Anhui, China</t>
  </si>
  <si>
    <t>Hunan &amp; Shanghai, China</t>
  </si>
  <si>
    <t>Dalian Neusoft University Of Information, Dalian, Liaoning, China</t>
  </si>
  <si>
    <t>Sichuan Sheng, China</t>
  </si>
  <si>
    <t>Nanjing, Jiangsu Province, China</t>
  </si>
  <si>
    <t>Zhenjiang, Jiangsu 212121, China</t>
  </si>
  <si>
    <t>Chi, China</t>
  </si>
  <si>
    <t>Rizhao, Shandong, China</t>
  </si>
  <si>
    <t>jiaogezhuang, nanfaxin, shunyi, beijing, china</t>
  </si>
  <si>
    <t>Huimin, China</t>
  </si>
  <si>
    <t>Beijing city, China</t>
  </si>
  <si>
    <t>Renmin Road, Dalian, Liaoning, China</t>
  </si>
  <si>
    <t>Macau, China</t>
  </si>
  <si>
    <t>ChengDu, China</t>
  </si>
  <si>
    <t>Lanzhou, Gansu, China</t>
  </si>
  <si>
    <t>Minrun Mansion Building 1, Shanghai, China</t>
  </si>
  <si>
    <t>Beijing , China.</t>
  </si>
  <si>
    <t>China Merchants Bank （Shenzhen New World Branch）, Shenzhen, Guangdong, China</t>
  </si>
  <si>
    <t>Zhenjing, China</t>
  </si>
  <si>
    <t>Shijiazhuang, China</t>
  </si>
  <si>
    <t>Siping, Jilin, China'</t>
  </si>
  <si>
    <t>Foshan, Guangdong, China</t>
  </si>
  <si>
    <t>China Fortune Tower, Shanghai, China</t>
  </si>
  <si>
    <t>Guangzhouy Station, Guangzhou, Guangdong, China</t>
  </si>
  <si>
    <t>Xiangtan, China</t>
  </si>
  <si>
    <t>chengdu, sichuan, China</t>
  </si>
  <si>
    <t>guangzhou, china</t>
  </si>
  <si>
    <t>Tianji, China</t>
  </si>
  <si>
    <t>Yangling, Shaanxi, China</t>
  </si>
  <si>
    <t>Dongzhimen, Beijing, China</t>
  </si>
  <si>
    <t>Tongling, Anhui, China</t>
  </si>
  <si>
    <t>University of Chinese Academy of Sciences, Beijing, China</t>
  </si>
  <si>
    <t>Shanghai  , CHINA</t>
  </si>
  <si>
    <t>Forbidden City, China</t>
  </si>
  <si>
    <t>Shanghai, china</t>
  </si>
  <si>
    <t>Beijing, China,</t>
  </si>
  <si>
    <t>Huazhong University of Science and Technology, Wuhan, Hubei, China</t>
  </si>
  <si>
    <t>hangzhou, zhejiang, china</t>
  </si>
  <si>
    <t>Kashgar, Xinjiang, China</t>
  </si>
  <si>
    <t>Wuxi, Jiangsu, China PR</t>
  </si>
  <si>
    <t>CD, China</t>
  </si>
  <si>
    <t>Tangshan, Hebei, China</t>
  </si>
  <si>
    <t>BUPT, Beijing, China</t>
  </si>
  <si>
    <t>Urumqi, China</t>
  </si>
  <si>
    <t>Beijing University of Posts and Telecommunications, Beitaipingzhuang, Haidian, Beijing, China</t>
  </si>
  <si>
    <t>China National Convention Center, Beijing, China</t>
  </si>
  <si>
    <t>Sichuan University, Chengdu, Sichuan, China</t>
  </si>
  <si>
    <t>Mianyang city, sichuan province, china</t>
  </si>
  <si>
    <t>Shanxi University, Taiyuan, Shanxi, China</t>
  </si>
  <si>
    <t>Shuangzhen, China</t>
  </si>
  <si>
    <t>Wangjing East Road, Wangjing, Chaoyang, Beijing, China</t>
  </si>
  <si>
    <t>South China Agricultural University, Guangzhou, Guangdong, China</t>
  </si>
  <si>
    <t>Canton Tower, Guangzhou, Guangdong, China</t>
  </si>
  <si>
    <t>Huicheng, China</t>
  </si>
  <si>
    <t>Guangzhou, Guangdong Province, China</t>
  </si>
  <si>
    <t>In Your Face, Guangzhou, Guangdong, China</t>
  </si>
  <si>
    <t>Beijing, China, mostly</t>
  </si>
  <si>
    <t>Hebei, China</t>
  </si>
  <si>
    <t>Sanming, China</t>
  </si>
  <si>
    <t>HangZhou, ZheJiang, China</t>
  </si>
  <si>
    <t>Zhoushan, China</t>
  </si>
  <si>
    <t>Huludao, China</t>
  </si>
  <si>
    <t>Henan, China</t>
  </si>
  <si>
    <t>Shenzhen Airport (Fu Yong), Shenzhen, Guangdong, China</t>
  </si>
  <si>
    <t>Jiangmen, Guangdong, China</t>
  </si>
  <si>
    <t>Beijing, China / Philadelphia, PA, USA</t>
  </si>
  <si>
    <t>guangdong, China</t>
  </si>
  <si>
    <t>Soochow University （North Gate）, Suzhou, Jiangsu, China</t>
  </si>
  <si>
    <t>Beijing, China-京都</t>
  </si>
  <si>
    <t>Naganamo, Bome, Nyingchi, China</t>
  </si>
  <si>
    <t>Henan University of Technology, Zhengzhou, Henan, China</t>
  </si>
  <si>
    <t>Suzhouqiao, Beijing, China</t>
  </si>
  <si>
    <t>Beigjin, China</t>
  </si>
  <si>
    <t>Nanchang, 南昌市 Jiangxi, China</t>
  </si>
  <si>
    <t>Alibaba Hangzhou Headquarters, Hangzhou, Zhejiang, China</t>
  </si>
  <si>
    <t>Zhangzhou Harbor, Zhangzhou, Fujian, China</t>
  </si>
  <si>
    <t>XinHuaRoad No. 129, Hankou, Wuhan, China</t>
  </si>
  <si>
    <t>No.328 Hunan Road, Shanghai, China</t>
  </si>
  <si>
    <t>Huangshan, Anhui, China</t>
  </si>
  <si>
    <t>Beijige 1st Alley, Beijing, China</t>
  </si>
  <si>
    <t>Room 1002, No.4 Building, Longtou Market, Shiling Town, Guangzhou City, China.</t>
  </si>
  <si>
    <t>Guangdong Province, China</t>
  </si>
  <si>
    <t>Kunshan, China</t>
  </si>
  <si>
    <t>Jinzhou, China</t>
  </si>
  <si>
    <t>Gaomi,Weifang,Shandong, China</t>
  </si>
  <si>
    <t>Zhoushan Islands, Zhoushan, Zhejiang, China</t>
  </si>
  <si>
    <t>Guilin, Guangxi, China</t>
  </si>
  <si>
    <t>South China University of Technology, Guangzhou, Guangdong, China</t>
  </si>
  <si>
    <t>Tangzhen, Pudong, Shanghai, China</t>
  </si>
  <si>
    <t>Xuzhou, Jiangsu, China</t>
  </si>
  <si>
    <t>Heilong Jiang, China</t>
  </si>
  <si>
    <t>zju, china</t>
  </si>
  <si>
    <t>Hefei, china</t>
  </si>
  <si>
    <t>Jinan University, Guangzhou, Guangdong, China</t>
  </si>
  <si>
    <t>South China Normal University, Guangzhou, Guangdong, China</t>
  </si>
  <si>
    <t>Nanjing University Xianlin Campus, Nanjing, Jiangsu, China</t>
  </si>
  <si>
    <t>Shenzhen University, Shenzhen, Guangdong, China</t>
  </si>
  <si>
    <t>Zibo, China</t>
  </si>
  <si>
    <t>GZ, GD, China</t>
  </si>
  <si>
    <t>Xiangtan University, Xiangtan, Hunan, China</t>
  </si>
  <si>
    <t>Tsingtao, China</t>
  </si>
  <si>
    <t>Xi'an, Shannxi, China</t>
  </si>
  <si>
    <t>Jinzhou, Liaoning, China</t>
  </si>
  <si>
    <t>Zhoushan Island, Zhoushan, Zhejiang, China</t>
  </si>
  <si>
    <t>Wuhan Railway Station, Wuhan, Hubei, China</t>
  </si>
  <si>
    <t>No. 16,Zhujiang Road, Mazhu Town, Yuyao, Zhejiang, China</t>
  </si>
  <si>
    <t>Shaoxing Road, Xiacheng, Hangzhou, Zhejiang, China</t>
  </si>
  <si>
    <t>Guangdong, CHINA</t>
  </si>
  <si>
    <t>Shanghai Tongji Univ, China</t>
  </si>
  <si>
    <t>Chongqin, China</t>
  </si>
  <si>
    <t>Fengjia, Huangjiabu Village, Huangjiabu Town, Yuyao, Zhejiang, China</t>
  </si>
  <si>
    <t>University of Science and Technology of China West Campus, 蜀山区 Hefei, Anhui, China</t>
  </si>
  <si>
    <t>Changsha, Hunan 410100, China</t>
  </si>
  <si>
    <t>Mainland, China</t>
  </si>
  <si>
    <t>Anhui Hefei Baohe State Administration of Taxation, Hefei, Anhui, China</t>
  </si>
  <si>
    <t>Yongkang, Jinhua, Zhejiang, China</t>
  </si>
  <si>
    <t>Qianhaiwan, Shenzhen, Guangdong, China</t>
  </si>
  <si>
    <t>Yonghegong Street, Beijing, China</t>
  </si>
  <si>
    <t>Kaiba Line, Kailu, Tongliao, Inner Mongolia, China</t>
  </si>
  <si>
    <t>Beijing 100027, China</t>
  </si>
  <si>
    <t>hangzhou, china</t>
  </si>
  <si>
    <t>Quanzhou, Fujian, China</t>
  </si>
  <si>
    <t>Hangzhou West Bus Station, Hangzhou, Zhejiang, China</t>
  </si>
  <si>
    <t>Xiasha, Hangzhou, Zhejiang, China</t>
  </si>
  <si>
    <t>Guilin, China</t>
  </si>
  <si>
    <t>Xi'an, China.</t>
  </si>
  <si>
    <t>No.168-2, Hongjiatan, Dongfu Village, Suoqian Town, Xiaoshan District, Hangzhou, China.</t>
  </si>
  <si>
    <t>No.78, Yingluohe Road, Daqi, Beilun,Ningbo City, Zhejiang Province, China</t>
  </si>
  <si>
    <t>Hangzhou Bay New Zone, Ningbo, Zhejiang, China</t>
  </si>
  <si>
    <t>Xinhua College Spring, Hefei, Anhui, China</t>
  </si>
  <si>
    <t>Guangzhou Shi, China</t>
  </si>
  <si>
    <t>Jilin University, Changchun, Jilin, China</t>
  </si>
  <si>
    <t>Wuhan Hubei, China</t>
  </si>
  <si>
    <t>Wuhu, Anhui, China</t>
  </si>
  <si>
    <t>Fujian Province, China</t>
  </si>
  <si>
    <t>Nanjing, Jiangsu Sheng, China</t>
  </si>
  <si>
    <t>Minzudaxue Nanlu 5#, Beijing, China</t>
  </si>
  <si>
    <t>Qingdao University, Qingdao, Shandong, China</t>
  </si>
  <si>
    <t>No.1435 East Renmin Road,Shaoxing City, Zhejiang Province, China</t>
  </si>
  <si>
    <t>Huinan, China</t>
  </si>
  <si>
    <t>Ctrip, Shanghai, China</t>
  </si>
  <si>
    <t>xi'an, China</t>
  </si>
  <si>
    <t>Dalian Software Park Service Center （Shuma Road）, Dalian, Liaoning, China</t>
  </si>
  <si>
    <t>SYSU, Guangzhou, China</t>
  </si>
  <si>
    <t>Shandong Road, Qingdao, Shandong, China</t>
  </si>
  <si>
    <t>Qiqihar, Heilongjiang, China</t>
  </si>
  <si>
    <t>Tianjín, China</t>
  </si>
  <si>
    <t>tanggu,Tianji, China,tanggu</t>
  </si>
  <si>
    <t>Huazhong University of Science and Technology East Area 3 Dormitory Building 64, Wuhan, Hubei, China</t>
  </si>
  <si>
    <t>Binzhou, China</t>
  </si>
  <si>
    <t>Xiamen Railway Station, Xiamen, Fujian, China</t>
  </si>
  <si>
    <t>Zaozhuang, Shandong, China</t>
  </si>
  <si>
    <t>Guangxi, China</t>
  </si>
  <si>
    <t>Chongqing Hongyadong, Chongqing, China</t>
  </si>
  <si>
    <t>Shiqiao, China</t>
  </si>
  <si>
    <t>Shanghai, CHINA</t>
  </si>
  <si>
    <t>Puyang, China</t>
  </si>
  <si>
    <t>Shengzheng ， China</t>
  </si>
  <si>
    <t>Chengdu City, Sichuan Province, China</t>
  </si>
  <si>
    <t>Shijiazhaung, Hebei, China</t>
  </si>
  <si>
    <t>Chengdu Railway Station, Chengdu, Sichuan, China</t>
  </si>
  <si>
    <t>East Railway Station, Hangzhou, Zhejiang, China</t>
  </si>
  <si>
    <t>Xi'an Jiaotong University, Xi'an, Shaanxi, China</t>
  </si>
  <si>
    <t>Guangzhou (Nansha), Nansha, Guangzhou, China</t>
  </si>
  <si>
    <t>Guangdong Hotel, Zhuhai, Guangdong, China</t>
  </si>
  <si>
    <t>Being, China</t>
  </si>
  <si>
    <t>NO 111, Leyuan Rd., Shimen Town, Tongxiang City, Zhejiang Province, China</t>
  </si>
  <si>
    <t>Nankai, China</t>
  </si>
  <si>
    <t>Zhangzhou, China</t>
  </si>
  <si>
    <t>Shenzhen North Railway Station, Shenzhen, Guangdong, China</t>
  </si>
  <si>
    <t>NO.17 Xiejialu, Simen Town, Yuyao City, Zhejiang Province, China</t>
  </si>
  <si>
    <t>Pekin, Beijing, China</t>
  </si>
  <si>
    <t>No. 81 West Jinniu Road, Yuyao, Ningbo City, Zhejiang Provice, China</t>
  </si>
  <si>
    <t>Wuhan Institute of Technology, Wuhan, Hubei, China</t>
  </si>
  <si>
    <t>nanjing, China</t>
  </si>
  <si>
    <t>Changning, Shanghai, China</t>
  </si>
  <si>
    <t>Sanming, Fujian, China</t>
  </si>
  <si>
    <t>Quanzhou Shi , CHINA Fujian</t>
  </si>
  <si>
    <t>Shangzhou, China</t>
  </si>
  <si>
    <t>Antingzhen, Shanghai, China</t>
  </si>
  <si>
    <t>Ningbo Railway Station, Ningbo, Zhejiang, China</t>
  </si>
  <si>
    <t>Nancang Street, Shanghai, China</t>
  </si>
  <si>
    <t>Hubei University, Wuhan, Hubei, China</t>
  </si>
  <si>
    <t>Xi'an Jiaotong University, Beilin, Xi'an, Shaanxi, China</t>
  </si>
  <si>
    <t>Hangzhou, Zhejiang Province, China</t>
  </si>
  <si>
    <t>Gong Yuan Lu, Yanji, Yanbian, Jilin, China</t>
  </si>
  <si>
    <t>Macao, China</t>
  </si>
  <si>
    <t>Laiwenpu, Xigaze, Tibet, China</t>
  </si>
  <si>
    <t>Hengyang, Hunan, China</t>
  </si>
  <si>
    <t>Tianshan Road, Tianshan, Changning, Shanghai, China</t>
  </si>
  <si>
    <t>Hi-tech Zone, Chengdu City, Sichuan Province, China.</t>
  </si>
  <si>
    <t>Wuxi, Chong'an, Jiangsu, China</t>
  </si>
  <si>
    <t>Qufu, China</t>
  </si>
  <si>
    <t>Taiyuan, Shanxi, China</t>
  </si>
  <si>
    <t>No.285 Lijiang Road Xinchang City Zhejiang Pronvince, China</t>
  </si>
  <si>
    <t>Anshan Liaoning, China</t>
  </si>
  <si>
    <t>Ningbbo, Zhejiang, China</t>
  </si>
  <si>
    <t>Zhongguo, Qamdo, Tibet, China</t>
  </si>
  <si>
    <t>5/F, Building #9, Niuguling Industrial Zone, Bantian, Longgang District, Shenzhen, China, 518129</t>
  </si>
  <si>
    <t>Beijing Jiaotong University, Beijing, China</t>
  </si>
  <si>
    <t>Guangzhou , Guangdong, China</t>
  </si>
  <si>
    <t>Nanjing， China</t>
  </si>
  <si>
    <t>SUSTech, Shenzhen, China</t>
  </si>
  <si>
    <t>Tsinghua University, Haidian, Beijing, China</t>
  </si>
  <si>
    <t>No. 66 , Changjiang West Road , Huangdao District , Qingdao , China , 266580</t>
  </si>
  <si>
    <t>Wuxi Railway Station, Wuxi, Jiangsu, China</t>
  </si>
  <si>
    <t>Zhuzhou, China</t>
  </si>
  <si>
    <t>chengdu, Sichuan, China</t>
  </si>
  <si>
    <t>Anhui , China</t>
  </si>
  <si>
    <t>Wuhan City, Hubei Province, China</t>
  </si>
  <si>
    <t>Changzhou, Wuzhou, Guangxi, China</t>
  </si>
  <si>
    <t>Shenzhen City, Guangdong Province, China</t>
  </si>
  <si>
    <t>Sichuan, China.</t>
  </si>
  <si>
    <t>Zhengzhou, henan province, China</t>
  </si>
  <si>
    <t>Chuncheng, China</t>
  </si>
  <si>
    <t>Hunan Normal University, Changsha, Hunan, China</t>
  </si>
  <si>
    <t>Shenzhen Airport (Fu Yong), Bao'an, Shenzhen, China</t>
  </si>
  <si>
    <t>Anyang, China</t>
  </si>
  <si>
    <t>No.22, Tancheng Road, Yangling, Shaanxi, China</t>
  </si>
  <si>
    <t>Jilin Road, Changchun, Jilin, China</t>
  </si>
  <si>
    <t>Ji'an, Jiangxi Province, China</t>
  </si>
  <si>
    <t>Dongfang Industrial Zone, Oubei, Wenzhou, Zhejiang, China</t>
  </si>
  <si>
    <t>Zhuhai Avenue, Jinwan, Zhuhai, Guangdong, China</t>
  </si>
  <si>
    <t>Canton, china</t>
  </si>
  <si>
    <t>诸暨市, Shaoxing, Zhejiang, China</t>
  </si>
  <si>
    <t>Hohhot, China</t>
  </si>
  <si>
    <t>Yiwu, Zhejiang, China</t>
  </si>
  <si>
    <t>Zhongshan, China</t>
  </si>
  <si>
    <t>Haikou, Hainan, China</t>
  </si>
  <si>
    <t>Beijing, Pékin, China</t>
  </si>
  <si>
    <t>Huazhong University of Science and Technology Wuchang, Wuhan, Hubei, China</t>
  </si>
  <si>
    <t>tianjin, china</t>
  </si>
  <si>
    <t>Yanbian, China</t>
  </si>
  <si>
    <t>Bagou Road, Beijing, China</t>
  </si>
  <si>
    <t>Taicang, Suzhou, Jiangsu, China</t>
  </si>
  <si>
    <t>Huangshi, Hubei, China</t>
  </si>
  <si>
    <t>Shenzhen,Guangdong, China</t>
  </si>
  <si>
    <t>Shanghai Caohejing Hi-tech Park Property Management Co., Ltd., Shanghai, China</t>
  </si>
  <si>
    <t>GunagZhou City, GuanDong Province, China</t>
  </si>
  <si>
    <t>Dongguan City, Guangdong Province, China</t>
  </si>
  <si>
    <t>Meidong Village, Qianqing Town, Keqiao District, Zhejiang Province, China</t>
  </si>
  <si>
    <t>ChengDu, SIChuan province, China</t>
  </si>
  <si>
    <t>Wuhan Airport Road Toll Gate, Wuhan, Hubei, China</t>
  </si>
  <si>
    <t>ChangSha, China</t>
  </si>
  <si>
    <t>Chengdu Panda Breeding Research Center, Chengdu, China</t>
  </si>
  <si>
    <t>Lufengheyuan, Changsha, China</t>
  </si>
  <si>
    <t>Taizhou, Zhejiang, China</t>
  </si>
  <si>
    <t>Hangzhou, zhejiang province, China</t>
  </si>
  <si>
    <t>Fudan University, Wujiaochang, Yangpu, Shanghai, China</t>
  </si>
  <si>
    <t>Fushan District, Yantai City , China</t>
  </si>
  <si>
    <t>Zhejiang University of Technology, Hangzhou, Zhejiang, China</t>
  </si>
  <si>
    <t>Tsinghua West Gate, Beijing, China</t>
  </si>
  <si>
    <t>Northwest University Library, Xi'an, Shaanxi, China</t>
  </si>
  <si>
    <t>Guangzhou, China(Canton)</t>
  </si>
  <si>
    <t>The Chinese University of Hong Kong, Shatin, N.T., Hong Kong, China</t>
  </si>
  <si>
    <t>Chong Qing, China</t>
  </si>
  <si>
    <t>Wuhan Textile University （Northwest Gate）, Hongshan, Wuhan, Hubei, China</t>
  </si>
  <si>
    <t>Beijing Road, Yuexiu, Guangzhou, Guangdong, China</t>
  </si>
  <si>
    <t>Xidian University, Hi-tech Shangquan, Yanta, Xi'an, Shaanxi, China</t>
  </si>
  <si>
    <t>Shenyang Road, Shenyang, Liaoning, China</t>
  </si>
  <si>
    <t>Room.1806 Golden Mansion, North Xincheng BVD, CBD,Cixi city, Ningbo, China</t>
  </si>
  <si>
    <t>Huazhong University of Science and Technology , Wuhan, Hubei, China</t>
  </si>
  <si>
    <t>ShangHai , China</t>
  </si>
  <si>
    <t>Jingdezhen City, China</t>
  </si>
  <si>
    <t>Ningbo University, Zhenhai, Ningbo, China</t>
  </si>
  <si>
    <t>China University of Geosciences （Wuhan） Faculty of Information of Engineering, Wuhan, Hubei, China</t>
  </si>
  <si>
    <t>Huajing New Town, Guangzhou, Guangdong, China</t>
  </si>
  <si>
    <t>Everest, China</t>
  </si>
  <si>
    <t>Guangdong, Guangzhou, China</t>
  </si>
  <si>
    <t>Renmin University, Haidian, China</t>
  </si>
  <si>
    <t>Nanjing University, Nanjing, Jiangsu, China</t>
  </si>
  <si>
    <t>Xi'an Bell Tower, Xi'an, Shaanxi, China</t>
  </si>
  <si>
    <t>Shang, China</t>
  </si>
  <si>
    <t>Shenzhen, Provincia de Cantón, China</t>
  </si>
  <si>
    <t>longgang street, longgang district, shenzhen, guangdong, China</t>
  </si>
  <si>
    <t>No.18 Qianyue Road,Shengze Town, Suzhou City, Jiangsu Province, China 215228</t>
  </si>
  <si>
    <t>Hubei University of Technology , Wuhan, Hubei, China</t>
  </si>
  <si>
    <t>Fujian China Post Logistics, Xiamen, Fujian, China</t>
  </si>
  <si>
    <t>Canton, Guangdong, China</t>
  </si>
  <si>
    <t>Beijing, Pequim, China</t>
  </si>
  <si>
    <t>Yancheng, Jiangsu, China</t>
  </si>
  <si>
    <t>Yongzhou, China</t>
  </si>
  <si>
    <t>Xinjiang, China</t>
  </si>
  <si>
    <t>Beihang University, Beijing, China</t>
  </si>
  <si>
    <t>Sichuan Chengdu, China</t>
  </si>
  <si>
    <t>上海市, Shanghai, China</t>
  </si>
  <si>
    <t>Wuhan city, Hubei province, China</t>
  </si>
  <si>
    <t>Chengdu, Sichuan, China.</t>
  </si>
  <si>
    <t>Kaifeng, Henan, China</t>
  </si>
  <si>
    <t>China Building 1511 No. 5 Road, Heping District, Shenyang City, Liaoning Province, China</t>
  </si>
  <si>
    <t>Qinhuangdao, China</t>
  </si>
  <si>
    <t>Alibaba, Beijing, China</t>
  </si>
  <si>
    <t>Xianyang, Shaanxi, China</t>
  </si>
  <si>
    <t>Wuhan, China,Asia</t>
  </si>
  <si>
    <t>#132 Lanhei road, Kunming,  650201 Yunnan, China</t>
  </si>
  <si>
    <t>Beijing West Railway Station, Beijing, China</t>
  </si>
  <si>
    <t>Qinhuangdao Golden Coast Seaside Golf Club, Qinhuangdao, Hebei, China</t>
  </si>
  <si>
    <t>Shijingshan District, China</t>
  </si>
  <si>
    <t>Bei Jing, china</t>
  </si>
  <si>
    <t>zhe Jiang province, China</t>
  </si>
  <si>
    <t>Cupertino, CA, USA, Beijing, Suzhou, China</t>
  </si>
  <si>
    <t>North Industrial, Huangyan, Taizhou city, Zhejiang Province, China</t>
  </si>
  <si>
    <t>Jieyang, Guangdong, China</t>
  </si>
  <si>
    <t>Maoming, Guangdong, China</t>
  </si>
  <si>
    <t>Canton(Guangzhou), Guangdong, China</t>
  </si>
  <si>
    <t>Nanchang Railway Station, Nanchang, Jiangxi, China</t>
  </si>
  <si>
    <t>Neusoft Training Center, Shenyang, Liaoning, China</t>
  </si>
  <si>
    <t>Nanshan Road, Hangzhou, Zhejiang, China</t>
  </si>
  <si>
    <t>Shantou Port, Shantou, Guangdong, China</t>
  </si>
  <si>
    <t>beijing, China</t>
  </si>
  <si>
    <t>haidian, Pekig, China</t>
  </si>
  <si>
    <t>Suzhou City Life Square, Suzhou, Jiangsu, China</t>
  </si>
  <si>
    <t>Beijing Road, Guangzhou, Guangdong, China</t>
  </si>
  <si>
    <t>Jinke Road, Pudong, Shanghai, China</t>
  </si>
  <si>
    <t>Shenyang Jianzhu University, Shenyang, Liaoning, China</t>
  </si>
  <si>
    <t>Guangdong University of Technology, Guangzhou, Guangdong, China</t>
  </si>
  <si>
    <t>Shanghai Minhang District Marine Office, Shanghai, China</t>
  </si>
  <si>
    <t>Qingdao Railway Station, Qingdao, Shandong, China</t>
  </si>
  <si>
    <t>Shekou, Nanshan, Shenzhen, Guangdong, China</t>
  </si>
  <si>
    <t>Beijing City, China</t>
  </si>
  <si>
    <t>Changfeng South Road No.185, Shushan District, Hefei City, Anhui Province, China.</t>
  </si>
  <si>
    <t>Xidian University, Xi'an, Shaanxi, China</t>
  </si>
  <si>
    <t>Hangzhou Bay, Jiaxing, Zhejiang, China</t>
  </si>
  <si>
    <t>Xinmi, Zhengzhou, Henan, China</t>
  </si>
  <si>
    <t>Huizhou, Guangdong, China</t>
  </si>
  <si>
    <t>成都市, Sichuan, China</t>
  </si>
  <si>
    <t>Hubei University, Wuchang, Wuhan, Hubei, China</t>
  </si>
  <si>
    <t>Linfen, Shanxi, China</t>
  </si>
  <si>
    <t>Changzhou, Jiangsu 213131, China</t>
  </si>
  <si>
    <t>Baoding, Hebei, China</t>
  </si>
  <si>
    <t>Zhongguancun, Haidian, Beijing, China</t>
  </si>
  <si>
    <t>China Academy of Art, Hangzhou, Zhejiang, China</t>
  </si>
  <si>
    <t>Siasun, Shenyang, Liaoning, China</t>
  </si>
  <si>
    <t>nanjing, jiangsu, china</t>
  </si>
  <si>
    <t>Xueyuan Avenue (West Section), Nanshan, Guangdong, China</t>
  </si>
  <si>
    <t>Shenzhen Bay, Futian, Guangdong, China</t>
  </si>
  <si>
    <t>UK, US, China</t>
  </si>
  <si>
    <t>Nanjing University Xianlin Campus, Qixia, Nanjing, China</t>
  </si>
  <si>
    <t>Chenggong, Kunming, Yunnan, China</t>
  </si>
  <si>
    <t>Shanghai Jiaotong University, Shanghai, China</t>
  </si>
  <si>
    <t>Zhabei, Shanghai, China</t>
  </si>
  <si>
    <t>Nankai University, Nankai, Tianjin, China</t>
  </si>
  <si>
    <t>Shenzhen North Railway Station, Bao'an, Shenzhen, China</t>
  </si>
  <si>
    <t>Qingyuanv, Guangdong, China</t>
  </si>
  <si>
    <t>Yiwu, Jinhua, Zhejiang, China</t>
  </si>
  <si>
    <t>Jinán, Shandong, China</t>
  </si>
  <si>
    <t>Shann'Xi, Xi'an, China</t>
  </si>
  <si>
    <t>Wuhan China Travel Service （Chushan Street）, Wuhan, Hubei, China</t>
  </si>
  <si>
    <t>Lintong, Xi'an, Shaanxi, China</t>
  </si>
  <si>
    <t>West Lake, District de Xihu, Hangzhou, Zhejiang, China</t>
  </si>
  <si>
    <t>Kuancheng, Changchun, Jilin, China</t>
  </si>
  <si>
    <t>Minglou Residential District, Ningbo, Zhejiang, China</t>
  </si>
  <si>
    <t>Wudang Mountain, Shiyan, Hubei, China</t>
  </si>
  <si>
    <t>Beauty Exchange Center,No.121, Guangyuan West Road, Guangzhou, China, 51000</t>
  </si>
  <si>
    <t>Huazhong University of Science and Technology,Wuhan, Hubei, China</t>
  </si>
  <si>
    <t>Cangzhou, Hebei, China</t>
  </si>
  <si>
    <t>Ganzhou, Jiangxi, China</t>
  </si>
  <si>
    <t>Shiqi, China</t>
  </si>
  <si>
    <t>Dongguan, Provincia de Cantón, China</t>
  </si>
  <si>
    <t>Chengdu, Sichuan Province, China</t>
  </si>
  <si>
    <t>Chengdu Sichuan, China</t>
  </si>
  <si>
    <t>Hangzhou, china</t>
  </si>
  <si>
    <t>Bantian, Longgang, Guangdong, China</t>
  </si>
  <si>
    <t>El Viejo, Chinandega, Nicaragua</t>
  </si>
  <si>
    <t>Wenling High Speed ​​Rail Station, Taizhou, Zhejiang, China</t>
  </si>
  <si>
    <t>Xinjiang, Korla, China lixianglu</t>
  </si>
  <si>
    <t>Guangzhou Middle Avenue, Guangzhou, Guangdong, China</t>
  </si>
  <si>
    <t>Jingzhou, Hubei, China</t>
  </si>
  <si>
    <t>Wuxi , Jiangshu province, China</t>
  </si>
  <si>
    <t>Yingchuan, Ning Xia, China</t>
  </si>
  <si>
    <t>Wuhan city, Hubei province , China</t>
  </si>
  <si>
    <t>No.38,Kaituo Road, Xinqian, Kaituo Road, Huangyan, Taizhou, Zhejiang, China</t>
  </si>
  <si>
    <t>Hainan, China</t>
  </si>
  <si>
    <t>ChengDu, SiChuan, China</t>
  </si>
  <si>
    <t>hangzhou, zhejiang, China</t>
  </si>
  <si>
    <t>Tianjin University, Tianjin, China</t>
  </si>
  <si>
    <t>hangzhou , china</t>
  </si>
  <si>
    <t>Jiaxing, Zhejiang, China</t>
  </si>
  <si>
    <t>Yueyang, Hunan, China</t>
  </si>
  <si>
    <t>Jinrui Building Baiguan Street, Shangyu, Shaoxing, Zhejiang, China. 312300</t>
  </si>
  <si>
    <t>Zhakou, Jianshan New Developed Area, Haining City, Zhejiang Province, China, 314415</t>
  </si>
  <si>
    <t>Kunyu mountain natural Conservation District, Yantai City Shandong Province, China 264100</t>
  </si>
  <si>
    <t>Qingdao Port Authority, Qingdao, Shandong, China</t>
  </si>
  <si>
    <t>Chengdu University of Technology, Chengdu, Sichuan, China</t>
  </si>
  <si>
    <t>ZhuHai city, GuangDong province, China</t>
  </si>
  <si>
    <t>Shen Zhen, Guang Dong, China</t>
  </si>
  <si>
    <t>Guangzhou South Railway Station, Guangzhou, Guangdong, China</t>
  </si>
  <si>
    <t>Taiwan Province, China</t>
  </si>
  <si>
    <t>Zijing Students' Apartment Building 1,Tsinghua University,Hai Dian Qu, Beijing, China</t>
  </si>
  <si>
    <t>Shanghai, China | San Francisco, USA</t>
  </si>
  <si>
    <t>Hanzghou Binjiang Real Estate Co., Ltd., Hangzhou, Zhejiang, China</t>
  </si>
  <si>
    <t>Zhongnan University of Economics and Law Wuhan College, Hongshan, Wuhan, Hubei, China</t>
  </si>
  <si>
    <t>Changshu, Suzhou, Jiangsu, China</t>
  </si>
  <si>
    <t>Bejing, China</t>
  </si>
  <si>
    <t>Beijing， China</t>
  </si>
  <si>
    <t>jintang industrial zone, dongshenheng road, tangxia town, dongguan city, guangdong, 523710, china</t>
  </si>
  <si>
    <t>Jinhua, Чжэцзян, China</t>
  </si>
  <si>
    <t>Shezhen, Guangdong, China</t>
  </si>
  <si>
    <t>Jiangsu, Suzhou, China</t>
  </si>
  <si>
    <t>Wenshan, China</t>
  </si>
  <si>
    <t>No.208 Qingxian Road, Linglong Industry Zone, Lin'an, Hangzhou, China</t>
  </si>
  <si>
    <t>Shenzhen University Town Sports Center Tennis Court, Shenzhen, Guangdong, China</t>
  </si>
  <si>
    <t>Xiamen, China  中国福建省厦门市</t>
  </si>
  <si>
    <t>Guangdu, China</t>
  </si>
  <si>
    <t>Fudan University, Shanghai, China</t>
  </si>
  <si>
    <t>Fuanjian, China</t>
  </si>
  <si>
    <t>Shangdi, Beijing, China</t>
  </si>
  <si>
    <t>Xiamen city, fujian province, China</t>
  </si>
  <si>
    <t>Shanghai Jiaotong University Xuhui Campus, Shanghai, China</t>
  </si>
  <si>
    <t>Hubei Province, China</t>
  </si>
  <si>
    <t>Dazhongsi, Beijing, China</t>
  </si>
  <si>
    <t>Fengxian, Shanghai, China</t>
  </si>
  <si>
    <t>Shangdi East Road, Beijing, China</t>
  </si>
  <si>
    <t>Weijin Road, Nankai District, Tianjin, China</t>
  </si>
  <si>
    <t>Jiading, Shanghai, China</t>
  </si>
  <si>
    <t>North 4F, Guangxia Building, Torch High-tech Zone, Xiamen, China</t>
  </si>
  <si>
    <t>Dongying, Shandong, China</t>
  </si>
  <si>
    <t>HeFei, China</t>
  </si>
  <si>
    <t>Longgang District, Shenzhen, Guangdong Province, China</t>
  </si>
  <si>
    <t>China （Shanghai） Public Practicing Base for Entrepreneurs, Shanghai, China</t>
  </si>
  <si>
    <t>Zhangzhou, Fujian, China</t>
  </si>
  <si>
    <t>Panyu Square, 市桥番禺区 Guangzhou, China</t>
  </si>
  <si>
    <t>guangzhou, China</t>
  </si>
  <si>
    <t>Nanjing University, China</t>
  </si>
  <si>
    <t>Huaian, Jiangsu, China</t>
  </si>
  <si>
    <t>Shenzhen, Shenzhen, Guangdong, China</t>
  </si>
  <si>
    <t>Nam Shan, Shenzhen, Guangdong, China</t>
  </si>
  <si>
    <t>Hangzhou City, China</t>
  </si>
  <si>
    <t>Yixing, Wuxi, Jiangsu, China</t>
  </si>
  <si>
    <t>No.32 Jinchuan Road, North Industrial, Huangyan, Zhejiang, China</t>
  </si>
  <si>
    <t>Shanxi Provincial Organ Automobile Service Center Filling Station, Taiyuan, Shanxi, China</t>
  </si>
  <si>
    <t>Erbo Barbecue, Harbin, Heilongjiang, China</t>
  </si>
  <si>
    <t>Wuhan University of Technology Jianhu Campus Students' Apartment Xiyuan 15 She, Wuhan, Hubei, China</t>
  </si>
  <si>
    <t>suzhou, jiangsu, china</t>
  </si>
  <si>
    <t>Meizhou, Guangdong, China</t>
  </si>
  <si>
    <t>No.688,Lianxi Road,Lianshi Town, Nanxun, Huzhou, Zhejiang, China</t>
  </si>
  <si>
    <t>Xixu Village, Langxia Street , Yuyao, Zhejiang, China</t>
  </si>
  <si>
    <t>Yanbian Chaoxianzuzizhizhou, Jilin, China</t>
  </si>
  <si>
    <t>XFD （Xiu'an Network）, Xixiangtang, Nanning, Guangxi, China</t>
  </si>
  <si>
    <t>Jilin Province Tumor Hospital, Changchun, Jilin, China</t>
  </si>
  <si>
    <t>GUCAS, Beijing, China</t>
  </si>
  <si>
    <t>Taiyuan, China</t>
  </si>
  <si>
    <t>Suzhou city, China</t>
  </si>
  <si>
    <t>Hubei, Wuhan, China</t>
  </si>
  <si>
    <t>Dianchi Road, Kunming, Yunnan, China</t>
  </si>
  <si>
    <t>Yuexiu, Guangzhou, Guangdong, China, 510050</t>
  </si>
  <si>
    <t>No.16, Road 4, Necktie Industrial Zone, Shengzhou City, Zhejiang Province, 312400, China</t>
  </si>
  <si>
    <t>Ханчжоу, Чжэцзян, China</t>
  </si>
  <si>
    <t>Caohejing Hi-tech Park, Shanghai, China</t>
  </si>
  <si>
    <t>Chengqian, China</t>
  </si>
  <si>
    <t>In Your Face, Tianhe Center, Tianhe, Guangzhou, Guangdong, China</t>
  </si>
  <si>
    <t>Jiaotong University Software College, Xian, Shaanxi, China</t>
  </si>
  <si>
    <t>Zhangjiajie, Hunan, China</t>
  </si>
  <si>
    <t>Beijing, China, PRC.</t>
  </si>
  <si>
    <t>Lhasa, Tibet, China</t>
  </si>
  <si>
    <t>Zhangjiagang, Suzhou, Jiangsu, China</t>
  </si>
  <si>
    <t>Xiamen Tong'an Bus Station, 同安区厦门市 Fujian, China</t>
  </si>
  <si>
    <t>Nanshan, Shenzhen, Guangdong, China</t>
  </si>
  <si>
    <t>Tsingtao Brewery Changjiang Road Dormitory, Qingdao, Shandong, China</t>
  </si>
  <si>
    <t>Luoshi, China</t>
  </si>
  <si>
    <t>No.38 South Taoyuan Road, Yaozhuang Town,Jiashan County, Jiaxing City, Zhejiang Province, China</t>
  </si>
  <si>
    <t>Yangling, Xianyang, Shaanxi, China, 712100</t>
  </si>
  <si>
    <t>HFUT,Hefei, Anhui, China</t>
  </si>
  <si>
    <t>Jianye District, Nanjing, Jiangsu, China</t>
  </si>
  <si>
    <t>University of Science and Technology of China West Campus, Shushan, Hefei, Anhui, China</t>
  </si>
  <si>
    <t>Huluao village, qixing street, xinchang county,Shaoxing, Zhejiang, China</t>
  </si>
  <si>
    <t>60 Meiyue Road, Shanghai, China</t>
  </si>
  <si>
    <t>Nantong , Jiangshu province, China</t>
  </si>
  <si>
    <t>Shanghai University, Shanghai, China</t>
  </si>
  <si>
    <t>Beijing , China</t>
  </si>
  <si>
    <t>Gundong, Shantou, China</t>
  </si>
  <si>
    <t>Mainland, China, Shandong Province</t>
  </si>
  <si>
    <t>Chinatown, Xian de Yueyang, Hunan, China</t>
  </si>
  <si>
    <t>XiCheng, Beijing, China</t>
  </si>
  <si>
    <t>Nanyang, China</t>
  </si>
  <si>
    <t>Xinchang Provincial High-tech Industrial Park,Zhejiang Province, China</t>
  </si>
  <si>
    <t>Nanshan, shenzhen, guangdong, China</t>
  </si>
  <si>
    <t>FuJian, China</t>
  </si>
  <si>
    <t>Guangzhou International Airport Travel Agency Co., Ltd., Guangzhou, Guangdong, China</t>
  </si>
  <si>
    <t>NO.761 ZhenXing Road, Ganlin Town, Shengzhou City, Zhejiang, China</t>
  </si>
  <si>
    <t>Wenyi West Road, Hangzhou, Zhejiang, China</t>
  </si>
  <si>
    <t>A District, Tianfu Software Park, Chengdu, China</t>
  </si>
  <si>
    <t>Beibei, China</t>
  </si>
  <si>
    <t>Bantian, Shenzhen, Guangdong, China</t>
  </si>
  <si>
    <t>Jiujiang, Jiangxi, China</t>
  </si>
  <si>
    <t>Danling Street, Beijing, China</t>
  </si>
  <si>
    <t>Taiyan, China</t>
  </si>
  <si>
    <t>Lu'an, Anhui, China</t>
  </si>
  <si>
    <t>Weifang, Shandong, China</t>
  </si>
  <si>
    <t>No.1, Dongtai west road 11# Haichen street. Longwan District, Wenzhou city, Zhejiang province, China</t>
  </si>
  <si>
    <t>Shengzheng Apartment Hotel （Sheng Lidian）, Shanghai, China</t>
  </si>
  <si>
    <t>西安市, Shaanxi, China</t>
  </si>
  <si>
    <t>Tumen, China</t>
  </si>
  <si>
    <t>Yangzhou, China</t>
  </si>
  <si>
    <t>Ya'an, China</t>
  </si>
  <si>
    <t>Taizhou, Jiangsu, China</t>
  </si>
  <si>
    <t>JiangXi, China</t>
  </si>
  <si>
    <t>ChengDu, Sichuan, China</t>
  </si>
  <si>
    <t>Haikou, China</t>
  </si>
  <si>
    <t>Hangzhou city, Zhejiang Province, China</t>
  </si>
  <si>
    <t>Taobao Wholesale Shopping Mall, Tianjin, China</t>
  </si>
  <si>
    <t>Changping, Beijing, China</t>
  </si>
  <si>
    <t>XiangTan, Hunan province, China.</t>
  </si>
  <si>
    <t>Hangzhou Railway Station, Hangzhou, Zhejiang, China</t>
  </si>
  <si>
    <t>Chengdu , China</t>
  </si>
  <si>
    <t>Fuzhou, Fujian Province, China</t>
  </si>
  <si>
    <t>Huangpu, China</t>
  </si>
  <si>
    <t>Sichuan Chuanxiangju, Si-an, Shaanxi, China</t>
  </si>
  <si>
    <t>No.6 , Xinhengsan Road , Jiangbei District, Ningbo City, China</t>
  </si>
  <si>
    <t>Liaoning Province, China</t>
  </si>
  <si>
    <t>Tongzhou, China</t>
  </si>
  <si>
    <t>No.1500, Shunhua Road, Jinan City, China</t>
  </si>
  <si>
    <t>Wenzhou University North Campus College of Humanity, Wenzhou, Zhejiang, China</t>
  </si>
  <si>
    <t>Yuyao, Ningbo, Zhejiang, China</t>
  </si>
  <si>
    <t>Zhuji, Shaoxing, Zhejiang, China</t>
  </si>
  <si>
    <t>SuZhou, China</t>
  </si>
  <si>
    <t>Leshan, Sichuan, China</t>
  </si>
  <si>
    <t>Tianfu Avenue South Section, Chengdu, Sichuan, China</t>
  </si>
  <si>
    <t>Zhongshan, Guangdong Province, China</t>
  </si>
  <si>
    <t>Fujian Middle Road, Shanghai, China</t>
  </si>
  <si>
    <t>Shang Hai, China</t>
  </si>
  <si>
    <t>hefei, china</t>
  </si>
  <si>
    <t>Xingjiang, China</t>
  </si>
  <si>
    <t>Tianjin China Youth Travel Service （Huayuan Business Department）, Tianjin, China</t>
  </si>
  <si>
    <t>Chaoyang, Liaoning, China</t>
  </si>
  <si>
    <t>Yili, Xinjiang, China</t>
  </si>
  <si>
    <t>SH, china</t>
  </si>
  <si>
    <t>Tianhe, China</t>
  </si>
  <si>
    <t>Jilinshi, China</t>
  </si>
  <si>
    <t>Pudong New District, Shanghai, China</t>
  </si>
  <si>
    <t>Shangyu, Zhejiang, China</t>
  </si>
  <si>
    <t>Qianjin Farm, Xinchengzi, Shenbei New District, Shenyang City, Liaoning Province, China</t>
  </si>
  <si>
    <t>Shenyang/Dalian, China</t>
  </si>
  <si>
    <t>Lianyungang city, jiangsu province, China</t>
  </si>
  <si>
    <t>shenyang, china</t>
  </si>
  <si>
    <t>Guangxi University, Nanning, Guangxi, China</t>
  </si>
  <si>
    <t>Haidian Street, Beijing, China</t>
  </si>
  <si>
    <t>ShenYang, China</t>
  </si>
  <si>
    <t>2359 Yindu Rd, Minhang District, Shanghai, China</t>
  </si>
  <si>
    <t>Shenzhen University, Nantou, Nanshan, Shenzhen, China</t>
  </si>
  <si>
    <t>Xilinhot, Xilin Gol, Inner Mongolia, China</t>
  </si>
  <si>
    <t>Songjiang District, Shanghai, China</t>
  </si>
  <si>
    <t>Shandong University Central Campus, Jinan, China</t>
  </si>
  <si>
    <t>Longyan, Fujian, China</t>
  </si>
  <si>
    <t>Beijing 798 Art Zone, Chaoyang, Beijing, China</t>
  </si>
  <si>
    <t>Tianzi Mountain, Yongzhou, Hunan, China</t>
  </si>
  <si>
    <t>Shenzhen, gd, China</t>
  </si>
  <si>
    <t>66 Jinji South Road, Chengdu, Sichuan, China</t>
  </si>
  <si>
    <t>Soochow, Jiangsu, China</t>
  </si>
  <si>
    <t>Nanjing City, Jiangsu Province, China</t>
  </si>
  <si>
    <t>Shanghai, Jiang'an, Wuhan, Hubei, China</t>
  </si>
  <si>
    <t>Industry Area,B District,Huangjiabu Town,Yuyao City,Zhejiang, China</t>
  </si>
  <si>
    <t>Suzhou Railway Station, Suzhou, Jiangsu, China</t>
  </si>
  <si>
    <t>Sanhao Street Shangquan, Heping, Shenyang, Liaoning, China</t>
  </si>
  <si>
    <t>Wuhan University of Technology Nanhu New Campus, Wuhan, Hubei, China</t>
  </si>
  <si>
    <t>Yangpu, Shanghai, China</t>
  </si>
  <si>
    <t>GZ, China</t>
  </si>
  <si>
    <t>Hongkou, Shanghai, China</t>
  </si>
  <si>
    <t>Xiang Yang City, Hubei Province, China</t>
  </si>
  <si>
    <t>China Art Museum, Shanghai, China</t>
  </si>
  <si>
    <t>Kexueyuan South Road, Beijing, China</t>
  </si>
  <si>
    <t>Shandong university, Qingdao ,Shandong, China</t>
  </si>
  <si>
    <t>Hangzhou, Zhejiang, China.</t>
  </si>
  <si>
    <t>Hangzhou, ZheJiang, CHINA</t>
  </si>
  <si>
    <t>Suzhou City, Jiangsu Province, China</t>
  </si>
  <si>
    <t>Beijing, China and Qingdao is my hometown</t>
  </si>
  <si>
    <t>Jinchengjiang, Hechi, Guangxi, China</t>
  </si>
  <si>
    <t>Longgang, Shenzhen, Guangdong, China</t>
  </si>
  <si>
    <t>Xining, Qinghai, China</t>
  </si>
  <si>
    <t>baoji, shaanxi, china.</t>
  </si>
  <si>
    <t>Xiaxian, China</t>
  </si>
  <si>
    <t>Nanking, Jiangsu, China</t>
  </si>
  <si>
    <t>RT-Mart （Pingxinguan Branch）, Shanghai, China</t>
  </si>
  <si>
    <t>Hunan province, China</t>
  </si>
  <si>
    <t>Shiyan, Hubei, China</t>
  </si>
  <si>
    <t>Shaanxi, Xi'an, China</t>
  </si>
  <si>
    <t>Xiaoshan, Hangzhou, Zhejiang, China</t>
  </si>
  <si>
    <t>Peking University, Haidian, Beijing, China</t>
  </si>
  <si>
    <t>Mettur Dam, China Park, Mettur, Tamil Nadu</t>
  </si>
  <si>
    <t>Kunming Railway Station, Kunming, Yunnan, China</t>
  </si>
  <si>
    <t>Guangzhou Railway Station, Guangzhou, Guangdong, China</t>
  </si>
  <si>
    <t>Shanzhong, China</t>
  </si>
  <si>
    <t>Qianjin Farm, Xinchengzi, ShenbeiNew District, Shenyang City, LiaoningProvince, China</t>
  </si>
  <si>
    <t>CUMT Pioneer Park, Quanshan District, Xuzhou, China</t>
  </si>
  <si>
    <t>Mangguowang Mansion, Shenzhen, Guangdong, China</t>
  </si>
  <si>
    <t>Changjiang South Road, Shanghai, China</t>
  </si>
  <si>
    <t>Guangzhou City, Guangdong province, China</t>
  </si>
  <si>
    <t>Junma electroplate factory, Keqiao District, Shaoxing City, Zhejiang, China</t>
  </si>
  <si>
    <t>Handan, Hebei, China</t>
  </si>
  <si>
    <t>Tencent Mansion, Shenzhen, Guangdong, China</t>
  </si>
  <si>
    <t>Fuzhou University, Fuzhou, Fujian, China</t>
  </si>
  <si>
    <t>Zhenghou Street, Jiaozuo, Henan, China</t>
  </si>
  <si>
    <t>Zhanjiang, China</t>
  </si>
  <si>
    <t>ShanDong, China</t>
  </si>
  <si>
    <t>Jilin Changchun Chunyi Hotel Office Building, Changchun, Jilin, China</t>
  </si>
  <si>
    <t>Tongzhou, Nantong, Jiangsu, China</t>
  </si>
  <si>
    <t>Shenzhen city, Guangdong Province, China</t>
  </si>
  <si>
    <t>Liuzhou, Guangxi, China</t>
  </si>
  <si>
    <t>Leanhu Village, Mazhu Town ,Yuyao , Zhejiang , China</t>
  </si>
  <si>
    <t>Wenzhou South Railway Station, Wenzhou, Zhejiang, China</t>
  </si>
  <si>
    <t>Junma electroplate factory, Keqiao District, Shaoxing City, Zhejiang, China.</t>
  </si>
  <si>
    <t>Shanghi, China</t>
  </si>
  <si>
    <t>Beijing University of Technology Auditorium, Beijing, China</t>
  </si>
  <si>
    <t>Shanghai, China / Munich, Germany</t>
  </si>
  <si>
    <t>Anhui, Bengbu, China</t>
  </si>
  <si>
    <t>RM#1801,Yuyao Zhongsu Shipu Hotel, #232 North Xinjian Road, Yuyao 315400, Ningbo, China</t>
  </si>
  <si>
    <t>Luoding, Yunfu, Guangdong, China</t>
  </si>
  <si>
    <t>Huainan, China</t>
  </si>
  <si>
    <t>Shenzhen China Merchants Property Management Co., Ltd Dining Hall, Shenzhen, Guangdong, China</t>
  </si>
  <si>
    <t>China City, Guangzhou, China</t>
  </si>
  <si>
    <t>Guanglian Road, Shanghai, China</t>
  </si>
  <si>
    <t>Shenyang City, Liaoning Province, China</t>
  </si>
  <si>
    <t>Hunan Normal University, Yuelu, Changsha, China</t>
  </si>
  <si>
    <t>Around the World, Nangang, Harbin, Heilongjiang, China</t>
  </si>
  <si>
    <t>Yiwu, China</t>
  </si>
  <si>
    <t>No.15, Huixin Road, Daqi Street, Beilun, Ningbo, China</t>
  </si>
  <si>
    <t>Hunan Provincial Center for Disease Control and Prevention, Changsha, Hunan, China</t>
  </si>
  <si>
    <t>The People's Republic of China Customs Bond Storehouse （Huaihe West Road）, Dalian, Liaoning, China</t>
  </si>
  <si>
    <t>People's Square, Shanghai, China</t>
  </si>
  <si>
    <t>No. 17, Road 23, Shenyang Eco-Tech Development Zone, Shenyang, China</t>
  </si>
  <si>
    <t>Jiangtai Road, Chaoyang, Beijing, China</t>
  </si>
  <si>
    <t>Zhengzhou University Medical Teaching Hospital, Zhengzhou, Henan, China</t>
  </si>
  <si>
    <t>No 3128, Huyi Road, Shanghai, China</t>
  </si>
  <si>
    <t>Jiangning, Nanjing, Jiangsu, China</t>
  </si>
  <si>
    <t>Beijing South Railway Station, Beijing, China</t>
  </si>
  <si>
    <t>Binjiang, Hangzhou, China.</t>
  </si>
  <si>
    <t>Zhongguancun North Street, Beijing, China</t>
  </si>
  <si>
    <t>Zhenxing Qu, Dandong Shi, Liaoning Sheng, China</t>
  </si>
  <si>
    <t>Hangzhou, Hangzhou, Zhejiang, China</t>
  </si>
  <si>
    <t>No.138 Yingxie Road,Jinshui District,Zhengzhou, Henan Province, China</t>
  </si>
  <si>
    <t>Zunyi, Guizhou, China</t>
  </si>
  <si>
    <t>Great Wall, Zunyi, Guizhou, China</t>
  </si>
  <si>
    <t>Nanshan, China</t>
  </si>
  <si>
    <t>Beijing, Haidian District, China</t>
  </si>
  <si>
    <t>Guoshoujing Road, Shanghai, China</t>
  </si>
  <si>
    <t>Zhejiang University, Hangzhou, Zhejiang, China</t>
  </si>
  <si>
    <t>516 Jungong Road, Shanghai, China</t>
  </si>
  <si>
    <t>Soochow University, Suzhou, Jiangsu, China</t>
  </si>
  <si>
    <t>Employers Jizi Residential Building, Hefei, Anhui, China</t>
  </si>
  <si>
    <t>Chengshousi, Beijing, China</t>
  </si>
  <si>
    <t>In hangzhou, zhejiang province, China</t>
  </si>
  <si>
    <t>Ningde, Fujian, China</t>
  </si>
  <si>
    <t>Shandong Province Foreign Affairs Service Hall, Jinan, Shandong, China</t>
  </si>
  <si>
    <t>Teda Archives, Tianjing, China</t>
  </si>
  <si>
    <t>ShangHai, CHINA.</t>
  </si>
  <si>
    <t>3528, Jianan Road, Tongyuan Town, Haiyan County, Zhejiang Province, 314306, China</t>
  </si>
  <si>
    <t>Hangzhou, China.</t>
  </si>
  <si>
    <t>LESSO Industrial Estate, Longjiang Town, Shunde District, Foshan City, Guangdong, China</t>
  </si>
  <si>
    <t>Jiaotong University, Shanghai, China</t>
  </si>
  <si>
    <t>Suzhou University of Science and Technology Affiliated Middle School Xiao, Suzhou, Jiangsu, China</t>
  </si>
  <si>
    <t>107 Jiefang Rd, Zhongshan Qu, Dalian Shi, Liaoning Sheng, China</t>
  </si>
  <si>
    <t>Pudong New Area, Shanghai, China</t>
  </si>
  <si>
    <t>KunmingCity, Yunnan Province, China</t>
  </si>
  <si>
    <t>Wuhan Institute of Technology Zhuodaoquan Campus, Wuhan, Hubei, China</t>
  </si>
  <si>
    <t>Heilongjiang University, Harbin, Heilongjiang, China</t>
  </si>
  <si>
    <t>Huazhong University of Science and Technology West Area 1 Dormitory Building 61, Wuhan, Hubei, China</t>
  </si>
  <si>
    <t>Shanxi Province Coal Planning Design Institute, Taiyuan, Shanxi, China</t>
  </si>
  <si>
    <t>Shandong Bandao, Yantai, Shandong, China</t>
  </si>
  <si>
    <t>广东省, China</t>
  </si>
  <si>
    <t>Chongqing University of Posts and Telecommunications, Chongqing, China</t>
  </si>
  <si>
    <t>Daqing, Heilongjiang, China</t>
  </si>
  <si>
    <t>Shandong University School of Medicine, Jinan, Shandong, China</t>
  </si>
  <si>
    <t>SHANGHAI, CHINA</t>
  </si>
  <si>
    <t>Android Mobile Phone Experience Shop, Shenzhen, Guangdong, China</t>
  </si>
  <si>
    <t>Anqing, Anhui, China</t>
  </si>
  <si>
    <t>Sanxi, Anhui Sheng, China</t>
  </si>
  <si>
    <t>Jiangyin, 无锡市 Jiangsu, China</t>
  </si>
  <si>
    <t>No.2 Xinhua Road, Haiyan, Zhejiang, China</t>
  </si>
  <si>
    <t>Guangzhou, Guangzhou, China</t>
  </si>
  <si>
    <t>Xian, China</t>
  </si>
  <si>
    <t>Nanshan, Guangdong, China</t>
  </si>
  <si>
    <t>Keqiao, Shaoxing, Zhejiang, China</t>
  </si>
  <si>
    <t>Wuhan University of Technology Yujiatou Campus, Wuhan, Hubei, China</t>
  </si>
  <si>
    <t>Shawan Town, Panyu District, Guangzhou City, Guangdong Province, China</t>
  </si>
  <si>
    <t>Guilin National Forest Park, Guilin, Guangxi, China</t>
  </si>
  <si>
    <t>#1199 Huaxu street Shanghai, China</t>
  </si>
  <si>
    <t>Shancheng, China</t>
  </si>
  <si>
    <t>Deyang, China</t>
  </si>
  <si>
    <t>Daoxu Industrial Zone, Shangyu Area, Shaoxing City, Zhejiang Province, China</t>
  </si>
  <si>
    <t>Republic of Korea Temporary Government Former Site, Shanghai, China</t>
  </si>
  <si>
    <t>Zhejiang University， China</t>
  </si>
  <si>
    <t>Nankai University, Tianjin, China</t>
  </si>
  <si>
    <t>Wuxi, Jiangsu Province, China</t>
  </si>
  <si>
    <t>Hainan Island, Wuzhishan, Hainan, China</t>
  </si>
  <si>
    <t>Zhuhai Avenue, Zhuhai, Guangdong, China</t>
  </si>
  <si>
    <t>Zhujiajiaozhen Yingpu Residential District, Shanghai, China</t>
  </si>
  <si>
    <t>_x0008_Beijing, China</t>
  </si>
  <si>
    <t>Jianggaozhen, Guangzhou, Guangdong, China</t>
  </si>
  <si>
    <t>Fudan University, China</t>
  </si>
  <si>
    <t>Netherlands Folk Custom Garden, Beijing, China</t>
  </si>
  <si>
    <t>(Shanghai, China)中国上海市</t>
  </si>
  <si>
    <t>Suzhou Industrial Park, Suzhou, Jiangsu, China</t>
  </si>
  <si>
    <t>Xi'ian, China</t>
  </si>
  <si>
    <t>273# Mid-Yuexiu Road, Cao'e Street, Shangyu Area, Shaoxing City, Zhejiang Province, China</t>
  </si>
  <si>
    <t>Qianhai, Shenzhen, Guangdong, China</t>
  </si>
  <si>
    <t>NJ, China</t>
  </si>
  <si>
    <t>USTC, Hefei, Anhui, China</t>
  </si>
  <si>
    <t>Dalian, Huaiyang, Zhoukou, Henan, China</t>
  </si>
  <si>
    <t>Zhuhai Harbor, Zhuhai, Guangdong, China</t>
  </si>
  <si>
    <t>Harbin City, Heilongjiang Province, China</t>
  </si>
  <si>
    <t>Anyang, Henan, China</t>
  </si>
  <si>
    <t>Zhaoqing, Guangdong, China</t>
  </si>
  <si>
    <t>Gaoxinnan Community Health Service Center, Shenzhen, Guangdong, China</t>
  </si>
  <si>
    <t>ZhongShan, China</t>
  </si>
  <si>
    <t>shenzhen, china</t>
  </si>
  <si>
    <t>Fuding, Ningde, Fujian, China</t>
  </si>
  <si>
    <t>Singtao, China</t>
  </si>
  <si>
    <t>Jingdezhen City, Jiangxi Province, China</t>
  </si>
  <si>
    <t>Yangcunqiao Industry Park, Hangzhou City, China</t>
  </si>
  <si>
    <t>Ruanjian Avenue, Nanjing, Jiangsu, China</t>
  </si>
  <si>
    <t>Jiangxi University of Finance and Economics （Qingshan South Road）, Nanchang, Jiangxi, China</t>
  </si>
  <si>
    <t>Xicheng Industrial Zone, Huangyan, Zhejiang, China</t>
  </si>
  <si>
    <t>Shanghaishi Baoshan Social Welfare Institution, Shanghai, China</t>
  </si>
  <si>
    <t>Gansu, China</t>
  </si>
  <si>
    <t>BeiJing, China.</t>
  </si>
  <si>
    <t>Hankou Railway Station, Wuhan, Hubei, China</t>
  </si>
  <si>
    <t>Daxing, Beijing, China</t>
  </si>
  <si>
    <t>Nahui, Dongxing, Fangchenggang, China</t>
  </si>
  <si>
    <t>Inner Mongolia University, Hohhot, Inner Mongolia, China</t>
  </si>
  <si>
    <t>Shanghai, China, Asia, Earth, Universe</t>
  </si>
  <si>
    <t>Rongsheng Street, Yibin, Sichuan, China</t>
  </si>
  <si>
    <t>Wangjing SOHO Center T3, Beijing, China</t>
  </si>
  <si>
    <t>Shanghai Airport International Aeronautics Food Co., Ltd., Shanghai, China</t>
  </si>
  <si>
    <t>Yichang, Hubei, China</t>
  </si>
  <si>
    <t>GUANGZHOU, China</t>
  </si>
  <si>
    <t>Changshu, China</t>
  </si>
  <si>
    <t>Shengzhou City, Zhejiang Province, 312400, China</t>
  </si>
  <si>
    <t>Hefei , China</t>
  </si>
  <si>
    <t>Changchun Movie Wonderland, Nanguan, Changchun, China</t>
  </si>
  <si>
    <t>Cantão, Guangdong, China</t>
  </si>
  <si>
    <t>Zhongguancun Street, Beijing, China</t>
  </si>
  <si>
    <t>Laoting, Tangshan, Hebei, China</t>
  </si>
  <si>
    <t>Tsinan, Shandong, China</t>
  </si>
  <si>
    <t>Dalian, liaoning, China</t>
  </si>
  <si>
    <t>Room 1806 Huaxing Golden Mansion, CBD, Cixi, Ningbo City, Zhejiang, China</t>
  </si>
  <si>
    <t>Chongqing University of Technology, Chongqing, China</t>
  </si>
  <si>
    <t>GUANGZHOU, GUANGDONG PROVINCE, CHINA</t>
  </si>
  <si>
    <t>Xianggang Middle Road, Qingdao, Shandong, China</t>
  </si>
  <si>
    <t>No.888, Gaoxin South Avenue， Qingshan Lake District，Nanchang City，Jiangxi Province， China</t>
  </si>
  <si>
    <t>cd, china</t>
  </si>
  <si>
    <t>Chongqing University of Technology, Banan, Chongqing, China</t>
  </si>
  <si>
    <t>Chongqing city, China</t>
  </si>
  <si>
    <t>Jincheng, China</t>
  </si>
  <si>
    <t>Nanfang Hospital, Guangzhou, Guangdong, China</t>
  </si>
  <si>
    <t>shenzhen city, China</t>
  </si>
  <si>
    <t>Hangzhou Outlets Merchants Center, Hangzhou, Zhejiang, China</t>
  </si>
  <si>
    <t>No.2790,Xingsheng Rd, Shenzhou City, Zhejiang, China.</t>
  </si>
  <si>
    <t>NO.31 HouShanTou Road, ShenQing Industrial Area, XiaMen, China.</t>
  </si>
  <si>
    <t>Guangzhong West Road, Shanghai, China</t>
  </si>
  <si>
    <t>Fuxin, Liaoning, China</t>
  </si>
  <si>
    <t>Xiamen University Library, Xiamen, Fujian, China</t>
  </si>
  <si>
    <t>No. 6, Shengming road, Huandong industrial area, Zhuji, Zhejiang, China</t>
  </si>
  <si>
    <t>No. 58 Minggang Road, Zhenze Town Development Zone Wujiang, Jiangsu Province, China</t>
  </si>
  <si>
    <t>Tongji University, Shanghai, China</t>
  </si>
  <si>
    <t>Ningbo University, Ningbo, Zhejiang, China</t>
  </si>
  <si>
    <t>No.32 Jinchuan Road , North Industrial , Huangyan , Zhejiang , China</t>
  </si>
  <si>
    <t>DaLian, China</t>
  </si>
  <si>
    <t>Beijing, china</t>
  </si>
  <si>
    <t>Co., Ltd., Changchun, Jilin, China</t>
  </si>
  <si>
    <t>Jinzhong Road, Shanghai, China</t>
  </si>
  <si>
    <t>Hunan University, Yuelu, Changsha, China</t>
  </si>
  <si>
    <t>Huangdao, China</t>
  </si>
  <si>
    <t>Xiamen Gaoqi International Airport, Xiamen, Fujian, China</t>
  </si>
  <si>
    <t>Shenzhen Baoan Construction Supervision Co., Ltd., Shenzhen, Guangdong, China</t>
  </si>
  <si>
    <t>Fuzhou, fujian province, China</t>
  </si>
  <si>
    <t>Baotou, Inner Mongolia, China</t>
  </si>
  <si>
    <t>Shanghai , China</t>
  </si>
  <si>
    <t>Wu Han City, Hubei, China</t>
  </si>
  <si>
    <t>Tianjin University of Commerce International Education Communication Center, Tianjin, China</t>
  </si>
  <si>
    <t>No.253, Fengshu Street, Jinjiang District, Chengdu, Sichuan, China</t>
  </si>
  <si>
    <t>Shapingba Station, Chongqing, China</t>
  </si>
  <si>
    <t>Ningxiang, Changsha, Hunan, China</t>
  </si>
  <si>
    <t>Meiguo Road, Shanghai, China</t>
  </si>
  <si>
    <t>5/5000 Zhōngguó hénán shěng Henan Province, China</t>
  </si>
  <si>
    <t>Bao'an, Shenzhen, china</t>
  </si>
  <si>
    <t>Luohu, Shenzhen, Guangdong, China</t>
  </si>
  <si>
    <t>Nanjing Jinling Dumpling （Fengcheng 12th Road Shop）, Si-an, Shaanxi, China</t>
  </si>
  <si>
    <t>No.17,Chaoyuan Road,Xinqian Development Area, Huangyan District, Zhejiang, China</t>
  </si>
  <si>
    <t>Anhui, HeFei, China</t>
  </si>
  <si>
    <t>Shanghai, China.</t>
  </si>
  <si>
    <t>Wuhan, china</t>
  </si>
  <si>
    <t>CS&amp;T, Zhejiang University, China</t>
  </si>
  <si>
    <t>Zhongguohe, Bijie, Guizhou, China</t>
  </si>
  <si>
    <t>Chong qing, China</t>
  </si>
  <si>
    <t>Honghe, China</t>
  </si>
  <si>
    <t>Shangjiajian, Shangrao, Jiangxi, China</t>
  </si>
  <si>
    <t>chenzhou city, hunan, china</t>
  </si>
  <si>
    <t>Kowloon, Hong Kong, China</t>
  </si>
  <si>
    <t>Austin, Texas / Beijing, China</t>
  </si>
  <si>
    <t>China University of Geosciences, Wuhan, Hubei, China</t>
  </si>
  <si>
    <t>Huainan, Anhui, China</t>
  </si>
  <si>
    <t>Xinyang, Henan, China</t>
  </si>
  <si>
    <t>Shenzhen China, Ltd Dining Hall, Nanshan District, Shenzhen, Guangdong, China</t>
  </si>
  <si>
    <t>Lujiazui, Shanghai, China</t>
  </si>
  <si>
    <t>BLCU Conference Centre, Beijing, China</t>
  </si>
  <si>
    <t>Wuchang, Harbin, Heilongjiang, China</t>
  </si>
  <si>
    <t>Hangzhou, Zhejiang, ChinaHang</t>
  </si>
  <si>
    <t>Chongqing University Of Arts And Science ,Chongqing, China</t>
  </si>
  <si>
    <t>Northeastern University, Heping, Shenyang, Liaoning, China</t>
  </si>
  <si>
    <t>NO.56, Fengle, Yangming Street, Yuyao, Zhejiang Province, China</t>
  </si>
  <si>
    <t>Ynaji, Jilin, China</t>
  </si>
  <si>
    <t>Tianfu Square, Chengdu, Sichuan, China</t>
  </si>
  <si>
    <t>Heze, China</t>
  </si>
  <si>
    <t>Changsha Shi, Hunan Provincial, China</t>
  </si>
  <si>
    <t>Weinan, Shaanxi, China</t>
  </si>
  <si>
    <t>Yulin, Shaanxi, China</t>
  </si>
  <si>
    <t>North Korea Dog Meat Restaurant （Huagong Road）, Harbin, Heilongjiang, China</t>
  </si>
  <si>
    <t>No.10 yayuan viliage, linglong street, linan, hangzhou, zhejiang, china.</t>
  </si>
  <si>
    <t>Xiamen North Railway Station, Jimei, Fujian, China</t>
  </si>
  <si>
    <t>Nanshan district, shenzhen city, guangdong province, China</t>
  </si>
  <si>
    <t>HangZhou， China</t>
  </si>
  <si>
    <t>No.6, Century Road, Industrial Park, Mazhu Twon, Yuyao, Zhejiang Province, 315400, China</t>
  </si>
  <si>
    <t>Fenghuang Building NO.11, 5th Floor, Dingqiao Town, Haining, Zhejiang, China.</t>
  </si>
  <si>
    <t>Rank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</si>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</sst>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002"/>
  <sheetViews>
    <sheetView tabSelected="1" workbookViewId="0">
      <selection activeCell="H3" sqref="H3"/>
    </sheetView>
  </sheetViews>
  <sheetFormatPr defaultRowHeight="15" x14ac:dyDescent="0.25"/>
  <cols>
    <col min="3" max="3" width="15.7109375" style="1" customWidth="1"/>
    <col min="4" max="4" width="18.85546875" customWidth="1"/>
    <col min="5" max="5" width="17" customWidth="1"/>
  </cols>
  <sheetData>
    <row r="1" spans="1:5" x14ac:dyDescent="0.25">
      <c r="A1" s="2" t="s">
        <v>1166</v>
      </c>
      <c r="B1" s="2" t="s">
        <v>1167</v>
      </c>
      <c r="C1" s="2" t="s">
        <v>0</v>
      </c>
      <c r="D1" s="2" t="s">
        <v>1</v>
      </c>
      <c r="E1" s="2" t="s">
        <v>2</v>
      </c>
    </row>
    <row r="2" spans="1:5" x14ac:dyDescent="0.25">
      <c r="A2">
        <v>1</v>
      </c>
      <c r="B2">
        <v>762073</v>
      </c>
      <c r="C2" s="1" t="str">
        <f>HYPERLINK("http://stackoverflow.com/users/762073", "xdazz")</f>
        <v>xdazz</v>
      </c>
      <c r="D2" t="s">
        <v>3</v>
      </c>
      <c r="E2">
        <v>134642</v>
      </c>
    </row>
    <row r="3" spans="1:5" x14ac:dyDescent="0.25">
      <c r="A3">
        <v>2</v>
      </c>
      <c r="B3">
        <v>1009479</v>
      </c>
      <c r="C3" s="1" t="str">
        <f>HYPERLINK("http://stackoverflow.com/users/1009479", "Yu Hao")</f>
        <v>Yu Hao</v>
      </c>
      <c r="D3" t="s">
        <v>4</v>
      </c>
      <c r="E3">
        <v>98525</v>
      </c>
    </row>
    <row r="4" spans="1:5" x14ac:dyDescent="0.25">
      <c r="A4">
        <v>3</v>
      </c>
      <c r="B4">
        <v>3309790</v>
      </c>
      <c r="C4" s="1" t="str">
        <f>HYPERLINK("http://stackoverflow.com/users/3309790", "songyuanyao")</f>
        <v>songyuanyao</v>
      </c>
      <c r="D4" t="s">
        <v>5</v>
      </c>
      <c r="E4">
        <v>93971</v>
      </c>
    </row>
    <row r="5" spans="1:5" x14ac:dyDescent="0.25">
      <c r="A5">
        <v>4</v>
      </c>
      <c r="B5">
        <v>546661</v>
      </c>
      <c r="C5" s="1" t="str">
        <f>HYPERLINK("http://stackoverflow.com/users/546661", "Peter Olson")</f>
        <v>Peter Olson</v>
      </c>
      <c r="D5" t="s">
        <v>6</v>
      </c>
      <c r="E5">
        <v>82130</v>
      </c>
    </row>
    <row r="6" spans="1:5" x14ac:dyDescent="0.25">
      <c r="A6">
        <v>5</v>
      </c>
      <c r="B6">
        <v>338204</v>
      </c>
      <c r="C6" s="1" t="str">
        <f>HYPERLINK("http://stackoverflow.com/users/338204", "Forrest")</f>
        <v>Forrest</v>
      </c>
      <c r="D6" t="s">
        <v>4</v>
      </c>
      <c r="E6">
        <v>41705</v>
      </c>
    </row>
    <row r="7" spans="1:5" x14ac:dyDescent="0.25">
      <c r="A7">
        <v>6</v>
      </c>
      <c r="B7">
        <v>1241690</v>
      </c>
      <c r="C7" s="1" t="str">
        <f>HYPERLINK("http://stackoverflow.com/users/1241690", "Hailei")</f>
        <v>Hailei</v>
      </c>
      <c r="D7" t="s">
        <v>4</v>
      </c>
      <c r="E7">
        <v>41113</v>
      </c>
    </row>
    <row r="8" spans="1:5" x14ac:dyDescent="0.25">
      <c r="A8">
        <v>7</v>
      </c>
      <c r="B8">
        <v>323924</v>
      </c>
      <c r="C8" s="1" t="str">
        <f>HYPERLINK("http://stackoverflow.com/users/323924", "Cheng Chen")</f>
        <v>Cheng Chen</v>
      </c>
      <c r="D8" t="s">
        <v>4</v>
      </c>
      <c r="E8">
        <v>30770</v>
      </c>
    </row>
    <row r="9" spans="1:5" x14ac:dyDescent="0.25">
      <c r="A9">
        <v>8</v>
      </c>
      <c r="B9">
        <v>482717</v>
      </c>
      <c r="C9" s="1" t="str">
        <f>HYPERLINK("http://stackoverflow.com/users/482717", "Paul Verest")</f>
        <v>Paul Verest</v>
      </c>
      <c r="D9" t="s">
        <v>7</v>
      </c>
      <c r="E9">
        <v>29713</v>
      </c>
    </row>
    <row r="10" spans="1:5" x14ac:dyDescent="0.25">
      <c r="A10">
        <v>9</v>
      </c>
      <c r="B10">
        <v>26349</v>
      </c>
      <c r="C10" s="1" t="str">
        <f>HYPERLINK("http://stackoverflow.com/users/26349", "Morgan Cheng")</f>
        <v>Morgan Cheng</v>
      </c>
      <c r="D10" t="s">
        <v>5</v>
      </c>
      <c r="E10">
        <v>28712</v>
      </c>
    </row>
    <row r="11" spans="1:5" x14ac:dyDescent="0.25">
      <c r="A11">
        <v>10</v>
      </c>
      <c r="B11">
        <v>282658</v>
      </c>
      <c r="C11" s="1" t="str">
        <f>HYPERLINK("http://stackoverflow.com/users/282658", "JUST MY correct OPINION")</f>
        <v>JUST MY correct OPINION</v>
      </c>
      <c r="D11" t="s">
        <v>8</v>
      </c>
      <c r="E11">
        <v>28609</v>
      </c>
    </row>
    <row r="12" spans="1:5" x14ac:dyDescent="0.25">
      <c r="A12">
        <v>11</v>
      </c>
      <c r="B12">
        <v>904365</v>
      </c>
      <c r="C12" s="1" t="str">
        <f>HYPERLINK("http://stackoverflow.com/users/904365", "Kjuly")</f>
        <v>Kjuly</v>
      </c>
      <c r="D12" t="s">
        <v>9</v>
      </c>
      <c r="E12">
        <v>28402</v>
      </c>
    </row>
    <row r="13" spans="1:5" x14ac:dyDescent="0.25">
      <c r="A13">
        <v>12</v>
      </c>
      <c r="B13">
        <v>5475003</v>
      </c>
      <c r="C13" s="1" t="str">
        <f>HYPERLINK("http://stackoverflow.com/users/5475003", "Eddie Chen - MSFT")</f>
        <v>Eddie Chen - MSFT</v>
      </c>
      <c r="D13" t="s">
        <v>10</v>
      </c>
      <c r="E13">
        <v>24767</v>
      </c>
    </row>
    <row r="14" spans="1:5" x14ac:dyDescent="0.25">
      <c r="A14">
        <v>13</v>
      </c>
      <c r="B14">
        <v>3011380</v>
      </c>
      <c r="C14" s="1" t="str">
        <f>HYPERLINK("http://stackoverflow.com/users/3011380", "zangw")</f>
        <v>zangw</v>
      </c>
      <c r="D14" t="s">
        <v>5</v>
      </c>
      <c r="E14">
        <v>24160</v>
      </c>
    </row>
    <row r="15" spans="1:5" x14ac:dyDescent="0.25">
      <c r="A15">
        <v>14</v>
      </c>
      <c r="B15">
        <v>290629</v>
      </c>
      <c r="C15" s="1" t="str">
        <f>HYPERLINK("http://stackoverflow.com/users/290629", "卢声远 Shengyuan Lu")</f>
        <v>卢声远 Shengyuan Lu</v>
      </c>
      <c r="D15" t="s">
        <v>4</v>
      </c>
      <c r="E15">
        <v>21307</v>
      </c>
    </row>
    <row r="16" spans="1:5" x14ac:dyDescent="0.25">
      <c r="A16">
        <v>15</v>
      </c>
      <c r="B16">
        <v>1033581</v>
      </c>
      <c r="C16" s="1" t="str">
        <f>HYPERLINK("http://stackoverflow.com/users/1033581", "Cœur")</f>
        <v>Cœur</v>
      </c>
      <c r="D16" t="s">
        <v>4</v>
      </c>
      <c r="E16">
        <v>19291</v>
      </c>
    </row>
    <row r="17" spans="1:5" x14ac:dyDescent="0.25">
      <c r="A17">
        <v>16</v>
      </c>
      <c r="B17">
        <v>234322</v>
      </c>
      <c r="C17" s="1" t="str">
        <f>HYPERLINK("http://stackoverflow.com/users/234322", "zjm1126")</f>
        <v>zjm1126</v>
      </c>
      <c r="D17" t="s">
        <v>5</v>
      </c>
      <c r="E17">
        <v>19276</v>
      </c>
    </row>
    <row r="18" spans="1:5" x14ac:dyDescent="0.25">
      <c r="A18">
        <v>17</v>
      </c>
      <c r="B18">
        <v>2875563</v>
      </c>
      <c r="C18" s="1" t="str">
        <f>HYPERLINK("http://stackoverflow.com/users/2875563", "Reblochon Masque")</f>
        <v>Reblochon Masque</v>
      </c>
      <c r="D18" t="s">
        <v>11</v>
      </c>
      <c r="E18">
        <v>18489</v>
      </c>
    </row>
    <row r="19" spans="1:5" x14ac:dyDescent="0.25">
      <c r="A19">
        <v>18</v>
      </c>
      <c r="B19">
        <v>6690200</v>
      </c>
      <c r="C19" s="1" t="str">
        <f>HYPERLINK("http://stackoverflow.com/users/6690200", "孙兴斌")</f>
        <v>孙兴斌</v>
      </c>
      <c r="D19" t="s">
        <v>5</v>
      </c>
      <c r="E19">
        <v>18460</v>
      </c>
    </row>
    <row r="20" spans="1:5" x14ac:dyDescent="0.25">
      <c r="A20">
        <v>19</v>
      </c>
      <c r="B20">
        <v>1150712</v>
      </c>
      <c r="C20" s="1" t="str">
        <f>HYPERLINK("http://stackoverflow.com/users/1150712", "zhangxaochen")</f>
        <v>zhangxaochen</v>
      </c>
      <c r="D20" t="s">
        <v>12</v>
      </c>
      <c r="E20">
        <v>15326</v>
      </c>
    </row>
    <row r="21" spans="1:5" x14ac:dyDescent="0.25">
      <c r="A21">
        <v>20</v>
      </c>
      <c r="B21">
        <v>157300</v>
      </c>
      <c r="C21" s="1" t="str">
        <f>HYPERLINK("http://stackoverflow.com/users/157300", "Haiyuan Zhang")</f>
        <v>Haiyuan Zhang</v>
      </c>
      <c r="D21" t="s">
        <v>4</v>
      </c>
      <c r="E21">
        <v>14908</v>
      </c>
    </row>
    <row r="22" spans="1:5" x14ac:dyDescent="0.25">
      <c r="A22">
        <v>21</v>
      </c>
      <c r="B22">
        <v>6755924</v>
      </c>
      <c r="C22" s="1" t="str">
        <f>HYPERLINK("http://stackoverflow.com/users/6755924", "Bruce Chen")</f>
        <v>Bruce Chen</v>
      </c>
      <c r="D22" t="s">
        <v>4</v>
      </c>
      <c r="E22">
        <v>14625</v>
      </c>
    </row>
    <row r="23" spans="1:5" x14ac:dyDescent="0.25">
      <c r="A23">
        <v>22</v>
      </c>
      <c r="B23">
        <v>445908</v>
      </c>
      <c r="C23" s="1" t="str">
        <f>HYPERLINK("http://stackoverflow.com/users/445908", "Siwei Shen 申思维")</f>
        <v>Siwei Shen 申思维</v>
      </c>
      <c r="D23" t="s">
        <v>5</v>
      </c>
      <c r="E23">
        <v>14220</v>
      </c>
    </row>
    <row r="24" spans="1:5" x14ac:dyDescent="0.25">
      <c r="A24">
        <v>23</v>
      </c>
      <c r="B24">
        <v>5299236</v>
      </c>
      <c r="C24" s="1" t="str">
        <f>HYPERLINK("http://stackoverflow.com/users/5299236", "Kevin Guan")</f>
        <v>Kevin Guan</v>
      </c>
      <c r="D24" t="s">
        <v>13</v>
      </c>
      <c r="E24">
        <v>14081</v>
      </c>
    </row>
    <row r="25" spans="1:5" x14ac:dyDescent="0.25">
      <c r="A25">
        <v>24</v>
      </c>
      <c r="B25">
        <v>6997262</v>
      </c>
      <c r="C25" s="1" t="str">
        <f>HYPERLINK("http://stackoverflow.com/users/6997262", "Shui shengbao")</f>
        <v>Shui shengbao</v>
      </c>
      <c r="D25" t="s">
        <v>10</v>
      </c>
      <c r="E25">
        <v>13953</v>
      </c>
    </row>
    <row r="26" spans="1:5" x14ac:dyDescent="0.25">
      <c r="A26">
        <v>25</v>
      </c>
      <c r="B26">
        <v>1004301</v>
      </c>
      <c r="C26" s="1" t="str">
        <f>HYPERLINK("http://stackoverflow.com/users/1004301", "Lee Duhem")</f>
        <v>Lee Duhem</v>
      </c>
      <c r="D26" t="s">
        <v>5</v>
      </c>
      <c r="E26">
        <v>13291</v>
      </c>
    </row>
    <row r="27" spans="1:5" x14ac:dyDescent="0.25">
      <c r="A27">
        <v>26</v>
      </c>
      <c r="B27">
        <v>420840</v>
      </c>
      <c r="C27" s="1" t="str">
        <f>HYPERLINK("http://stackoverflow.com/users/420840", "zjm1126")</f>
        <v>zjm1126</v>
      </c>
      <c r="D27" t="s">
        <v>5</v>
      </c>
      <c r="E27">
        <v>12956</v>
      </c>
    </row>
    <row r="28" spans="1:5" x14ac:dyDescent="0.25">
      <c r="A28">
        <v>27</v>
      </c>
      <c r="B28">
        <v>2191473</v>
      </c>
      <c r="C28" s="1" t="str">
        <f>HYPERLINK("http://stackoverflow.com/users/2191473", "Guido Preite")</f>
        <v>Guido Preite</v>
      </c>
      <c r="D28" t="s">
        <v>14</v>
      </c>
      <c r="E28">
        <v>12894</v>
      </c>
    </row>
    <row r="29" spans="1:5" x14ac:dyDescent="0.25">
      <c r="A29">
        <v>28</v>
      </c>
      <c r="B29">
        <v>4989676</v>
      </c>
      <c r="C29" s="1" t="str">
        <f>HYPERLINK("http://stackoverflow.com/users/4989676", "Peter Pan")</f>
        <v>Peter Pan</v>
      </c>
      <c r="D29" t="s">
        <v>10</v>
      </c>
      <c r="E29">
        <v>12357</v>
      </c>
    </row>
    <row r="30" spans="1:5" x14ac:dyDescent="0.25">
      <c r="A30">
        <v>29</v>
      </c>
      <c r="B30">
        <v>272424</v>
      </c>
      <c r="C30" s="1" t="str">
        <f>HYPERLINK("http://stackoverflow.com/users/272424", "Polity")</f>
        <v>Polity</v>
      </c>
      <c r="D30" t="s">
        <v>4</v>
      </c>
      <c r="E30">
        <v>11885</v>
      </c>
    </row>
    <row r="31" spans="1:5" x14ac:dyDescent="0.25">
      <c r="A31">
        <v>30</v>
      </c>
      <c r="B31">
        <v>380774</v>
      </c>
      <c r="C31" s="1" t="str">
        <f>HYPERLINK("http://stackoverflow.com/users/380774", "fannheyward")</f>
        <v>fannheyward</v>
      </c>
      <c r="D31" t="s">
        <v>5</v>
      </c>
      <c r="E31">
        <v>11628</v>
      </c>
    </row>
    <row r="32" spans="1:5" x14ac:dyDescent="0.25">
      <c r="A32">
        <v>31</v>
      </c>
      <c r="B32">
        <v>1365960</v>
      </c>
      <c r="C32" s="1" t="str">
        <f>HYPERLINK("http://stackoverflow.com/users/1365960", "StarPinkER")</f>
        <v>StarPinkER</v>
      </c>
      <c r="D32" t="s">
        <v>4</v>
      </c>
      <c r="E32">
        <v>11427</v>
      </c>
    </row>
    <row r="33" spans="1:5" x14ac:dyDescent="0.25">
      <c r="A33">
        <v>32</v>
      </c>
      <c r="B33">
        <v>525576</v>
      </c>
      <c r="C33" s="1" t="str">
        <f>HYPERLINK("http://stackoverflow.com/users/525576", "John Riselvato")</f>
        <v>John Riselvato</v>
      </c>
      <c r="D33" t="s">
        <v>7</v>
      </c>
      <c r="E33">
        <v>11147</v>
      </c>
    </row>
    <row r="34" spans="1:5" x14ac:dyDescent="0.25">
      <c r="A34">
        <v>33</v>
      </c>
      <c r="B34">
        <v>862862</v>
      </c>
      <c r="C34" s="1" t="str">
        <f>HYPERLINK("http://stackoverflow.com/users/862862", "Tyler Long")</f>
        <v>Tyler Long</v>
      </c>
      <c r="D34" t="s">
        <v>15</v>
      </c>
      <c r="E34">
        <v>10950</v>
      </c>
    </row>
    <row r="35" spans="1:5" x14ac:dyDescent="0.25">
      <c r="A35">
        <v>34</v>
      </c>
      <c r="B35">
        <v>466611</v>
      </c>
      <c r="C35" s="1" t="str">
        <f>HYPERLINK("http://stackoverflow.com/users/466611", "starrify")</f>
        <v>starrify</v>
      </c>
      <c r="D35" t="s">
        <v>12</v>
      </c>
      <c r="E35">
        <v>10746</v>
      </c>
    </row>
    <row r="36" spans="1:5" x14ac:dyDescent="0.25">
      <c r="A36">
        <v>35</v>
      </c>
      <c r="B36">
        <v>646735</v>
      </c>
      <c r="C36" s="1" t="str">
        <f>HYPERLINK("http://stackoverflow.com/users/646735", "Felix Yan")</f>
        <v>Felix Yan</v>
      </c>
      <c r="D36" t="s">
        <v>8</v>
      </c>
      <c r="E36">
        <v>10718</v>
      </c>
    </row>
    <row r="37" spans="1:5" x14ac:dyDescent="0.25">
      <c r="A37">
        <v>36</v>
      </c>
      <c r="B37">
        <v>877732</v>
      </c>
      <c r="C37" s="1" t="str">
        <f>HYPERLINK("http://stackoverflow.com/users/877732", "Changwei Yao")</f>
        <v>Changwei Yao</v>
      </c>
      <c r="D37" t="s">
        <v>4</v>
      </c>
      <c r="E37">
        <v>10713</v>
      </c>
    </row>
    <row r="38" spans="1:5" x14ac:dyDescent="0.25">
      <c r="A38">
        <v>37</v>
      </c>
      <c r="B38">
        <v>52913</v>
      </c>
      <c r="C38" s="1" t="str">
        <f>HYPERLINK("http://stackoverflow.com/users/52913", "MainID")</f>
        <v>MainID</v>
      </c>
      <c r="D38" t="s">
        <v>5</v>
      </c>
      <c r="E38">
        <v>10420</v>
      </c>
    </row>
    <row r="39" spans="1:5" x14ac:dyDescent="0.25">
      <c r="A39">
        <v>38</v>
      </c>
      <c r="B39">
        <v>3926543</v>
      </c>
      <c r="C39" s="1" t="str">
        <f>HYPERLINK("http://stackoverflow.com/users/3926543", "mt1022")</f>
        <v>mt1022</v>
      </c>
      <c r="D39" t="s">
        <v>5</v>
      </c>
      <c r="E39">
        <v>10343</v>
      </c>
    </row>
    <row r="40" spans="1:5" x14ac:dyDescent="0.25">
      <c r="A40">
        <v>39</v>
      </c>
      <c r="B40">
        <v>222893</v>
      </c>
      <c r="C40" s="1" t="str">
        <f>HYPERLINK("http://stackoverflow.com/users/222893", "weakish")</f>
        <v>weakish</v>
      </c>
      <c r="D40" t="s">
        <v>16</v>
      </c>
      <c r="E40">
        <v>10260</v>
      </c>
    </row>
    <row r="41" spans="1:5" x14ac:dyDescent="0.25">
      <c r="A41">
        <v>40</v>
      </c>
      <c r="B41">
        <v>1032492</v>
      </c>
      <c r="C41" s="1" t="str">
        <f>HYPERLINK("http://stackoverflow.com/users/1032492", "Leo")</f>
        <v>Leo</v>
      </c>
      <c r="D41" t="s">
        <v>4</v>
      </c>
      <c r="E41">
        <v>9906</v>
      </c>
    </row>
    <row r="42" spans="1:5" x14ac:dyDescent="0.25">
      <c r="A42">
        <v>41</v>
      </c>
      <c r="B42">
        <v>271577</v>
      </c>
      <c r="C42" s="1" t="str">
        <f>HYPERLINK("http://stackoverflow.com/users/271577", "Brett Zamir")</f>
        <v>Brett Zamir</v>
      </c>
      <c r="D42" t="s">
        <v>17</v>
      </c>
      <c r="E42">
        <v>9670</v>
      </c>
    </row>
    <row r="43" spans="1:5" x14ac:dyDescent="0.25">
      <c r="A43">
        <v>42</v>
      </c>
      <c r="B43">
        <v>639165</v>
      </c>
      <c r="C43" s="1" t="str">
        <f>HYPERLINK("http://stackoverflow.com/users/639165", "Derrick Zhang")</f>
        <v>Derrick Zhang</v>
      </c>
      <c r="D43" t="s">
        <v>5</v>
      </c>
      <c r="E43">
        <v>9307</v>
      </c>
    </row>
    <row r="44" spans="1:5" x14ac:dyDescent="0.25">
      <c r="A44">
        <v>43</v>
      </c>
      <c r="B44">
        <v>562154</v>
      </c>
      <c r="C44" s="1" t="str">
        <f>HYPERLINK("http://stackoverflow.com/users/562154", "Xiao")</f>
        <v>Xiao</v>
      </c>
      <c r="D44" t="s">
        <v>18</v>
      </c>
      <c r="E44">
        <v>9115</v>
      </c>
    </row>
    <row r="45" spans="1:5" x14ac:dyDescent="0.25">
      <c r="A45">
        <v>44</v>
      </c>
      <c r="B45">
        <v>3562486</v>
      </c>
      <c r="C45" s="1" t="str">
        <f>HYPERLINK("http://stackoverflow.com/users/3562486", "skyline75489")</f>
        <v>skyline75489</v>
      </c>
      <c r="D45" t="s">
        <v>19</v>
      </c>
      <c r="E45">
        <v>9025</v>
      </c>
    </row>
    <row r="46" spans="1:5" x14ac:dyDescent="0.25">
      <c r="A46">
        <v>45</v>
      </c>
      <c r="B46">
        <v>668963</v>
      </c>
      <c r="C46" s="1" t="str">
        <f>HYPERLINK("http://stackoverflow.com/users/668963", "neevek")</f>
        <v>neevek</v>
      </c>
      <c r="D46" t="s">
        <v>20</v>
      </c>
      <c r="E46">
        <v>8998</v>
      </c>
    </row>
    <row r="47" spans="1:5" x14ac:dyDescent="0.25">
      <c r="A47">
        <v>46</v>
      </c>
      <c r="B47">
        <v>67391</v>
      </c>
      <c r="C47" s="1" t="str">
        <f>HYPERLINK("http://stackoverflow.com/users/67391", "Chilly Zhong")</f>
        <v>Chilly Zhong</v>
      </c>
      <c r="D47" t="s">
        <v>4</v>
      </c>
      <c r="E47">
        <v>8954</v>
      </c>
    </row>
    <row r="48" spans="1:5" x14ac:dyDescent="0.25">
      <c r="A48">
        <v>47</v>
      </c>
      <c r="B48">
        <v>4407176</v>
      </c>
      <c r="C48" s="1" t="str">
        <f>HYPERLINK("http://stackoverflow.com/users/4407176", "SilentKnight")</f>
        <v>SilentKnight</v>
      </c>
      <c r="D48" t="s">
        <v>5</v>
      </c>
      <c r="E48">
        <v>8876</v>
      </c>
    </row>
    <row r="49" spans="1:5" x14ac:dyDescent="0.25">
      <c r="A49">
        <v>48</v>
      </c>
      <c r="B49">
        <v>1290420</v>
      </c>
      <c r="C49" s="1" t="str">
        <f>HYPERLINK("http://stackoverflow.com/users/1290420", "gauden")</f>
        <v>gauden</v>
      </c>
      <c r="D49" t="s">
        <v>5</v>
      </c>
      <c r="E49">
        <v>8865</v>
      </c>
    </row>
    <row r="50" spans="1:5" x14ac:dyDescent="0.25">
      <c r="A50">
        <v>49</v>
      </c>
      <c r="B50">
        <v>1568658</v>
      </c>
      <c r="C50" s="1" t="str">
        <f>HYPERLINK("http://stackoverflow.com/users/1568658", "Eric Wang")</f>
        <v>Eric Wang</v>
      </c>
      <c r="D50" t="s">
        <v>7</v>
      </c>
      <c r="E50">
        <v>8776</v>
      </c>
    </row>
    <row r="51" spans="1:5" x14ac:dyDescent="0.25">
      <c r="A51">
        <v>50</v>
      </c>
      <c r="B51">
        <v>2087628</v>
      </c>
      <c r="C51" s="1" t="str">
        <f>HYPERLINK("http://stackoverflow.com/users/2087628", "Jaskey")</f>
        <v>Jaskey</v>
      </c>
      <c r="D51" t="s">
        <v>21</v>
      </c>
      <c r="E51">
        <v>8688</v>
      </c>
    </row>
    <row r="52" spans="1:5" x14ac:dyDescent="0.25">
      <c r="A52">
        <v>51</v>
      </c>
      <c r="B52">
        <v>202335</v>
      </c>
      <c r="C52" s="1" t="str">
        <f>HYPERLINK("http://stackoverflow.com/users/202335", "Steven")</f>
        <v>Steven</v>
      </c>
      <c r="D52" t="s">
        <v>12</v>
      </c>
      <c r="E52">
        <v>8667</v>
      </c>
    </row>
    <row r="53" spans="1:5" x14ac:dyDescent="0.25">
      <c r="A53">
        <v>52</v>
      </c>
      <c r="B53">
        <v>907422</v>
      </c>
      <c r="C53" s="1" t="str">
        <f>HYPERLINK("http://stackoverflow.com/users/907422", "Bannings")</f>
        <v>Bannings</v>
      </c>
      <c r="D53" t="s">
        <v>5</v>
      </c>
      <c r="E53">
        <v>8640</v>
      </c>
    </row>
    <row r="54" spans="1:5" x14ac:dyDescent="0.25">
      <c r="A54">
        <v>53</v>
      </c>
      <c r="B54">
        <v>570812</v>
      </c>
      <c r="C54" s="1" t="str">
        <f>HYPERLINK("http://stackoverflow.com/users/570812", "Passerby")</f>
        <v>Passerby</v>
      </c>
      <c r="D54" t="s">
        <v>21</v>
      </c>
      <c r="E54">
        <v>8636</v>
      </c>
    </row>
    <row r="55" spans="1:5" x14ac:dyDescent="0.25">
      <c r="A55">
        <v>54</v>
      </c>
      <c r="B55">
        <v>2142577</v>
      </c>
      <c r="C55" s="1" t="str">
        <f>HYPERLINK("http://stackoverflow.com/users/2142577", "laike9m")</f>
        <v>laike9m</v>
      </c>
      <c r="D55" t="s">
        <v>5</v>
      </c>
      <c r="E55">
        <v>8610</v>
      </c>
    </row>
    <row r="56" spans="1:5" x14ac:dyDescent="0.25">
      <c r="A56">
        <v>55</v>
      </c>
      <c r="B56">
        <v>995394</v>
      </c>
      <c r="C56" s="1" t="str">
        <f>HYPERLINK("http://stackoverflow.com/users/995394", "iMom0")</f>
        <v>iMom0</v>
      </c>
      <c r="D56" t="s">
        <v>5</v>
      </c>
      <c r="E56">
        <v>8589</v>
      </c>
    </row>
    <row r="57" spans="1:5" x14ac:dyDescent="0.25">
      <c r="A57">
        <v>56</v>
      </c>
      <c r="B57">
        <v>260985</v>
      </c>
      <c r="C57" s="1" t="str">
        <f>HYPERLINK("http://stackoverflow.com/users/260985", "Kabie")</f>
        <v>Kabie</v>
      </c>
      <c r="D57" t="s">
        <v>22</v>
      </c>
      <c r="E57">
        <v>8567</v>
      </c>
    </row>
    <row r="58" spans="1:5" x14ac:dyDescent="0.25">
      <c r="A58">
        <v>57</v>
      </c>
      <c r="B58">
        <v>1348273</v>
      </c>
      <c r="C58" s="1" t="str">
        <f>HYPERLINK("http://stackoverflow.com/users/1348273", "Lingxi")</f>
        <v>Lingxi</v>
      </c>
      <c r="D58" t="s">
        <v>4</v>
      </c>
      <c r="E58">
        <v>8489</v>
      </c>
    </row>
    <row r="59" spans="1:5" x14ac:dyDescent="0.25">
      <c r="A59">
        <v>58</v>
      </c>
      <c r="B59">
        <v>119561</v>
      </c>
      <c r="C59" s="1" t="str">
        <f>HYPERLINK("http://stackoverflow.com/users/119561", "deerchao")</f>
        <v>deerchao</v>
      </c>
      <c r="D59" t="s">
        <v>23</v>
      </c>
      <c r="E59">
        <v>8475</v>
      </c>
    </row>
    <row r="60" spans="1:5" x14ac:dyDescent="0.25">
      <c r="A60">
        <v>59</v>
      </c>
      <c r="B60">
        <v>436559</v>
      </c>
      <c r="C60" s="1" t="str">
        <f>HYPERLINK("http://stackoverflow.com/users/436559", "fluter")</f>
        <v>fluter</v>
      </c>
      <c r="D60" t="s">
        <v>5</v>
      </c>
      <c r="E60">
        <v>8344</v>
      </c>
    </row>
    <row r="61" spans="1:5" x14ac:dyDescent="0.25">
      <c r="A61">
        <v>60</v>
      </c>
      <c r="B61">
        <v>3115587</v>
      </c>
      <c r="C61" s="1" t="str">
        <f>HYPERLINK("http://stackoverflow.com/users/3115587", "tounaobun")</f>
        <v>tounaobun</v>
      </c>
      <c r="D61" t="s">
        <v>22</v>
      </c>
      <c r="E61">
        <v>8278</v>
      </c>
    </row>
    <row r="62" spans="1:5" x14ac:dyDescent="0.25">
      <c r="A62">
        <v>61</v>
      </c>
      <c r="B62">
        <v>4258008</v>
      </c>
      <c r="C62" s="1" t="str">
        <f>HYPERLINK("http://stackoverflow.com/users/4258008", "mainframer")</f>
        <v>mainframer</v>
      </c>
      <c r="D62" t="s">
        <v>12</v>
      </c>
      <c r="E62">
        <v>8230</v>
      </c>
    </row>
    <row r="63" spans="1:5" x14ac:dyDescent="0.25">
      <c r="A63">
        <v>62</v>
      </c>
      <c r="B63">
        <v>767417</v>
      </c>
      <c r="C63" s="1" t="str">
        <f>HYPERLINK("http://stackoverflow.com/users/767417", "Yang Peiyong")</f>
        <v>Yang Peiyong</v>
      </c>
      <c r="D63" t="s">
        <v>5</v>
      </c>
      <c r="E63">
        <v>8225</v>
      </c>
    </row>
    <row r="64" spans="1:5" x14ac:dyDescent="0.25">
      <c r="A64">
        <v>63</v>
      </c>
      <c r="B64">
        <v>2106207</v>
      </c>
      <c r="C64" s="1" t="str">
        <f>HYPERLINK("http://stackoverflow.com/users/2106207", "Nan Xiao")</f>
        <v>Nan Xiao</v>
      </c>
      <c r="D64" t="s">
        <v>5</v>
      </c>
      <c r="E64">
        <v>7998</v>
      </c>
    </row>
    <row r="65" spans="1:5" x14ac:dyDescent="0.25">
      <c r="A65">
        <v>64</v>
      </c>
      <c r="B65">
        <v>571433</v>
      </c>
      <c r="C65" s="1" t="str">
        <f>HYPERLINK("http://stackoverflow.com/users/571433", "Dante is not a Geek")</f>
        <v>Dante is not a Geek</v>
      </c>
      <c r="D65" t="s">
        <v>4</v>
      </c>
      <c r="E65">
        <v>7837</v>
      </c>
    </row>
    <row r="66" spans="1:5" x14ac:dyDescent="0.25">
      <c r="A66">
        <v>65</v>
      </c>
      <c r="B66">
        <v>1548523</v>
      </c>
      <c r="C66" s="1" t="str">
        <f>HYPERLINK("http://stackoverflow.com/users/1548523", "sunkehappy")</f>
        <v>sunkehappy</v>
      </c>
      <c r="D66" t="s">
        <v>4</v>
      </c>
      <c r="E66">
        <v>7485</v>
      </c>
    </row>
    <row r="67" spans="1:5" x14ac:dyDescent="0.25">
      <c r="A67">
        <v>66</v>
      </c>
      <c r="B67">
        <v>1576184</v>
      </c>
      <c r="C67" s="1" t="str">
        <f>HYPERLINK("http://stackoverflow.com/users/1576184", "Albert")</f>
        <v>Albert</v>
      </c>
      <c r="D67" t="s">
        <v>5</v>
      </c>
      <c r="E67">
        <v>7411</v>
      </c>
    </row>
    <row r="68" spans="1:5" x14ac:dyDescent="0.25">
      <c r="A68">
        <v>67</v>
      </c>
      <c r="B68">
        <v>404264</v>
      </c>
      <c r="C68" s="1" t="str">
        <f>HYPERLINK("http://stackoverflow.com/users/404264", "Dagang")</f>
        <v>Dagang</v>
      </c>
      <c r="D68" t="s">
        <v>22</v>
      </c>
      <c r="E68">
        <v>7371</v>
      </c>
    </row>
    <row r="69" spans="1:5" x14ac:dyDescent="0.25">
      <c r="A69">
        <v>68</v>
      </c>
      <c r="B69">
        <v>2706048</v>
      </c>
      <c r="C69" s="1" t="str">
        <f>HYPERLINK("http://stackoverflow.com/users/2706048", "Chris Shao")</f>
        <v>Chris Shao</v>
      </c>
      <c r="D69" t="s">
        <v>5</v>
      </c>
      <c r="E69">
        <v>7306</v>
      </c>
    </row>
    <row r="70" spans="1:5" x14ac:dyDescent="0.25">
      <c r="A70">
        <v>69</v>
      </c>
      <c r="B70">
        <v>1210309</v>
      </c>
      <c r="C70" s="1" t="str">
        <f>HYPERLINK("http://stackoverflow.com/users/1210309", "chx007")</f>
        <v>chx007</v>
      </c>
      <c r="D70" t="s">
        <v>24</v>
      </c>
      <c r="E70">
        <v>7189</v>
      </c>
    </row>
    <row r="71" spans="1:5" x14ac:dyDescent="0.25">
      <c r="A71">
        <v>70</v>
      </c>
      <c r="B71">
        <v>707451</v>
      </c>
      <c r="C71" s="1" t="str">
        <f>HYPERLINK("http://stackoverflow.com/users/707451", "shaochuancs")</f>
        <v>shaochuancs</v>
      </c>
      <c r="D71" t="s">
        <v>4</v>
      </c>
      <c r="E71">
        <v>7095</v>
      </c>
    </row>
    <row r="72" spans="1:5" x14ac:dyDescent="0.25">
      <c r="A72">
        <v>71</v>
      </c>
      <c r="B72">
        <v>7718924</v>
      </c>
      <c r="C72" s="1" t="str">
        <f>HYPERLINK("http://stackoverflow.com/users/7718924", "York Shen")</f>
        <v>York Shen</v>
      </c>
      <c r="D72" t="s">
        <v>10</v>
      </c>
      <c r="E72">
        <v>7046</v>
      </c>
    </row>
    <row r="73" spans="1:5" x14ac:dyDescent="0.25">
      <c r="A73">
        <v>72</v>
      </c>
      <c r="B73">
        <v>119005</v>
      </c>
      <c r="C73" s="1" t="str">
        <f>HYPERLINK("http://stackoverflow.com/users/119005", "iamamac")</f>
        <v>iamamac</v>
      </c>
      <c r="D73" t="s">
        <v>5</v>
      </c>
      <c r="E73">
        <v>6959</v>
      </c>
    </row>
    <row r="74" spans="1:5" x14ac:dyDescent="0.25">
      <c r="A74">
        <v>73</v>
      </c>
      <c r="B74">
        <v>3919425</v>
      </c>
      <c r="C74" s="1" t="str">
        <f>HYPERLINK("http://stackoverflow.com/users/3919425", "codezjx")</f>
        <v>codezjx</v>
      </c>
      <c r="D74" t="s">
        <v>25</v>
      </c>
      <c r="E74">
        <v>6943</v>
      </c>
    </row>
    <row r="75" spans="1:5" x14ac:dyDescent="0.25">
      <c r="A75">
        <v>74</v>
      </c>
      <c r="B75">
        <v>243755</v>
      </c>
      <c r="C75" s="1" t="str">
        <f>HYPERLINK("http://stackoverflow.com/users/243755", "zjffdu")</f>
        <v>zjffdu</v>
      </c>
      <c r="D75" t="s">
        <v>26</v>
      </c>
      <c r="E75">
        <v>6909</v>
      </c>
    </row>
    <row r="76" spans="1:5" x14ac:dyDescent="0.25">
      <c r="A76">
        <v>75</v>
      </c>
      <c r="B76">
        <v>3952691</v>
      </c>
      <c r="C76" s="1" t="str">
        <f>HYPERLINK("http://stackoverflow.com/users/3952691", "ywwynm")</f>
        <v>ywwynm</v>
      </c>
      <c r="D76" t="s">
        <v>5</v>
      </c>
      <c r="E76">
        <v>6860</v>
      </c>
    </row>
    <row r="77" spans="1:5" x14ac:dyDescent="0.25">
      <c r="A77">
        <v>76</v>
      </c>
      <c r="B77">
        <v>2189957</v>
      </c>
      <c r="C77" s="1" t="str">
        <f>HYPERLINK("http://stackoverflow.com/users/2189957", "zhangyangyu")</f>
        <v>zhangyangyu</v>
      </c>
      <c r="D77" t="s">
        <v>5</v>
      </c>
      <c r="E77">
        <v>6844</v>
      </c>
    </row>
    <row r="78" spans="1:5" x14ac:dyDescent="0.25">
      <c r="A78">
        <v>77</v>
      </c>
      <c r="B78">
        <v>385257</v>
      </c>
      <c r="C78" s="1" t="str">
        <f>HYPERLINK("http://stackoverflow.com/users/385257", "fengd")</f>
        <v>fengd</v>
      </c>
      <c r="D78" t="s">
        <v>4</v>
      </c>
      <c r="E78">
        <v>6817</v>
      </c>
    </row>
    <row r="79" spans="1:5" x14ac:dyDescent="0.25">
      <c r="A79">
        <v>78</v>
      </c>
      <c r="B79">
        <v>2446397</v>
      </c>
      <c r="C79" s="1" t="str">
        <f>HYPERLINK("http://stackoverflow.com/users/2446397", "srain")</f>
        <v>srain</v>
      </c>
      <c r="D79" t="s">
        <v>5</v>
      </c>
      <c r="E79">
        <v>6772</v>
      </c>
    </row>
    <row r="80" spans="1:5" x14ac:dyDescent="0.25">
      <c r="A80">
        <v>79</v>
      </c>
      <c r="B80">
        <v>5399734</v>
      </c>
      <c r="C80" s="1" t="str">
        <f>HYPERLINK("http://stackoverflow.com/users/5399734", "nalzok")</f>
        <v>nalzok</v>
      </c>
      <c r="D80" t="s">
        <v>4</v>
      </c>
      <c r="E80">
        <v>6714</v>
      </c>
    </row>
    <row r="81" spans="1:5" x14ac:dyDescent="0.25">
      <c r="A81">
        <v>80</v>
      </c>
      <c r="B81">
        <v>516027</v>
      </c>
      <c r="C81" s="1" t="str">
        <f>HYPERLINK("http://stackoverflow.com/users/516027", "faylon")</f>
        <v>faylon</v>
      </c>
      <c r="D81" t="s">
        <v>5</v>
      </c>
      <c r="E81">
        <v>6647</v>
      </c>
    </row>
    <row r="82" spans="1:5" x14ac:dyDescent="0.25">
      <c r="A82">
        <v>81</v>
      </c>
      <c r="B82">
        <v>1625339</v>
      </c>
      <c r="C82" s="1" t="str">
        <f>HYPERLINK("http://stackoverflow.com/users/1625339", "Aetherus")</f>
        <v>Aetherus</v>
      </c>
      <c r="D82" t="s">
        <v>4</v>
      </c>
      <c r="E82">
        <v>6603</v>
      </c>
    </row>
    <row r="83" spans="1:5" x14ac:dyDescent="0.25">
      <c r="A83">
        <v>82</v>
      </c>
      <c r="B83">
        <v>1120333</v>
      </c>
      <c r="C83" s="1" t="str">
        <f>HYPERLINK("http://stackoverflow.com/users/1120333", "imxylz")</f>
        <v>imxylz</v>
      </c>
      <c r="D83" t="s">
        <v>5</v>
      </c>
      <c r="E83">
        <v>6433</v>
      </c>
    </row>
    <row r="84" spans="1:5" x14ac:dyDescent="0.25">
      <c r="A84">
        <v>83</v>
      </c>
      <c r="B84">
        <v>1241939</v>
      </c>
      <c r="C84" s="1" t="str">
        <f>HYPERLINK("http://stackoverflow.com/users/1241939", "Oasis Feng")</f>
        <v>Oasis Feng</v>
      </c>
      <c r="D84" t="s">
        <v>12</v>
      </c>
      <c r="E84">
        <v>6392</v>
      </c>
    </row>
    <row r="85" spans="1:5" x14ac:dyDescent="0.25">
      <c r="A85">
        <v>84</v>
      </c>
      <c r="B85">
        <v>235797</v>
      </c>
      <c r="C85" s="1" t="str">
        <f>HYPERLINK("http://stackoverflow.com/users/235797", "Yi Zhao")</f>
        <v>Yi Zhao</v>
      </c>
      <c r="D85" t="s">
        <v>5</v>
      </c>
      <c r="E85">
        <v>6329</v>
      </c>
    </row>
    <row r="86" spans="1:5" x14ac:dyDescent="0.25">
      <c r="A86">
        <v>85</v>
      </c>
      <c r="B86">
        <v>1124819</v>
      </c>
      <c r="C86" s="1" t="str">
        <f>HYPERLINK("http://stackoverflow.com/users/1124819", "satgi")</f>
        <v>satgi</v>
      </c>
      <c r="D86" t="s">
        <v>4</v>
      </c>
      <c r="E86">
        <v>6278</v>
      </c>
    </row>
    <row r="87" spans="1:5" x14ac:dyDescent="0.25">
      <c r="A87">
        <v>86</v>
      </c>
      <c r="B87">
        <v>2360535</v>
      </c>
      <c r="C87" s="1" t="str">
        <f>HYPERLINK("http://stackoverflow.com/users/2360535", "twlkyao")</f>
        <v>twlkyao</v>
      </c>
      <c r="D87" t="s">
        <v>27</v>
      </c>
      <c r="E87">
        <v>6214</v>
      </c>
    </row>
    <row r="88" spans="1:5" x14ac:dyDescent="0.25">
      <c r="A88">
        <v>87</v>
      </c>
      <c r="B88">
        <v>2223579</v>
      </c>
      <c r="C88" s="1" t="str">
        <f>HYPERLINK("http://stackoverflow.com/users/2223579", "BlackMamba")</f>
        <v>BlackMamba</v>
      </c>
      <c r="D88" t="s">
        <v>4</v>
      </c>
      <c r="E88">
        <v>6185</v>
      </c>
    </row>
    <row r="89" spans="1:5" x14ac:dyDescent="0.25">
      <c r="A89">
        <v>88</v>
      </c>
      <c r="B89">
        <v>238546</v>
      </c>
      <c r="C89" s="1" t="str">
        <f>HYPERLINK("http://stackoverflow.com/users/238546", "James.Xu")</f>
        <v>James.Xu</v>
      </c>
      <c r="D89" t="s">
        <v>4</v>
      </c>
      <c r="E89">
        <v>6084</v>
      </c>
    </row>
    <row r="90" spans="1:5" x14ac:dyDescent="0.25">
      <c r="A90">
        <v>89</v>
      </c>
      <c r="B90">
        <v>6523163</v>
      </c>
      <c r="C90" s="1" t="str">
        <f>HYPERLINK("http://stackoverflow.com/users/6523163", "aircraft")</f>
        <v>aircraft</v>
      </c>
      <c r="D90" t="s">
        <v>22</v>
      </c>
      <c r="E90">
        <v>6014</v>
      </c>
    </row>
    <row r="91" spans="1:5" x14ac:dyDescent="0.25">
      <c r="A91">
        <v>90</v>
      </c>
      <c r="B91">
        <v>1093020</v>
      </c>
      <c r="C91" s="1" t="str">
        <f>HYPERLINK("http://stackoverflow.com/users/1093020", "Leonardo.Z")</f>
        <v>Leonardo.Z</v>
      </c>
      <c r="D91" t="s">
        <v>4</v>
      </c>
      <c r="E91">
        <v>5974</v>
      </c>
    </row>
    <row r="92" spans="1:5" x14ac:dyDescent="0.25">
      <c r="A92">
        <v>91</v>
      </c>
      <c r="B92">
        <v>390513</v>
      </c>
      <c r="C92" s="1" t="str">
        <f>HYPERLINK("http://stackoverflow.com/users/390513", "Kane")</f>
        <v>Kane</v>
      </c>
      <c r="D92" t="s">
        <v>5</v>
      </c>
      <c r="E92">
        <v>5958</v>
      </c>
    </row>
    <row r="93" spans="1:5" x14ac:dyDescent="0.25">
      <c r="A93">
        <v>92</v>
      </c>
      <c r="B93">
        <v>2038618</v>
      </c>
      <c r="C93" s="1" t="str">
        <f>HYPERLINK("http://stackoverflow.com/users/2038618", "xiaoyu")</f>
        <v>xiaoyu</v>
      </c>
      <c r="D93" t="s">
        <v>5</v>
      </c>
      <c r="E93">
        <v>5872</v>
      </c>
    </row>
    <row r="94" spans="1:5" x14ac:dyDescent="0.25">
      <c r="A94">
        <v>93</v>
      </c>
      <c r="B94">
        <v>1000254</v>
      </c>
      <c r="C94" s="1" t="str">
        <f>HYPERLINK("http://stackoverflow.com/users/1000254", "shizhz")</f>
        <v>shizhz</v>
      </c>
      <c r="D94" t="s">
        <v>28</v>
      </c>
      <c r="E94">
        <v>5838</v>
      </c>
    </row>
    <row r="95" spans="1:5" x14ac:dyDescent="0.25">
      <c r="A95">
        <v>94</v>
      </c>
      <c r="B95">
        <v>446929</v>
      </c>
      <c r="C95" s="1" t="str">
        <f>HYPERLINK("http://stackoverflow.com/users/446929", "mlzboy")</f>
        <v>mlzboy</v>
      </c>
      <c r="D95" t="s">
        <v>5</v>
      </c>
      <c r="E95">
        <v>5816</v>
      </c>
    </row>
    <row r="96" spans="1:5" x14ac:dyDescent="0.25">
      <c r="A96">
        <v>95</v>
      </c>
      <c r="B96">
        <v>3176419</v>
      </c>
      <c r="C96" s="1" t="str">
        <f>HYPERLINK("http://stackoverflow.com/users/3176419", "lucumt")</f>
        <v>lucumt</v>
      </c>
      <c r="D96" t="s">
        <v>5</v>
      </c>
      <c r="E96">
        <v>5733</v>
      </c>
    </row>
    <row r="97" spans="1:5" x14ac:dyDescent="0.25">
      <c r="A97">
        <v>96</v>
      </c>
      <c r="B97">
        <v>1079899</v>
      </c>
      <c r="C97" s="1" t="str">
        <f>HYPERLINK("http://stackoverflow.com/users/1079899", "KudoCC")</f>
        <v>KudoCC</v>
      </c>
      <c r="D97" t="s">
        <v>4</v>
      </c>
      <c r="E97">
        <v>5662</v>
      </c>
    </row>
    <row r="98" spans="1:5" x14ac:dyDescent="0.25">
      <c r="A98">
        <v>97</v>
      </c>
      <c r="B98">
        <v>954376</v>
      </c>
      <c r="C98" s="1" t="str">
        <f>HYPERLINK("http://stackoverflow.com/users/954376", "NeoWang")</f>
        <v>NeoWang</v>
      </c>
      <c r="D98" t="s">
        <v>4</v>
      </c>
      <c r="E98">
        <v>5653</v>
      </c>
    </row>
    <row r="99" spans="1:5" x14ac:dyDescent="0.25">
      <c r="A99">
        <v>98</v>
      </c>
      <c r="B99">
        <v>245428</v>
      </c>
      <c r="C99" s="1" t="str">
        <f>HYPERLINK("http://stackoverflow.com/users/245428", "xiaoyi")</f>
        <v>xiaoyi</v>
      </c>
      <c r="D99" t="s">
        <v>5</v>
      </c>
      <c r="E99">
        <v>5639</v>
      </c>
    </row>
    <row r="100" spans="1:5" x14ac:dyDescent="0.25">
      <c r="A100">
        <v>99</v>
      </c>
      <c r="B100">
        <v>94148</v>
      </c>
      <c r="C100" s="1" t="str">
        <f>HYPERLINK("http://stackoverflow.com/users/94148", "aleung")</f>
        <v>aleung</v>
      </c>
      <c r="D100" t="s">
        <v>21</v>
      </c>
      <c r="E100">
        <v>5591</v>
      </c>
    </row>
    <row r="101" spans="1:5" x14ac:dyDescent="0.25">
      <c r="A101">
        <v>100</v>
      </c>
      <c r="B101">
        <v>325320</v>
      </c>
      <c r="C101" s="1" t="str">
        <f>HYPERLINK("http://stackoverflow.com/users/325320", "Mr.Wang from Next Door")</f>
        <v>Mr.Wang from Next Door</v>
      </c>
      <c r="D101" t="s">
        <v>29</v>
      </c>
      <c r="E101">
        <v>5557</v>
      </c>
    </row>
    <row r="102" spans="1:5" x14ac:dyDescent="0.25">
      <c r="A102">
        <v>101</v>
      </c>
      <c r="B102">
        <v>783653</v>
      </c>
      <c r="C102" s="1" t="str">
        <f>HYPERLINK("http://stackoverflow.com/users/783653", "vilicvane")</f>
        <v>vilicvane</v>
      </c>
      <c r="D102" t="s">
        <v>30</v>
      </c>
      <c r="E102">
        <v>5524</v>
      </c>
    </row>
    <row r="103" spans="1:5" x14ac:dyDescent="0.25">
      <c r="A103">
        <v>102</v>
      </c>
      <c r="B103">
        <v>4545351</v>
      </c>
      <c r="C103" s="1" t="str">
        <f>HYPERLINK("http://stackoverflow.com/users/4545351", "Jun Han")</f>
        <v>Jun Han</v>
      </c>
      <c r="D103" t="s">
        <v>4</v>
      </c>
      <c r="E103">
        <v>5508</v>
      </c>
    </row>
    <row r="104" spans="1:5" x14ac:dyDescent="0.25">
      <c r="A104">
        <v>103</v>
      </c>
      <c r="B104">
        <v>544504</v>
      </c>
      <c r="C104" s="1" t="str">
        <f>HYPERLINK("http://stackoverflow.com/users/544504", "Di Wu")</f>
        <v>Di Wu</v>
      </c>
      <c r="D104" t="s">
        <v>5</v>
      </c>
      <c r="E104">
        <v>5495</v>
      </c>
    </row>
    <row r="105" spans="1:5" x14ac:dyDescent="0.25">
      <c r="A105">
        <v>104</v>
      </c>
      <c r="B105">
        <v>1805902</v>
      </c>
      <c r="C105" s="1" t="str">
        <f>HYPERLINK("http://stackoverflow.com/users/1805902", "pangpang")</f>
        <v>pangpang</v>
      </c>
      <c r="D105" t="s">
        <v>22</v>
      </c>
      <c r="E105">
        <v>5481</v>
      </c>
    </row>
    <row r="106" spans="1:5" x14ac:dyDescent="0.25">
      <c r="A106">
        <v>105</v>
      </c>
      <c r="B106">
        <v>5465237</v>
      </c>
      <c r="C106" s="1" t="str">
        <f>HYPERLINK("http://stackoverflow.com/users/5465237", "ROY")</f>
        <v>ROY</v>
      </c>
      <c r="D106" t="s">
        <v>4</v>
      </c>
      <c r="E106">
        <v>5426</v>
      </c>
    </row>
    <row r="107" spans="1:5" x14ac:dyDescent="0.25">
      <c r="A107">
        <v>106</v>
      </c>
      <c r="B107">
        <v>1087304</v>
      </c>
      <c r="C107" s="1" t="str">
        <f>HYPERLINK("http://stackoverflow.com/users/1087304", "ernest")</f>
        <v>ernest</v>
      </c>
      <c r="D107" t="s">
        <v>21</v>
      </c>
      <c r="E107">
        <v>5423</v>
      </c>
    </row>
    <row r="108" spans="1:5" x14ac:dyDescent="0.25">
      <c r="A108">
        <v>107</v>
      </c>
      <c r="B108">
        <v>716439</v>
      </c>
      <c r="C108" s="1" t="str">
        <f>HYPERLINK("http://stackoverflow.com/users/716439", "Weiwei Yang")</f>
        <v>Weiwei Yang</v>
      </c>
      <c r="D108" t="s">
        <v>5</v>
      </c>
      <c r="E108">
        <v>5381</v>
      </c>
    </row>
    <row r="109" spans="1:5" x14ac:dyDescent="0.25">
      <c r="A109">
        <v>108</v>
      </c>
      <c r="B109">
        <v>354459</v>
      </c>
      <c r="C109" s="1" t="str">
        <f>HYPERLINK("http://stackoverflow.com/users/354459", "herbertD")</f>
        <v>herbertD</v>
      </c>
      <c r="D109" t="s">
        <v>31</v>
      </c>
      <c r="E109">
        <v>5374</v>
      </c>
    </row>
    <row r="110" spans="1:5" x14ac:dyDescent="0.25">
      <c r="A110">
        <v>109</v>
      </c>
      <c r="B110">
        <v>451718</v>
      </c>
      <c r="C110" s="1" t="str">
        <f>HYPERLINK("http://stackoverflow.com/users/451718", "Andrew_1510")</f>
        <v>Andrew_1510</v>
      </c>
      <c r="D110" t="s">
        <v>32</v>
      </c>
      <c r="E110">
        <v>5347</v>
      </c>
    </row>
    <row r="111" spans="1:5" x14ac:dyDescent="0.25">
      <c r="A111">
        <v>110</v>
      </c>
      <c r="B111">
        <v>309830</v>
      </c>
      <c r="C111" s="1" t="str">
        <f>HYPERLINK("http://stackoverflow.com/users/309830", "David S.")</f>
        <v>David S.</v>
      </c>
      <c r="D111" t="s">
        <v>4</v>
      </c>
      <c r="E111">
        <v>5341</v>
      </c>
    </row>
    <row r="112" spans="1:5" x14ac:dyDescent="0.25">
      <c r="A112">
        <v>111</v>
      </c>
      <c r="B112">
        <v>1487475</v>
      </c>
      <c r="C112" s="1" t="str">
        <f>HYPERLINK("http://stackoverflow.com/users/1487475", "zdd")</f>
        <v>zdd</v>
      </c>
      <c r="D112" t="s">
        <v>5</v>
      </c>
      <c r="E112">
        <v>5254</v>
      </c>
    </row>
    <row r="113" spans="1:5" x14ac:dyDescent="0.25">
      <c r="A113">
        <v>112</v>
      </c>
      <c r="B113">
        <v>91813</v>
      </c>
      <c r="C113" s="1" t="str">
        <f>HYPERLINK("http://stackoverflow.com/users/91813", "stanleyxu2005")</f>
        <v>stanleyxu2005</v>
      </c>
      <c r="D113" t="s">
        <v>4</v>
      </c>
      <c r="E113">
        <v>5216</v>
      </c>
    </row>
    <row r="114" spans="1:5" x14ac:dyDescent="0.25">
      <c r="A114">
        <v>113</v>
      </c>
      <c r="B114">
        <v>4594532</v>
      </c>
      <c r="C114" s="1" t="str">
        <f>HYPERLINK("http://stackoverflow.com/users/4594532", "Gnimuc")</f>
        <v>Gnimuc</v>
      </c>
      <c r="D114" t="s">
        <v>33</v>
      </c>
      <c r="E114">
        <v>5183</v>
      </c>
    </row>
    <row r="115" spans="1:5" x14ac:dyDescent="0.25">
      <c r="A115">
        <v>114</v>
      </c>
      <c r="B115">
        <v>1553519</v>
      </c>
      <c r="C115" s="1" t="str">
        <f>HYPERLINK("http://stackoverflow.com/users/1553519", "Joe.wang")</f>
        <v>Joe.wang</v>
      </c>
      <c r="D115" t="s">
        <v>17</v>
      </c>
      <c r="E115">
        <v>5122</v>
      </c>
    </row>
    <row r="116" spans="1:5" x14ac:dyDescent="0.25">
      <c r="A116">
        <v>115</v>
      </c>
      <c r="B116">
        <v>399759</v>
      </c>
      <c r="C116" s="1" t="str">
        <f>HYPERLINK("http://stackoverflow.com/users/399759", "Hanxue")</f>
        <v>Hanxue</v>
      </c>
      <c r="D116" t="s">
        <v>5</v>
      </c>
      <c r="E116">
        <v>5090</v>
      </c>
    </row>
    <row r="117" spans="1:5" x14ac:dyDescent="0.25">
      <c r="A117">
        <v>116</v>
      </c>
      <c r="B117">
        <v>169477</v>
      </c>
      <c r="C117" s="1" t="str">
        <f>HYPERLINK("http://stackoverflow.com/users/169477", "Yongwei Xing")</f>
        <v>Yongwei Xing</v>
      </c>
      <c r="D117" t="s">
        <v>4</v>
      </c>
      <c r="E117">
        <v>5074</v>
      </c>
    </row>
    <row r="118" spans="1:5" x14ac:dyDescent="0.25">
      <c r="A118">
        <v>117</v>
      </c>
      <c r="B118">
        <v>5875887</v>
      </c>
      <c r="C118" s="1" t="str">
        <f>HYPERLINK("http://stackoverflow.com/users/5875887", "Dylan Su")</f>
        <v>Dylan Su</v>
      </c>
      <c r="D118" t="s">
        <v>5</v>
      </c>
      <c r="E118">
        <v>5044</v>
      </c>
    </row>
    <row r="119" spans="1:5" x14ac:dyDescent="0.25">
      <c r="A119">
        <v>118</v>
      </c>
      <c r="B119">
        <v>5371821</v>
      </c>
      <c r="C119" s="1" t="str">
        <f>HYPERLINK("http://stackoverflow.com/users/5371821", "starkshang")</f>
        <v>starkshang</v>
      </c>
      <c r="D119" t="s">
        <v>5</v>
      </c>
      <c r="E119">
        <v>4960</v>
      </c>
    </row>
    <row r="120" spans="1:5" x14ac:dyDescent="0.25">
      <c r="A120">
        <v>119</v>
      </c>
      <c r="B120">
        <v>153487</v>
      </c>
      <c r="C120" s="1" t="str">
        <f>HYPERLINK("http://stackoverflow.com/users/153487", "Yantao Xie")</f>
        <v>Yantao Xie</v>
      </c>
      <c r="D120" t="s">
        <v>12</v>
      </c>
      <c r="E120">
        <v>4939</v>
      </c>
    </row>
    <row r="121" spans="1:5" x14ac:dyDescent="0.25">
      <c r="A121">
        <v>120</v>
      </c>
      <c r="B121">
        <v>1115193</v>
      </c>
      <c r="C121" s="1" t="str">
        <f>HYPERLINK("http://stackoverflow.com/users/1115193", "Yijie Shen")</f>
        <v>Yijie Shen</v>
      </c>
      <c r="D121" t="s">
        <v>5</v>
      </c>
      <c r="E121">
        <v>4925</v>
      </c>
    </row>
    <row r="122" spans="1:5" x14ac:dyDescent="0.25">
      <c r="A122">
        <v>121</v>
      </c>
      <c r="B122">
        <v>577436</v>
      </c>
      <c r="C122" s="1" t="str">
        <f>HYPERLINK("http://stackoverflow.com/users/577436", "c2h2")</f>
        <v>c2h2</v>
      </c>
      <c r="D122" t="s">
        <v>4</v>
      </c>
      <c r="E122">
        <v>4879</v>
      </c>
    </row>
    <row r="123" spans="1:5" x14ac:dyDescent="0.25">
      <c r="A123">
        <v>122</v>
      </c>
      <c r="B123">
        <v>15127</v>
      </c>
      <c r="C123" s="1" t="str">
        <f>HYPERLINK("http://stackoverflow.com/users/15127", "Andrew Backer")</f>
        <v>Andrew Backer</v>
      </c>
      <c r="D123" t="s">
        <v>4</v>
      </c>
      <c r="E123">
        <v>4831</v>
      </c>
    </row>
    <row r="124" spans="1:5" x14ac:dyDescent="0.25">
      <c r="A124">
        <v>123</v>
      </c>
      <c r="B124">
        <v>2198656</v>
      </c>
      <c r="C124" s="1" t="str">
        <f>HYPERLINK("http://stackoverflow.com/users/2198656", "Herrington Darkholme")</f>
        <v>Herrington Darkholme</v>
      </c>
      <c r="D124" t="s">
        <v>4</v>
      </c>
      <c r="E124">
        <v>4809</v>
      </c>
    </row>
    <row r="125" spans="1:5" x14ac:dyDescent="0.25">
      <c r="A125">
        <v>124</v>
      </c>
      <c r="B125">
        <v>1315634</v>
      </c>
      <c r="C125" s="1" t="str">
        <f>HYPERLINK("http://stackoverflow.com/users/1315634", "Rebornix")</f>
        <v>Rebornix</v>
      </c>
      <c r="D125" t="s">
        <v>4</v>
      </c>
      <c r="E125">
        <v>4797</v>
      </c>
    </row>
    <row r="126" spans="1:5" x14ac:dyDescent="0.25">
      <c r="A126">
        <v>125</v>
      </c>
      <c r="B126">
        <v>1890537</v>
      </c>
      <c r="C126" s="1" t="str">
        <f>HYPERLINK("http://stackoverflow.com/users/1890537", "metaphy")</f>
        <v>metaphy</v>
      </c>
      <c r="D126" t="s">
        <v>22</v>
      </c>
      <c r="E126">
        <v>4743</v>
      </c>
    </row>
    <row r="127" spans="1:5" x14ac:dyDescent="0.25">
      <c r="A127">
        <v>126</v>
      </c>
      <c r="B127">
        <v>1408868</v>
      </c>
      <c r="C127" s="1" t="str">
        <f>HYPERLINK("http://stackoverflow.com/users/1408868", "Anar Bayramov")</f>
        <v>Anar Bayramov</v>
      </c>
      <c r="D127" t="s">
        <v>4</v>
      </c>
      <c r="E127">
        <v>4729</v>
      </c>
    </row>
    <row r="128" spans="1:5" x14ac:dyDescent="0.25">
      <c r="A128">
        <v>127</v>
      </c>
      <c r="B128">
        <v>6064933</v>
      </c>
      <c r="C128" s="1" t="str">
        <f>HYPERLINK("http://stackoverflow.com/users/6064933", "jdhao")</f>
        <v>jdhao</v>
      </c>
      <c r="D128" t="s">
        <v>17</v>
      </c>
      <c r="E128">
        <v>4719</v>
      </c>
    </row>
    <row r="129" spans="1:5" x14ac:dyDescent="0.25">
      <c r="A129">
        <v>128</v>
      </c>
      <c r="B129">
        <v>1616263</v>
      </c>
      <c r="C129" s="1" t="str">
        <f>HYPERLINK("http://stackoverflow.com/users/1616263", "crifan")</f>
        <v>crifan</v>
      </c>
      <c r="D129" t="s">
        <v>3</v>
      </c>
      <c r="E129">
        <v>4694</v>
      </c>
    </row>
    <row r="130" spans="1:5" x14ac:dyDescent="0.25">
      <c r="A130">
        <v>129</v>
      </c>
      <c r="B130">
        <v>2749114</v>
      </c>
      <c r="C130" s="1" t="str">
        <f>HYPERLINK("http://stackoverflow.com/users/2749114", "Landys")</f>
        <v>Landys</v>
      </c>
      <c r="D130" t="s">
        <v>12</v>
      </c>
      <c r="E130">
        <v>4669</v>
      </c>
    </row>
    <row r="131" spans="1:5" x14ac:dyDescent="0.25">
      <c r="A131">
        <v>130</v>
      </c>
      <c r="B131">
        <v>2199657</v>
      </c>
      <c r="C131" s="1" t="str">
        <f>HYPERLINK("http://stackoverflow.com/users/2199657", "Eliko")</f>
        <v>Eliko</v>
      </c>
      <c r="D131" t="s">
        <v>4</v>
      </c>
      <c r="E131">
        <v>4657</v>
      </c>
    </row>
    <row r="132" spans="1:5" x14ac:dyDescent="0.25">
      <c r="A132">
        <v>131</v>
      </c>
      <c r="B132">
        <v>1116084</v>
      </c>
      <c r="C132" s="1" t="str">
        <f>HYPERLINK("http://stackoverflow.com/users/1116084", "idiottiger")</f>
        <v>idiottiger</v>
      </c>
      <c r="D132" t="s">
        <v>22</v>
      </c>
      <c r="E132">
        <v>4651</v>
      </c>
    </row>
    <row r="133" spans="1:5" x14ac:dyDescent="0.25">
      <c r="A133">
        <v>132</v>
      </c>
      <c r="B133">
        <v>766864</v>
      </c>
      <c r="C133" s="1" t="str">
        <f>HYPERLINK("http://stackoverflow.com/users/766864", "Joe")</f>
        <v>Joe</v>
      </c>
      <c r="D133" t="s">
        <v>34</v>
      </c>
      <c r="E133">
        <v>4595</v>
      </c>
    </row>
    <row r="134" spans="1:5" x14ac:dyDescent="0.25">
      <c r="A134">
        <v>133</v>
      </c>
      <c r="B134">
        <v>4726718</v>
      </c>
      <c r="C134" s="1" t="str">
        <f>HYPERLINK("http://stackoverflow.com/users/4726718", "Darush")</f>
        <v>Darush</v>
      </c>
      <c r="D134" t="s">
        <v>4</v>
      </c>
      <c r="E134">
        <v>4571</v>
      </c>
    </row>
    <row r="135" spans="1:5" x14ac:dyDescent="0.25">
      <c r="A135">
        <v>134</v>
      </c>
      <c r="B135">
        <v>262296</v>
      </c>
      <c r="C135" s="1" t="str">
        <f>HYPERLINK("http://stackoverflow.com/users/262296", "TiansHUo")</f>
        <v>TiansHUo</v>
      </c>
      <c r="D135" t="s">
        <v>5</v>
      </c>
      <c r="E135">
        <v>4558</v>
      </c>
    </row>
    <row r="136" spans="1:5" x14ac:dyDescent="0.25">
      <c r="A136">
        <v>135</v>
      </c>
      <c r="B136">
        <v>2187087</v>
      </c>
      <c r="C136" s="1" t="str">
        <f>HYPERLINK("http://stackoverflow.com/users/2187087", "Yugang Zhou")</f>
        <v>Yugang Zhou</v>
      </c>
      <c r="D136" t="s">
        <v>4</v>
      </c>
      <c r="E136">
        <v>4558</v>
      </c>
    </row>
    <row r="137" spans="1:5" x14ac:dyDescent="0.25">
      <c r="A137">
        <v>136</v>
      </c>
      <c r="B137">
        <v>1713757</v>
      </c>
      <c r="C137" s="1" t="str">
        <f>HYPERLINK("http://stackoverflow.com/users/1713757", "Geng  Jiawen")</f>
        <v>Geng  Jiawen</v>
      </c>
      <c r="D137" t="s">
        <v>7</v>
      </c>
      <c r="E137">
        <v>4539</v>
      </c>
    </row>
    <row r="138" spans="1:5" x14ac:dyDescent="0.25">
      <c r="A138">
        <v>137</v>
      </c>
      <c r="B138">
        <v>620537</v>
      </c>
      <c r="C138" s="1" t="str">
        <f>HYPERLINK("http://stackoverflow.com/users/620537", "gamerson")</f>
        <v>gamerson</v>
      </c>
      <c r="D138" t="s">
        <v>35</v>
      </c>
      <c r="E138">
        <v>4534</v>
      </c>
    </row>
    <row r="139" spans="1:5" x14ac:dyDescent="0.25">
      <c r="A139">
        <v>138</v>
      </c>
      <c r="B139">
        <v>1925083</v>
      </c>
      <c r="C139" s="1" t="str">
        <f>HYPERLINK("http://stackoverflow.com/users/1925083", "cizixs")</f>
        <v>cizixs</v>
      </c>
      <c r="D139" t="s">
        <v>4</v>
      </c>
      <c r="E139">
        <v>4483</v>
      </c>
    </row>
    <row r="140" spans="1:5" x14ac:dyDescent="0.25">
      <c r="A140">
        <v>139</v>
      </c>
      <c r="B140">
        <v>163977</v>
      </c>
      <c r="C140" s="1" t="str">
        <f>HYPERLINK("http://stackoverflow.com/users/163977", "lfx_cool")</f>
        <v>lfx_cool</v>
      </c>
      <c r="D140" t="s">
        <v>4</v>
      </c>
      <c r="E140">
        <v>4455</v>
      </c>
    </row>
    <row r="141" spans="1:5" x14ac:dyDescent="0.25">
      <c r="A141">
        <v>140</v>
      </c>
      <c r="B141">
        <v>754097</v>
      </c>
      <c r="C141" s="1" t="str">
        <f>HYPERLINK("http://stackoverflow.com/users/754097", "Huang")</f>
        <v>Huang</v>
      </c>
      <c r="D141" t="s">
        <v>22</v>
      </c>
      <c r="E141">
        <v>4452</v>
      </c>
    </row>
    <row r="142" spans="1:5" x14ac:dyDescent="0.25">
      <c r="A142">
        <v>141</v>
      </c>
      <c r="B142">
        <v>2531888</v>
      </c>
      <c r="C142" s="1" t="str">
        <f>HYPERLINK("http://stackoverflow.com/users/2531888", "ifeegoo")</f>
        <v>ifeegoo</v>
      </c>
      <c r="D142" t="s">
        <v>17</v>
      </c>
      <c r="E142">
        <v>4423</v>
      </c>
    </row>
    <row r="143" spans="1:5" x14ac:dyDescent="0.25">
      <c r="A143">
        <v>142</v>
      </c>
      <c r="B143">
        <v>527539</v>
      </c>
      <c r="C143" s="1" t="str">
        <f>HYPERLINK("http://stackoverflow.com/users/527539", "ZYiOS")</f>
        <v>ZYiOS</v>
      </c>
      <c r="D143" t="s">
        <v>17</v>
      </c>
      <c r="E143">
        <v>4400</v>
      </c>
    </row>
    <row r="144" spans="1:5" x14ac:dyDescent="0.25">
      <c r="A144">
        <v>143</v>
      </c>
      <c r="B144">
        <v>1784529</v>
      </c>
      <c r="C144" s="1" t="str">
        <f>HYPERLINK("http://stackoverflow.com/users/1784529", "Yun CHEN")</f>
        <v>Yun CHEN</v>
      </c>
      <c r="D144" t="s">
        <v>16</v>
      </c>
      <c r="E144">
        <v>4371</v>
      </c>
    </row>
    <row r="145" spans="1:5" x14ac:dyDescent="0.25">
      <c r="A145">
        <v>144</v>
      </c>
      <c r="B145">
        <v>5234233</v>
      </c>
      <c r="C145" s="1" t="str">
        <f>HYPERLINK("http://stackoverflow.com/users/5234233", "Lumialxk")</f>
        <v>Lumialxk</v>
      </c>
      <c r="D145" t="s">
        <v>4</v>
      </c>
      <c r="E145">
        <v>4352</v>
      </c>
    </row>
    <row r="146" spans="1:5" x14ac:dyDescent="0.25">
      <c r="A146">
        <v>145</v>
      </c>
      <c r="B146">
        <v>108574</v>
      </c>
      <c r="C146" s="1" t="str">
        <f>HYPERLINK("http://stackoverflow.com/users/108574", "He Shiming")</f>
        <v>He Shiming</v>
      </c>
      <c r="D146" t="s">
        <v>4</v>
      </c>
      <c r="E146">
        <v>4349</v>
      </c>
    </row>
    <row r="147" spans="1:5" x14ac:dyDescent="0.25">
      <c r="A147">
        <v>146</v>
      </c>
      <c r="B147">
        <v>334999</v>
      </c>
      <c r="C147" s="1" t="str">
        <f>HYPERLINK("http://stackoverflow.com/users/334999", "Shuo")</f>
        <v>Shuo</v>
      </c>
      <c r="D147" t="s">
        <v>5</v>
      </c>
      <c r="E147">
        <v>4274</v>
      </c>
    </row>
    <row r="148" spans="1:5" x14ac:dyDescent="0.25">
      <c r="A148">
        <v>147</v>
      </c>
      <c r="B148">
        <v>1091032</v>
      </c>
      <c r="C148" s="1" t="str">
        <f>HYPERLINK("http://stackoverflow.com/users/1091032", "Glowin")</f>
        <v>Glowin</v>
      </c>
      <c r="D148" t="s">
        <v>5</v>
      </c>
      <c r="E148">
        <v>4233</v>
      </c>
    </row>
    <row r="149" spans="1:5" x14ac:dyDescent="0.25">
      <c r="A149">
        <v>148</v>
      </c>
      <c r="B149">
        <v>3792944</v>
      </c>
      <c r="C149" s="1" t="str">
        <f>HYPERLINK("http://stackoverflow.com/users/3792944", "Stephen Lin")</f>
        <v>Stephen Lin</v>
      </c>
      <c r="D149" t="s">
        <v>4</v>
      </c>
      <c r="E149">
        <v>4231</v>
      </c>
    </row>
    <row r="150" spans="1:5" x14ac:dyDescent="0.25">
      <c r="A150">
        <v>149</v>
      </c>
      <c r="B150">
        <v>84540</v>
      </c>
      <c r="C150" s="1" t="str">
        <f>HYPERLINK("http://stackoverflow.com/users/84540", "nybon")</f>
        <v>nybon</v>
      </c>
      <c r="D150" t="s">
        <v>26</v>
      </c>
      <c r="E150">
        <v>4067</v>
      </c>
    </row>
    <row r="151" spans="1:5" x14ac:dyDescent="0.25">
      <c r="A151">
        <v>150</v>
      </c>
      <c r="B151">
        <v>7028697</v>
      </c>
      <c r="C151" s="1" t="str">
        <f>HYPERLINK("http://stackoverflow.com/users/7028697", "amethystic")</f>
        <v>amethystic</v>
      </c>
      <c r="D151" t="s">
        <v>5</v>
      </c>
      <c r="E151">
        <v>4039</v>
      </c>
    </row>
    <row r="152" spans="1:5" x14ac:dyDescent="0.25">
      <c r="A152">
        <v>151</v>
      </c>
      <c r="B152">
        <v>3301515</v>
      </c>
      <c r="C152" s="1" t="str">
        <f>HYPERLINK("http://stackoverflow.com/users/3301515", "fujianjin6471")</f>
        <v>fujianjin6471</v>
      </c>
      <c r="D152" t="s">
        <v>5</v>
      </c>
      <c r="E152">
        <v>3969</v>
      </c>
    </row>
    <row r="153" spans="1:5" x14ac:dyDescent="0.25">
      <c r="A153">
        <v>152</v>
      </c>
      <c r="B153">
        <v>235026</v>
      </c>
      <c r="C153" s="1" t="str">
        <f>HYPERLINK("http://stackoverflow.com/users/235026", "Mingjiang Shi")</f>
        <v>Mingjiang Shi</v>
      </c>
      <c r="D153" t="s">
        <v>4</v>
      </c>
      <c r="E153">
        <v>3966</v>
      </c>
    </row>
    <row r="154" spans="1:5" x14ac:dyDescent="0.25">
      <c r="A154">
        <v>153</v>
      </c>
      <c r="B154">
        <v>553523</v>
      </c>
      <c r="C154" s="1" t="str">
        <f>HYPERLINK("http://stackoverflow.com/users/553523", "Ya Zhuang")</f>
        <v>Ya Zhuang</v>
      </c>
      <c r="D154" t="s">
        <v>5</v>
      </c>
      <c r="E154">
        <v>3946</v>
      </c>
    </row>
    <row r="155" spans="1:5" x14ac:dyDescent="0.25">
      <c r="A155">
        <v>154</v>
      </c>
      <c r="B155">
        <v>1099230</v>
      </c>
      <c r="C155" s="1" t="str">
        <f>HYPERLINK("http://stackoverflow.com/users/1099230", "luoluo")</f>
        <v>luoluo</v>
      </c>
      <c r="D155" t="s">
        <v>22</v>
      </c>
      <c r="E155">
        <v>3925</v>
      </c>
    </row>
    <row r="156" spans="1:5" x14ac:dyDescent="0.25">
      <c r="A156">
        <v>155</v>
      </c>
      <c r="B156">
        <v>1013947</v>
      </c>
      <c r="C156" s="1" t="str">
        <f>HYPERLINK("http://stackoverflow.com/users/1013947", "acoustic")</f>
        <v>acoustic</v>
      </c>
      <c r="D156" t="s">
        <v>22</v>
      </c>
      <c r="E156">
        <v>3906</v>
      </c>
    </row>
    <row r="157" spans="1:5" x14ac:dyDescent="0.25">
      <c r="A157">
        <v>156</v>
      </c>
      <c r="B157">
        <v>395213</v>
      </c>
      <c r="C157" s="1" t="str">
        <f>HYPERLINK("http://stackoverflow.com/users/395213", "cxa")</f>
        <v>cxa</v>
      </c>
      <c r="D157" t="s">
        <v>36</v>
      </c>
      <c r="E157">
        <v>3893</v>
      </c>
    </row>
    <row r="158" spans="1:5" x14ac:dyDescent="0.25">
      <c r="A158">
        <v>157</v>
      </c>
      <c r="B158">
        <v>698067</v>
      </c>
      <c r="C158" s="1" t="str">
        <f>HYPERLINK("http://stackoverflow.com/users/698067", "shihpeng")</f>
        <v>shihpeng</v>
      </c>
      <c r="D158" t="s">
        <v>16</v>
      </c>
      <c r="E158">
        <v>3859</v>
      </c>
    </row>
    <row r="159" spans="1:5" x14ac:dyDescent="0.25">
      <c r="A159">
        <v>158</v>
      </c>
      <c r="B159">
        <v>491071</v>
      </c>
      <c r="C159" s="1" t="str">
        <f>HYPERLINK("http://stackoverflow.com/users/491071", "number23_cn")</f>
        <v>number23_cn</v>
      </c>
      <c r="D159" t="s">
        <v>17</v>
      </c>
      <c r="E159">
        <v>3849</v>
      </c>
    </row>
    <row r="160" spans="1:5" x14ac:dyDescent="0.25">
      <c r="A160">
        <v>159</v>
      </c>
      <c r="B160">
        <v>513463</v>
      </c>
      <c r="C160" s="1" t="str">
        <f>HYPERLINK("http://stackoverflow.com/users/513463", "gjabel")</f>
        <v>gjabel</v>
      </c>
      <c r="D160" t="s">
        <v>4</v>
      </c>
      <c r="E160">
        <v>3844</v>
      </c>
    </row>
    <row r="161" spans="1:5" x14ac:dyDescent="0.25">
      <c r="A161">
        <v>160</v>
      </c>
      <c r="B161">
        <v>2303761</v>
      </c>
      <c r="C161" s="1" t="str">
        <f>HYPERLINK("http://stackoverflow.com/users/2303761", "YaOzI")</f>
        <v>YaOzI</v>
      </c>
      <c r="D161" t="s">
        <v>5</v>
      </c>
      <c r="E161">
        <v>3818</v>
      </c>
    </row>
    <row r="162" spans="1:5" x14ac:dyDescent="0.25">
      <c r="A162">
        <v>161</v>
      </c>
      <c r="B162">
        <v>1253826</v>
      </c>
      <c r="C162" s="1" t="str">
        <f>HYPERLINK("http://stackoverflow.com/users/1253826", "Yishu Fang")</f>
        <v>Yishu Fang</v>
      </c>
      <c r="D162" t="s">
        <v>4</v>
      </c>
      <c r="E162">
        <v>3801</v>
      </c>
    </row>
    <row r="163" spans="1:5" x14ac:dyDescent="0.25">
      <c r="A163">
        <v>162</v>
      </c>
      <c r="B163">
        <v>1090791</v>
      </c>
      <c r="C163" s="1" t="str">
        <f>HYPERLINK("http://stackoverflow.com/users/1090791", "gzc")</f>
        <v>gzc</v>
      </c>
      <c r="D163" t="s">
        <v>5</v>
      </c>
      <c r="E163">
        <v>3800</v>
      </c>
    </row>
    <row r="164" spans="1:5" x14ac:dyDescent="0.25">
      <c r="A164">
        <v>163</v>
      </c>
      <c r="B164">
        <v>2995449</v>
      </c>
      <c r="C164" s="1" t="str">
        <f>HYPERLINK("http://stackoverflow.com/users/2995449", "Zhaoxing Lu - Microsoft")</f>
        <v>Zhaoxing Lu - Microsoft</v>
      </c>
      <c r="D164" t="s">
        <v>4</v>
      </c>
      <c r="E164">
        <v>3763</v>
      </c>
    </row>
    <row r="165" spans="1:5" x14ac:dyDescent="0.25">
      <c r="A165">
        <v>164</v>
      </c>
      <c r="B165">
        <v>517477</v>
      </c>
      <c r="C165" s="1" t="str">
        <f>HYPERLINK("http://stackoverflow.com/users/517477", "denislexic")</f>
        <v>denislexic</v>
      </c>
      <c r="D165" t="s">
        <v>4</v>
      </c>
      <c r="E165">
        <v>3751</v>
      </c>
    </row>
    <row r="166" spans="1:5" x14ac:dyDescent="0.25">
      <c r="A166">
        <v>165</v>
      </c>
      <c r="B166">
        <v>1607051</v>
      </c>
      <c r="C166" s="1" t="str">
        <f>HYPERLINK("http://stackoverflow.com/users/1607051", "lulyon")</f>
        <v>lulyon</v>
      </c>
      <c r="D166" t="s">
        <v>5</v>
      </c>
      <c r="E166">
        <v>3720</v>
      </c>
    </row>
    <row r="167" spans="1:5" x14ac:dyDescent="0.25">
      <c r="A167">
        <v>166</v>
      </c>
      <c r="B167">
        <v>4010952</v>
      </c>
      <c r="C167" s="1" t="str">
        <f>HYPERLINK("http://stackoverflow.com/users/4010952", "Thinsky")</f>
        <v>Thinsky</v>
      </c>
      <c r="D167" t="s">
        <v>11</v>
      </c>
      <c r="E167">
        <v>3695</v>
      </c>
    </row>
    <row r="168" spans="1:5" x14ac:dyDescent="0.25">
      <c r="A168">
        <v>167</v>
      </c>
      <c r="B168">
        <v>2870532</v>
      </c>
      <c r="C168" s="1" t="str">
        <f>HYPERLINK("http://stackoverflow.com/users/2870532", "Tony")</f>
        <v>Tony</v>
      </c>
      <c r="D168" t="s">
        <v>37</v>
      </c>
      <c r="E168">
        <v>3679</v>
      </c>
    </row>
    <row r="169" spans="1:5" x14ac:dyDescent="0.25">
      <c r="A169">
        <v>168</v>
      </c>
      <c r="B169">
        <v>172265</v>
      </c>
      <c r="C169" s="1" t="str">
        <f>HYPERLINK("http://stackoverflow.com/users/172265", "lang2")</f>
        <v>lang2</v>
      </c>
      <c r="D169" t="s">
        <v>7</v>
      </c>
      <c r="E169">
        <v>3647</v>
      </c>
    </row>
    <row r="170" spans="1:5" x14ac:dyDescent="0.25">
      <c r="A170">
        <v>169</v>
      </c>
      <c r="B170">
        <v>2619324</v>
      </c>
      <c r="C170" s="1" t="str">
        <f>HYPERLINK("http://stackoverflow.com/users/2619324", "lazybug")</f>
        <v>lazybug</v>
      </c>
      <c r="D170" t="s">
        <v>5</v>
      </c>
      <c r="E170">
        <v>3646</v>
      </c>
    </row>
    <row r="171" spans="1:5" x14ac:dyDescent="0.25">
      <c r="A171">
        <v>170</v>
      </c>
      <c r="B171">
        <v>357685</v>
      </c>
      <c r="C171" s="1" t="str">
        <f>HYPERLINK("http://stackoverflow.com/users/357685", "freestyler")</f>
        <v>freestyler</v>
      </c>
      <c r="D171" t="s">
        <v>21</v>
      </c>
      <c r="E171">
        <v>3643</v>
      </c>
    </row>
    <row r="172" spans="1:5" x14ac:dyDescent="0.25">
      <c r="A172">
        <v>171</v>
      </c>
      <c r="B172">
        <v>702099</v>
      </c>
      <c r="C172" s="1" t="str">
        <f>HYPERLINK("http://stackoverflow.com/users/702099", "Jiang Qi")</f>
        <v>Jiang Qi</v>
      </c>
      <c r="D172" t="s">
        <v>5</v>
      </c>
      <c r="E172">
        <v>3642</v>
      </c>
    </row>
    <row r="173" spans="1:5" x14ac:dyDescent="0.25">
      <c r="A173">
        <v>172</v>
      </c>
      <c r="B173">
        <v>4029489</v>
      </c>
      <c r="C173" s="1" t="str">
        <f>HYPERLINK("http://stackoverflow.com/users/4029489", "nathanwhy")</f>
        <v>nathanwhy</v>
      </c>
      <c r="D173" t="s">
        <v>38</v>
      </c>
      <c r="E173">
        <v>3583</v>
      </c>
    </row>
    <row r="174" spans="1:5" x14ac:dyDescent="0.25">
      <c r="A174">
        <v>173</v>
      </c>
      <c r="B174">
        <v>1120704</v>
      </c>
      <c r="C174" s="1" t="str">
        <f>HYPERLINK("http://stackoverflow.com/users/1120704", "Shaun Xu")</f>
        <v>Shaun Xu</v>
      </c>
      <c r="D174" t="s">
        <v>39</v>
      </c>
      <c r="E174">
        <v>3543</v>
      </c>
    </row>
    <row r="175" spans="1:5" x14ac:dyDescent="0.25">
      <c r="A175">
        <v>174</v>
      </c>
      <c r="B175">
        <v>199587</v>
      </c>
      <c r="C175" s="1" t="str">
        <f>HYPERLINK("http://stackoverflow.com/users/199587", "tristan")</f>
        <v>tristan</v>
      </c>
      <c r="D175" t="s">
        <v>16</v>
      </c>
      <c r="E175">
        <v>3541</v>
      </c>
    </row>
    <row r="176" spans="1:5" x14ac:dyDescent="0.25">
      <c r="A176">
        <v>175</v>
      </c>
      <c r="B176">
        <v>760314</v>
      </c>
      <c r="C176" s="1" t="str">
        <f>HYPERLINK("http://stackoverflow.com/users/760314", "Ovilia")</f>
        <v>Ovilia</v>
      </c>
      <c r="D176" t="s">
        <v>4</v>
      </c>
      <c r="E176">
        <v>3471</v>
      </c>
    </row>
    <row r="177" spans="1:5" x14ac:dyDescent="0.25">
      <c r="A177">
        <v>176</v>
      </c>
      <c r="B177">
        <v>1858561</v>
      </c>
      <c r="C177" s="1" t="str">
        <f>HYPERLINK("http://stackoverflow.com/users/1858561", "Hunter Zhao")</f>
        <v>Hunter Zhao</v>
      </c>
      <c r="D177" t="s">
        <v>5</v>
      </c>
      <c r="E177">
        <v>3441</v>
      </c>
    </row>
    <row r="178" spans="1:5" x14ac:dyDescent="0.25">
      <c r="A178">
        <v>177</v>
      </c>
      <c r="B178">
        <v>2003079</v>
      </c>
      <c r="C178" s="1" t="str">
        <f>HYPERLINK("http://stackoverflow.com/users/2003079", "herrlich10")</f>
        <v>herrlich10</v>
      </c>
      <c r="D178" t="s">
        <v>5</v>
      </c>
      <c r="E178">
        <v>3401</v>
      </c>
    </row>
    <row r="179" spans="1:5" x14ac:dyDescent="0.25">
      <c r="A179">
        <v>178</v>
      </c>
      <c r="B179">
        <v>494441</v>
      </c>
      <c r="C179" s="1" t="str">
        <f>HYPERLINK("http://stackoverflow.com/users/494441", "Jimmy Huang")</f>
        <v>Jimmy Huang</v>
      </c>
      <c r="D179" t="s">
        <v>4</v>
      </c>
      <c r="E179">
        <v>3367</v>
      </c>
    </row>
    <row r="180" spans="1:5" x14ac:dyDescent="0.25">
      <c r="A180">
        <v>179</v>
      </c>
      <c r="B180">
        <v>804819</v>
      </c>
      <c r="C180" s="1" t="str">
        <f>HYPERLINK("http://stackoverflow.com/users/804819", "Skyler")</f>
        <v>Skyler</v>
      </c>
      <c r="D180" t="s">
        <v>5</v>
      </c>
      <c r="E180">
        <v>3366</v>
      </c>
    </row>
    <row r="181" spans="1:5" x14ac:dyDescent="0.25">
      <c r="A181">
        <v>180</v>
      </c>
      <c r="B181">
        <v>716435</v>
      </c>
      <c r="C181" s="1" t="str">
        <f>HYPERLINK("http://stackoverflow.com/users/716435", "WonderLand")</f>
        <v>WonderLand</v>
      </c>
      <c r="D181" t="s">
        <v>28</v>
      </c>
      <c r="E181">
        <v>3327</v>
      </c>
    </row>
    <row r="182" spans="1:5" x14ac:dyDescent="0.25">
      <c r="A182">
        <v>181</v>
      </c>
      <c r="B182">
        <v>343725</v>
      </c>
      <c r="C182" s="1" t="str">
        <f>HYPERLINK("http://stackoverflow.com/users/343725", "Chris Li")</f>
        <v>Chris Li</v>
      </c>
      <c r="D182" t="s">
        <v>5</v>
      </c>
      <c r="E182">
        <v>3288</v>
      </c>
    </row>
    <row r="183" spans="1:5" x14ac:dyDescent="0.25">
      <c r="A183">
        <v>182</v>
      </c>
      <c r="B183">
        <v>1650683</v>
      </c>
      <c r="C183" s="1" t="str">
        <f>HYPERLINK("http://stackoverflow.com/users/1650683", "Wesley")</f>
        <v>Wesley</v>
      </c>
      <c r="D183" t="s">
        <v>4</v>
      </c>
      <c r="E183">
        <v>3286</v>
      </c>
    </row>
    <row r="184" spans="1:5" x14ac:dyDescent="0.25">
      <c r="A184">
        <v>183</v>
      </c>
      <c r="B184">
        <v>1951254</v>
      </c>
      <c r="C184" s="1" t="str">
        <f>HYPERLINK("http://stackoverflow.com/users/1951254", "WangYudong")</f>
        <v>WangYudong</v>
      </c>
      <c r="D184" t="s">
        <v>4</v>
      </c>
      <c r="E184">
        <v>3269</v>
      </c>
    </row>
    <row r="185" spans="1:5" x14ac:dyDescent="0.25">
      <c r="A185">
        <v>184</v>
      </c>
      <c r="B185">
        <v>701745</v>
      </c>
      <c r="C185" s="1" t="str">
        <f>HYPERLINK("http://stackoverflow.com/users/701745", "shanegao")</f>
        <v>shanegao</v>
      </c>
      <c r="D185" t="s">
        <v>4</v>
      </c>
      <c r="E185">
        <v>3256</v>
      </c>
    </row>
    <row r="186" spans="1:5" x14ac:dyDescent="0.25">
      <c r="A186">
        <v>185</v>
      </c>
      <c r="B186">
        <v>125633</v>
      </c>
      <c r="C186" s="1" t="str">
        <f>HYPERLINK("http://stackoverflow.com/users/125633", "Zhu Tao")</f>
        <v>Zhu Tao</v>
      </c>
      <c r="D186" t="s">
        <v>5</v>
      </c>
      <c r="E186">
        <v>3243</v>
      </c>
    </row>
    <row r="187" spans="1:5" x14ac:dyDescent="0.25">
      <c r="A187">
        <v>186</v>
      </c>
      <c r="B187">
        <v>301373</v>
      </c>
      <c r="C187" s="1" t="str">
        <f>HYPERLINK("http://stackoverflow.com/users/301373", "sberder")</f>
        <v>sberder</v>
      </c>
      <c r="D187" t="s">
        <v>4</v>
      </c>
      <c r="E187">
        <v>3218</v>
      </c>
    </row>
    <row r="188" spans="1:5" x14ac:dyDescent="0.25">
      <c r="A188">
        <v>187</v>
      </c>
      <c r="B188">
        <v>4879270</v>
      </c>
      <c r="C188" s="1" t="str">
        <f>HYPERLINK("http://stackoverflow.com/users/4879270", "Windsooon")</f>
        <v>Windsooon</v>
      </c>
      <c r="D188" t="s">
        <v>21</v>
      </c>
      <c r="E188">
        <v>3216</v>
      </c>
    </row>
    <row r="189" spans="1:5" x14ac:dyDescent="0.25">
      <c r="A189">
        <v>188</v>
      </c>
      <c r="B189">
        <v>465620</v>
      </c>
      <c r="C189" s="1" t="str">
        <f>HYPERLINK("http://stackoverflow.com/users/465620", "Jerry Tian")</f>
        <v>Jerry Tian</v>
      </c>
      <c r="D189" t="s">
        <v>4</v>
      </c>
      <c r="E189">
        <v>3214</v>
      </c>
    </row>
    <row r="190" spans="1:5" x14ac:dyDescent="0.25">
      <c r="A190">
        <v>189</v>
      </c>
      <c r="B190">
        <v>557067</v>
      </c>
      <c r="C190" s="1" t="str">
        <f>HYPERLINK("http://stackoverflow.com/users/557067", "xiaohan2012")</f>
        <v>xiaohan2012</v>
      </c>
      <c r="D190" t="s">
        <v>8</v>
      </c>
      <c r="E190">
        <v>3212</v>
      </c>
    </row>
    <row r="191" spans="1:5" x14ac:dyDescent="0.25">
      <c r="A191">
        <v>190</v>
      </c>
      <c r="B191">
        <v>541462</v>
      </c>
      <c r="C191" s="1" t="str">
        <f>HYPERLINK("http://stackoverflow.com/users/541462", "johnny")</f>
        <v>johnny</v>
      </c>
      <c r="D191" t="s">
        <v>5</v>
      </c>
      <c r="E191">
        <v>3210</v>
      </c>
    </row>
    <row r="192" spans="1:5" x14ac:dyDescent="0.25">
      <c r="A192">
        <v>191</v>
      </c>
      <c r="B192">
        <v>533317</v>
      </c>
      <c r="C192" s="1" t="str">
        <f>HYPERLINK("http://stackoverflow.com/users/533317", "btpka3")</f>
        <v>btpka3</v>
      </c>
      <c r="D192" t="s">
        <v>12</v>
      </c>
      <c r="E192">
        <v>3201</v>
      </c>
    </row>
    <row r="193" spans="1:5" x14ac:dyDescent="0.25">
      <c r="A193">
        <v>192</v>
      </c>
      <c r="B193">
        <v>612428</v>
      </c>
      <c r="C193" s="1" t="str">
        <f>HYPERLINK("http://stackoverflow.com/users/612428", "Lanston")</f>
        <v>Lanston</v>
      </c>
      <c r="D193" t="s">
        <v>21</v>
      </c>
      <c r="E193">
        <v>3176</v>
      </c>
    </row>
    <row r="194" spans="1:5" x14ac:dyDescent="0.25">
      <c r="A194">
        <v>193</v>
      </c>
      <c r="B194">
        <v>692076</v>
      </c>
      <c r="C194" s="1" t="str">
        <f>HYPERLINK("http://stackoverflow.com/users/692076", "silverfox")</f>
        <v>silverfox</v>
      </c>
      <c r="D194" t="s">
        <v>4</v>
      </c>
      <c r="E194">
        <v>3168</v>
      </c>
    </row>
    <row r="195" spans="1:5" x14ac:dyDescent="0.25">
      <c r="A195">
        <v>194</v>
      </c>
      <c r="B195">
        <v>166482</v>
      </c>
      <c r="C195" s="1" t="str">
        <f>HYPERLINK("http://stackoverflow.com/users/166482", "xiao 啸")</f>
        <v>xiao 啸</v>
      </c>
      <c r="D195" t="s">
        <v>5</v>
      </c>
      <c r="E195">
        <v>3156</v>
      </c>
    </row>
    <row r="196" spans="1:5" x14ac:dyDescent="0.25">
      <c r="A196">
        <v>195</v>
      </c>
      <c r="B196">
        <v>1702485</v>
      </c>
      <c r="C196" s="1" t="str">
        <f>HYPERLINK("http://stackoverflow.com/users/1702485", "quexer")</f>
        <v>quexer</v>
      </c>
      <c r="D196" t="s">
        <v>5</v>
      </c>
      <c r="E196">
        <v>3128</v>
      </c>
    </row>
    <row r="197" spans="1:5" x14ac:dyDescent="0.25">
      <c r="A197">
        <v>196</v>
      </c>
      <c r="B197">
        <v>290284</v>
      </c>
      <c r="C197" s="1" t="str">
        <f>HYPERLINK("http://stackoverflow.com/users/290284", "Cui Pengfei 崔鹏飞")</f>
        <v>Cui Pengfei 崔鹏飞</v>
      </c>
      <c r="D197" t="s">
        <v>28</v>
      </c>
      <c r="E197">
        <v>3106</v>
      </c>
    </row>
    <row r="198" spans="1:5" x14ac:dyDescent="0.25">
      <c r="A198">
        <v>197</v>
      </c>
      <c r="B198">
        <v>2416313</v>
      </c>
      <c r="C198" s="1" t="str">
        <f>HYPERLINK("http://stackoverflow.com/users/2416313", "Thirumalai Parthasarathi")</f>
        <v>Thirumalai Parthasarathi</v>
      </c>
      <c r="D198" t="s">
        <v>4</v>
      </c>
      <c r="E198">
        <v>3089</v>
      </c>
    </row>
    <row r="199" spans="1:5" x14ac:dyDescent="0.25">
      <c r="A199">
        <v>198</v>
      </c>
      <c r="B199">
        <v>5407270</v>
      </c>
      <c r="C199" s="1" t="str">
        <f>HYPERLINK("http://stackoverflow.com/users/5407270", "Andriy Makukha")</f>
        <v>Andriy Makukha</v>
      </c>
      <c r="D199" t="s">
        <v>7</v>
      </c>
      <c r="E199">
        <v>3042</v>
      </c>
    </row>
    <row r="200" spans="1:5" x14ac:dyDescent="0.25">
      <c r="A200">
        <v>199</v>
      </c>
      <c r="B200">
        <v>1317035</v>
      </c>
      <c r="C200" s="1" t="str">
        <f>HYPERLINK("http://stackoverflow.com/users/1317035", "nickleefly")</f>
        <v>nickleefly</v>
      </c>
      <c r="D200" t="s">
        <v>4</v>
      </c>
      <c r="E200">
        <v>3035</v>
      </c>
    </row>
    <row r="201" spans="1:5" x14ac:dyDescent="0.25">
      <c r="A201">
        <v>200</v>
      </c>
      <c r="B201">
        <v>922727</v>
      </c>
      <c r="C201" s="1" t="str">
        <f>HYPERLINK("http://stackoverflow.com/users/922727", "adamsmith")</f>
        <v>adamsmith</v>
      </c>
      <c r="D201" t="s">
        <v>5</v>
      </c>
      <c r="E201">
        <v>3030</v>
      </c>
    </row>
    <row r="202" spans="1:5" x14ac:dyDescent="0.25">
      <c r="A202">
        <v>201</v>
      </c>
      <c r="B202">
        <v>782114</v>
      </c>
      <c r="C202" s="1" t="str">
        <f>HYPERLINK("http://stackoverflow.com/users/782114", "iloahz")</f>
        <v>iloahz</v>
      </c>
      <c r="D202" t="s">
        <v>5</v>
      </c>
      <c r="E202">
        <v>3025</v>
      </c>
    </row>
    <row r="203" spans="1:5" x14ac:dyDescent="0.25">
      <c r="A203">
        <v>202</v>
      </c>
      <c r="B203">
        <v>70198</v>
      </c>
      <c r="C203" s="1" t="str">
        <f>HYPERLINK("http://stackoverflow.com/users/70198", "Baiyan Huang")</f>
        <v>Baiyan Huang</v>
      </c>
      <c r="D203" t="s">
        <v>4</v>
      </c>
      <c r="E203">
        <v>3024</v>
      </c>
    </row>
    <row r="204" spans="1:5" x14ac:dyDescent="0.25">
      <c r="A204">
        <v>203</v>
      </c>
      <c r="B204">
        <v>511562</v>
      </c>
      <c r="C204" s="1" t="str">
        <f>HYPERLINK("http://stackoverflow.com/users/511562", "Willem Jiang")</f>
        <v>Willem Jiang</v>
      </c>
      <c r="D204" t="s">
        <v>5</v>
      </c>
      <c r="E204">
        <v>3003</v>
      </c>
    </row>
    <row r="205" spans="1:5" x14ac:dyDescent="0.25">
      <c r="A205">
        <v>204</v>
      </c>
      <c r="B205">
        <v>1125197</v>
      </c>
      <c r="C205" s="1" t="str">
        <f>HYPERLINK("http://stackoverflow.com/users/1125197", "lichengwu")</f>
        <v>lichengwu</v>
      </c>
      <c r="D205" t="s">
        <v>5</v>
      </c>
      <c r="E205">
        <v>2999</v>
      </c>
    </row>
    <row r="206" spans="1:5" x14ac:dyDescent="0.25">
      <c r="A206">
        <v>205</v>
      </c>
      <c r="B206">
        <v>2714931</v>
      </c>
      <c r="C206" s="1" t="str">
        <f>HYPERLINK("http://stackoverflow.com/users/2714931", "WeizhongTu")</f>
        <v>WeizhongTu</v>
      </c>
      <c r="D206" t="s">
        <v>8</v>
      </c>
      <c r="E206">
        <v>2989</v>
      </c>
    </row>
    <row r="207" spans="1:5" x14ac:dyDescent="0.25">
      <c r="A207">
        <v>206</v>
      </c>
      <c r="B207">
        <v>3630826</v>
      </c>
      <c r="C207" s="1" t="str">
        <f>HYPERLINK("http://stackoverflow.com/users/3630826", "Jaugar Chang")</f>
        <v>Jaugar Chang</v>
      </c>
      <c r="D207" t="s">
        <v>4</v>
      </c>
      <c r="E207">
        <v>2986</v>
      </c>
    </row>
    <row r="208" spans="1:5" x14ac:dyDescent="0.25">
      <c r="A208">
        <v>207</v>
      </c>
      <c r="B208">
        <v>2081311</v>
      </c>
      <c r="C208" s="1" t="str">
        <f>HYPERLINK("http://stackoverflow.com/users/2081311", "DocKimbel")</f>
        <v>DocKimbel</v>
      </c>
      <c r="D208" t="s">
        <v>5</v>
      </c>
      <c r="E208">
        <v>2969</v>
      </c>
    </row>
    <row r="209" spans="1:5" x14ac:dyDescent="0.25">
      <c r="A209">
        <v>208</v>
      </c>
      <c r="B209">
        <v>719278</v>
      </c>
      <c r="C209" s="1" t="str">
        <f>HYPERLINK("http://stackoverflow.com/users/719278", "Junchen Liu")</f>
        <v>Junchen Liu</v>
      </c>
      <c r="D209" t="s">
        <v>40</v>
      </c>
      <c r="E209">
        <v>2957</v>
      </c>
    </row>
    <row r="210" spans="1:5" x14ac:dyDescent="0.25">
      <c r="A210">
        <v>209</v>
      </c>
      <c r="B210">
        <v>4314588</v>
      </c>
      <c r="C210" s="1" t="str">
        <f>HYPERLINK("http://stackoverflow.com/users/4314588", "schankam")</f>
        <v>schankam</v>
      </c>
      <c r="D210" t="s">
        <v>4</v>
      </c>
      <c r="E210">
        <v>2949</v>
      </c>
    </row>
    <row r="211" spans="1:5" x14ac:dyDescent="0.25">
      <c r="A211">
        <v>210</v>
      </c>
      <c r="B211">
        <v>780764</v>
      </c>
      <c r="C211" s="1" t="str">
        <f>HYPERLINK("http://stackoverflow.com/users/780764", "HungYuHei")</f>
        <v>HungYuHei</v>
      </c>
      <c r="D211" t="s">
        <v>41</v>
      </c>
      <c r="E211">
        <v>2944</v>
      </c>
    </row>
    <row r="212" spans="1:5" x14ac:dyDescent="0.25">
      <c r="A212">
        <v>211</v>
      </c>
      <c r="B212">
        <v>711717</v>
      </c>
      <c r="C212" s="1" t="str">
        <f>HYPERLINK("http://stackoverflow.com/users/711717", "FelisCatus")</f>
        <v>FelisCatus</v>
      </c>
      <c r="D212" t="s">
        <v>4</v>
      </c>
      <c r="E212">
        <v>2941</v>
      </c>
    </row>
    <row r="213" spans="1:5" x14ac:dyDescent="0.25">
      <c r="A213">
        <v>212</v>
      </c>
      <c r="B213">
        <v>2361308</v>
      </c>
      <c r="C213" s="1" t="str">
        <f>HYPERLINK("http://stackoverflow.com/users/2361308", "Hearen")</f>
        <v>Hearen</v>
      </c>
      <c r="D213" t="s">
        <v>4</v>
      </c>
      <c r="E213">
        <v>2930</v>
      </c>
    </row>
    <row r="214" spans="1:5" x14ac:dyDescent="0.25">
      <c r="A214">
        <v>213</v>
      </c>
      <c r="B214">
        <v>971070</v>
      </c>
      <c r="C214" s="1" t="str">
        <f>HYPERLINK("http://stackoverflow.com/users/971070", "Hong Duan")</f>
        <v>Hong Duan</v>
      </c>
      <c r="D214" t="s">
        <v>17</v>
      </c>
      <c r="E214">
        <v>2910</v>
      </c>
    </row>
    <row r="215" spans="1:5" x14ac:dyDescent="0.25">
      <c r="A215">
        <v>214</v>
      </c>
      <c r="B215">
        <v>4883974</v>
      </c>
      <c r="C215" s="1" t="str">
        <f>HYPERLINK("http://stackoverflow.com/users/4883974", "Bright Future")</f>
        <v>Bright Future</v>
      </c>
      <c r="D215" t="s">
        <v>5</v>
      </c>
      <c r="E215">
        <v>2895</v>
      </c>
    </row>
    <row r="216" spans="1:5" x14ac:dyDescent="0.25">
      <c r="A216">
        <v>215</v>
      </c>
      <c r="B216">
        <v>903888</v>
      </c>
      <c r="C216" s="1" t="str">
        <f>HYPERLINK("http://stackoverflow.com/users/903888", "Robby Shaw")</f>
        <v>Robby Shaw</v>
      </c>
      <c r="D216" t="s">
        <v>12</v>
      </c>
      <c r="E216">
        <v>2874</v>
      </c>
    </row>
    <row r="217" spans="1:5" x14ac:dyDescent="0.25">
      <c r="A217">
        <v>216</v>
      </c>
      <c r="B217">
        <v>1219343</v>
      </c>
      <c r="C217" s="1" t="str">
        <f>HYPERLINK("http://stackoverflow.com/users/1219343", "Cam Song")</f>
        <v>Cam Song</v>
      </c>
      <c r="D217" t="s">
        <v>4</v>
      </c>
      <c r="E217">
        <v>2858</v>
      </c>
    </row>
    <row r="218" spans="1:5" x14ac:dyDescent="0.25">
      <c r="A218">
        <v>217</v>
      </c>
      <c r="B218">
        <v>431698</v>
      </c>
      <c r="C218" s="1" t="str">
        <f>HYPERLINK("http://stackoverflow.com/users/431698", "Jingguo Yao")</f>
        <v>Jingguo Yao</v>
      </c>
      <c r="D218" t="s">
        <v>5</v>
      </c>
      <c r="E218">
        <v>2855</v>
      </c>
    </row>
    <row r="219" spans="1:5" x14ac:dyDescent="0.25">
      <c r="A219">
        <v>218</v>
      </c>
      <c r="B219">
        <v>73048</v>
      </c>
      <c r="C219" s="1" t="str">
        <f>HYPERLINK("http://stackoverflow.com/users/73048", "linjunhalida")</f>
        <v>linjunhalida</v>
      </c>
      <c r="D219" t="s">
        <v>4</v>
      </c>
      <c r="E219">
        <v>2847</v>
      </c>
    </row>
    <row r="220" spans="1:5" x14ac:dyDescent="0.25">
      <c r="A220">
        <v>219</v>
      </c>
      <c r="B220">
        <v>1082697</v>
      </c>
      <c r="C220" s="1" t="str">
        <f>HYPERLINK("http://stackoverflow.com/users/1082697", "NewPtone")</f>
        <v>NewPtone</v>
      </c>
      <c r="D220" t="s">
        <v>5</v>
      </c>
      <c r="E220">
        <v>2837</v>
      </c>
    </row>
    <row r="221" spans="1:5" x14ac:dyDescent="0.25">
      <c r="A221">
        <v>220</v>
      </c>
      <c r="B221">
        <v>290617</v>
      </c>
      <c r="C221" s="1" t="str">
        <f>HYPERLINK("http://stackoverflow.com/users/290617", "Mouhong Lin")</f>
        <v>Mouhong Lin</v>
      </c>
      <c r="D221" t="s">
        <v>38</v>
      </c>
      <c r="E221">
        <v>2814</v>
      </c>
    </row>
    <row r="222" spans="1:5" x14ac:dyDescent="0.25">
      <c r="A222">
        <v>221</v>
      </c>
      <c r="B222">
        <v>333392</v>
      </c>
      <c r="C222" s="1" t="str">
        <f>HYPERLINK("http://stackoverflow.com/users/333392", "ZhangChn")</f>
        <v>ZhangChn</v>
      </c>
      <c r="D222" t="s">
        <v>5</v>
      </c>
      <c r="E222">
        <v>2796</v>
      </c>
    </row>
    <row r="223" spans="1:5" x14ac:dyDescent="0.25">
      <c r="A223">
        <v>222</v>
      </c>
      <c r="B223">
        <v>1881299</v>
      </c>
      <c r="C223" s="1" t="str">
        <f>HYPERLINK("http://stackoverflow.com/users/1881299", "nicky_zs")</f>
        <v>nicky_zs</v>
      </c>
      <c r="D223" t="s">
        <v>5</v>
      </c>
      <c r="E223">
        <v>2784</v>
      </c>
    </row>
    <row r="224" spans="1:5" x14ac:dyDescent="0.25">
      <c r="A224">
        <v>223</v>
      </c>
      <c r="B224">
        <v>3252800</v>
      </c>
      <c r="C224" s="1" t="str">
        <f>HYPERLINK("http://stackoverflow.com/users/3252800", "weigan")</f>
        <v>weigan</v>
      </c>
      <c r="D224" t="s">
        <v>15</v>
      </c>
      <c r="E224">
        <v>2784</v>
      </c>
    </row>
    <row r="225" spans="1:5" x14ac:dyDescent="0.25">
      <c r="A225">
        <v>224</v>
      </c>
      <c r="B225">
        <v>4890577</v>
      </c>
      <c r="C225" s="1" t="str">
        <f>HYPERLINK("http://stackoverflow.com/users/4890577", "lord63. j")</f>
        <v>lord63. j</v>
      </c>
      <c r="D225" t="s">
        <v>4</v>
      </c>
      <c r="E225">
        <v>2774</v>
      </c>
    </row>
    <row r="226" spans="1:5" x14ac:dyDescent="0.25">
      <c r="A226">
        <v>225</v>
      </c>
      <c r="B226">
        <v>234672</v>
      </c>
      <c r="C226" s="1" t="str">
        <f>HYPERLINK("http://stackoverflow.com/users/234672", "allenwei")</f>
        <v>allenwei</v>
      </c>
      <c r="D226" t="s">
        <v>5</v>
      </c>
      <c r="E226">
        <v>2764</v>
      </c>
    </row>
    <row r="227" spans="1:5" x14ac:dyDescent="0.25">
      <c r="A227">
        <v>226</v>
      </c>
      <c r="B227">
        <v>3326749</v>
      </c>
      <c r="C227" s="1" t="str">
        <f>HYPERLINK("http://stackoverflow.com/users/3326749", "e-cloud")</f>
        <v>e-cloud</v>
      </c>
      <c r="D227" t="s">
        <v>42</v>
      </c>
      <c r="E227">
        <v>2751</v>
      </c>
    </row>
    <row r="228" spans="1:5" x14ac:dyDescent="0.25">
      <c r="A228">
        <v>227</v>
      </c>
      <c r="B228">
        <v>2656747</v>
      </c>
      <c r="C228" s="1" t="str">
        <f>HYPERLINK("http://stackoverflow.com/users/2656747", "NooBskie")</f>
        <v>NooBskie</v>
      </c>
      <c r="D228" t="s">
        <v>4</v>
      </c>
      <c r="E228">
        <v>2741</v>
      </c>
    </row>
    <row r="229" spans="1:5" x14ac:dyDescent="0.25">
      <c r="A229">
        <v>228</v>
      </c>
      <c r="B229">
        <v>1677041</v>
      </c>
      <c r="C229" s="1" t="str">
        <f>HYPERLINK("http://stackoverflow.com/users/1677041", "Itachi")</f>
        <v>Itachi</v>
      </c>
      <c r="D229" t="s">
        <v>5</v>
      </c>
      <c r="E229">
        <v>2740</v>
      </c>
    </row>
    <row r="230" spans="1:5" x14ac:dyDescent="0.25">
      <c r="A230">
        <v>229</v>
      </c>
      <c r="B230">
        <v>76705</v>
      </c>
      <c r="C230" s="1" t="str">
        <f>HYPERLINK("http://stackoverflow.com/users/76705", "Wang Dingwei")</f>
        <v>Wang Dingwei</v>
      </c>
      <c r="D230" t="s">
        <v>4</v>
      </c>
      <c r="E230">
        <v>2733</v>
      </c>
    </row>
    <row r="231" spans="1:5" x14ac:dyDescent="0.25">
      <c r="A231">
        <v>230</v>
      </c>
      <c r="B231">
        <v>9035237</v>
      </c>
      <c r="C231" s="1" t="str">
        <f>HYPERLINK("http://stackoverflow.com/users/9035237", "Geno Chen")</f>
        <v>Geno Chen</v>
      </c>
      <c r="D231" t="s">
        <v>25</v>
      </c>
      <c r="E231">
        <v>2731</v>
      </c>
    </row>
    <row r="232" spans="1:5" x14ac:dyDescent="0.25">
      <c r="A232">
        <v>231</v>
      </c>
      <c r="B232">
        <v>376445</v>
      </c>
      <c r="C232" s="1" t="str">
        <f>HYPERLINK("http://stackoverflow.com/users/376445", "Sam Stoelinga")</f>
        <v>Sam Stoelinga</v>
      </c>
      <c r="D232" t="s">
        <v>5</v>
      </c>
      <c r="E232">
        <v>2730</v>
      </c>
    </row>
    <row r="233" spans="1:5" x14ac:dyDescent="0.25">
      <c r="A233">
        <v>232</v>
      </c>
      <c r="B233">
        <v>802646</v>
      </c>
      <c r="C233" s="1" t="str">
        <f>HYPERLINK("http://stackoverflow.com/users/802646", "Fishdrowned")</f>
        <v>Fishdrowned</v>
      </c>
      <c r="D233" t="s">
        <v>21</v>
      </c>
      <c r="E233">
        <v>2708</v>
      </c>
    </row>
    <row r="234" spans="1:5" x14ac:dyDescent="0.25">
      <c r="A234">
        <v>233</v>
      </c>
      <c r="B234">
        <v>5934465</v>
      </c>
      <c r="C234" s="1" t="str">
        <f>HYPERLINK("http://stackoverflow.com/users/5934465", "xgqfrms")</f>
        <v>xgqfrms</v>
      </c>
      <c r="D234" t="s">
        <v>4</v>
      </c>
      <c r="E234">
        <v>2682</v>
      </c>
    </row>
    <row r="235" spans="1:5" x14ac:dyDescent="0.25">
      <c r="A235">
        <v>234</v>
      </c>
      <c r="B235">
        <v>2571872</v>
      </c>
      <c r="C235" s="1" t="str">
        <f>HYPERLINK("http://stackoverflow.com/users/2571872", "Daniel Lin")</f>
        <v>Daniel Lin</v>
      </c>
      <c r="D235" t="s">
        <v>12</v>
      </c>
      <c r="E235">
        <v>2675</v>
      </c>
    </row>
    <row r="236" spans="1:5" x14ac:dyDescent="0.25">
      <c r="A236">
        <v>235</v>
      </c>
      <c r="B236">
        <v>1340742</v>
      </c>
      <c r="C236" s="1" t="str">
        <f>HYPERLINK("http://stackoverflow.com/users/1340742", "Richard Ambler")</f>
        <v>Richard Ambler</v>
      </c>
      <c r="D236" t="s">
        <v>5</v>
      </c>
      <c r="E236">
        <v>2670</v>
      </c>
    </row>
    <row r="237" spans="1:5" x14ac:dyDescent="0.25">
      <c r="A237">
        <v>236</v>
      </c>
      <c r="B237">
        <v>481343</v>
      </c>
      <c r="C237" s="1" t="str">
        <f>HYPERLINK("http://stackoverflow.com/users/481343", "Jintian DENG")</f>
        <v>Jintian DENG</v>
      </c>
      <c r="D237" t="s">
        <v>12</v>
      </c>
      <c r="E237">
        <v>2669</v>
      </c>
    </row>
    <row r="238" spans="1:5" x14ac:dyDescent="0.25">
      <c r="A238">
        <v>237</v>
      </c>
      <c r="B238">
        <v>756651</v>
      </c>
      <c r="C238" s="1" t="str">
        <f>HYPERLINK("http://stackoverflow.com/users/756651", "Yuankun")</f>
        <v>Yuankun</v>
      </c>
      <c r="D238" t="s">
        <v>5</v>
      </c>
      <c r="E238">
        <v>2644</v>
      </c>
    </row>
    <row r="239" spans="1:5" x14ac:dyDescent="0.25">
      <c r="A239">
        <v>238</v>
      </c>
      <c r="B239">
        <v>544251</v>
      </c>
      <c r="C239" s="1" t="str">
        <f>HYPERLINK("http://stackoverflow.com/users/544251", "jianpx")</f>
        <v>jianpx</v>
      </c>
      <c r="D239" t="s">
        <v>21</v>
      </c>
      <c r="E239">
        <v>2635</v>
      </c>
    </row>
    <row r="240" spans="1:5" x14ac:dyDescent="0.25">
      <c r="A240">
        <v>239</v>
      </c>
      <c r="B240">
        <v>1058916</v>
      </c>
      <c r="C240" s="1" t="str">
        <f>HYPERLINK("http://stackoverflow.com/users/1058916", "fefe")</f>
        <v>fefe</v>
      </c>
      <c r="D240" t="s">
        <v>5</v>
      </c>
      <c r="E240">
        <v>2616</v>
      </c>
    </row>
    <row r="241" spans="1:5" x14ac:dyDescent="0.25">
      <c r="A241">
        <v>240</v>
      </c>
      <c r="B241">
        <v>6879870</v>
      </c>
      <c r="C241" s="1" t="str">
        <f>HYPERLINK("http://stackoverflow.com/users/6879870", "songxunzhao")</f>
        <v>songxunzhao</v>
      </c>
      <c r="D241" t="s">
        <v>33</v>
      </c>
      <c r="E241">
        <v>2609</v>
      </c>
    </row>
    <row r="242" spans="1:5" x14ac:dyDescent="0.25">
      <c r="A242">
        <v>241</v>
      </c>
      <c r="B242">
        <v>3164480</v>
      </c>
      <c r="C242" s="1" t="str">
        <f>HYPERLINK("http://stackoverflow.com/users/3164480", "Feng Zhao")</f>
        <v>Feng Zhao</v>
      </c>
      <c r="D242" t="s">
        <v>4</v>
      </c>
      <c r="E242">
        <v>2604</v>
      </c>
    </row>
    <row r="243" spans="1:5" x14ac:dyDescent="0.25">
      <c r="A243">
        <v>242</v>
      </c>
      <c r="B243">
        <v>1976791</v>
      </c>
      <c r="C243" s="1" t="str">
        <f>HYPERLINK("http://stackoverflow.com/users/1976791", "ZZY")</f>
        <v>ZZY</v>
      </c>
      <c r="D243" t="s">
        <v>43</v>
      </c>
      <c r="E243">
        <v>2583</v>
      </c>
    </row>
    <row r="244" spans="1:5" x14ac:dyDescent="0.25">
      <c r="A244">
        <v>243</v>
      </c>
      <c r="B244">
        <v>2688133</v>
      </c>
      <c r="C244" s="1" t="str">
        <f>HYPERLINK("http://stackoverflow.com/users/2688133", "libra")</f>
        <v>libra</v>
      </c>
      <c r="D244" t="s">
        <v>4</v>
      </c>
      <c r="E244">
        <v>2580</v>
      </c>
    </row>
    <row r="245" spans="1:5" x14ac:dyDescent="0.25">
      <c r="A245">
        <v>244</v>
      </c>
      <c r="B245">
        <v>1398065</v>
      </c>
      <c r="C245" s="1" t="str">
        <f>HYPERLINK("http://stackoverflow.com/users/1398065", "shellbye")</f>
        <v>shellbye</v>
      </c>
      <c r="D245" t="s">
        <v>5</v>
      </c>
      <c r="E245">
        <v>2570</v>
      </c>
    </row>
    <row r="246" spans="1:5" x14ac:dyDescent="0.25">
      <c r="A246">
        <v>245</v>
      </c>
      <c r="B246">
        <v>328591</v>
      </c>
      <c r="C246" s="1" t="str">
        <f>HYPERLINK("http://stackoverflow.com/users/328591", "Arrix")</f>
        <v>Arrix</v>
      </c>
      <c r="D246" t="s">
        <v>22</v>
      </c>
      <c r="E246">
        <v>2550</v>
      </c>
    </row>
    <row r="247" spans="1:5" x14ac:dyDescent="0.25">
      <c r="A247">
        <v>246</v>
      </c>
      <c r="B247">
        <v>3192519</v>
      </c>
      <c r="C247" s="1" t="str">
        <f>HYPERLINK("http://stackoverflow.com/users/3192519", "Weibo Li")</f>
        <v>Weibo Li</v>
      </c>
      <c r="D247" t="s">
        <v>5</v>
      </c>
      <c r="E247">
        <v>2544</v>
      </c>
    </row>
    <row r="248" spans="1:5" x14ac:dyDescent="0.25">
      <c r="A248">
        <v>247</v>
      </c>
      <c r="B248">
        <v>770618</v>
      </c>
      <c r="C248" s="1" t="str">
        <f>HYPERLINK("http://stackoverflow.com/users/770618", "Hao")</f>
        <v>Hao</v>
      </c>
      <c r="D248" t="s">
        <v>5</v>
      </c>
      <c r="E248">
        <v>2539</v>
      </c>
    </row>
    <row r="249" spans="1:5" x14ac:dyDescent="0.25">
      <c r="A249">
        <v>248</v>
      </c>
      <c r="B249">
        <v>257577</v>
      </c>
      <c r="C249" s="1" t="str">
        <f>HYPERLINK("http://stackoverflow.com/users/257577", "Niklas Berglund")</f>
        <v>Niklas Berglund</v>
      </c>
      <c r="D249" t="s">
        <v>22</v>
      </c>
      <c r="E249">
        <v>2528</v>
      </c>
    </row>
    <row r="250" spans="1:5" x14ac:dyDescent="0.25">
      <c r="A250">
        <v>249</v>
      </c>
      <c r="B250">
        <v>498996</v>
      </c>
      <c r="C250" s="1" t="str">
        <f>HYPERLINK("http://stackoverflow.com/users/498996", "LazarusX")</f>
        <v>LazarusX</v>
      </c>
      <c r="D250" t="s">
        <v>4</v>
      </c>
      <c r="E250">
        <v>2489</v>
      </c>
    </row>
    <row r="251" spans="1:5" x14ac:dyDescent="0.25">
      <c r="A251">
        <v>250</v>
      </c>
      <c r="B251">
        <v>1122665</v>
      </c>
      <c r="C251" s="1" t="str">
        <f>HYPERLINK("http://stackoverflow.com/users/1122665", "rAy")</f>
        <v>rAy</v>
      </c>
      <c r="D251" t="s">
        <v>4</v>
      </c>
      <c r="E251">
        <v>2476</v>
      </c>
    </row>
    <row r="252" spans="1:5" x14ac:dyDescent="0.25">
      <c r="A252">
        <v>251</v>
      </c>
      <c r="B252">
        <v>3555300</v>
      </c>
      <c r="C252" s="1" t="str">
        <f>HYPERLINK("http://stackoverflow.com/users/3555300", "Jiang YD")</f>
        <v>Jiang YD</v>
      </c>
      <c r="D252" t="s">
        <v>4</v>
      </c>
      <c r="E252">
        <v>2467</v>
      </c>
    </row>
    <row r="253" spans="1:5" x14ac:dyDescent="0.25">
      <c r="A253">
        <v>252</v>
      </c>
      <c r="B253">
        <v>1613047</v>
      </c>
      <c r="C253" s="1" t="str">
        <f>HYPERLINK("http://stackoverflow.com/users/1613047", "Aero Wang")</f>
        <v>Aero Wang</v>
      </c>
      <c r="D253" t="s">
        <v>4</v>
      </c>
      <c r="E253">
        <v>2465</v>
      </c>
    </row>
    <row r="254" spans="1:5" x14ac:dyDescent="0.25">
      <c r="A254">
        <v>253</v>
      </c>
      <c r="B254">
        <v>1661640</v>
      </c>
      <c r="C254" s="1" t="str">
        <f>HYPERLINK("http://stackoverflow.com/users/1661640", "AGamePlayer")</f>
        <v>AGamePlayer</v>
      </c>
      <c r="D254" t="s">
        <v>5</v>
      </c>
      <c r="E254">
        <v>2465</v>
      </c>
    </row>
    <row r="255" spans="1:5" x14ac:dyDescent="0.25">
      <c r="A255">
        <v>254</v>
      </c>
      <c r="B255">
        <v>767177</v>
      </c>
      <c r="C255" s="1" t="str">
        <f>HYPERLINK("http://stackoverflow.com/users/767177", "Thinking80s")</f>
        <v>Thinking80s</v>
      </c>
      <c r="D255" t="s">
        <v>17</v>
      </c>
      <c r="E255">
        <v>2462</v>
      </c>
    </row>
    <row r="256" spans="1:5" x14ac:dyDescent="0.25">
      <c r="A256">
        <v>255</v>
      </c>
      <c r="B256">
        <v>3183946</v>
      </c>
      <c r="C256" s="1" t="str">
        <f>HYPERLINK("http://stackoverflow.com/users/3183946", "sme")</f>
        <v>sme</v>
      </c>
      <c r="D256" t="s">
        <v>44</v>
      </c>
      <c r="E256">
        <v>2404</v>
      </c>
    </row>
    <row r="257" spans="1:5" x14ac:dyDescent="0.25">
      <c r="A257">
        <v>256</v>
      </c>
      <c r="B257">
        <v>1770716</v>
      </c>
      <c r="C257" s="1" t="str">
        <f>HYPERLINK("http://stackoverflow.com/users/1770716", "BlackJoker")</f>
        <v>BlackJoker</v>
      </c>
      <c r="D257" t="s">
        <v>17</v>
      </c>
      <c r="E257">
        <v>2391</v>
      </c>
    </row>
    <row r="258" spans="1:5" x14ac:dyDescent="0.25">
      <c r="A258">
        <v>257</v>
      </c>
      <c r="B258">
        <v>3013527</v>
      </c>
      <c r="C258" s="1" t="str">
        <f>HYPERLINK("http://stackoverflow.com/users/3013527", "GuangshengZuo")</f>
        <v>GuangshengZuo</v>
      </c>
      <c r="D258" t="s">
        <v>5</v>
      </c>
      <c r="E258">
        <v>2388</v>
      </c>
    </row>
    <row r="259" spans="1:5" x14ac:dyDescent="0.25">
      <c r="A259">
        <v>258</v>
      </c>
      <c r="B259">
        <v>1217497</v>
      </c>
      <c r="C259" s="1" t="str">
        <f>HYPERLINK("http://stackoverflow.com/users/1217497", "imwilsonxu")</f>
        <v>imwilsonxu</v>
      </c>
      <c r="D259" t="s">
        <v>12</v>
      </c>
      <c r="E259">
        <v>2384</v>
      </c>
    </row>
    <row r="260" spans="1:5" x14ac:dyDescent="0.25">
      <c r="A260">
        <v>259</v>
      </c>
      <c r="B260">
        <v>4810504</v>
      </c>
      <c r="C260" s="1" t="str">
        <f>HYPERLINK("http://stackoverflow.com/users/4810504", "Tom Van Rompaey")</f>
        <v>Tom Van Rompaey</v>
      </c>
      <c r="D260" t="s">
        <v>4</v>
      </c>
      <c r="E260">
        <v>2378</v>
      </c>
    </row>
    <row r="261" spans="1:5" x14ac:dyDescent="0.25">
      <c r="A261">
        <v>260</v>
      </c>
      <c r="B261">
        <v>5383649</v>
      </c>
      <c r="C261" s="1" t="str">
        <f>HYPERLINK("http://stackoverflow.com/users/5383649", "Ryan Huang")</f>
        <v>Ryan Huang</v>
      </c>
      <c r="D261" t="s">
        <v>5</v>
      </c>
      <c r="E261">
        <v>2361</v>
      </c>
    </row>
    <row r="262" spans="1:5" x14ac:dyDescent="0.25">
      <c r="A262">
        <v>261</v>
      </c>
      <c r="B262">
        <v>1540290</v>
      </c>
      <c r="C262" s="1" t="str">
        <f>HYPERLINK("http://stackoverflow.com/users/1540290", "Lukasz Muzyka")</f>
        <v>Lukasz Muzyka</v>
      </c>
      <c r="D262" t="s">
        <v>4</v>
      </c>
      <c r="E262">
        <v>2361</v>
      </c>
    </row>
    <row r="263" spans="1:5" x14ac:dyDescent="0.25">
      <c r="A263">
        <v>262</v>
      </c>
      <c r="B263">
        <v>1725986</v>
      </c>
      <c r="C263" s="1" t="str">
        <f>HYPERLINK("http://stackoverflow.com/users/1725986", "bnuhero")</f>
        <v>bnuhero</v>
      </c>
      <c r="D263" t="s">
        <v>21</v>
      </c>
      <c r="E263">
        <v>2354</v>
      </c>
    </row>
    <row r="264" spans="1:5" x14ac:dyDescent="0.25">
      <c r="A264">
        <v>263</v>
      </c>
      <c r="B264">
        <v>1702174</v>
      </c>
      <c r="C264" s="1" t="str">
        <f>HYPERLINK("http://stackoverflow.com/users/1702174", "lijinma")</f>
        <v>lijinma</v>
      </c>
      <c r="D264" t="s">
        <v>4</v>
      </c>
      <c r="E264">
        <v>2349</v>
      </c>
    </row>
    <row r="265" spans="1:5" x14ac:dyDescent="0.25">
      <c r="A265">
        <v>264</v>
      </c>
      <c r="B265">
        <v>1530581</v>
      </c>
      <c r="C265" s="1" t="str">
        <f>HYPERLINK("http://stackoverflow.com/users/1530581", "JerryZhou")</f>
        <v>JerryZhou</v>
      </c>
      <c r="D265" t="s">
        <v>45</v>
      </c>
      <c r="E265">
        <v>2338</v>
      </c>
    </row>
    <row r="266" spans="1:5" x14ac:dyDescent="0.25">
      <c r="A266">
        <v>265</v>
      </c>
      <c r="B266">
        <v>394435</v>
      </c>
      <c r="C266" s="1" t="str">
        <f>HYPERLINK("http://stackoverflow.com/users/394435", "Jhong")</f>
        <v>Jhong</v>
      </c>
      <c r="D266" t="s">
        <v>4</v>
      </c>
      <c r="E266">
        <v>2333</v>
      </c>
    </row>
    <row r="267" spans="1:5" x14ac:dyDescent="0.25">
      <c r="A267">
        <v>266</v>
      </c>
      <c r="B267">
        <v>689500</v>
      </c>
      <c r="C267" s="1" t="str">
        <f>HYPERLINK("http://stackoverflow.com/users/689500", "Shawn Guo")</f>
        <v>Shawn Guo</v>
      </c>
      <c r="D267" t="s">
        <v>4</v>
      </c>
      <c r="E267">
        <v>2318</v>
      </c>
    </row>
    <row r="268" spans="1:5" x14ac:dyDescent="0.25">
      <c r="A268">
        <v>267</v>
      </c>
      <c r="B268">
        <v>1966039</v>
      </c>
      <c r="C268" s="1" t="str">
        <f>HYPERLINK("http://stackoverflow.com/users/1966039", "shhp")</f>
        <v>shhp</v>
      </c>
      <c r="D268" t="s">
        <v>4</v>
      </c>
      <c r="E268">
        <v>2305</v>
      </c>
    </row>
    <row r="269" spans="1:5" x14ac:dyDescent="0.25">
      <c r="A269">
        <v>268</v>
      </c>
      <c r="B269">
        <v>1153066</v>
      </c>
      <c r="C269" s="1" t="str">
        <f>HYPERLINK("http://stackoverflow.com/users/1153066", "Reck Hou")</f>
        <v>Reck Hou</v>
      </c>
      <c r="D269" t="s">
        <v>4</v>
      </c>
      <c r="E269">
        <v>2297</v>
      </c>
    </row>
    <row r="270" spans="1:5" x14ac:dyDescent="0.25">
      <c r="A270">
        <v>269</v>
      </c>
      <c r="B270">
        <v>1064959</v>
      </c>
      <c r="C270" s="1" t="str">
        <f>HYPERLINK("http://stackoverflow.com/users/1064959", "onemach")</f>
        <v>onemach</v>
      </c>
      <c r="D270" t="s">
        <v>4</v>
      </c>
      <c r="E270">
        <v>2291</v>
      </c>
    </row>
    <row r="271" spans="1:5" x14ac:dyDescent="0.25">
      <c r="A271">
        <v>270</v>
      </c>
      <c r="B271">
        <v>2739140</v>
      </c>
      <c r="C271" s="1" t="str">
        <f>HYPERLINK("http://stackoverflow.com/users/2739140", "biggates")</f>
        <v>biggates</v>
      </c>
      <c r="D271" t="s">
        <v>21</v>
      </c>
      <c r="E271">
        <v>2288</v>
      </c>
    </row>
    <row r="272" spans="1:5" x14ac:dyDescent="0.25">
      <c r="A272">
        <v>271</v>
      </c>
      <c r="B272">
        <v>523517</v>
      </c>
      <c r="C272" s="1" t="str">
        <f>HYPERLINK("http://stackoverflow.com/users/523517", "thoslin")</f>
        <v>thoslin</v>
      </c>
      <c r="D272" t="s">
        <v>4</v>
      </c>
      <c r="E272">
        <v>2274</v>
      </c>
    </row>
    <row r="273" spans="1:5" x14ac:dyDescent="0.25">
      <c r="A273">
        <v>272</v>
      </c>
      <c r="B273">
        <v>395952</v>
      </c>
      <c r="C273" s="1" t="str">
        <f>HYPERLINK("http://stackoverflow.com/users/395952", "Ghostoy")</f>
        <v>Ghostoy</v>
      </c>
      <c r="D273" t="s">
        <v>4</v>
      </c>
      <c r="E273">
        <v>2268</v>
      </c>
    </row>
    <row r="274" spans="1:5" x14ac:dyDescent="0.25">
      <c r="A274">
        <v>273</v>
      </c>
      <c r="B274">
        <v>1217269</v>
      </c>
      <c r="C274" s="1" t="str">
        <f>HYPERLINK("http://stackoverflow.com/users/1217269", "Chen Yu")</f>
        <v>Chen Yu</v>
      </c>
      <c r="D274" t="s">
        <v>4</v>
      </c>
      <c r="E274">
        <v>2256</v>
      </c>
    </row>
    <row r="275" spans="1:5" x14ac:dyDescent="0.25">
      <c r="A275">
        <v>274</v>
      </c>
      <c r="B275">
        <v>567856</v>
      </c>
      <c r="C275" s="1" t="str">
        <f>HYPERLINK("http://stackoverflow.com/users/567856", "Jason")</f>
        <v>Jason</v>
      </c>
      <c r="D275" t="s">
        <v>5</v>
      </c>
      <c r="E275">
        <v>2252</v>
      </c>
    </row>
    <row r="276" spans="1:5" x14ac:dyDescent="0.25">
      <c r="A276">
        <v>275</v>
      </c>
      <c r="B276">
        <v>124039</v>
      </c>
      <c r="C276" s="1" t="str">
        <f>HYPERLINK("http://stackoverflow.com/users/124039", "Limbo Peng")</f>
        <v>Limbo Peng</v>
      </c>
      <c r="D276" t="s">
        <v>21</v>
      </c>
      <c r="E276">
        <v>2247</v>
      </c>
    </row>
    <row r="277" spans="1:5" x14ac:dyDescent="0.25">
      <c r="A277">
        <v>276</v>
      </c>
      <c r="B277">
        <v>4788022</v>
      </c>
      <c r="C277" s="1" t="str">
        <f>HYPERLINK("http://stackoverflow.com/users/4788022", "PanJunjie潘俊杰")</f>
        <v>PanJunjie潘俊杰</v>
      </c>
      <c r="D277" t="s">
        <v>46</v>
      </c>
      <c r="E277">
        <v>2243</v>
      </c>
    </row>
    <row r="278" spans="1:5" x14ac:dyDescent="0.25">
      <c r="A278">
        <v>277</v>
      </c>
      <c r="B278">
        <v>4698795</v>
      </c>
      <c r="C278" s="1" t="str">
        <f>HYPERLINK("http://stackoverflow.com/users/4698795", "Brick Yang")</f>
        <v>Brick Yang</v>
      </c>
      <c r="D278" t="s">
        <v>5</v>
      </c>
      <c r="E278">
        <v>2223</v>
      </c>
    </row>
    <row r="279" spans="1:5" x14ac:dyDescent="0.25">
      <c r="A279">
        <v>278</v>
      </c>
      <c r="B279">
        <v>2640355</v>
      </c>
      <c r="C279" s="1" t="str">
        <f>HYPERLINK("http://stackoverflow.com/users/2640355", "Fang")</f>
        <v>Fang</v>
      </c>
      <c r="D279" t="s">
        <v>5</v>
      </c>
      <c r="E279">
        <v>2222</v>
      </c>
    </row>
    <row r="280" spans="1:5" x14ac:dyDescent="0.25">
      <c r="A280">
        <v>279</v>
      </c>
      <c r="B280">
        <v>976001</v>
      </c>
      <c r="C280" s="1" t="str">
        <f>HYPERLINK("http://stackoverflow.com/users/976001", "Jeffrey")</f>
        <v>Jeffrey</v>
      </c>
      <c r="D280" t="s">
        <v>4</v>
      </c>
      <c r="E280">
        <v>2216</v>
      </c>
    </row>
    <row r="281" spans="1:5" x14ac:dyDescent="0.25">
      <c r="A281">
        <v>280</v>
      </c>
      <c r="B281">
        <v>301513</v>
      </c>
      <c r="C281" s="1" t="str">
        <f>HYPERLINK("http://stackoverflow.com/users/301513", "Qiulang")</f>
        <v>Qiulang</v>
      </c>
      <c r="D281" t="s">
        <v>5</v>
      </c>
      <c r="E281">
        <v>2203</v>
      </c>
    </row>
    <row r="282" spans="1:5" x14ac:dyDescent="0.25">
      <c r="A282">
        <v>281</v>
      </c>
      <c r="B282">
        <v>722409</v>
      </c>
      <c r="C282" s="1" t="str">
        <f>HYPERLINK("http://stackoverflow.com/users/722409", "Feng")</f>
        <v>Feng</v>
      </c>
      <c r="D282" t="s">
        <v>4</v>
      </c>
      <c r="E282">
        <v>2199</v>
      </c>
    </row>
    <row r="283" spans="1:5" x14ac:dyDescent="0.25">
      <c r="A283">
        <v>282</v>
      </c>
      <c r="B283">
        <v>1078503</v>
      </c>
      <c r="C283" s="1" t="str">
        <f>HYPERLINK("http://stackoverflow.com/users/1078503", "leiyonglin")</f>
        <v>leiyonglin</v>
      </c>
      <c r="D283" t="s">
        <v>5</v>
      </c>
      <c r="E283">
        <v>2182</v>
      </c>
    </row>
    <row r="284" spans="1:5" x14ac:dyDescent="0.25">
      <c r="A284">
        <v>283</v>
      </c>
      <c r="B284">
        <v>816999</v>
      </c>
      <c r="C284" s="1" t="str">
        <f>HYPERLINK("http://stackoverflow.com/users/816999", "Yongwei Wu")</f>
        <v>Yongwei Wu</v>
      </c>
      <c r="D284" t="s">
        <v>4</v>
      </c>
      <c r="E284">
        <v>2176</v>
      </c>
    </row>
    <row r="285" spans="1:5" x14ac:dyDescent="0.25">
      <c r="A285">
        <v>284</v>
      </c>
      <c r="B285">
        <v>2676143</v>
      </c>
      <c r="C285" s="1" t="str">
        <f>HYPERLINK("http://stackoverflow.com/users/2676143", "David")</f>
        <v>David</v>
      </c>
      <c r="D285" t="s">
        <v>5</v>
      </c>
      <c r="E285">
        <v>2173</v>
      </c>
    </row>
    <row r="286" spans="1:5" x14ac:dyDescent="0.25">
      <c r="A286">
        <v>285</v>
      </c>
      <c r="B286">
        <v>5039782</v>
      </c>
      <c r="C286" s="1" t="str">
        <f>HYPERLINK("http://stackoverflow.com/users/5039782", "王开朗")</f>
        <v>王开朗</v>
      </c>
      <c r="D286" t="s">
        <v>5</v>
      </c>
      <c r="E286">
        <v>2171</v>
      </c>
    </row>
    <row r="287" spans="1:5" x14ac:dyDescent="0.25">
      <c r="A287">
        <v>286</v>
      </c>
      <c r="B287">
        <v>1785845</v>
      </c>
      <c r="C287" s="1" t="str">
        <f>HYPERLINK("http://stackoverflow.com/users/1785845", "monjer")</f>
        <v>monjer</v>
      </c>
      <c r="D287" t="s">
        <v>5</v>
      </c>
      <c r="E287">
        <v>2166</v>
      </c>
    </row>
    <row r="288" spans="1:5" x14ac:dyDescent="0.25">
      <c r="A288">
        <v>287</v>
      </c>
      <c r="B288">
        <v>155547</v>
      </c>
      <c r="C288" s="1" t="str">
        <f>HYPERLINK("http://stackoverflow.com/users/155547", "DeepNightTwo")</f>
        <v>DeepNightTwo</v>
      </c>
      <c r="D288" t="s">
        <v>4</v>
      </c>
      <c r="E288">
        <v>2164</v>
      </c>
    </row>
    <row r="289" spans="1:5" x14ac:dyDescent="0.25">
      <c r="A289">
        <v>288</v>
      </c>
      <c r="B289">
        <v>1606208</v>
      </c>
      <c r="C289" s="1" t="str">
        <f>HYPERLINK("http://stackoverflow.com/users/1606208", "Sean")</f>
        <v>Sean</v>
      </c>
      <c r="D289" t="s">
        <v>4</v>
      </c>
      <c r="E289">
        <v>2164</v>
      </c>
    </row>
    <row r="290" spans="1:5" x14ac:dyDescent="0.25">
      <c r="A290">
        <v>289</v>
      </c>
      <c r="B290">
        <v>525301</v>
      </c>
      <c r="C290" s="1" t="str">
        <f>HYPERLINK("http://stackoverflow.com/users/525301", "Allen Hsu")</f>
        <v>Allen Hsu</v>
      </c>
      <c r="D290" t="s">
        <v>4</v>
      </c>
      <c r="E290">
        <v>2155</v>
      </c>
    </row>
    <row r="291" spans="1:5" x14ac:dyDescent="0.25">
      <c r="A291">
        <v>290</v>
      </c>
      <c r="B291">
        <v>1411566</v>
      </c>
      <c r="C291" s="1" t="str">
        <f>HYPERLINK("http://stackoverflow.com/users/1411566", "ZHENJiNG LiANG")</f>
        <v>ZHENJiNG LiANG</v>
      </c>
      <c r="D291" t="s">
        <v>5</v>
      </c>
      <c r="E291">
        <v>2149</v>
      </c>
    </row>
    <row r="292" spans="1:5" x14ac:dyDescent="0.25">
      <c r="A292">
        <v>291</v>
      </c>
      <c r="B292">
        <v>2255305</v>
      </c>
      <c r="C292" s="1" t="str">
        <f>HYPERLINK("http://stackoverflow.com/users/2255305", "Ray")</f>
        <v>Ray</v>
      </c>
      <c r="D292" t="s">
        <v>5</v>
      </c>
      <c r="E292">
        <v>2141</v>
      </c>
    </row>
    <row r="293" spans="1:5" x14ac:dyDescent="0.25">
      <c r="A293">
        <v>292</v>
      </c>
      <c r="B293">
        <v>1186862</v>
      </c>
      <c r="C293" s="1" t="str">
        <f>HYPERLINK("http://stackoverflow.com/users/1186862", "vivia")</f>
        <v>vivia</v>
      </c>
      <c r="D293" t="s">
        <v>4</v>
      </c>
      <c r="E293">
        <v>2138</v>
      </c>
    </row>
    <row r="294" spans="1:5" x14ac:dyDescent="0.25">
      <c r="A294">
        <v>293</v>
      </c>
      <c r="B294">
        <v>353405</v>
      </c>
      <c r="C294" s="1" t="str">
        <f>HYPERLINK("http://stackoverflow.com/users/353405", "Lonre Wang")</f>
        <v>Lonre Wang</v>
      </c>
      <c r="D294" t="s">
        <v>5</v>
      </c>
      <c r="E294">
        <v>2135</v>
      </c>
    </row>
    <row r="295" spans="1:5" x14ac:dyDescent="0.25">
      <c r="A295">
        <v>294</v>
      </c>
      <c r="B295">
        <v>2830167</v>
      </c>
      <c r="C295" s="1" t="str">
        <f>HYPERLINK("http://stackoverflow.com/users/2830167", "ZhaoGang")</f>
        <v>ZhaoGang</v>
      </c>
      <c r="D295" t="s">
        <v>5</v>
      </c>
      <c r="E295">
        <v>2130</v>
      </c>
    </row>
    <row r="296" spans="1:5" x14ac:dyDescent="0.25">
      <c r="A296">
        <v>295</v>
      </c>
      <c r="B296">
        <v>1464078</v>
      </c>
      <c r="C296" s="1" t="str">
        <f>HYPERLINK("http://stackoverflow.com/users/1464078", "Judking")</f>
        <v>Judking</v>
      </c>
      <c r="D296" t="s">
        <v>5</v>
      </c>
      <c r="E296">
        <v>2128</v>
      </c>
    </row>
    <row r="297" spans="1:5" x14ac:dyDescent="0.25">
      <c r="A297">
        <v>296</v>
      </c>
      <c r="B297">
        <v>2595939</v>
      </c>
      <c r="C297" s="1" t="str">
        <f>HYPERLINK("http://stackoverflow.com/users/2595939", "Lidong Guo")</f>
        <v>Lidong Guo</v>
      </c>
      <c r="D297" t="s">
        <v>6</v>
      </c>
      <c r="E297">
        <v>2125</v>
      </c>
    </row>
    <row r="298" spans="1:5" x14ac:dyDescent="0.25">
      <c r="A298">
        <v>297</v>
      </c>
      <c r="B298">
        <v>921819</v>
      </c>
      <c r="C298" s="1" t="str">
        <f>HYPERLINK("http://stackoverflow.com/users/921819", "Cleric")</f>
        <v>Cleric</v>
      </c>
      <c r="D298" t="s">
        <v>5</v>
      </c>
      <c r="E298">
        <v>2120</v>
      </c>
    </row>
    <row r="299" spans="1:5" x14ac:dyDescent="0.25">
      <c r="A299">
        <v>298</v>
      </c>
      <c r="B299">
        <v>2144720</v>
      </c>
      <c r="C299" s="1" t="str">
        <f>HYPERLINK("http://stackoverflow.com/users/2144720", "Syrtis Major")</f>
        <v>Syrtis Major</v>
      </c>
      <c r="D299" t="s">
        <v>4</v>
      </c>
      <c r="E299">
        <v>2118</v>
      </c>
    </row>
    <row r="300" spans="1:5" x14ac:dyDescent="0.25">
      <c r="A300">
        <v>299</v>
      </c>
      <c r="B300">
        <v>2638425</v>
      </c>
      <c r="C300" s="1" t="str">
        <f>HYPERLINK("http://stackoverflow.com/users/2638425", "liuyaodong")</f>
        <v>liuyaodong</v>
      </c>
      <c r="D300" t="s">
        <v>5</v>
      </c>
      <c r="E300">
        <v>2107</v>
      </c>
    </row>
    <row r="301" spans="1:5" x14ac:dyDescent="0.25">
      <c r="A301">
        <v>300</v>
      </c>
      <c r="B301">
        <v>319124</v>
      </c>
      <c r="C301" s="1" t="str">
        <f>HYPERLINK("http://stackoverflow.com/users/319124", "Ralph Zhang")</f>
        <v>Ralph Zhang</v>
      </c>
      <c r="D301" t="s">
        <v>7</v>
      </c>
      <c r="E301">
        <v>2105</v>
      </c>
    </row>
    <row r="302" spans="1:5" x14ac:dyDescent="0.25">
      <c r="A302">
        <v>301</v>
      </c>
      <c r="B302">
        <v>883571</v>
      </c>
      <c r="C302" s="1" t="str">
        <f>HYPERLINK("http://stackoverflow.com/users/883571", "jiyinyiyong")</f>
        <v>jiyinyiyong</v>
      </c>
      <c r="D302" t="s">
        <v>4</v>
      </c>
      <c r="E302">
        <v>2100</v>
      </c>
    </row>
    <row r="303" spans="1:5" x14ac:dyDescent="0.25">
      <c r="A303">
        <v>302</v>
      </c>
      <c r="B303">
        <v>1484621</v>
      </c>
      <c r="C303" s="1" t="str">
        <f>HYPERLINK("http://stackoverflow.com/users/1484621", "Yu Jiaao")</f>
        <v>Yu Jiaao</v>
      </c>
      <c r="D303" t="s">
        <v>5</v>
      </c>
      <c r="E303">
        <v>2095</v>
      </c>
    </row>
    <row r="304" spans="1:5" x14ac:dyDescent="0.25">
      <c r="A304">
        <v>303</v>
      </c>
      <c r="B304">
        <v>918978</v>
      </c>
      <c r="C304" s="1" t="str">
        <f>HYPERLINK("http://stackoverflow.com/users/918978", "Rufus")</f>
        <v>Rufus</v>
      </c>
      <c r="D304" t="s">
        <v>4</v>
      </c>
      <c r="E304">
        <v>2090</v>
      </c>
    </row>
    <row r="305" spans="1:5" x14ac:dyDescent="0.25">
      <c r="A305">
        <v>304</v>
      </c>
      <c r="B305">
        <v>1230036</v>
      </c>
      <c r="C305" s="1" t="str">
        <f>HYPERLINK("http://stackoverflow.com/users/1230036", "Mil0R3")</f>
        <v>Mil0R3</v>
      </c>
      <c r="D305" t="s">
        <v>5</v>
      </c>
      <c r="E305">
        <v>2066</v>
      </c>
    </row>
    <row r="306" spans="1:5" x14ac:dyDescent="0.25">
      <c r="A306">
        <v>305</v>
      </c>
      <c r="B306">
        <v>1808417</v>
      </c>
      <c r="C306" s="1" t="str">
        <f>HYPERLINK("http://stackoverflow.com/users/1808417", "saneryee")</f>
        <v>saneryee</v>
      </c>
      <c r="D306" t="s">
        <v>5</v>
      </c>
      <c r="E306">
        <v>2061</v>
      </c>
    </row>
    <row r="307" spans="1:5" x14ac:dyDescent="0.25">
      <c r="A307">
        <v>306</v>
      </c>
      <c r="B307">
        <v>947482</v>
      </c>
      <c r="C307" s="1" t="str">
        <f>HYPERLINK("http://stackoverflow.com/users/947482", "Bruce Lee")</f>
        <v>Bruce Lee</v>
      </c>
      <c r="D307" t="s">
        <v>5</v>
      </c>
      <c r="E307">
        <v>2053</v>
      </c>
    </row>
    <row r="308" spans="1:5" x14ac:dyDescent="0.25">
      <c r="A308">
        <v>307</v>
      </c>
      <c r="B308">
        <v>1626906</v>
      </c>
      <c r="C308" s="1" t="str">
        <f>HYPERLINK("http://stackoverflow.com/users/1626906", "hiway")</f>
        <v>hiway</v>
      </c>
      <c r="D308" t="s">
        <v>4</v>
      </c>
      <c r="E308">
        <v>2047</v>
      </c>
    </row>
    <row r="309" spans="1:5" x14ac:dyDescent="0.25">
      <c r="A309">
        <v>308</v>
      </c>
      <c r="B309">
        <v>1283587</v>
      </c>
      <c r="C309" s="1" t="str">
        <f>HYPERLINK("http://stackoverflow.com/users/1283587", "Afanasii Kurakin")</f>
        <v>Afanasii Kurakin</v>
      </c>
      <c r="D309" t="s">
        <v>7</v>
      </c>
      <c r="E309">
        <v>2045</v>
      </c>
    </row>
    <row r="310" spans="1:5" x14ac:dyDescent="0.25">
      <c r="A310">
        <v>309</v>
      </c>
      <c r="B310">
        <v>192223</v>
      </c>
      <c r="C310" s="1" t="str">
        <f>HYPERLINK("http://stackoverflow.com/users/192223", "Bruce Dou")</f>
        <v>Bruce Dou</v>
      </c>
      <c r="D310" t="s">
        <v>5</v>
      </c>
      <c r="E310">
        <v>2038</v>
      </c>
    </row>
    <row r="311" spans="1:5" x14ac:dyDescent="0.25">
      <c r="A311">
        <v>310</v>
      </c>
      <c r="B311">
        <v>590967</v>
      </c>
      <c r="C311" s="1" t="str">
        <f>HYPERLINK("http://stackoverflow.com/users/590967", "Shisoft")</f>
        <v>Shisoft</v>
      </c>
      <c r="D311" t="s">
        <v>4</v>
      </c>
      <c r="E311">
        <v>2021</v>
      </c>
    </row>
    <row r="312" spans="1:5" x14ac:dyDescent="0.25">
      <c r="A312">
        <v>311</v>
      </c>
      <c r="B312">
        <v>535374</v>
      </c>
      <c r="C312" s="1" t="str">
        <f>HYPERLINK("http://stackoverflow.com/users/535374", "xi.lin")</f>
        <v>xi.lin</v>
      </c>
      <c r="D312" t="s">
        <v>4</v>
      </c>
      <c r="E312">
        <v>2012</v>
      </c>
    </row>
    <row r="313" spans="1:5" x14ac:dyDescent="0.25">
      <c r="A313">
        <v>312</v>
      </c>
      <c r="B313">
        <v>1833505</v>
      </c>
      <c r="C313" s="1" t="str">
        <f>HYPERLINK("http://stackoverflow.com/users/1833505", "skyfishjy")</f>
        <v>skyfishjy</v>
      </c>
      <c r="D313" t="s">
        <v>5</v>
      </c>
      <c r="E313">
        <v>2009</v>
      </c>
    </row>
    <row r="314" spans="1:5" x14ac:dyDescent="0.25">
      <c r="A314">
        <v>313</v>
      </c>
      <c r="B314">
        <v>2927601</v>
      </c>
      <c r="C314" s="1" t="str">
        <f>HYPERLINK("http://stackoverflow.com/users/2927601", "Laily")</f>
        <v>Laily</v>
      </c>
      <c r="D314" t="s">
        <v>7</v>
      </c>
      <c r="E314">
        <v>2004</v>
      </c>
    </row>
    <row r="315" spans="1:5" x14ac:dyDescent="0.25">
      <c r="A315">
        <v>314</v>
      </c>
      <c r="B315">
        <v>3759586</v>
      </c>
      <c r="C315" s="1" t="str">
        <f>HYPERLINK("http://stackoverflow.com/users/3759586", "Nawfal Serrar")</f>
        <v>Nawfal Serrar</v>
      </c>
      <c r="D315" t="s">
        <v>4</v>
      </c>
      <c r="E315">
        <v>2002</v>
      </c>
    </row>
    <row r="316" spans="1:5" x14ac:dyDescent="0.25">
      <c r="A316">
        <v>315</v>
      </c>
      <c r="B316">
        <v>1163224</v>
      </c>
      <c r="C316" s="1" t="str">
        <f>HYPERLINK("http://stackoverflow.com/users/1163224", "ProblemSlover")</f>
        <v>ProblemSlover</v>
      </c>
      <c r="D316" t="s">
        <v>4</v>
      </c>
      <c r="E316">
        <v>2000</v>
      </c>
    </row>
    <row r="317" spans="1:5" x14ac:dyDescent="0.25">
      <c r="A317">
        <v>316</v>
      </c>
      <c r="B317">
        <v>4501068</v>
      </c>
      <c r="C317" s="1" t="str">
        <f>HYPERLINK("http://stackoverflow.com/users/4501068", "郑松岚")</f>
        <v>郑松岚</v>
      </c>
      <c r="D317" t="s">
        <v>5</v>
      </c>
      <c r="E317">
        <v>1998</v>
      </c>
    </row>
    <row r="318" spans="1:5" x14ac:dyDescent="0.25">
      <c r="A318">
        <v>317</v>
      </c>
      <c r="B318">
        <v>133516</v>
      </c>
      <c r="C318" s="1" t="str">
        <f>HYPERLINK("http://stackoverflow.com/users/133516", "Edwin Yip")</f>
        <v>Edwin Yip</v>
      </c>
      <c r="D318" t="s">
        <v>47</v>
      </c>
      <c r="E318">
        <v>1993</v>
      </c>
    </row>
    <row r="319" spans="1:5" x14ac:dyDescent="0.25">
      <c r="A319">
        <v>318</v>
      </c>
      <c r="B319">
        <v>1047335</v>
      </c>
      <c r="C319" s="1" t="str">
        <f>HYPERLINK("http://stackoverflow.com/users/1047335", "Dozer")</f>
        <v>Dozer</v>
      </c>
      <c r="D319" t="s">
        <v>4</v>
      </c>
      <c r="E319">
        <v>1993</v>
      </c>
    </row>
    <row r="320" spans="1:5" x14ac:dyDescent="0.25">
      <c r="A320">
        <v>319</v>
      </c>
      <c r="B320">
        <v>3280791</v>
      </c>
      <c r="C320" s="1" t="str">
        <f>HYPERLINK("http://stackoverflow.com/users/3280791", "longkai")</f>
        <v>longkai</v>
      </c>
      <c r="D320" t="s">
        <v>7</v>
      </c>
      <c r="E320">
        <v>1991</v>
      </c>
    </row>
    <row r="321" spans="1:5" x14ac:dyDescent="0.25">
      <c r="A321">
        <v>320</v>
      </c>
      <c r="B321">
        <v>761124</v>
      </c>
      <c r="C321" s="1" t="str">
        <f>HYPERLINK("http://stackoverflow.com/users/761124", "jasonslyvia")</f>
        <v>jasonslyvia</v>
      </c>
      <c r="D321" t="s">
        <v>12</v>
      </c>
      <c r="E321">
        <v>1983</v>
      </c>
    </row>
    <row r="322" spans="1:5" x14ac:dyDescent="0.25">
      <c r="A322">
        <v>321</v>
      </c>
      <c r="B322">
        <v>176423</v>
      </c>
      <c r="C322" s="1" t="str">
        <f>HYPERLINK("http://stackoverflow.com/users/176423", "Walty Yeung")</f>
        <v>Walty Yeung</v>
      </c>
      <c r="D322" t="s">
        <v>48</v>
      </c>
      <c r="E322">
        <v>1975</v>
      </c>
    </row>
    <row r="323" spans="1:5" x14ac:dyDescent="0.25">
      <c r="A323">
        <v>322</v>
      </c>
      <c r="B323">
        <v>1255058</v>
      </c>
      <c r="C323" s="1" t="str">
        <f>HYPERLINK("http://stackoverflow.com/users/1255058", "Ludo")</f>
        <v>Ludo</v>
      </c>
      <c r="D323" t="s">
        <v>5</v>
      </c>
      <c r="E323">
        <v>1959</v>
      </c>
    </row>
    <row r="324" spans="1:5" x14ac:dyDescent="0.25">
      <c r="A324">
        <v>323</v>
      </c>
      <c r="B324">
        <v>705553</v>
      </c>
      <c r="C324" s="1" t="str">
        <f>HYPERLINK("http://stackoverflow.com/users/705553", "Ted Shaw")</f>
        <v>Ted Shaw</v>
      </c>
      <c r="D324" t="s">
        <v>4</v>
      </c>
      <c r="E324">
        <v>1949</v>
      </c>
    </row>
    <row r="325" spans="1:5" x14ac:dyDescent="0.25">
      <c r="A325">
        <v>324</v>
      </c>
      <c r="B325">
        <v>4158282</v>
      </c>
      <c r="C325" s="1" t="str">
        <f>HYPERLINK("http://stackoverflow.com/users/4158282", "iplus26")</f>
        <v>iplus26</v>
      </c>
      <c r="D325" t="s">
        <v>5</v>
      </c>
      <c r="E325">
        <v>1937</v>
      </c>
    </row>
    <row r="326" spans="1:5" x14ac:dyDescent="0.25">
      <c r="A326">
        <v>325</v>
      </c>
      <c r="B326">
        <v>1457616</v>
      </c>
      <c r="C326" s="1" t="str">
        <f>HYPERLINK("http://stackoverflow.com/users/1457616", "Edi Wang")</f>
        <v>Edi Wang</v>
      </c>
      <c r="D326" t="s">
        <v>4</v>
      </c>
      <c r="E326">
        <v>1937</v>
      </c>
    </row>
    <row r="327" spans="1:5" x14ac:dyDescent="0.25">
      <c r="A327">
        <v>326</v>
      </c>
      <c r="B327">
        <v>1931063</v>
      </c>
      <c r="C327" s="1" t="str">
        <f>HYPERLINK("http://stackoverflow.com/users/1931063", "Wei")</f>
        <v>Wei</v>
      </c>
      <c r="D327" t="s">
        <v>5</v>
      </c>
      <c r="E327">
        <v>1932</v>
      </c>
    </row>
    <row r="328" spans="1:5" x14ac:dyDescent="0.25">
      <c r="A328">
        <v>327</v>
      </c>
      <c r="B328">
        <v>258187</v>
      </c>
      <c r="C328" s="1" t="str">
        <f>HYPERLINK("http://stackoverflow.com/users/258187", "qichunren")</f>
        <v>qichunren</v>
      </c>
      <c r="D328" t="s">
        <v>4</v>
      </c>
      <c r="E328">
        <v>1919</v>
      </c>
    </row>
    <row r="329" spans="1:5" x14ac:dyDescent="0.25">
      <c r="A329">
        <v>328</v>
      </c>
      <c r="B329">
        <v>4591230</v>
      </c>
      <c r="C329" s="1" t="str">
        <f>HYPERLINK("http://stackoverflow.com/users/4591230", "Ryanqy")</f>
        <v>Ryanqy</v>
      </c>
      <c r="D329" t="s">
        <v>25</v>
      </c>
      <c r="E329">
        <v>1915</v>
      </c>
    </row>
    <row r="330" spans="1:5" x14ac:dyDescent="0.25">
      <c r="A330">
        <v>329</v>
      </c>
      <c r="B330">
        <v>665869</v>
      </c>
      <c r="C330" s="1" t="str">
        <f>HYPERLINK("http://stackoverflow.com/users/665869", "mitnk")</f>
        <v>mitnk</v>
      </c>
      <c r="D330" t="s">
        <v>5</v>
      </c>
      <c r="E330">
        <v>1914</v>
      </c>
    </row>
    <row r="331" spans="1:5" x14ac:dyDescent="0.25">
      <c r="A331">
        <v>330</v>
      </c>
      <c r="B331">
        <v>2683013</v>
      </c>
      <c r="C331" s="1" t="str">
        <f>HYPERLINK("http://stackoverflow.com/users/2683013", "Sky")</f>
        <v>Sky</v>
      </c>
      <c r="D331" t="s">
        <v>5</v>
      </c>
      <c r="E331">
        <v>1912</v>
      </c>
    </row>
    <row r="332" spans="1:5" x14ac:dyDescent="0.25">
      <c r="A332">
        <v>331</v>
      </c>
      <c r="B332">
        <v>818399</v>
      </c>
      <c r="C332" s="1" t="str">
        <f>HYPERLINK("http://stackoverflow.com/users/818399", "RolandXu")</f>
        <v>RolandXu</v>
      </c>
      <c r="D332" t="s">
        <v>4</v>
      </c>
      <c r="E332">
        <v>1908</v>
      </c>
    </row>
    <row r="333" spans="1:5" x14ac:dyDescent="0.25">
      <c r="A333">
        <v>332</v>
      </c>
      <c r="B333">
        <v>1105178</v>
      </c>
      <c r="C333" s="1" t="str">
        <f>HYPERLINK("http://stackoverflow.com/users/1105178", "大宝剑")</f>
        <v>大宝剑</v>
      </c>
      <c r="D333" t="s">
        <v>22</v>
      </c>
      <c r="E333">
        <v>1901</v>
      </c>
    </row>
    <row r="334" spans="1:5" x14ac:dyDescent="0.25">
      <c r="A334">
        <v>333</v>
      </c>
      <c r="B334">
        <v>2633697</v>
      </c>
      <c r="C334" s="1" t="str">
        <f>HYPERLINK("http://stackoverflow.com/users/2633697", "elaijuh")</f>
        <v>elaijuh</v>
      </c>
      <c r="D334" t="s">
        <v>21</v>
      </c>
      <c r="E334">
        <v>1880</v>
      </c>
    </row>
    <row r="335" spans="1:5" x14ac:dyDescent="0.25">
      <c r="A335">
        <v>334</v>
      </c>
      <c r="B335">
        <v>1043967</v>
      </c>
      <c r="C335" s="1" t="str">
        <f>HYPERLINK("http://stackoverflow.com/users/1043967", "squid")</f>
        <v>squid</v>
      </c>
      <c r="D335" t="s">
        <v>16</v>
      </c>
      <c r="E335">
        <v>1871</v>
      </c>
    </row>
    <row r="336" spans="1:5" x14ac:dyDescent="0.25">
      <c r="A336">
        <v>335</v>
      </c>
      <c r="B336">
        <v>1233339</v>
      </c>
      <c r="C336" s="1" t="str">
        <f>HYPERLINK("http://stackoverflow.com/users/1233339", "lingceng")</f>
        <v>lingceng</v>
      </c>
      <c r="D336" t="s">
        <v>5</v>
      </c>
      <c r="E336">
        <v>1868</v>
      </c>
    </row>
    <row r="337" spans="1:5" x14ac:dyDescent="0.25">
      <c r="A337">
        <v>336</v>
      </c>
      <c r="B337">
        <v>1061155</v>
      </c>
      <c r="C337" s="1" t="str">
        <f>HYPERLINK("http://stackoverflow.com/users/1061155", "ospider")</f>
        <v>ospider</v>
      </c>
      <c r="D337" t="s">
        <v>5</v>
      </c>
      <c r="E337">
        <v>1866</v>
      </c>
    </row>
    <row r="338" spans="1:5" x14ac:dyDescent="0.25">
      <c r="A338">
        <v>337</v>
      </c>
      <c r="B338">
        <v>1752333</v>
      </c>
      <c r="C338" s="1" t="str">
        <f>HYPERLINK("http://stackoverflow.com/users/1752333", "scorix")</f>
        <v>scorix</v>
      </c>
      <c r="D338" t="s">
        <v>4</v>
      </c>
      <c r="E338">
        <v>1866</v>
      </c>
    </row>
    <row r="339" spans="1:5" x14ac:dyDescent="0.25">
      <c r="A339">
        <v>338</v>
      </c>
      <c r="B339">
        <v>987180</v>
      </c>
      <c r="C339" s="1" t="str">
        <f>HYPERLINK("http://stackoverflow.com/users/987180", "Green Su")</f>
        <v>Green Su</v>
      </c>
      <c r="D339" t="s">
        <v>5</v>
      </c>
      <c r="E339">
        <v>1865</v>
      </c>
    </row>
    <row r="340" spans="1:5" x14ac:dyDescent="0.25">
      <c r="A340">
        <v>339</v>
      </c>
      <c r="B340">
        <v>266726</v>
      </c>
      <c r="C340" s="1" t="str">
        <f>HYPERLINK("http://stackoverflow.com/users/266726", "aztack")</f>
        <v>aztack</v>
      </c>
      <c r="D340" t="s">
        <v>5</v>
      </c>
      <c r="E340">
        <v>1850</v>
      </c>
    </row>
    <row r="341" spans="1:5" x14ac:dyDescent="0.25">
      <c r="A341">
        <v>340</v>
      </c>
      <c r="B341">
        <v>204606</v>
      </c>
      <c r="C341" s="1" t="str">
        <f>HYPERLINK("http://stackoverflow.com/users/204606", "leon")</f>
        <v>leon</v>
      </c>
      <c r="D341" t="s">
        <v>4</v>
      </c>
      <c r="E341">
        <v>1848</v>
      </c>
    </row>
    <row r="342" spans="1:5" x14ac:dyDescent="0.25">
      <c r="A342">
        <v>341</v>
      </c>
      <c r="B342">
        <v>84091</v>
      </c>
      <c r="C342" s="1" t="str">
        <f>HYPERLINK("http://stackoverflow.com/users/84091", "lsiu")</f>
        <v>lsiu</v>
      </c>
      <c r="D342" t="s">
        <v>49</v>
      </c>
      <c r="E342">
        <v>1841</v>
      </c>
    </row>
    <row r="343" spans="1:5" x14ac:dyDescent="0.25">
      <c r="A343">
        <v>342</v>
      </c>
      <c r="B343">
        <v>2907140</v>
      </c>
      <c r="C343" s="1" t="str">
        <f>HYPERLINK("http://stackoverflow.com/users/2907140", "MikeCoder")</f>
        <v>MikeCoder</v>
      </c>
      <c r="D343" t="s">
        <v>3</v>
      </c>
      <c r="E343">
        <v>1839</v>
      </c>
    </row>
    <row r="344" spans="1:5" x14ac:dyDescent="0.25">
      <c r="A344">
        <v>343</v>
      </c>
      <c r="B344">
        <v>531116</v>
      </c>
      <c r="C344" s="1" t="str">
        <f>HYPERLINK("http://stackoverflow.com/users/531116", "Dean Chen")</f>
        <v>Dean Chen</v>
      </c>
      <c r="D344" t="s">
        <v>5</v>
      </c>
      <c r="E344">
        <v>1831</v>
      </c>
    </row>
    <row r="345" spans="1:5" x14ac:dyDescent="0.25">
      <c r="A345">
        <v>344</v>
      </c>
      <c r="B345">
        <v>6151945</v>
      </c>
      <c r="C345" s="1" t="str">
        <f>HYPERLINK("http://stackoverflow.com/users/6151945", "lei liu")</f>
        <v>lei liu</v>
      </c>
      <c r="D345" t="s">
        <v>29</v>
      </c>
      <c r="E345">
        <v>1830</v>
      </c>
    </row>
    <row r="346" spans="1:5" x14ac:dyDescent="0.25">
      <c r="A346">
        <v>345</v>
      </c>
      <c r="B346">
        <v>2003136</v>
      </c>
      <c r="C346" s="1" t="str">
        <f>HYPERLINK("http://stackoverflow.com/users/2003136", "Easton L.")</f>
        <v>Easton L.</v>
      </c>
      <c r="D346" t="s">
        <v>4</v>
      </c>
      <c r="E346">
        <v>1829</v>
      </c>
    </row>
    <row r="347" spans="1:5" x14ac:dyDescent="0.25">
      <c r="A347">
        <v>346</v>
      </c>
      <c r="B347">
        <v>1108052</v>
      </c>
      <c r="C347" s="1" t="str">
        <f>HYPERLINK("http://stackoverflow.com/users/1108052", "liushuaikobe")</f>
        <v>liushuaikobe</v>
      </c>
      <c r="D347" t="s">
        <v>12</v>
      </c>
      <c r="E347">
        <v>1814</v>
      </c>
    </row>
    <row r="348" spans="1:5" x14ac:dyDescent="0.25">
      <c r="A348">
        <v>347</v>
      </c>
      <c r="B348">
        <v>558908</v>
      </c>
      <c r="C348" s="1" t="str">
        <f>HYPERLINK("http://stackoverflow.com/users/558908", "Ryan Ye")</f>
        <v>Ryan Ye</v>
      </c>
      <c r="D348" t="s">
        <v>4</v>
      </c>
      <c r="E348">
        <v>1809</v>
      </c>
    </row>
    <row r="349" spans="1:5" x14ac:dyDescent="0.25">
      <c r="A349">
        <v>348</v>
      </c>
      <c r="B349">
        <v>2501082</v>
      </c>
      <c r="C349" s="1" t="str">
        <f>HYPERLINK("http://stackoverflow.com/users/2501082", "David Gross")</f>
        <v>David Gross</v>
      </c>
      <c r="D349" t="s">
        <v>4</v>
      </c>
      <c r="E349">
        <v>1808</v>
      </c>
    </row>
    <row r="350" spans="1:5" x14ac:dyDescent="0.25">
      <c r="A350">
        <v>349</v>
      </c>
      <c r="B350">
        <v>368942</v>
      </c>
      <c r="C350" s="1" t="str">
        <f>HYPERLINK("http://stackoverflow.com/users/368942", "TONy.W")</f>
        <v>TONy.W</v>
      </c>
      <c r="D350" t="s">
        <v>5</v>
      </c>
      <c r="E350">
        <v>1806</v>
      </c>
    </row>
    <row r="351" spans="1:5" x14ac:dyDescent="0.25">
      <c r="A351">
        <v>350</v>
      </c>
      <c r="B351">
        <v>921790</v>
      </c>
      <c r="C351" s="1" t="str">
        <f>HYPERLINK("http://stackoverflow.com/users/921790", "ryancheung")</f>
        <v>ryancheung</v>
      </c>
      <c r="D351" t="s">
        <v>4</v>
      </c>
      <c r="E351">
        <v>1795</v>
      </c>
    </row>
    <row r="352" spans="1:5" x14ac:dyDescent="0.25">
      <c r="A352">
        <v>351</v>
      </c>
      <c r="B352">
        <v>2304702</v>
      </c>
      <c r="C352" s="1" t="str">
        <f>HYPERLINK("http://stackoverflow.com/users/2304702", "rmalchow")</f>
        <v>rmalchow</v>
      </c>
      <c r="D352" t="s">
        <v>5</v>
      </c>
      <c r="E352">
        <v>1790</v>
      </c>
    </row>
    <row r="353" spans="1:5" x14ac:dyDescent="0.25">
      <c r="A353">
        <v>352</v>
      </c>
      <c r="B353">
        <v>966103</v>
      </c>
      <c r="C353" s="1" t="str">
        <f>HYPERLINK("http://stackoverflow.com/users/966103", "Zheng Kai")</f>
        <v>Zheng Kai</v>
      </c>
      <c r="D353" t="s">
        <v>5</v>
      </c>
      <c r="E353">
        <v>1786</v>
      </c>
    </row>
    <row r="354" spans="1:5" x14ac:dyDescent="0.25">
      <c r="A354">
        <v>353</v>
      </c>
      <c r="B354">
        <v>1841103</v>
      </c>
      <c r="C354" s="1" t="str">
        <f>HYPERLINK("http://stackoverflow.com/users/1841103", "Jun HU")</f>
        <v>Jun HU</v>
      </c>
      <c r="D354" t="s">
        <v>35</v>
      </c>
      <c r="E354">
        <v>1786</v>
      </c>
    </row>
    <row r="355" spans="1:5" x14ac:dyDescent="0.25">
      <c r="A355">
        <v>354</v>
      </c>
      <c r="B355">
        <v>198710</v>
      </c>
      <c r="C355" s="1" t="str">
        <f>HYPERLINK("http://stackoverflow.com/users/198710", "Kevin")</f>
        <v>Kevin</v>
      </c>
      <c r="D355" t="s">
        <v>4</v>
      </c>
      <c r="E355">
        <v>1785</v>
      </c>
    </row>
    <row r="356" spans="1:5" x14ac:dyDescent="0.25">
      <c r="A356">
        <v>355</v>
      </c>
      <c r="B356">
        <v>2011291</v>
      </c>
      <c r="C356" s="1" t="str">
        <f>HYPERLINK("http://stackoverflow.com/users/2011291", "AvatarQing")</f>
        <v>AvatarQing</v>
      </c>
      <c r="D356" t="s">
        <v>31</v>
      </c>
      <c r="E356">
        <v>1782</v>
      </c>
    </row>
    <row r="357" spans="1:5" x14ac:dyDescent="0.25">
      <c r="A357">
        <v>356</v>
      </c>
      <c r="B357">
        <v>792668</v>
      </c>
      <c r="C357" s="1" t="str">
        <f>HYPERLINK("http://stackoverflow.com/users/792668", "manuzhang")</f>
        <v>manuzhang</v>
      </c>
      <c r="D357" t="s">
        <v>4</v>
      </c>
      <c r="E357">
        <v>1780</v>
      </c>
    </row>
    <row r="358" spans="1:5" x14ac:dyDescent="0.25">
      <c r="A358">
        <v>357</v>
      </c>
      <c r="B358">
        <v>2940319</v>
      </c>
      <c r="C358" s="1" t="str">
        <f>HYPERLINK("http://stackoverflow.com/users/2940319", "Marslo")</f>
        <v>Marslo</v>
      </c>
      <c r="D358" t="s">
        <v>22</v>
      </c>
      <c r="E358">
        <v>1770</v>
      </c>
    </row>
    <row r="359" spans="1:5" x14ac:dyDescent="0.25">
      <c r="A359">
        <v>358</v>
      </c>
      <c r="B359">
        <v>52603</v>
      </c>
      <c r="C359" s="1" t="str">
        <f>HYPERLINK("http://stackoverflow.com/users/52603", "Hong Jiang")</f>
        <v>Hong Jiang</v>
      </c>
      <c r="D359" t="s">
        <v>5</v>
      </c>
      <c r="E359">
        <v>1768</v>
      </c>
    </row>
    <row r="360" spans="1:5" x14ac:dyDescent="0.25">
      <c r="A360">
        <v>359</v>
      </c>
      <c r="B360">
        <v>4411558</v>
      </c>
      <c r="C360" s="1" t="str">
        <f>HYPERLINK("http://stackoverflow.com/users/4411558", "张实唯")</f>
        <v>张实唯</v>
      </c>
      <c r="D360" t="s">
        <v>50</v>
      </c>
      <c r="E360">
        <v>1762</v>
      </c>
    </row>
    <row r="361" spans="1:5" x14ac:dyDescent="0.25">
      <c r="A361">
        <v>360</v>
      </c>
      <c r="B361">
        <v>1621875</v>
      </c>
      <c r="C361" s="1" t="str">
        <f>HYPERLINK("http://stackoverflow.com/users/1621875", "Airen")</f>
        <v>Airen</v>
      </c>
      <c r="D361" t="s">
        <v>16</v>
      </c>
      <c r="E361">
        <v>1761</v>
      </c>
    </row>
    <row r="362" spans="1:5" x14ac:dyDescent="0.25">
      <c r="A362">
        <v>361</v>
      </c>
      <c r="B362">
        <v>64444</v>
      </c>
      <c r="C362" s="1" t="str">
        <f>HYPERLINK("http://stackoverflow.com/users/64444", "schettino72")</f>
        <v>schettino72</v>
      </c>
      <c r="D362" t="s">
        <v>22</v>
      </c>
      <c r="E362">
        <v>1759</v>
      </c>
    </row>
    <row r="363" spans="1:5" x14ac:dyDescent="0.25">
      <c r="A363">
        <v>362</v>
      </c>
      <c r="B363">
        <v>6382035</v>
      </c>
      <c r="C363" s="1" t="str">
        <f>HYPERLINK("http://stackoverflow.com/users/6382035", "Vi.Ci")</f>
        <v>Vi.Ci</v>
      </c>
      <c r="D363" t="s">
        <v>5</v>
      </c>
      <c r="E363">
        <v>1748</v>
      </c>
    </row>
    <row r="364" spans="1:5" x14ac:dyDescent="0.25">
      <c r="A364">
        <v>363</v>
      </c>
      <c r="B364">
        <v>109138</v>
      </c>
      <c r="C364" s="1" t="str">
        <f>HYPERLINK("http://stackoverflow.com/users/109138", "qingbo")</f>
        <v>qingbo</v>
      </c>
      <c r="D364" t="s">
        <v>5</v>
      </c>
      <c r="E364">
        <v>1744</v>
      </c>
    </row>
    <row r="365" spans="1:5" x14ac:dyDescent="0.25">
      <c r="A365">
        <v>364</v>
      </c>
      <c r="B365">
        <v>1533690</v>
      </c>
      <c r="C365" s="1" t="str">
        <f>HYPERLINK("http://stackoverflow.com/users/1533690", "codable")</f>
        <v>codable</v>
      </c>
      <c r="D365" t="s">
        <v>4</v>
      </c>
      <c r="E365">
        <v>1741</v>
      </c>
    </row>
    <row r="366" spans="1:5" x14ac:dyDescent="0.25">
      <c r="A366">
        <v>365</v>
      </c>
      <c r="B366">
        <v>1056400</v>
      </c>
      <c r="C366" s="1" t="str">
        <f>HYPERLINK("http://stackoverflow.com/users/1056400", "Cong Wang")</f>
        <v>Cong Wang</v>
      </c>
      <c r="D366" t="s">
        <v>51</v>
      </c>
      <c r="E366">
        <v>1723</v>
      </c>
    </row>
    <row r="367" spans="1:5" x14ac:dyDescent="0.25">
      <c r="A367">
        <v>366</v>
      </c>
      <c r="B367">
        <v>348628</v>
      </c>
      <c r="C367" s="1" t="str">
        <f>HYPERLINK("http://stackoverflow.com/users/348628", "Bug Magnet")</f>
        <v>Bug Magnet</v>
      </c>
      <c r="D367" t="s">
        <v>5</v>
      </c>
      <c r="E367">
        <v>1720</v>
      </c>
    </row>
    <row r="368" spans="1:5" x14ac:dyDescent="0.25">
      <c r="A368">
        <v>367</v>
      </c>
      <c r="B368">
        <v>990825</v>
      </c>
      <c r="C368" s="1" t="str">
        <f>HYPERLINK("http://stackoverflow.com/users/990825", "Ade YU")</f>
        <v>Ade YU</v>
      </c>
      <c r="D368" t="s">
        <v>4</v>
      </c>
      <c r="E368">
        <v>1711</v>
      </c>
    </row>
    <row r="369" spans="1:5" x14ac:dyDescent="0.25">
      <c r="A369">
        <v>368</v>
      </c>
      <c r="B369">
        <v>2134775</v>
      </c>
      <c r="C369" s="1" t="str">
        <f>HYPERLINK("http://stackoverflow.com/users/2134775", "Vincent Wen")</f>
        <v>Vincent Wen</v>
      </c>
      <c r="D369" t="s">
        <v>4</v>
      </c>
      <c r="E369">
        <v>1711</v>
      </c>
    </row>
    <row r="370" spans="1:5" x14ac:dyDescent="0.25">
      <c r="A370">
        <v>369</v>
      </c>
      <c r="B370">
        <v>108176</v>
      </c>
      <c r="C370" s="1" t="str">
        <f>HYPERLINK("http://stackoverflow.com/users/108176", "amazingjxq")</f>
        <v>amazingjxq</v>
      </c>
      <c r="D370" t="s">
        <v>17</v>
      </c>
      <c r="E370">
        <v>1699</v>
      </c>
    </row>
    <row r="371" spans="1:5" x14ac:dyDescent="0.25">
      <c r="A371">
        <v>370</v>
      </c>
      <c r="B371">
        <v>295856</v>
      </c>
      <c r="C371" s="1" t="str">
        <f>HYPERLINK("http://stackoverflow.com/users/295856", "larryzhao")</f>
        <v>larryzhao</v>
      </c>
      <c r="D371" t="s">
        <v>4</v>
      </c>
      <c r="E371">
        <v>1680</v>
      </c>
    </row>
    <row r="372" spans="1:5" x14ac:dyDescent="0.25">
      <c r="A372">
        <v>371</v>
      </c>
      <c r="B372">
        <v>1813988</v>
      </c>
      <c r="C372" s="1" t="str">
        <f>HYPERLINK("http://stackoverflow.com/users/1813988", "phil")</f>
        <v>phil</v>
      </c>
      <c r="D372" t="s">
        <v>5</v>
      </c>
      <c r="E372">
        <v>1673</v>
      </c>
    </row>
    <row r="373" spans="1:5" x14ac:dyDescent="0.25">
      <c r="A373">
        <v>372</v>
      </c>
      <c r="B373">
        <v>2301843</v>
      </c>
      <c r="C373" s="1" t="str">
        <f>HYPERLINK("http://stackoverflow.com/users/2301843", "locoyou")</f>
        <v>locoyou</v>
      </c>
      <c r="D373" t="s">
        <v>5</v>
      </c>
      <c r="E373">
        <v>1672</v>
      </c>
    </row>
    <row r="374" spans="1:5" x14ac:dyDescent="0.25">
      <c r="A374">
        <v>373</v>
      </c>
      <c r="B374">
        <v>111277</v>
      </c>
      <c r="C374" s="1" t="str">
        <f>HYPERLINK("http://stackoverflow.com/users/111277", "situee")</f>
        <v>situee</v>
      </c>
      <c r="D374" t="s">
        <v>21</v>
      </c>
      <c r="E374">
        <v>1670</v>
      </c>
    </row>
    <row r="375" spans="1:5" x14ac:dyDescent="0.25">
      <c r="A375">
        <v>374</v>
      </c>
      <c r="B375">
        <v>2746862</v>
      </c>
      <c r="C375" s="1" t="str">
        <f>HYPERLINK("http://stackoverflow.com/users/2746862", "Xu Ding")</f>
        <v>Xu Ding</v>
      </c>
      <c r="D375" t="s">
        <v>4</v>
      </c>
      <c r="E375">
        <v>1668</v>
      </c>
    </row>
    <row r="376" spans="1:5" x14ac:dyDescent="0.25">
      <c r="A376">
        <v>375</v>
      </c>
      <c r="B376">
        <v>1267982</v>
      </c>
      <c r="C376" s="1" t="str">
        <f>HYPERLINK("http://stackoverflow.com/users/1267982", "ruanhao")</f>
        <v>ruanhao</v>
      </c>
      <c r="D376" t="s">
        <v>4</v>
      </c>
      <c r="E376">
        <v>1664</v>
      </c>
    </row>
    <row r="377" spans="1:5" x14ac:dyDescent="0.25">
      <c r="A377">
        <v>376</v>
      </c>
      <c r="B377">
        <v>6247478</v>
      </c>
      <c r="C377" s="1" t="str">
        <f>HYPERLINK("http://stackoverflow.com/users/6247478", "Kevin")</f>
        <v>Kevin</v>
      </c>
      <c r="D377" t="s">
        <v>4</v>
      </c>
      <c r="E377">
        <v>1663</v>
      </c>
    </row>
    <row r="378" spans="1:5" x14ac:dyDescent="0.25">
      <c r="A378">
        <v>377</v>
      </c>
      <c r="B378">
        <v>5793660</v>
      </c>
      <c r="C378" s="1" t="str">
        <f>HYPERLINK("http://stackoverflow.com/users/5793660", "Ghrua")</f>
        <v>Ghrua</v>
      </c>
      <c r="D378" t="s">
        <v>52</v>
      </c>
      <c r="E378">
        <v>1663</v>
      </c>
    </row>
    <row r="379" spans="1:5" x14ac:dyDescent="0.25">
      <c r="A379">
        <v>378</v>
      </c>
      <c r="B379">
        <v>588784</v>
      </c>
      <c r="C379" s="1" t="str">
        <f>HYPERLINK("http://stackoverflow.com/users/588784", "Rockystech")</f>
        <v>Rockystech</v>
      </c>
      <c r="D379" t="s">
        <v>4</v>
      </c>
      <c r="E379">
        <v>1661</v>
      </c>
    </row>
    <row r="380" spans="1:5" x14ac:dyDescent="0.25">
      <c r="A380">
        <v>379</v>
      </c>
      <c r="B380">
        <v>227701</v>
      </c>
      <c r="C380" s="1" t="str">
        <f>HYPERLINK("http://stackoverflow.com/users/227701", "Box")</f>
        <v>Box</v>
      </c>
      <c r="D380" t="s">
        <v>8</v>
      </c>
      <c r="E380">
        <v>1654</v>
      </c>
    </row>
    <row r="381" spans="1:5" x14ac:dyDescent="0.25">
      <c r="A381">
        <v>380</v>
      </c>
      <c r="B381">
        <v>1755542</v>
      </c>
      <c r="C381" s="1" t="str">
        <f>HYPERLINK("http://stackoverflow.com/users/1755542", "kvh")</f>
        <v>kvh</v>
      </c>
      <c r="D381" t="s">
        <v>5</v>
      </c>
      <c r="E381">
        <v>1651</v>
      </c>
    </row>
    <row r="382" spans="1:5" x14ac:dyDescent="0.25">
      <c r="A382">
        <v>381</v>
      </c>
      <c r="B382">
        <v>6652410</v>
      </c>
      <c r="C382" s="1" t="str">
        <f>HYPERLINK("http://stackoverflow.com/users/6652410", "Stark")</f>
        <v>Stark</v>
      </c>
      <c r="D382" t="s">
        <v>4</v>
      </c>
      <c r="E382">
        <v>1646</v>
      </c>
    </row>
    <row r="383" spans="1:5" x14ac:dyDescent="0.25">
      <c r="A383">
        <v>382</v>
      </c>
      <c r="B383">
        <v>636467</v>
      </c>
      <c r="C383" s="1" t="str">
        <f>HYPERLINK("http://stackoverflow.com/users/636467", "jerry_sjtu")</f>
        <v>jerry_sjtu</v>
      </c>
      <c r="D383" t="s">
        <v>4</v>
      </c>
      <c r="E383">
        <v>1641</v>
      </c>
    </row>
    <row r="384" spans="1:5" x14ac:dyDescent="0.25">
      <c r="A384">
        <v>383</v>
      </c>
      <c r="B384">
        <v>918120</v>
      </c>
      <c r="C384" s="1" t="str">
        <f>HYPERLINK("http://stackoverflow.com/users/918120", "eph")</f>
        <v>eph</v>
      </c>
      <c r="D384" t="s">
        <v>8</v>
      </c>
      <c r="E384">
        <v>1640</v>
      </c>
    </row>
    <row r="385" spans="1:5" x14ac:dyDescent="0.25">
      <c r="A385">
        <v>384</v>
      </c>
      <c r="B385">
        <v>762297</v>
      </c>
      <c r="C385" s="1" t="str">
        <f>HYPERLINK("http://stackoverflow.com/users/762297", "Wubao Li")</f>
        <v>Wubao Li</v>
      </c>
      <c r="D385" t="s">
        <v>5</v>
      </c>
      <c r="E385">
        <v>1638</v>
      </c>
    </row>
    <row r="386" spans="1:5" x14ac:dyDescent="0.25">
      <c r="A386">
        <v>385</v>
      </c>
      <c r="B386">
        <v>1445934</v>
      </c>
      <c r="C386" s="1" t="str">
        <f>HYPERLINK("http://stackoverflow.com/users/1445934", "AlloVince")</f>
        <v>AlloVince</v>
      </c>
      <c r="D386" t="s">
        <v>53</v>
      </c>
      <c r="E386">
        <v>1636</v>
      </c>
    </row>
    <row r="387" spans="1:5" x14ac:dyDescent="0.25">
      <c r="A387">
        <v>386</v>
      </c>
      <c r="B387">
        <v>1547399</v>
      </c>
      <c r="C387" s="1" t="str">
        <f>HYPERLINK("http://stackoverflow.com/users/1547399", "zoujyjs")</f>
        <v>zoujyjs</v>
      </c>
      <c r="D387" t="s">
        <v>37</v>
      </c>
      <c r="E387">
        <v>1629</v>
      </c>
    </row>
    <row r="388" spans="1:5" x14ac:dyDescent="0.25">
      <c r="A388">
        <v>387</v>
      </c>
      <c r="B388">
        <v>679784</v>
      </c>
      <c r="C388" s="1" t="str">
        <f>HYPERLINK("http://stackoverflow.com/users/679784", "Wint")</f>
        <v>Wint</v>
      </c>
      <c r="D388" t="s">
        <v>54</v>
      </c>
      <c r="E388">
        <v>1623</v>
      </c>
    </row>
    <row r="389" spans="1:5" x14ac:dyDescent="0.25">
      <c r="A389">
        <v>388</v>
      </c>
      <c r="B389">
        <v>667254</v>
      </c>
      <c r="C389" s="1" t="str">
        <f>HYPERLINK("http://stackoverflow.com/users/667254", "herodot")</f>
        <v>herodot</v>
      </c>
      <c r="D389" t="s">
        <v>5</v>
      </c>
      <c r="E389">
        <v>1599</v>
      </c>
    </row>
    <row r="390" spans="1:5" x14ac:dyDescent="0.25">
      <c r="A390">
        <v>389</v>
      </c>
      <c r="B390">
        <v>619292</v>
      </c>
      <c r="C390" s="1" t="str">
        <f>HYPERLINK("http://stackoverflow.com/users/619292", "Ethan Zhang")</f>
        <v>Ethan Zhang</v>
      </c>
      <c r="D390" t="s">
        <v>5</v>
      </c>
      <c r="E390">
        <v>1599</v>
      </c>
    </row>
    <row r="391" spans="1:5" x14ac:dyDescent="0.25">
      <c r="A391">
        <v>390</v>
      </c>
      <c r="B391">
        <v>2184947</v>
      </c>
      <c r="C391" s="1" t="str">
        <f>HYPERLINK("http://stackoverflow.com/users/2184947", "Felix")</f>
        <v>Felix</v>
      </c>
      <c r="D391" t="s">
        <v>5</v>
      </c>
      <c r="E391">
        <v>1589</v>
      </c>
    </row>
    <row r="392" spans="1:5" x14ac:dyDescent="0.25">
      <c r="A392">
        <v>391</v>
      </c>
      <c r="B392">
        <v>2813876</v>
      </c>
      <c r="C392" s="1" t="str">
        <f>HYPERLINK("http://stackoverflow.com/users/2813876", "lanbo")</f>
        <v>lanbo</v>
      </c>
      <c r="D392" t="s">
        <v>3</v>
      </c>
      <c r="E392">
        <v>1588</v>
      </c>
    </row>
    <row r="393" spans="1:5" x14ac:dyDescent="0.25">
      <c r="A393">
        <v>392</v>
      </c>
      <c r="B393">
        <v>6281477</v>
      </c>
      <c r="C393" s="1" t="str">
        <f>HYPERLINK("http://stackoverflow.com/users/6281477", "Dale")</f>
        <v>Dale</v>
      </c>
      <c r="D393" t="s">
        <v>12</v>
      </c>
      <c r="E393">
        <v>1578</v>
      </c>
    </row>
    <row r="394" spans="1:5" x14ac:dyDescent="0.25">
      <c r="A394">
        <v>393</v>
      </c>
      <c r="B394">
        <v>610799</v>
      </c>
      <c r="C394" s="1" t="str">
        <f>HYPERLINK("http://stackoverflow.com/users/610799", "Yoko Zunna")</f>
        <v>Yoko Zunna</v>
      </c>
      <c r="D394" t="s">
        <v>4</v>
      </c>
      <c r="E394">
        <v>1571</v>
      </c>
    </row>
    <row r="395" spans="1:5" x14ac:dyDescent="0.25">
      <c r="A395">
        <v>394</v>
      </c>
      <c r="B395">
        <v>1041398</v>
      </c>
      <c r="C395" s="1" t="str">
        <f>HYPERLINK("http://stackoverflow.com/users/1041398", "merlin")</f>
        <v>merlin</v>
      </c>
      <c r="D395" t="s">
        <v>22</v>
      </c>
      <c r="E395">
        <v>1570</v>
      </c>
    </row>
    <row r="396" spans="1:5" x14ac:dyDescent="0.25">
      <c r="A396">
        <v>395</v>
      </c>
      <c r="B396">
        <v>351545</v>
      </c>
      <c r="C396" s="1" t="str">
        <f>HYPERLINK("http://stackoverflow.com/users/351545", "爱国者")</f>
        <v>爱国者</v>
      </c>
      <c r="D396" t="s">
        <v>21</v>
      </c>
      <c r="E396">
        <v>1553</v>
      </c>
    </row>
    <row r="397" spans="1:5" x14ac:dyDescent="0.25">
      <c r="A397">
        <v>396</v>
      </c>
      <c r="B397">
        <v>2218838</v>
      </c>
      <c r="C397" s="1" t="str">
        <f>HYPERLINK("http://stackoverflow.com/users/2218838", "Anderson")</f>
        <v>Anderson</v>
      </c>
      <c r="D397" t="s">
        <v>12</v>
      </c>
      <c r="E397">
        <v>1550</v>
      </c>
    </row>
    <row r="398" spans="1:5" x14ac:dyDescent="0.25">
      <c r="A398">
        <v>397</v>
      </c>
      <c r="B398">
        <v>290235</v>
      </c>
      <c r="C398" s="1" t="str">
        <f>HYPERLINK("http://stackoverflow.com/users/290235", "Gang Yin")</f>
        <v>Gang Yin</v>
      </c>
      <c r="D398" t="s">
        <v>4</v>
      </c>
      <c r="E398">
        <v>1541</v>
      </c>
    </row>
    <row r="399" spans="1:5" x14ac:dyDescent="0.25">
      <c r="A399">
        <v>398</v>
      </c>
      <c r="B399">
        <v>1297136</v>
      </c>
      <c r="C399" s="1" t="str">
        <f>HYPERLINK("http://stackoverflow.com/users/1297136", "Alexey Kamenskiy")</f>
        <v>Alexey Kamenskiy</v>
      </c>
      <c r="D399" t="s">
        <v>4</v>
      </c>
      <c r="E399">
        <v>1541</v>
      </c>
    </row>
    <row r="400" spans="1:5" x14ac:dyDescent="0.25">
      <c r="A400">
        <v>399</v>
      </c>
      <c r="B400">
        <v>1070813</v>
      </c>
      <c r="C400" s="1" t="str">
        <f>HYPERLINK("http://stackoverflow.com/users/1070813", "gzerone")</f>
        <v>gzerone</v>
      </c>
      <c r="D400" t="s">
        <v>4</v>
      </c>
      <c r="E400">
        <v>1535</v>
      </c>
    </row>
    <row r="401" spans="1:5" x14ac:dyDescent="0.25">
      <c r="A401">
        <v>400</v>
      </c>
      <c r="B401">
        <v>1921437</v>
      </c>
      <c r="C401" s="1" t="str">
        <f>HYPERLINK("http://stackoverflow.com/users/1921437", "SolessChong")</f>
        <v>SolessChong</v>
      </c>
      <c r="D401" t="s">
        <v>5</v>
      </c>
      <c r="E401">
        <v>1525</v>
      </c>
    </row>
    <row r="402" spans="1:5" x14ac:dyDescent="0.25">
      <c r="A402">
        <v>401</v>
      </c>
      <c r="B402">
        <v>371141</v>
      </c>
      <c r="C402" s="1" t="str">
        <f>HYPERLINK("http://stackoverflow.com/users/371141", "Ning Sun")</f>
        <v>Ning Sun</v>
      </c>
      <c r="D402" t="s">
        <v>55</v>
      </c>
      <c r="E402">
        <v>1519</v>
      </c>
    </row>
    <row r="403" spans="1:5" x14ac:dyDescent="0.25">
      <c r="A403">
        <v>402</v>
      </c>
      <c r="B403">
        <v>4104893</v>
      </c>
      <c r="C403" s="1" t="str">
        <f>HYPERLINK("http://stackoverflow.com/users/4104893", "MZD")</f>
        <v>MZD</v>
      </c>
      <c r="D403" t="s">
        <v>37</v>
      </c>
      <c r="E403">
        <v>1506</v>
      </c>
    </row>
    <row r="404" spans="1:5" x14ac:dyDescent="0.25">
      <c r="A404">
        <v>403</v>
      </c>
      <c r="B404">
        <v>938077</v>
      </c>
      <c r="C404" s="1" t="str">
        <f>HYPERLINK("http://stackoverflow.com/users/938077", "the5fire")</f>
        <v>the5fire</v>
      </c>
      <c r="D404" t="s">
        <v>5</v>
      </c>
      <c r="E404">
        <v>1504</v>
      </c>
    </row>
    <row r="405" spans="1:5" x14ac:dyDescent="0.25">
      <c r="A405">
        <v>404</v>
      </c>
      <c r="B405">
        <v>5172890</v>
      </c>
      <c r="C405" s="1" t="str">
        <f>HYPERLINK("http://stackoverflow.com/users/5172890", "Ken Berkeley")</f>
        <v>Ken Berkeley</v>
      </c>
      <c r="D405" t="s">
        <v>21</v>
      </c>
      <c r="E405">
        <v>1497</v>
      </c>
    </row>
    <row r="406" spans="1:5" x14ac:dyDescent="0.25">
      <c r="A406">
        <v>405</v>
      </c>
      <c r="B406">
        <v>2163429</v>
      </c>
      <c r="C406" s="1" t="str">
        <f>HYPERLINK("http://stackoverflow.com/users/2163429", "Jiacai Liu")</f>
        <v>Jiacai Liu</v>
      </c>
      <c r="D406" t="s">
        <v>12</v>
      </c>
      <c r="E406">
        <v>1497</v>
      </c>
    </row>
    <row r="407" spans="1:5" x14ac:dyDescent="0.25">
      <c r="A407">
        <v>406</v>
      </c>
      <c r="B407">
        <v>130272</v>
      </c>
      <c r="C407" s="1" t="str">
        <f>HYPERLINK("http://stackoverflow.com/users/130272", "Charlie Epps")</f>
        <v>Charlie Epps</v>
      </c>
      <c r="D407" t="s">
        <v>13</v>
      </c>
      <c r="E407">
        <v>1494</v>
      </c>
    </row>
    <row r="408" spans="1:5" x14ac:dyDescent="0.25">
      <c r="A408">
        <v>407</v>
      </c>
      <c r="B408">
        <v>957121</v>
      </c>
      <c r="C408" s="1" t="str">
        <f>HYPERLINK("http://stackoverflow.com/users/957121", "user957121")</f>
        <v>user957121</v>
      </c>
      <c r="D408" t="s">
        <v>56</v>
      </c>
      <c r="E408">
        <v>1493</v>
      </c>
    </row>
    <row r="409" spans="1:5" x14ac:dyDescent="0.25">
      <c r="A409">
        <v>408</v>
      </c>
      <c r="B409">
        <v>4101415</v>
      </c>
      <c r="C409" s="1" t="str">
        <f>HYPERLINK("http://stackoverflow.com/users/4101415", "walsh")</f>
        <v>walsh</v>
      </c>
      <c r="D409" t="s">
        <v>57</v>
      </c>
      <c r="E409">
        <v>1493</v>
      </c>
    </row>
    <row r="410" spans="1:5" x14ac:dyDescent="0.25">
      <c r="A410">
        <v>409</v>
      </c>
      <c r="B410">
        <v>1000290</v>
      </c>
      <c r="C410" s="1" t="str">
        <f>HYPERLINK("http://stackoverflow.com/users/1000290", "tdihp")</f>
        <v>tdihp</v>
      </c>
      <c r="D410" t="s">
        <v>4</v>
      </c>
      <c r="E410">
        <v>1491</v>
      </c>
    </row>
    <row r="411" spans="1:5" x14ac:dyDescent="0.25">
      <c r="A411">
        <v>410</v>
      </c>
      <c r="B411">
        <v>84978</v>
      </c>
      <c r="C411" s="1" t="str">
        <f>HYPERLINK("http://stackoverflow.com/users/84978", "Monkey")</f>
        <v>Monkey</v>
      </c>
      <c r="D411" t="s">
        <v>3</v>
      </c>
      <c r="E411">
        <v>1491</v>
      </c>
    </row>
    <row r="412" spans="1:5" x14ac:dyDescent="0.25">
      <c r="A412">
        <v>411</v>
      </c>
      <c r="B412">
        <v>587285</v>
      </c>
      <c r="C412" s="1" t="str">
        <f>HYPERLINK("http://stackoverflow.com/users/587285", "PepitoSh")</f>
        <v>PepitoSh</v>
      </c>
      <c r="D412" t="s">
        <v>4</v>
      </c>
      <c r="E412">
        <v>1489</v>
      </c>
    </row>
    <row r="413" spans="1:5" x14ac:dyDescent="0.25">
      <c r="A413">
        <v>412</v>
      </c>
      <c r="B413">
        <v>7218127</v>
      </c>
      <c r="C413" s="1" t="str">
        <f>HYPERLINK("http://stackoverflow.com/users/7218127", "Jim D.")</f>
        <v>Jim D.</v>
      </c>
      <c r="D413" t="s">
        <v>4</v>
      </c>
      <c r="E413">
        <v>1489</v>
      </c>
    </row>
    <row r="414" spans="1:5" x14ac:dyDescent="0.25">
      <c r="A414">
        <v>413</v>
      </c>
      <c r="B414">
        <v>1439313</v>
      </c>
      <c r="C414" s="1" t="str">
        <f>HYPERLINK("http://stackoverflow.com/users/1439313", "dinesh ygv")</f>
        <v>dinesh ygv</v>
      </c>
      <c r="D414" t="s">
        <v>5</v>
      </c>
      <c r="E414">
        <v>1470</v>
      </c>
    </row>
    <row r="415" spans="1:5" x14ac:dyDescent="0.25">
      <c r="A415">
        <v>414</v>
      </c>
      <c r="B415">
        <v>1493069</v>
      </c>
      <c r="C415" s="1" t="str">
        <f>HYPERLINK("http://stackoverflow.com/users/1493069", "Bob Jordan")</f>
        <v>Bob Jordan</v>
      </c>
      <c r="D415" t="s">
        <v>17</v>
      </c>
      <c r="E415">
        <v>1469</v>
      </c>
    </row>
    <row r="416" spans="1:5" x14ac:dyDescent="0.25">
      <c r="A416">
        <v>415</v>
      </c>
      <c r="B416">
        <v>544806</v>
      </c>
      <c r="C416" s="1" t="str">
        <f>HYPERLINK("http://stackoverflow.com/users/544806", "Determinant")</f>
        <v>Determinant</v>
      </c>
      <c r="D416" t="s">
        <v>22</v>
      </c>
      <c r="E416">
        <v>1469</v>
      </c>
    </row>
    <row r="417" spans="1:5" x14ac:dyDescent="0.25">
      <c r="A417">
        <v>416</v>
      </c>
      <c r="B417">
        <v>721506</v>
      </c>
      <c r="C417" s="1" t="str">
        <f>HYPERLINK("http://stackoverflow.com/users/721506", "Larry LIU Xinyu")</f>
        <v>Larry LIU Xinyu</v>
      </c>
      <c r="D417" t="s">
        <v>5</v>
      </c>
      <c r="E417">
        <v>1468</v>
      </c>
    </row>
    <row r="418" spans="1:5" x14ac:dyDescent="0.25">
      <c r="A418">
        <v>417</v>
      </c>
      <c r="B418">
        <v>733029</v>
      </c>
      <c r="C418" s="1" t="str">
        <f>HYPERLINK("http://stackoverflow.com/users/733029", "PeakJi")</f>
        <v>PeakJi</v>
      </c>
      <c r="D418" t="s">
        <v>5</v>
      </c>
      <c r="E418">
        <v>1467</v>
      </c>
    </row>
    <row r="419" spans="1:5" x14ac:dyDescent="0.25">
      <c r="A419">
        <v>418</v>
      </c>
      <c r="B419">
        <v>4625903</v>
      </c>
      <c r="C419" s="1" t="str">
        <f>HYPERLINK("http://stackoverflow.com/users/4625903", "Alan Wang")</f>
        <v>Alan Wang</v>
      </c>
      <c r="D419" t="s">
        <v>5</v>
      </c>
      <c r="E419">
        <v>1464</v>
      </c>
    </row>
    <row r="420" spans="1:5" x14ac:dyDescent="0.25">
      <c r="A420">
        <v>419</v>
      </c>
      <c r="B420">
        <v>4943102</v>
      </c>
      <c r="C420" s="1" t="str">
        <f>HYPERLINK("http://stackoverflow.com/users/4943102", "Keyu Lin")</f>
        <v>Keyu Lin</v>
      </c>
      <c r="D420" t="s">
        <v>22</v>
      </c>
      <c r="E420">
        <v>1464</v>
      </c>
    </row>
    <row r="421" spans="1:5" x14ac:dyDescent="0.25">
      <c r="A421">
        <v>420</v>
      </c>
      <c r="B421">
        <v>1094962</v>
      </c>
      <c r="C421" s="1" t="str">
        <f>HYPERLINK("http://stackoverflow.com/users/1094962", "weynhamz")</f>
        <v>weynhamz</v>
      </c>
      <c r="D421" t="s">
        <v>48</v>
      </c>
      <c r="E421">
        <v>1463</v>
      </c>
    </row>
    <row r="422" spans="1:5" x14ac:dyDescent="0.25">
      <c r="A422">
        <v>421</v>
      </c>
      <c r="B422">
        <v>1957102</v>
      </c>
      <c r="C422" s="1" t="str">
        <f>HYPERLINK("http://stackoverflow.com/users/1957102", "Patric")</f>
        <v>Patric</v>
      </c>
      <c r="D422" t="s">
        <v>4</v>
      </c>
      <c r="E422">
        <v>1462</v>
      </c>
    </row>
    <row r="423" spans="1:5" x14ac:dyDescent="0.25">
      <c r="A423">
        <v>422</v>
      </c>
      <c r="B423">
        <v>922688</v>
      </c>
      <c r="C423" s="1" t="str">
        <f>HYPERLINK("http://stackoverflow.com/users/922688", "oldratlee")</f>
        <v>oldratlee</v>
      </c>
      <c r="D423" t="s">
        <v>16</v>
      </c>
      <c r="E423">
        <v>1459</v>
      </c>
    </row>
    <row r="424" spans="1:5" x14ac:dyDescent="0.25">
      <c r="A424">
        <v>423</v>
      </c>
      <c r="B424">
        <v>498175</v>
      </c>
      <c r="C424" s="1" t="str">
        <f>HYPERLINK("http://stackoverflow.com/users/498175", "Wayne Ye")</f>
        <v>Wayne Ye</v>
      </c>
      <c r="D424" t="s">
        <v>4</v>
      </c>
      <c r="E424">
        <v>1457</v>
      </c>
    </row>
    <row r="425" spans="1:5" x14ac:dyDescent="0.25">
      <c r="A425">
        <v>424</v>
      </c>
      <c r="B425">
        <v>1925263</v>
      </c>
      <c r="C425" s="1" t="str">
        <f>HYPERLINK("http://stackoverflow.com/users/1925263", "btw0")</f>
        <v>btw0</v>
      </c>
      <c r="D425" t="s">
        <v>4</v>
      </c>
      <c r="E425">
        <v>1450</v>
      </c>
    </row>
    <row r="426" spans="1:5" x14ac:dyDescent="0.25">
      <c r="A426">
        <v>425</v>
      </c>
      <c r="B426">
        <v>1177684</v>
      </c>
      <c r="C426" s="1" t="str">
        <f>HYPERLINK("http://stackoverflow.com/users/1177684", "crapthings")</f>
        <v>crapthings</v>
      </c>
      <c r="D426" t="s">
        <v>56</v>
      </c>
      <c r="E426">
        <v>1448</v>
      </c>
    </row>
    <row r="427" spans="1:5" x14ac:dyDescent="0.25">
      <c r="A427">
        <v>426</v>
      </c>
      <c r="B427">
        <v>1336582</v>
      </c>
      <c r="C427" s="1" t="str">
        <f>HYPERLINK("http://stackoverflow.com/users/1336582", "damianfabian")</f>
        <v>damianfabian</v>
      </c>
      <c r="D427" t="s">
        <v>7</v>
      </c>
      <c r="E427">
        <v>1446</v>
      </c>
    </row>
    <row r="428" spans="1:5" x14ac:dyDescent="0.25">
      <c r="A428">
        <v>427</v>
      </c>
      <c r="B428">
        <v>864688</v>
      </c>
      <c r="C428" s="1" t="str">
        <f>HYPERLINK("http://stackoverflow.com/users/864688", "jifeng.yin")</f>
        <v>jifeng.yin</v>
      </c>
      <c r="D428" t="s">
        <v>5</v>
      </c>
      <c r="E428">
        <v>1439</v>
      </c>
    </row>
    <row r="429" spans="1:5" x14ac:dyDescent="0.25">
      <c r="A429">
        <v>428</v>
      </c>
      <c r="B429">
        <v>188784</v>
      </c>
      <c r="C429" s="1" t="str">
        <f>HYPERLINK("http://stackoverflow.com/users/188784", "Gohan")</f>
        <v>Gohan</v>
      </c>
      <c r="D429" t="s">
        <v>7</v>
      </c>
      <c r="E429">
        <v>1436</v>
      </c>
    </row>
    <row r="430" spans="1:5" x14ac:dyDescent="0.25">
      <c r="A430">
        <v>429</v>
      </c>
      <c r="B430">
        <v>1699518</v>
      </c>
      <c r="C430" s="1" t="str">
        <f>HYPERLINK("http://stackoverflow.com/users/1699518", "ericson")</f>
        <v>ericson</v>
      </c>
      <c r="D430" t="s">
        <v>12</v>
      </c>
      <c r="E430">
        <v>1436</v>
      </c>
    </row>
    <row r="431" spans="1:5" x14ac:dyDescent="0.25">
      <c r="A431">
        <v>430</v>
      </c>
      <c r="B431">
        <v>1427443</v>
      </c>
      <c r="C431" s="1" t="str">
        <f>HYPERLINK("http://stackoverflow.com/users/1427443", "Yunwei.W")</f>
        <v>Yunwei.W</v>
      </c>
      <c r="D431" t="s">
        <v>4</v>
      </c>
      <c r="E431">
        <v>1435</v>
      </c>
    </row>
    <row r="432" spans="1:5" x14ac:dyDescent="0.25">
      <c r="A432">
        <v>431</v>
      </c>
      <c r="B432">
        <v>4674834</v>
      </c>
      <c r="C432" s="1" t="str">
        <f>HYPERLINK("http://stackoverflow.com/users/4674834", "Tim Qian")</f>
        <v>Tim Qian</v>
      </c>
      <c r="D432" t="s">
        <v>4</v>
      </c>
      <c r="E432">
        <v>1431</v>
      </c>
    </row>
    <row r="433" spans="1:5" x14ac:dyDescent="0.25">
      <c r="A433">
        <v>432</v>
      </c>
      <c r="B433">
        <v>4670002</v>
      </c>
      <c r="C433" s="1" t="str">
        <f>HYPERLINK("http://stackoverflow.com/users/4670002", "Oboo Chin")</f>
        <v>Oboo Chin</v>
      </c>
      <c r="D433" t="s">
        <v>4</v>
      </c>
      <c r="E433">
        <v>1430</v>
      </c>
    </row>
    <row r="434" spans="1:5" x14ac:dyDescent="0.25">
      <c r="A434">
        <v>433</v>
      </c>
      <c r="B434">
        <v>262826</v>
      </c>
      <c r="C434" s="1" t="str">
        <f>HYPERLINK("http://stackoverflow.com/users/262826", "Eric Guo")</f>
        <v>Eric Guo</v>
      </c>
      <c r="D434" t="s">
        <v>4</v>
      </c>
      <c r="E434">
        <v>1428</v>
      </c>
    </row>
    <row r="435" spans="1:5" x14ac:dyDescent="0.25">
      <c r="A435">
        <v>434</v>
      </c>
      <c r="B435">
        <v>554084</v>
      </c>
      <c r="C435" s="1" t="str">
        <f>HYPERLINK("http://stackoverflow.com/users/554084", "Fourj")</f>
        <v>Fourj</v>
      </c>
      <c r="D435" t="s">
        <v>5</v>
      </c>
      <c r="E435">
        <v>1427</v>
      </c>
    </row>
    <row r="436" spans="1:5" x14ac:dyDescent="0.25">
      <c r="A436">
        <v>435</v>
      </c>
      <c r="B436">
        <v>3715463</v>
      </c>
      <c r="C436" s="1" t="str">
        <f>HYPERLINK("http://stackoverflow.com/users/3715463", "jonnybazookatone")</f>
        <v>jonnybazookatone</v>
      </c>
      <c r="D436" t="s">
        <v>5</v>
      </c>
      <c r="E436">
        <v>1423</v>
      </c>
    </row>
    <row r="437" spans="1:5" x14ac:dyDescent="0.25">
      <c r="A437">
        <v>436</v>
      </c>
      <c r="B437">
        <v>2369778</v>
      </c>
      <c r="C437" s="1" t="str">
        <f>HYPERLINK("http://stackoverflow.com/users/2369778", "worldask")</f>
        <v>worldask</v>
      </c>
      <c r="D437" t="s">
        <v>24</v>
      </c>
      <c r="E437">
        <v>1422</v>
      </c>
    </row>
    <row r="438" spans="1:5" x14ac:dyDescent="0.25">
      <c r="A438">
        <v>437</v>
      </c>
      <c r="B438">
        <v>1832085</v>
      </c>
      <c r="C438" s="1" t="str">
        <f>HYPERLINK("http://stackoverflow.com/users/1832085", "Bruce")</f>
        <v>Bruce</v>
      </c>
      <c r="D438" t="s">
        <v>58</v>
      </c>
      <c r="E438">
        <v>1421</v>
      </c>
    </row>
    <row r="439" spans="1:5" x14ac:dyDescent="0.25">
      <c r="A439">
        <v>438</v>
      </c>
      <c r="B439">
        <v>1321916</v>
      </c>
      <c r="C439" s="1" t="str">
        <f>HYPERLINK("http://stackoverflow.com/users/1321916", "zlm2012")</f>
        <v>zlm2012</v>
      </c>
      <c r="D439" t="s">
        <v>37</v>
      </c>
      <c r="E439">
        <v>1401</v>
      </c>
    </row>
    <row r="440" spans="1:5" x14ac:dyDescent="0.25">
      <c r="A440">
        <v>439</v>
      </c>
      <c r="B440">
        <v>5281824</v>
      </c>
      <c r="C440" s="1" t="str">
        <f>HYPERLINK("http://stackoverflow.com/users/5281824", "weaming")</f>
        <v>weaming</v>
      </c>
      <c r="D440" t="s">
        <v>17</v>
      </c>
      <c r="E440">
        <v>1401</v>
      </c>
    </row>
    <row r="441" spans="1:5" x14ac:dyDescent="0.25">
      <c r="A441">
        <v>440</v>
      </c>
      <c r="B441">
        <v>92676</v>
      </c>
      <c r="C441" s="1" t="str">
        <f>HYPERLINK("http://stackoverflow.com/users/92676", "Pwn")</f>
        <v>Pwn</v>
      </c>
      <c r="D441" t="s">
        <v>4</v>
      </c>
      <c r="E441">
        <v>1401</v>
      </c>
    </row>
    <row r="442" spans="1:5" x14ac:dyDescent="0.25">
      <c r="A442">
        <v>441</v>
      </c>
      <c r="B442">
        <v>1252344</v>
      </c>
      <c r="C442" s="1" t="str">
        <f>HYPERLINK("http://stackoverflow.com/users/1252344", "Cosmore")</f>
        <v>Cosmore</v>
      </c>
      <c r="D442" t="s">
        <v>5</v>
      </c>
      <c r="E442">
        <v>1401</v>
      </c>
    </row>
    <row r="443" spans="1:5" x14ac:dyDescent="0.25">
      <c r="A443">
        <v>442</v>
      </c>
      <c r="B443">
        <v>94962</v>
      </c>
      <c r="C443" s="1" t="str">
        <f>HYPERLINK("http://stackoverflow.com/users/94962", "limboy")</f>
        <v>limboy</v>
      </c>
      <c r="D443" t="s">
        <v>12</v>
      </c>
      <c r="E443">
        <v>1400</v>
      </c>
    </row>
    <row r="444" spans="1:5" x14ac:dyDescent="0.25">
      <c r="A444">
        <v>443</v>
      </c>
      <c r="B444">
        <v>4131775</v>
      </c>
      <c r="C444" s="1" t="str">
        <f>HYPERLINK("http://stackoverflow.com/users/4131775", "Feiyu Zhou")</f>
        <v>Feiyu Zhou</v>
      </c>
      <c r="D444" t="s">
        <v>5</v>
      </c>
      <c r="E444">
        <v>1391</v>
      </c>
    </row>
    <row r="445" spans="1:5" x14ac:dyDescent="0.25">
      <c r="A445">
        <v>444</v>
      </c>
      <c r="B445">
        <v>1681772</v>
      </c>
      <c r="C445" s="1" t="str">
        <f>HYPERLINK("http://stackoverflow.com/users/1681772", "yellowB")</f>
        <v>yellowB</v>
      </c>
      <c r="D445" t="s">
        <v>59</v>
      </c>
      <c r="E445">
        <v>1390</v>
      </c>
    </row>
    <row r="446" spans="1:5" x14ac:dyDescent="0.25">
      <c r="A446">
        <v>445</v>
      </c>
      <c r="B446">
        <v>1232277</v>
      </c>
      <c r="C446" s="1" t="str">
        <f>HYPERLINK("http://stackoverflow.com/users/1232277", "Rathakrishnan")</f>
        <v>Rathakrishnan</v>
      </c>
      <c r="D446" t="s">
        <v>60</v>
      </c>
      <c r="E446">
        <v>1385</v>
      </c>
    </row>
    <row r="447" spans="1:5" x14ac:dyDescent="0.25">
      <c r="A447">
        <v>446</v>
      </c>
      <c r="B447">
        <v>299036</v>
      </c>
      <c r="C447" s="1" t="str">
        <f>HYPERLINK("http://stackoverflow.com/users/299036", "Huang Tao")</f>
        <v>Huang Tao</v>
      </c>
      <c r="D447" t="s">
        <v>5</v>
      </c>
      <c r="E447">
        <v>1383</v>
      </c>
    </row>
    <row r="448" spans="1:5" x14ac:dyDescent="0.25">
      <c r="A448">
        <v>447</v>
      </c>
      <c r="B448">
        <v>565398</v>
      </c>
      <c r="C448" s="1" t="str">
        <f>HYPERLINK("http://stackoverflow.com/users/565398", "island205")</f>
        <v>island205</v>
      </c>
      <c r="D448" t="s">
        <v>4</v>
      </c>
      <c r="E448">
        <v>1382</v>
      </c>
    </row>
    <row r="449" spans="1:5" x14ac:dyDescent="0.25">
      <c r="A449">
        <v>448</v>
      </c>
      <c r="B449">
        <v>529160</v>
      </c>
      <c r="C449" s="1" t="str">
        <f>HYPERLINK("http://stackoverflow.com/users/529160", "Treper")</f>
        <v>Treper</v>
      </c>
      <c r="D449" t="s">
        <v>4</v>
      </c>
      <c r="E449">
        <v>1379</v>
      </c>
    </row>
    <row r="450" spans="1:5" x14ac:dyDescent="0.25">
      <c r="A450">
        <v>449</v>
      </c>
      <c r="B450">
        <v>1319802</v>
      </c>
      <c r="C450" s="1" t="str">
        <f>HYPERLINK("http://stackoverflow.com/users/1319802", "Tom Xue")</f>
        <v>Tom Xue</v>
      </c>
      <c r="D450" t="s">
        <v>5</v>
      </c>
      <c r="E450">
        <v>1376</v>
      </c>
    </row>
    <row r="451" spans="1:5" x14ac:dyDescent="0.25">
      <c r="A451">
        <v>450</v>
      </c>
      <c r="B451">
        <v>1917479</v>
      </c>
      <c r="C451" s="1" t="str">
        <f>HYPERLINK("http://stackoverflow.com/users/1917479", "soapbar")</f>
        <v>soapbar</v>
      </c>
      <c r="D451" t="s">
        <v>5</v>
      </c>
      <c r="E451">
        <v>1368</v>
      </c>
    </row>
    <row r="452" spans="1:5" x14ac:dyDescent="0.25">
      <c r="A452">
        <v>451</v>
      </c>
      <c r="B452">
        <v>1529481</v>
      </c>
      <c r="C452" s="1" t="str">
        <f>HYPERLINK("http://stackoverflow.com/users/1529481", "Prashant")</f>
        <v>Prashant</v>
      </c>
      <c r="D452" t="s">
        <v>4</v>
      </c>
      <c r="E452">
        <v>1367</v>
      </c>
    </row>
    <row r="453" spans="1:5" x14ac:dyDescent="0.25">
      <c r="A453">
        <v>452</v>
      </c>
      <c r="B453">
        <v>3579686</v>
      </c>
      <c r="C453" s="1" t="str">
        <f>HYPERLINK("http://stackoverflow.com/users/3579686", "Todd Mark")</f>
        <v>Todd Mark</v>
      </c>
      <c r="D453" t="s">
        <v>4</v>
      </c>
      <c r="E453">
        <v>1365</v>
      </c>
    </row>
    <row r="454" spans="1:5" x14ac:dyDescent="0.25">
      <c r="A454">
        <v>453</v>
      </c>
      <c r="B454">
        <v>261483</v>
      </c>
      <c r="C454" s="1" t="str">
        <f>HYPERLINK("http://stackoverflow.com/users/261483", "Chris Zheng")</f>
        <v>Chris Zheng</v>
      </c>
      <c r="D454" t="s">
        <v>12</v>
      </c>
      <c r="E454">
        <v>1364</v>
      </c>
    </row>
    <row r="455" spans="1:5" x14ac:dyDescent="0.25">
      <c r="A455">
        <v>454</v>
      </c>
      <c r="B455">
        <v>461383</v>
      </c>
      <c r="C455" s="1" t="str">
        <f>HYPERLINK("http://stackoverflow.com/users/461383", "jamesqiu")</f>
        <v>jamesqiu</v>
      </c>
      <c r="D455" t="s">
        <v>5</v>
      </c>
      <c r="E455">
        <v>1361</v>
      </c>
    </row>
    <row r="456" spans="1:5" x14ac:dyDescent="0.25">
      <c r="A456">
        <v>455</v>
      </c>
      <c r="B456">
        <v>219087</v>
      </c>
      <c r="C456" s="1" t="str">
        <f>HYPERLINK("http://stackoverflow.com/users/219087", "janwen")</f>
        <v>janwen</v>
      </c>
      <c r="D456" t="s">
        <v>5</v>
      </c>
      <c r="E456">
        <v>1360</v>
      </c>
    </row>
    <row r="457" spans="1:5" x14ac:dyDescent="0.25">
      <c r="A457">
        <v>456</v>
      </c>
      <c r="B457">
        <v>1948538</v>
      </c>
      <c r="C457" s="1" t="str">
        <f>HYPERLINK("http://stackoverflow.com/users/1948538", "Shady Xu")</f>
        <v>Shady Xu</v>
      </c>
      <c r="D457" t="s">
        <v>17</v>
      </c>
      <c r="E457">
        <v>1352</v>
      </c>
    </row>
    <row r="458" spans="1:5" x14ac:dyDescent="0.25">
      <c r="A458">
        <v>457</v>
      </c>
      <c r="B458">
        <v>688421</v>
      </c>
      <c r="C458" s="1" t="str">
        <f>HYPERLINK("http://stackoverflow.com/users/688421", "diabloneo")</f>
        <v>diabloneo</v>
      </c>
      <c r="D458" t="s">
        <v>24</v>
      </c>
      <c r="E458">
        <v>1349</v>
      </c>
    </row>
    <row r="459" spans="1:5" x14ac:dyDescent="0.25">
      <c r="A459">
        <v>458</v>
      </c>
      <c r="B459">
        <v>2446601</v>
      </c>
      <c r="C459" s="1" t="str">
        <f>HYPERLINK("http://stackoverflow.com/users/2446601", "SFeng")</f>
        <v>SFeng</v>
      </c>
      <c r="D459" t="s">
        <v>5</v>
      </c>
      <c r="E459">
        <v>1348</v>
      </c>
    </row>
    <row r="460" spans="1:5" x14ac:dyDescent="0.25">
      <c r="A460">
        <v>459</v>
      </c>
      <c r="B460">
        <v>521946</v>
      </c>
      <c r="C460" s="1" t="str">
        <f>HYPERLINK("http://stackoverflow.com/users/521946", "Elf Sundae")</f>
        <v>Elf Sundae</v>
      </c>
      <c r="D460" t="s">
        <v>4</v>
      </c>
      <c r="E460">
        <v>1347</v>
      </c>
    </row>
    <row r="461" spans="1:5" x14ac:dyDescent="0.25">
      <c r="A461">
        <v>460</v>
      </c>
      <c r="B461">
        <v>2146796</v>
      </c>
      <c r="C461" s="1" t="str">
        <f>HYPERLINK("http://stackoverflow.com/users/2146796", "Sinisa")</f>
        <v>Sinisa</v>
      </c>
      <c r="D461" t="s">
        <v>4</v>
      </c>
      <c r="E461">
        <v>1345</v>
      </c>
    </row>
    <row r="462" spans="1:5" x14ac:dyDescent="0.25">
      <c r="A462">
        <v>461</v>
      </c>
      <c r="B462">
        <v>1428578</v>
      </c>
      <c r="C462" s="1" t="str">
        <f>HYPERLINK("http://stackoverflow.com/users/1428578", "yman")</f>
        <v>yman</v>
      </c>
      <c r="D462" t="s">
        <v>21</v>
      </c>
      <c r="E462">
        <v>1340</v>
      </c>
    </row>
    <row r="463" spans="1:5" x14ac:dyDescent="0.25">
      <c r="A463">
        <v>462</v>
      </c>
      <c r="B463">
        <v>6233938</v>
      </c>
      <c r="C463" s="1" t="str">
        <f>HYPERLINK("http://stackoverflow.com/users/6233938", "walterlv")</f>
        <v>walterlv</v>
      </c>
      <c r="D463" t="s">
        <v>25</v>
      </c>
      <c r="E463">
        <v>1339</v>
      </c>
    </row>
    <row r="464" spans="1:5" x14ac:dyDescent="0.25">
      <c r="A464">
        <v>463</v>
      </c>
      <c r="B464">
        <v>64469</v>
      </c>
      <c r="C464" s="1" t="str">
        <f>HYPERLINK("http://stackoverflow.com/users/64469", "zhaorufei")</f>
        <v>zhaorufei</v>
      </c>
      <c r="D464" t="s">
        <v>5</v>
      </c>
      <c r="E464">
        <v>1327</v>
      </c>
    </row>
    <row r="465" spans="1:5" x14ac:dyDescent="0.25">
      <c r="A465">
        <v>464</v>
      </c>
      <c r="B465">
        <v>1889075</v>
      </c>
      <c r="C465" s="1" t="str">
        <f>HYPERLINK("http://stackoverflow.com/users/1889075", "soooooot")</f>
        <v>soooooot</v>
      </c>
      <c r="D465" t="s">
        <v>61</v>
      </c>
      <c r="E465">
        <v>1324</v>
      </c>
    </row>
    <row r="466" spans="1:5" x14ac:dyDescent="0.25">
      <c r="A466">
        <v>465</v>
      </c>
      <c r="B466">
        <v>4728060</v>
      </c>
      <c r="C466" s="1" t="str">
        <f>HYPERLINK("http://stackoverflow.com/users/4728060", "hstdt")</f>
        <v>hstdt</v>
      </c>
      <c r="D466" t="s">
        <v>4</v>
      </c>
      <c r="E466">
        <v>1322</v>
      </c>
    </row>
    <row r="467" spans="1:5" x14ac:dyDescent="0.25">
      <c r="A467">
        <v>466</v>
      </c>
      <c r="B467">
        <v>740014</v>
      </c>
      <c r="C467" s="1" t="str">
        <f>HYPERLINK("http://stackoverflow.com/users/740014", "Minqi Pan")</f>
        <v>Minqi Pan</v>
      </c>
      <c r="D467" t="s">
        <v>5</v>
      </c>
      <c r="E467">
        <v>1318</v>
      </c>
    </row>
    <row r="468" spans="1:5" x14ac:dyDescent="0.25">
      <c r="A468">
        <v>467</v>
      </c>
      <c r="B468">
        <v>1369532</v>
      </c>
      <c r="C468" s="1" t="str">
        <f>HYPERLINK("http://stackoverflow.com/users/1369532", "neohope")</f>
        <v>neohope</v>
      </c>
      <c r="D468" t="s">
        <v>4</v>
      </c>
      <c r="E468">
        <v>1314</v>
      </c>
    </row>
    <row r="469" spans="1:5" x14ac:dyDescent="0.25">
      <c r="A469">
        <v>468</v>
      </c>
      <c r="B469">
        <v>2876134</v>
      </c>
      <c r="C469" s="1" t="str">
        <f>HYPERLINK("http://stackoverflow.com/users/2876134", "Gentry Chen")</f>
        <v>Gentry Chen</v>
      </c>
      <c r="D469" t="s">
        <v>24</v>
      </c>
      <c r="E469">
        <v>1314</v>
      </c>
    </row>
    <row r="470" spans="1:5" x14ac:dyDescent="0.25">
      <c r="A470">
        <v>469</v>
      </c>
      <c r="B470">
        <v>355393</v>
      </c>
      <c r="C470" s="1" t="str">
        <f>HYPERLINK("http://stackoverflow.com/users/355393", "Jagie")</f>
        <v>Jagie</v>
      </c>
      <c r="D470" t="s">
        <v>62</v>
      </c>
      <c r="E470">
        <v>1312</v>
      </c>
    </row>
    <row r="471" spans="1:5" x14ac:dyDescent="0.25">
      <c r="A471">
        <v>470</v>
      </c>
      <c r="B471">
        <v>1637585</v>
      </c>
      <c r="C471" s="1" t="str">
        <f>HYPERLINK("http://stackoverflow.com/users/1637585", "OQJF")</f>
        <v>OQJF</v>
      </c>
      <c r="D471" t="s">
        <v>35</v>
      </c>
      <c r="E471">
        <v>1310</v>
      </c>
    </row>
    <row r="472" spans="1:5" x14ac:dyDescent="0.25">
      <c r="A472">
        <v>471</v>
      </c>
      <c r="B472">
        <v>2351411</v>
      </c>
      <c r="C472" s="1" t="str">
        <f>HYPERLINK("http://stackoverflow.com/users/2351411", "Karl Doenitz")</f>
        <v>Karl Doenitz</v>
      </c>
      <c r="D472" t="s">
        <v>27</v>
      </c>
      <c r="E472">
        <v>1306</v>
      </c>
    </row>
    <row r="473" spans="1:5" x14ac:dyDescent="0.25">
      <c r="A473">
        <v>472</v>
      </c>
      <c r="B473">
        <v>2923142</v>
      </c>
      <c r="C473" s="1" t="str">
        <f>HYPERLINK("http://stackoverflow.com/users/2923142", "edwardsbean")</f>
        <v>edwardsbean</v>
      </c>
      <c r="D473" t="s">
        <v>38</v>
      </c>
      <c r="E473">
        <v>1302</v>
      </c>
    </row>
    <row r="474" spans="1:5" x14ac:dyDescent="0.25">
      <c r="A474">
        <v>473</v>
      </c>
      <c r="B474">
        <v>385436</v>
      </c>
      <c r="C474" s="1" t="str">
        <f>HYPERLINK("http://stackoverflow.com/users/385436", "Zifei Tong")</f>
        <v>Zifei Tong</v>
      </c>
      <c r="D474" t="s">
        <v>12</v>
      </c>
      <c r="E474">
        <v>1297</v>
      </c>
    </row>
    <row r="475" spans="1:5" x14ac:dyDescent="0.25">
      <c r="A475">
        <v>474</v>
      </c>
      <c r="B475">
        <v>4013790</v>
      </c>
      <c r="C475" s="1" t="str">
        <f>HYPERLINK("http://stackoverflow.com/users/4013790", "maowtm")</f>
        <v>maowtm</v>
      </c>
      <c r="D475" t="s">
        <v>17</v>
      </c>
      <c r="E475">
        <v>1294</v>
      </c>
    </row>
    <row r="476" spans="1:5" x14ac:dyDescent="0.25">
      <c r="A476">
        <v>475</v>
      </c>
      <c r="B476">
        <v>1120321</v>
      </c>
      <c r="C476" s="1" t="str">
        <f>HYPERLINK("http://stackoverflow.com/users/1120321", "Snger")</f>
        <v>Snger</v>
      </c>
      <c r="D476" t="s">
        <v>12</v>
      </c>
      <c r="E476">
        <v>1291</v>
      </c>
    </row>
    <row r="477" spans="1:5" x14ac:dyDescent="0.25">
      <c r="A477">
        <v>476</v>
      </c>
      <c r="B477">
        <v>5184359</v>
      </c>
      <c r="C477" s="1" t="str">
        <f>HYPERLINK("http://stackoverflow.com/users/5184359", "Wilson XJ")</f>
        <v>Wilson XJ</v>
      </c>
      <c r="D477" t="s">
        <v>4</v>
      </c>
      <c r="E477">
        <v>1290</v>
      </c>
    </row>
    <row r="478" spans="1:5" x14ac:dyDescent="0.25">
      <c r="A478">
        <v>477</v>
      </c>
      <c r="B478">
        <v>98107</v>
      </c>
      <c r="C478" s="1" t="str">
        <f>HYPERLINK("http://stackoverflow.com/users/98107", "Neopallium")</f>
        <v>Neopallium</v>
      </c>
      <c r="D478" t="s">
        <v>21</v>
      </c>
      <c r="E478">
        <v>1289</v>
      </c>
    </row>
    <row r="479" spans="1:5" x14ac:dyDescent="0.25">
      <c r="A479">
        <v>478</v>
      </c>
      <c r="B479">
        <v>541526</v>
      </c>
      <c r="C479" s="1" t="str">
        <f>HYPERLINK("http://stackoverflow.com/users/541526", "dongpf")</f>
        <v>dongpf</v>
      </c>
      <c r="D479" t="s">
        <v>5</v>
      </c>
      <c r="E479">
        <v>1287</v>
      </c>
    </row>
    <row r="480" spans="1:5" x14ac:dyDescent="0.25">
      <c r="A480">
        <v>479</v>
      </c>
      <c r="B480">
        <v>924812</v>
      </c>
      <c r="C480" s="1" t="str">
        <f>HYPERLINK("http://stackoverflow.com/users/924812", "Joiningss")</f>
        <v>Joiningss</v>
      </c>
      <c r="D480" t="s">
        <v>38</v>
      </c>
      <c r="E480">
        <v>1285</v>
      </c>
    </row>
    <row r="481" spans="1:5" x14ac:dyDescent="0.25">
      <c r="A481">
        <v>480</v>
      </c>
      <c r="B481">
        <v>1889327</v>
      </c>
      <c r="C481" s="1" t="str">
        <f>HYPERLINK("http://stackoverflow.com/users/1889327", "andy")</f>
        <v>andy</v>
      </c>
      <c r="D481" t="s">
        <v>5</v>
      </c>
      <c r="E481">
        <v>1285</v>
      </c>
    </row>
    <row r="482" spans="1:5" x14ac:dyDescent="0.25">
      <c r="A482">
        <v>481</v>
      </c>
      <c r="B482">
        <v>1874281</v>
      </c>
      <c r="C482" s="1" t="str">
        <f>HYPERLINK("http://stackoverflow.com/users/1874281", "赏心悦目")</f>
        <v>赏心悦目</v>
      </c>
      <c r="D482" t="s">
        <v>17</v>
      </c>
      <c r="E482">
        <v>1281</v>
      </c>
    </row>
    <row r="483" spans="1:5" x14ac:dyDescent="0.25">
      <c r="A483">
        <v>482</v>
      </c>
      <c r="B483">
        <v>1850858</v>
      </c>
      <c r="C483" s="1" t="str">
        <f>HYPERLINK("http://stackoverflow.com/users/1850858", "George")</f>
        <v>George</v>
      </c>
      <c r="D483" t="s">
        <v>4</v>
      </c>
      <c r="E483">
        <v>1275</v>
      </c>
    </row>
    <row r="484" spans="1:5" x14ac:dyDescent="0.25">
      <c r="A484">
        <v>483</v>
      </c>
      <c r="B484">
        <v>2873158</v>
      </c>
      <c r="C484" s="1" t="str">
        <f>HYPERLINK("http://stackoverflow.com/users/2873158", "Xiaozou")</f>
        <v>Xiaozou</v>
      </c>
      <c r="D484" t="s">
        <v>5</v>
      </c>
      <c r="E484">
        <v>1272</v>
      </c>
    </row>
    <row r="485" spans="1:5" x14ac:dyDescent="0.25">
      <c r="A485">
        <v>484</v>
      </c>
      <c r="B485">
        <v>2490001</v>
      </c>
      <c r="C485" s="1" t="str">
        <f>HYPERLINK("http://stackoverflow.com/users/2490001", "Hooting")</f>
        <v>Hooting</v>
      </c>
      <c r="D485" t="s">
        <v>37</v>
      </c>
      <c r="E485">
        <v>1268</v>
      </c>
    </row>
    <row r="486" spans="1:5" x14ac:dyDescent="0.25">
      <c r="A486">
        <v>485</v>
      </c>
      <c r="B486">
        <v>1765353</v>
      </c>
      <c r="C486" s="1" t="str">
        <f>HYPERLINK("http://stackoverflow.com/users/1765353", "ray_linn")</f>
        <v>ray_linn</v>
      </c>
      <c r="D486" t="s">
        <v>4</v>
      </c>
      <c r="E486">
        <v>1265</v>
      </c>
    </row>
    <row r="487" spans="1:5" x14ac:dyDescent="0.25">
      <c r="A487">
        <v>486</v>
      </c>
      <c r="B487">
        <v>1066501</v>
      </c>
      <c r="C487" s="1" t="str">
        <f>HYPERLINK("http://stackoverflow.com/users/1066501", "zionpi")</f>
        <v>zionpi</v>
      </c>
      <c r="D487" t="s">
        <v>8</v>
      </c>
      <c r="E487">
        <v>1262</v>
      </c>
    </row>
    <row r="488" spans="1:5" x14ac:dyDescent="0.25">
      <c r="A488">
        <v>487</v>
      </c>
      <c r="B488">
        <v>1677071</v>
      </c>
      <c r="C488" s="1" t="str">
        <f>HYPERLINK("http://stackoverflow.com/users/1677071", "Allen4Tech")</f>
        <v>Allen4Tech</v>
      </c>
      <c r="D488" t="s">
        <v>63</v>
      </c>
      <c r="E488">
        <v>1259</v>
      </c>
    </row>
    <row r="489" spans="1:5" x14ac:dyDescent="0.25">
      <c r="A489">
        <v>488</v>
      </c>
      <c r="B489">
        <v>302414</v>
      </c>
      <c r="C489" s="1" t="str">
        <f>HYPERLINK("http://stackoverflow.com/users/302414", "Chris")</f>
        <v>Chris</v>
      </c>
      <c r="D489" t="s">
        <v>41</v>
      </c>
      <c r="E489">
        <v>1256</v>
      </c>
    </row>
    <row r="490" spans="1:5" x14ac:dyDescent="0.25">
      <c r="A490">
        <v>489</v>
      </c>
      <c r="B490">
        <v>1323374</v>
      </c>
      <c r="C490" s="1" t="str">
        <f>HYPERLINK("http://stackoverflow.com/users/1323374", "Ninja")</f>
        <v>Ninja</v>
      </c>
      <c r="D490" t="s">
        <v>4</v>
      </c>
      <c r="E490">
        <v>1246</v>
      </c>
    </row>
    <row r="491" spans="1:5" x14ac:dyDescent="0.25">
      <c r="A491">
        <v>490</v>
      </c>
      <c r="B491">
        <v>1841143</v>
      </c>
      <c r="C491" s="1" t="str">
        <f>HYPERLINK("http://stackoverflow.com/users/1841143", "Haozhe Xie")</f>
        <v>Haozhe Xie</v>
      </c>
      <c r="D491" t="s">
        <v>12</v>
      </c>
      <c r="E491">
        <v>1245</v>
      </c>
    </row>
    <row r="492" spans="1:5" x14ac:dyDescent="0.25">
      <c r="A492">
        <v>491</v>
      </c>
      <c r="B492">
        <v>1242114</v>
      </c>
      <c r="C492" s="1" t="str">
        <f>HYPERLINK("http://stackoverflow.com/users/1242114", "Teddy")</f>
        <v>Teddy</v>
      </c>
      <c r="D492" t="s">
        <v>59</v>
      </c>
      <c r="E492">
        <v>1242</v>
      </c>
    </row>
    <row r="493" spans="1:5" x14ac:dyDescent="0.25">
      <c r="A493">
        <v>492</v>
      </c>
      <c r="B493">
        <v>1929230</v>
      </c>
      <c r="C493" s="1" t="str">
        <f>HYPERLINK("http://stackoverflow.com/users/1929230", "Johnny Chen")</f>
        <v>Johnny Chen</v>
      </c>
      <c r="D493" t="s">
        <v>16</v>
      </c>
      <c r="E493">
        <v>1240</v>
      </c>
    </row>
    <row r="494" spans="1:5" x14ac:dyDescent="0.25">
      <c r="A494">
        <v>493</v>
      </c>
      <c r="B494">
        <v>2761728</v>
      </c>
      <c r="C494" s="1" t="str">
        <f>HYPERLINK("http://stackoverflow.com/users/2761728", "Anthonyeef")</f>
        <v>Anthonyeef</v>
      </c>
      <c r="D494" t="s">
        <v>5</v>
      </c>
      <c r="E494">
        <v>1238</v>
      </c>
    </row>
    <row r="495" spans="1:5" x14ac:dyDescent="0.25">
      <c r="A495">
        <v>494</v>
      </c>
      <c r="B495">
        <v>663997</v>
      </c>
      <c r="C495" s="1" t="str">
        <f>HYPERLINK("http://stackoverflow.com/users/663997", "Autobots")</f>
        <v>Autobots</v>
      </c>
      <c r="D495" t="s">
        <v>5</v>
      </c>
      <c r="E495">
        <v>1234</v>
      </c>
    </row>
    <row r="496" spans="1:5" x14ac:dyDescent="0.25">
      <c r="A496">
        <v>495</v>
      </c>
      <c r="B496">
        <v>1520402</v>
      </c>
      <c r="C496" s="1" t="str">
        <f>HYPERLINK("http://stackoverflow.com/users/1520402", "lslab")</f>
        <v>lslab</v>
      </c>
      <c r="D496" t="s">
        <v>5</v>
      </c>
      <c r="E496">
        <v>1231</v>
      </c>
    </row>
    <row r="497" spans="1:5" x14ac:dyDescent="0.25">
      <c r="A497">
        <v>496</v>
      </c>
      <c r="B497">
        <v>2991410</v>
      </c>
      <c r="C497" s="1" t="str">
        <f>HYPERLINK("http://stackoverflow.com/users/2991410", "JasmineOT")</f>
        <v>JasmineOT</v>
      </c>
      <c r="D497" t="s">
        <v>4</v>
      </c>
      <c r="E497">
        <v>1228</v>
      </c>
    </row>
    <row r="498" spans="1:5" x14ac:dyDescent="0.25">
      <c r="A498">
        <v>497</v>
      </c>
      <c r="B498">
        <v>3621521</v>
      </c>
      <c r="C498" s="1" t="str">
        <f>HYPERLINK("http://stackoverflow.com/users/3621521", "MMhunter")</f>
        <v>MMhunter</v>
      </c>
      <c r="D498" t="s">
        <v>4</v>
      </c>
      <c r="E498">
        <v>1217</v>
      </c>
    </row>
    <row r="499" spans="1:5" x14ac:dyDescent="0.25">
      <c r="A499">
        <v>498</v>
      </c>
      <c r="B499">
        <v>3094459</v>
      </c>
      <c r="C499" s="1" t="str">
        <f>HYPERLINK("http://stackoverflow.com/users/3094459", "hequn8128")</f>
        <v>hequn8128</v>
      </c>
      <c r="D499" t="s">
        <v>12</v>
      </c>
      <c r="E499">
        <v>1217</v>
      </c>
    </row>
    <row r="500" spans="1:5" x14ac:dyDescent="0.25">
      <c r="A500">
        <v>499</v>
      </c>
      <c r="B500">
        <v>2897943</v>
      </c>
      <c r="C500" s="1" t="str">
        <f>HYPERLINK("http://stackoverflow.com/users/2897943", "wanghao")</f>
        <v>wanghao</v>
      </c>
      <c r="D500" t="s">
        <v>5</v>
      </c>
      <c r="E500">
        <v>1216</v>
      </c>
    </row>
    <row r="501" spans="1:5" x14ac:dyDescent="0.25">
      <c r="A501">
        <v>500</v>
      </c>
      <c r="B501">
        <v>3720258</v>
      </c>
      <c r="C501" s="1" t="str">
        <f>HYPERLINK("http://stackoverflow.com/users/3720258", "pachamaltese")</f>
        <v>pachamaltese</v>
      </c>
      <c r="D501" t="s">
        <v>5</v>
      </c>
      <c r="E501">
        <v>1212</v>
      </c>
    </row>
    <row r="502" spans="1:5" x14ac:dyDescent="0.25">
      <c r="A502">
        <v>501</v>
      </c>
      <c r="B502">
        <v>90172</v>
      </c>
      <c r="C502" s="1" t="str">
        <f>HYPERLINK("http://stackoverflow.com/users/90172", "Rox Dorentus")</f>
        <v>Rox Dorentus</v>
      </c>
      <c r="D502" t="s">
        <v>16</v>
      </c>
      <c r="E502">
        <v>1210</v>
      </c>
    </row>
    <row r="503" spans="1:5" x14ac:dyDescent="0.25">
      <c r="A503">
        <v>502</v>
      </c>
      <c r="B503">
        <v>86756</v>
      </c>
      <c r="C503" s="1" t="str">
        <f>HYPERLINK("http://stackoverflow.com/users/86756", "Jarod")</f>
        <v>Jarod</v>
      </c>
      <c r="D503" t="s">
        <v>21</v>
      </c>
      <c r="E503">
        <v>1207</v>
      </c>
    </row>
    <row r="504" spans="1:5" x14ac:dyDescent="0.25">
      <c r="A504">
        <v>503</v>
      </c>
      <c r="B504">
        <v>3804305</v>
      </c>
      <c r="C504" s="1" t="str">
        <f>HYPERLINK("http://stackoverflow.com/users/3804305", "ichbinblau")</f>
        <v>ichbinblau</v>
      </c>
      <c r="D504" t="s">
        <v>4</v>
      </c>
      <c r="E504">
        <v>1206</v>
      </c>
    </row>
    <row r="505" spans="1:5" x14ac:dyDescent="0.25">
      <c r="A505">
        <v>504</v>
      </c>
      <c r="B505">
        <v>8960845</v>
      </c>
      <c r="C505" s="1" t="str">
        <f>HYPERLINK("http://stackoverflow.com/users/8960845", "Hunter Jiang")</f>
        <v>Hunter Jiang</v>
      </c>
      <c r="D505" t="s">
        <v>16</v>
      </c>
      <c r="E505">
        <v>1205</v>
      </c>
    </row>
    <row r="506" spans="1:5" x14ac:dyDescent="0.25">
      <c r="A506">
        <v>505</v>
      </c>
      <c r="B506">
        <v>374133</v>
      </c>
      <c r="C506" s="1" t="str">
        <f>HYPERLINK("http://stackoverflow.com/users/374133", "Antoops")</f>
        <v>Antoops</v>
      </c>
      <c r="D506" t="s">
        <v>4</v>
      </c>
      <c r="E506">
        <v>1205</v>
      </c>
    </row>
    <row r="507" spans="1:5" x14ac:dyDescent="0.25">
      <c r="A507">
        <v>506</v>
      </c>
      <c r="B507">
        <v>192280</v>
      </c>
      <c r="C507" s="1" t="str">
        <f>HYPERLINK("http://stackoverflow.com/users/192280", "Weipeng L")</f>
        <v>Weipeng L</v>
      </c>
      <c r="D507" t="s">
        <v>18</v>
      </c>
      <c r="E507">
        <v>1204</v>
      </c>
    </row>
    <row r="508" spans="1:5" x14ac:dyDescent="0.25">
      <c r="A508">
        <v>507</v>
      </c>
      <c r="B508">
        <v>264442</v>
      </c>
      <c r="C508" s="1" t="str">
        <f>HYPERLINK("http://stackoverflow.com/users/264442", "zjk")</f>
        <v>zjk</v>
      </c>
      <c r="D508" t="s">
        <v>4</v>
      </c>
      <c r="E508">
        <v>1196</v>
      </c>
    </row>
    <row r="509" spans="1:5" x14ac:dyDescent="0.25">
      <c r="A509">
        <v>508</v>
      </c>
      <c r="B509">
        <v>1109791</v>
      </c>
      <c r="C509" s="1" t="str">
        <f>HYPERLINK("http://stackoverflow.com/users/1109791", "luin")</f>
        <v>luin</v>
      </c>
      <c r="D509" t="s">
        <v>5</v>
      </c>
      <c r="E509">
        <v>1194</v>
      </c>
    </row>
    <row r="510" spans="1:5" x14ac:dyDescent="0.25">
      <c r="A510">
        <v>509</v>
      </c>
      <c r="B510">
        <v>553073</v>
      </c>
      <c r="C510" s="1" t="str">
        <f>HYPERLINK("http://stackoverflow.com/users/553073", "lastr2d2")</f>
        <v>lastr2d2</v>
      </c>
      <c r="D510" t="s">
        <v>4</v>
      </c>
      <c r="E510">
        <v>1191</v>
      </c>
    </row>
    <row r="511" spans="1:5" x14ac:dyDescent="0.25">
      <c r="A511">
        <v>510</v>
      </c>
      <c r="B511">
        <v>1059417</v>
      </c>
      <c r="C511" s="1" t="str">
        <f>HYPERLINK("http://stackoverflow.com/users/1059417", "world000")</f>
        <v>world000</v>
      </c>
      <c r="D511" t="s">
        <v>64</v>
      </c>
      <c r="E511">
        <v>1190</v>
      </c>
    </row>
    <row r="512" spans="1:5" x14ac:dyDescent="0.25">
      <c r="A512">
        <v>511</v>
      </c>
      <c r="B512">
        <v>384329</v>
      </c>
      <c r="C512" s="1" t="str">
        <f>HYPERLINK("http://stackoverflow.com/users/384329", "tinychen")</f>
        <v>tinychen</v>
      </c>
      <c r="D512" t="s">
        <v>5</v>
      </c>
      <c r="E512">
        <v>1184</v>
      </c>
    </row>
    <row r="513" spans="1:5" x14ac:dyDescent="0.25">
      <c r="A513">
        <v>512</v>
      </c>
      <c r="B513">
        <v>1144923</v>
      </c>
      <c r="C513" s="1" t="str">
        <f>HYPERLINK("http://stackoverflow.com/users/1144923", "Jack")</f>
        <v>Jack</v>
      </c>
      <c r="D513" t="s">
        <v>4</v>
      </c>
      <c r="E513">
        <v>1179</v>
      </c>
    </row>
    <row r="514" spans="1:5" x14ac:dyDescent="0.25">
      <c r="A514">
        <v>513</v>
      </c>
      <c r="B514">
        <v>1080246</v>
      </c>
      <c r="C514" s="1" t="str">
        <f>HYPERLINK("http://stackoverflow.com/users/1080246", "hago")</f>
        <v>hago</v>
      </c>
      <c r="D514" t="s">
        <v>5</v>
      </c>
      <c r="E514">
        <v>1178</v>
      </c>
    </row>
    <row r="515" spans="1:5" x14ac:dyDescent="0.25">
      <c r="A515">
        <v>514</v>
      </c>
      <c r="B515">
        <v>1518100</v>
      </c>
      <c r="C515" s="1" t="str">
        <f>HYPERLINK("http://stackoverflow.com/users/1518100", "Lei Yang")</f>
        <v>Lei Yang</v>
      </c>
      <c r="D515" t="s">
        <v>28</v>
      </c>
      <c r="E515">
        <v>1176</v>
      </c>
    </row>
    <row r="516" spans="1:5" x14ac:dyDescent="0.25">
      <c r="A516">
        <v>515</v>
      </c>
      <c r="B516">
        <v>536274</v>
      </c>
      <c r="C516" s="1" t="str">
        <f>HYPERLINK("http://stackoverflow.com/users/536274", "Jinpu Hu")</f>
        <v>Jinpu Hu</v>
      </c>
      <c r="D516" t="s">
        <v>12</v>
      </c>
      <c r="E516">
        <v>1174</v>
      </c>
    </row>
    <row r="517" spans="1:5" x14ac:dyDescent="0.25">
      <c r="A517">
        <v>516</v>
      </c>
      <c r="B517">
        <v>4158706</v>
      </c>
      <c r="C517" s="1" t="str">
        <f>HYPERLINK("http://stackoverflow.com/users/4158706", "Kevin Yan")</f>
        <v>Kevin Yan</v>
      </c>
      <c r="D517" t="s">
        <v>5</v>
      </c>
      <c r="E517">
        <v>1174</v>
      </c>
    </row>
    <row r="518" spans="1:5" x14ac:dyDescent="0.25">
      <c r="A518">
        <v>517</v>
      </c>
      <c r="B518">
        <v>1776042</v>
      </c>
      <c r="C518" s="1" t="str">
        <f>HYPERLINK("http://stackoverflow.com/users/1776042", "lqs")</f>
        <v>lqs</v>
      </c>
      <c r="D518" t="s">
        <v>5</v>
      </c>
      <c r="E518">
        <v>1171</v>
      </c>
    </row>
    <row r="519" spans="1:5" x14ac:dyDescent="0.25">
      <c r="A519">
        <v>518</v>
      </c>
      <c r="B519">
        <v>452439</v>
      </c>
      <c r="C519" s="1" t="str">
        <f>HYPERLINK("http://stackoverflow.com/users/452439", "MaGonglei")</f>
        <v>MaGonglei</v>
      </c>
      <c r="D519" t="s">
        <v>5</v>
      </c>
      <c r="E519">
        <v>1171</v>
      </c>
    </row>
    <row r="520" spans="1:5" x14ac:dyDescent="0.25">
      <c r="A520">
        <v>519</v>
      </c>
      <c r="B520">
        <v>179373</v>
      </c>
      <c r="C520" s="1" t="str">
        <f>HYPERLINK("http://stackoverflow.com/users/179373", "Lai Jiangshan")</f>
        <v>Lai Jiangshan</v>
      </c>
      <c r="D520" t="s">
        <v>37</v>
      </c>
      <c r="E520">
        <v>1162</v>
      </c>
    </row>
    <row r="521" spans="1:5" x14ac:dyDescent="0.25">
      <c r="A521">
        <v>520</v>
      </c>
      <c r="B521">
        <v>79382</v>
      </c>
      <c r="C521" s="1" t="str">
        <f>HYPERLINK("http://stackoverflow.com/users/79382", "t.g.")</f>
        <v>t.g.</v>
      </c>
      <c r="D521" t="s">
        <v>4</v>
      </c>
      <c r="E521">
        <v>1154</v>
      </c>
    </row>
    <row r="522" spans="1:5" x14ac:dyDescent="0.25">
      <c r="A522">
        <v>521</v>
      </c>
      <c r="B522">
        <v>4843379</v>
      </c>
      <c r="C522" s="1" t="str">
        <f>HYPERLINK("http://stackoverflow.com/users/4843379", "incompetent")</f>
        <v>incompetent</v>
      </c>
      <c r="D522" t="s">
        <v>5</v>
      </c>
      <c r="E522">
        <v>1154</v>
      </c>
    </row>
    <row r="523" spans="1:5" x14ac:dyDescent="0.25">
      <c r="A523">
        <v>522</v>
      </c>
      <c r="B523">
        <v>5554751</v>
      </c>
      <c r="C523" s="1" t="str">
        <f>HYPERLINK("http://stackoverflow.com/users/5554751", "Arthur Tarasov")</f>
        <v>Arthur Tarasov</v>
      </c>
      <c r="D523" t="s">
        <v>65</v>
      </c>
      <c r="E523">
        <v>1154</v>
      </c>
    </row>
    <row r="524" spans="1:5" x14ac:dyDescent="0.25">
      <c r="A524">
        <v>523</v>
      </c>
      <c r="B524">
        <v>970319</v>
      </c>
      <c r="C524" s="1" t="str">
        <f>HYPERLINK("http://stackoverflow.com/users/970319", "whi")</f>
        <v>whi</v>
      </c>
      <c r="D524" t="s">
        <v>5</v>
      </c>
      <c r="E524">
        <v>1152</v>
      </c>
    </row>
    <row r="525" spans="1:5" x14ac:dyDescent="0.25">
      <c r="A525">
        <v>524</v>
      </c>
      <c r="B525">
        <v>1528712</v>
      </c>
      <c r="C525" s="1" t="str">
        <f>HYPERLINK("http://stackoverflow.com/users/1528712", "CodyChan")</f>
        <v>CodyChan</v>
      </c>
      <c r="D525" t="s">
        <v>8</v>
      </c>
      <c r="E525">
        <v>1149</v>
      </c>
    </row>
    <row r="526" spans="1:5" x14ac:dyDescent="0.25">
      <c r="A526">
        <v>525</v>
      </c>
      <c r="B526">
        <v>642616</v>
      </c>
      <c r="C526" s="1" t="str">
        <f>HYPERLINK("http://stackoverflow.com/users/642616", "Feuda")</f>
        <v>Feuda</v>
      </c>
      <c r="D526" t="s">
        <v>17</v>
      </c>
      <c r="E526">
        <v>1145</v>
      </c>
    </row>
    <row r="527" spans="1:5" x14ac:dyDescent="0.25">
      <c r="A527">
        <v>526</v>
      </c>
      <c r="B527">
        <v>1225556</v>
      </c>
      <c r="C527" s="1" t="str">
        <f>HYPERLINK("http://stackoverflow.com/users/1225556", "tuoxie007")</f>
        <v>tuoxie007</v>
      </c>
      <c r="D527" t="s">
        <v>5</v>
      </c>
      <c r="E527">
        <v>1143</v>
      </c>
    </row>
    <row r="528" spans="1:5" x14ac:dyDescent="0.25">
      <c r="A528">
        <v>527</v>
      </c>
      <c r="B528">
        <v>1533884</v>
      </c>
      <c r="C528" s="1" t="str">
        <f>HYPERLINK("http://stackoverflow.com/users/1533884", "Roy Ling")</f>
        <v>Roy Ling</v>
      </c>
      <c r="D528" t="s">
        <v>4</v>
      </c>
      <c r="E528">
        <v>1143</v>
      </c>
    </row>
    <row r="529" spans="1:5" x14ac:dyDescent="0.25">
      <c r="A529">
        <v>528</v>
      </c>
      <c r="B529">
        <v>84974</v>
      </c>
      <c r="C529" s="1" t="str">
        <f>HYPERLINK("http://stackoverflow.com/users/84974", "Cotton")</f>
        <v>Cotton</v>
      </c>
      <c r="D529" t="s">
        <v>4</v>
      </c>
      <c r="E529">
        <v>1142</v>
      </c>
    </row>
    <row r="530" spans="1:5" x14ac:dyDescent="0.25">
      <c r="A530">
        <v>529</v>
      </c>
      <c r="B530">
        <v>404145</v>
      </c>
      <c r="C530" s="1" t="str">
        <f>HYPERLINK("http://stackoverflow.com/users/404145", "DiveInto")</f>
        <v>DiveInto</v>
      </c>
      <c r="D530" t="s">
        <v>5</v>
      </c>
      <c r="E530">
        <v>1141</v>
      </c>
    </row>
    <row r="531" spans="1:5" x14ac:dyDescent="0.25">
      <c r="A531">
        <v>530</v>
      </c>
      <c r="B531">
        <v>84508</v>
      </c>
      <c r="C531" s="1" t="str">
        <f>HYPERLINK("http://stackoverflow.com/users/84508", "Jiang Bian")</f>
        <v>Jiang Bian</v>
      </c>
      <c r="D531" t="s">
        <v>5</v>
      </c>
      <c r="E531">
        <v>1138</v>
      </c>
    </row>
    <row r="532" spans="1:5" x14ac:dyDescent="0.25">
      <c r="A532">
        <v>531</v>
      </c>
      <c r="B532">
        <v>1077031</v>
      </c>
      <c r="C532" s="1" t="str">
        <f>HYPERLINK("http://stackoverflow.com/users/1077031", "gemfield")</f>
        <v>gemfield</v>
      </c>
      <c r="D532" t="s">
        <v>5</v>
      </c>
      <c r="E532">
        <v>1137</v>
      </c>
    </row>
    <row r="533" spans="1:5" x14ac:dyDescent="0.25">
      <c r="A533">
        <v>532</v>
      </c>
      <c r="B533">
        <v>1114397</v>
      </c>
      <c r="C533" s="1" t="str">
        <f>HYPERLINK("http://stackoverflow.com/users/1114397", "bourneli")</f>
        <v>bourneli</v>
      </c>
      <c r="D533" t="s">
        <v>17</v>
      </c>
      <c r="E533">
        <v>1137</v>
      </c>
    </row>
    <row r="534" spans="1:5" x14ac:dyDescent="0.25">
      <c r="A534">
        <v>533</v>
      </c>
      <c r="B534">
        <v>130075</v>
      </c>
      <c r="C534" s="1" t="str">
        <f>HYPERLINK("http://stackoverflow.com/users/130075", "Leo")</f>
        <v>Leo</v>
      </c>
      <c r="D534" t="s">
        <v>7</v>
      </c>
      <c r="E534">
        <v>1136</v>
      </c>
    </row>
    <row r="535" spans="1:5" x14ac:dyDescent="0.25">
      <c r="A535">
        <v>534</v>
      </c>
      <c r="B535">
        <v>84983</v>
      </c>
      <c r="C535" s="1" t="str">
        <f>HYPERLINK("http://stackoverflow.com/users/84983", "hrchen")</f>
        <v>hrchen</v>
      </c>
      <c r="D535" t="s">
        <v>4</v>
      </c>
      <c r="E535">
        <v>1135</v>
      </c>
    </row>
    <row r="536" spans="1:5" x14ac:dyDescent="0.25">
      <c r="A536">
        <v>535</v>
      </c>
      <c r="B536">
        <v>4305743</v>
      </c>
      <c r="C536" s="1" t="str">
        <f>HYPERLINK("http://stackoverflow.com/users/4305743", "sudoz")</f>
        <v>sudoz</v>
      </c>
      <c r="D536" t="s">
        <v>5</v>
      </c>
      <c r="E536">
        <v>1133</v>
      </c>
    </row>
    <row r="537" spans="1:5" x14ac:dyDescent="0.25">
      <c r="A537">
        <v>536</v>
      </c>
      <c r="B537">
        <v>403367</v>
      </c>
      <c r="C537" s="1" t="str">
        <f>HYPERLINK("http://stackoverflow.com/users/403367", "PJ.Hades")</f>
        <v>PJ.Hades</v>
      </c>
      <c r="D537" t="s">
        <v>5</v>
      </c>
      <c r="E537">
        <v>1133</v>
      </c>
    </row>
    <row r="538" spans="1:5" x14ac:dyDescent="0.25">
      <c r="A538">
        <v>537</v>
      </c>
      <c r="B538">
        <v>2398070</v>
      </c>
      <c r="C538" s="1" t="str">
        <f>HYPERLINK("http://stackoverflow.com/users/2398070", "Chongxu Ren")</f>
        <v>Chongxu Ren</v>
      </c>
      <c r="D538" t="s">
        <v>66</v>
      </c>
      <c r="E538">
        <v>1129</v>
      </c>
    </row>
    <row r="539" spans="1:5" x14ac:dyDescent="0.25">
      <c r="A539">
        <v>538</v>
      </c>
      <c r="B539">
        <v>676319</v>
      </c>
      <c r="C539" s="1" t="str">
        <f>HYPERLINK("http://stackoverflow.com/users/676319", "liam xu")</f>
        <v>liam xu</v>
      </c>
      <c r="D539" t="s">
        <v>12</v>
      </c>
      <c r="E539">
        <v>1122</v>
      </c>
    </row>
    <row r="540" spans="1:5" x14ac:dyDescent="0.25">
      <c r="A540">
        <v>539</v>
      </c>
      <c r="B540">
        <v>1560681</v>
      </c>
      <c r="C540" s="1" t="str">
        <f>HYPERLINK("http://stackoverflow.com/users/1560681", "andy")</f>
        <v>andy</v>
      </c>
      <c r="D540" t="s">
        <v>4</v>
      </c>
      <c r="E540">
        <v>1122</v>
      </c>
    </row>
    <row r="541" spans="1:5" x14ac:dyDescent="0.25">
      <c r="A541">
        <v>540</v>
      </c>
      <c r="B541">
        <v>553374</v>
      </c>
      <c r="C541" s="1" t="str">
        <f>HYPERLINK("http://stackoverflow.com/users/553374", "Feng")</f>
        <v>Feng</v>
      </c>
      <c r="D541" t="s">
        <v>67</v>
      </c>
      <c r="E541">
        <v>1118</v>
      </c>
    </row>
    <row r="542" spans="1:5" x14ac:dyDescent="0.25">
      <c r="A542">
        <v>541</v>
      </c>
      <c r="B542">
        <v>4847251</v>
      </c>
      <c r="C542" s="1" t="str">
        <f>HYPERLINK("http://stackoverflow.com/users/4847251", "michnovka")</f>
        <v>michnovka</v>
      </c>
      <c r="D542" t="s">
        <v>68</v>
      </c>
      <c r="E542">
        <v>1116</v>
      </c>
    </row>
    <row r="543" spans="1:5" x14ac:dyDescent="0.25">
      <c r="A543">
        <v>542</v>
      </c>
      <c r="B543">
        <v>2279483</v>
      </c>
      <c r="C543" s="1" t="str">
        <f>HYPERLINK("http://stackoverflow.com/users/2279483", "yakiang")</f>
        <v>yakiang</v>
      </c>
      <c r="D543" t="s">
        <v>41</v>
      </c>
      <c r="E543">
        <v>1113</v>
      </c>
    </row>
    <row r="544" spans="1:5" x14ac:dyDescent="0.25">
      <c r="A544">
        <v>543</v>
      </c>
      <c r="B544">
        <v>1260702</v>
      </c>
      <c r="C544" s="1" t="str">
        <f>HYPERLINK("http://stackoverflow.com/users/1260702", "Jason")</f>
        <v>Jason</v>
      </c>
      <c r="D544" t="s">
        <v>5</v>
      </c>
      <c r="E544">
        <v>1112</v>
      </c>
    </row>
    <row r="545" spans="1:5" x14ac:dyDescent="0.25">
      <c r="A545">
        <v>544</v>
      </c>
      <c r="B545">
        <v>4344586</v>
      </c>
      <c r="C545" s="1" t="str">
        <f>HYPERLINK("http://stackoverflow.com/users/4344586", "Frank AK")</f>
        <v>Frank AK</v>
      </c>
      <c r="D545" t="s">
        <v>7</v>
      </c>
      <c r="E545">
        <v>1109</v>
      </c>
    </row>
    <row r="546" spans="1:5" x14ac:dyDescent="0.25">
      <c r="A546">
        <v>545</v>
      </c>
      <c r="B546">
        <v>3737990</v>
      </c>
      <c r="C546" s="1" t="str">
        <f>HYPERLINK("http://stackoverflow.com/users/3737990", "davidbonachera")</f>
        <v>davidbonachera</v>
      </c>
      <c r="D546" t="s">
        <v>7</v>
      </c>
      <c r="E546">
        <v>1109</v>
      </c>
    </row>
    <row r="547" spans="1:5" x14ac:dyDescent="0.25">
      <c r="A547">
        <v>546</v>
      </c>
      <c r="B547">
        <v>1544708</v>
      </c>
      <c r="C547" s="1" t="str">
        <f>HYPERLINK("http://stackoverflow.com/users/1544708", "William Herry")</f>
        <v>William Herry</v>
      </c>
      <c r="D547" t="s">
        <v>4</v>
      </c>
      <c r="E547">
        <v>1107</v>
      </c>
    </row>
    <row r="548" spans="1:5" x14ac:dyDescent="0.25">
      <c r="A548">
        <v>547</v>
      </c>
      <c r="B548">
        <v>407559</v>
      </c>
      <c r="C548" s="1" t="str">
        <f>HYPERLINK("http://stackoverflow.com/users/407559", "Lifu Tang")</f>
        <v>Lifu Tang</v>
      </c>
      <c r="D548" t="s">
        <v>5</v>
      </c>
      <c r="E548">
        <v>1105</v>
      </c>
    </row>
    <row r="549" spans="1:5" x14ac:dyDescent="0.25">
      <c r="A549">
        <v>548</v>
      </c>
      <c r="B549">
        <v>1518460</v>
      </c>
      <c r="C549" s="1" t="str">
        <f>HYPERLINK("http://stackoverflow.com/users/1518460", "Mike M")</f>
        <v>Mike M</v>
      </c>
      <c r="D549" t="s">
        <v>69</v>
      </c>
      <c r="E549">
        <v>1102</v>
      </c>
    </row>
    <row r="550" spans="1:5" x14ac:dyDescent="0.25">
      <c r="A550">
        <v>549</v>
      </c>
      <c r="B550">
        <v>5927773</v>
      </c>
      <c r="C550" s="1" t="str">
        <f>HYPERLINK("http://stackoverflow.com/users/5927773", "Frank Wong")</f>
        <v>Frank Wong</v>
      </c>
      <c r="D550" t="s">
        <v>5</v>
      </c>
      <c r="E550">
        <v>1100</v>
      </c>
    </row>
    <row r="551" spans="1:5" x14ac:dyDescent="0.25">
      <c r="A551">
        <v>550</v>
      </c>
      <c r="B551">
        <v>777539</v>
      </c>
      <c r="C551" s="1" t="str">
        <f>HYPERLINK("http://stackoverflow.com/users/777539", "miguelr")</f>
        <v>miguelr</v>
      </c>
      <c r="D551" t="s">
        <v>4</v>
      </c>
      <c r="E551">
        <v>1099</v>
      </c>
    </row>
    <row r="552" spans="1:5" x14ac:dyDescent="0.25">
      <c r="A552">
        <v>551</v>
      </c>
      <c r="B552">
        <v>4728119</v>
      </c>
      <c r="C552" s="1" t="str">
        <f>HYPERLINK("http://stackoverflow.com/users/4728119", "piglei")</f>
        <v>piglei</v>
      </c>
      <c r="D552" t="s">
        <v>17</v>
      </c>
      <c r="E552">
        <v>1097</v>
      </c>
    </row>
    <row r="553" spans="1:5" x14ac:dyDescent="0.25">
      <c r="A553">
        <v>552</v>
      </c>
      <c r="B553">
        <v>4505749</v>
      </c>
      <c r="C553" s="1" t="str">
        <f>HYPERLINK("http://stackoverflow.com/users/4505749", "Jonny")</f>
        <v>Jonny</v>
      </c>
      <c r="D553" t="s">
        <v>29</v>
      </c>
      <c r="E553">
        <v>1095</v>
      </c>
    </row>
    <row r="554" spans="1:5" x14ac:dyDescent="0.25">
      <c r="A554">
        <v>553</v>
      </c>
      <c r="B554">
        <v>1230329</v>
      </c>
      <c r="C554" s="1" t="str">
        <f>HYPERLINK("http://stackoverflow.com/users/1230329", "Scott 混合理论")</f>
        <v>Scott 混合理论</v>
      </c>
      <c r="D554" t="s">
        <v>5</v>
      </c>
      <c r="E554">
        <v>1093</v>
      </c>
    </row>
    <row r="555" spans="1:5" x14ac:dyDescent="0.25">
      <c r="A555">
        <v>554</v>
      </c>
      <c r="B555">
        <v>799916</v>
      </c>
      <c r="C555" s="1" t="str">
        <f>HYPERLINK("http://stackoverflow.com/users/799916", "Yuan")</f>
        <v>Yuan</v>
      </c>
      <c r="D555" t="s">
        <v>5</v>
      </c>
      <c r="E555">
        <v>1091</v>
      </c>
    </row>
    <row r="556" spans="1:5" x14ac:dyDescent="0.25">
      <c r="A556">
        <v>555</v>
      </c>
      <c r="B556">
        <v>337466</v>
      </c>
      <c r="C556" s="1" t="str">
        <f>HYPERLINK("http://stackoverflow.com/users/337466", "zhengyue")</f>
        <v>zhengyue</v>
      </c>
      <c r="D556" t="s">
        <v>5</v>
      </c>
      <c r="E556">
        <v>1088</v>
      </c>
    </row>
    <row r="557" spans="1:5" x14ac:dyDescent="0.25">
      <c r="A557">
        <v>556</v>
      </c>
      <c r="B557">
        <v>807707</v>
      </c>
      <c r="C557" s="1" t="str">
        <f>HYPERLINK("http://stackoverflow.com/users/807707", "Amitabha")</f>
        <v>Amitabha</v>
      </c>
      <c r="D557" t="s">
        <v>5</v>
      </c>
      <c r="E557">
        <v>1086</v>
      </c>
    </row>
    <row r="558" spans="1:5" x14ac:dyDescent="0.25">
      <c r="A558">
        <v>557</v>
      </c>
      <c r="B558">
        <v>2266338</v>
      </c>
      <c r="C558" s="1" t="str">
        <f>HYPERLINK("http://stackoverflow.com/users/2266338", "hqjma")</f>
        <v>hqjma</v>
      </c>
      <c r="D558" t="s">
        <v>4</v>
      </c>
      <c r="E558">
        <v>1083</v>
      </c>
    </row>
    <row r="559" spans="1:5" x14ac:dyDescent="0.25">
      <c r="A559">
        <v>558</v>
      </c>
      <c r="B559">
        <v>136126</v>
      </c>
      <c r="C559" s="1" t="str">
        <f>HYPERLINK("http://stackoverflow.com/users/136126", "Carlos Liu")</f>
        <v>Carlos Liu</v>
      </c>
      <c r="D559" t="s">
        <v>35</v>
      </c>
      <c r="E559">
        <v>1080</v>
      </c>
    </row>
    <row r="560" spans="1:5" x14ac:dyDescent="0.25">
      <c r="A560">
        <v>559</v>
      </c>
      <c r="B560">
        <v>3542546</v>
      </c>
      <c r="C560" s="1" t="str">
        <f>HYPERLINK("http://stackoverflow.com/users/3542546", "Stackia")</f>
        <v>Stackia</v>
      </c>
      <c r="D560" t="s">
        <v>25</v>
      </c>
      <c r="E560">
        <v>1074</v>
      </c>
    </row>
    <row r="561" spans="1:5" x14ac:dyDescent="0.25">
      <c r="A561">
        <v>560</v>
      </c>
      <c r="B561">
        <v>469797</v>
      </c>
      <c r="C561" s="1" t="str">
        <f>HYPERLINK("http://stackoverflow.com/users/469797", "qinyu")</f>
        <v>qinyu</v>
      </c>
      <c r="D561" t="s">
        <v>22</v>
      </c>
      <c r="E561">
        <v>1071</v>
      </c>
    </row>
    <row r="562" spans="1:5" x14ac:dyDescent="0.25">
      <c r="A562">
        <v>561</v>
      </c>
      <c r="B562">
        <v>474171</v>
      </c>
      <c r="C562" s="1" t="str">
        <f>HYPERLINK("http://stackoverflow.com/users/474171", "Foredoomed")</f>
        <v>Foredoomed</v>
      </c>
      <c r="D562" t="s">
        <v>4</v>
      </c>
      <c r="E562">
        <v>1071</v>
      </c>
    </row>
    <row r="563" spans="1:5" x14ac:dyDescent="0.25">
      <c r="A563">
        <v>562</v>
      </c>
      <c r="B563">
        <v>1661618</v>
      </c>
      <c r="C563" s="1" t="str">
        <f>HYPERLINK("http://stackoverflow.com/users/1661618", "cyberbolt")</f>
        <v>cyberbolt</v>
      </c>
      <c r="D563" t="s">
        <v>4</v>
      </c>
      <c r="E563">
        <v>1071</v>
      </c>
    </row>
    <row r="564" spans="1:5" x14ac:dyDescent="0.25">
      <c r="A564">
        <v>563</v>
      </c>
      <c r="B564">
        <v>148206</v>
      </c>
      <c r="C564" s="1" t="str">
        <f>HYPERLINK("http://stackoverflow.com/users/148206", "Craig McMahon")</f>
        <v>Craig McMahon</v>
      </c>
      <c r="D564" t="s">
        <v>5</v>
      </c>
      <c r="E564">
        <v>1069</v>
      </c>
    </row>
    <row r="565" spans="1:5" x14ac:dyDescent="0.25">
      <c r="A565">
        <v>564</v>
      </c>
      <c r="B565">
        <v>1092195</v>
      </c>
      <c r="C565" s="1" t="str">
        <f>HYPERLINK("http://stackoverflow.com/users/1092195", "Harry He")</f>
        <v>Harry He</v>
      </c>
      <c r="D565" t="s">
        <v>4</v>
      </c>
      <c r="E565">
        <v>1068</v>
      </c>
    </row>
    <row r="566" spans="1:5" x14ac:dyDescent="0.25">
      <c r="A566">
        <v>565</v>
      </c>
      <c r="B566">
        <v>5235611</v>
      </c>
      <c r="C566" s="1" t="str">
        <f>HYPERLINK("http://stackoverflow.com/users/5235611", "KunMing Xie")</f>
        <v>KunMing Xie</v>
      </c>
      <c r="D566" t="s">
        <v>5</v>
      </c>
      <c r="E566">
        <v>1065</v>
      </c>
    </row>
    <row r="567" spans="1:5" x14ac:dyDescent="0.25">
      <c r="A567">
        <v>566</v>
      </c>
      <c r="B567">
        <v>2388994</v>
      </c>
      <c r="C567" s="1" t="str">
        <f>HYPERLINK("http://stackoverflow.com/users/2388994", "miukki")</f>
        <v>miukki</v>
      </c>
      <c r="D567" t="s">
        <v>4</v>
      </c>
      <c r="E567">
        <v>1065</v>
      </c>
    </row>
    <row r="568" spans="1:5" x14ac:dyDescent="0.25">
      <c r="A568">
        <v>567</v>
      </c>
      <c r="B568">
        <v>204388</v>
      </c>
      <c r="C568" s="1" t="str">
        <f>HYPERLINK("http://stackoverflow.com/users/204388", "Peng Qi")</f>
        <v>Peng Qi</v>
      </c>
      <c r="D568" t="s">
        <v>4</v>
      </c>
      <c r="E568">
        <v>1063</v>
      </c>
    </row>
    <row r="569" spans="1:5" x14ac:dyDescent="0.25">
      <c r="A569">
        <v>568</v>
      </c>
      <c r="B569">
        <v>875813</v>
      </c>
      <c r="C569" s="1" t="str">
        <f>HYPERLINK("http://stackoverflow.com/users/875813", "Witcher42")</f>
        <v>Witcher42</v>
      </c>
      <c r="D569" t="s">
        <v>5</v>
      </c>
      <c r="E569">
        <v>1062</v>
      </c>
    </row>
    <row r="570" spans="1:5" x14ac:dyDescent="0.25">
      <c r="A570">
        <v>569</v>
      </c>
      <c r="B570">
        <v>9106684</v>
      </c>
      <c r="C570" s="1" t="str">
        <f>HYPERLINK("http://stackoverflow.com/users/9106684", "shellhub")</f>
        <v>shellhub</v>
      </c>
      <c r="D570" t="s">
        <v>5</v>
      </c>
      <c r="E570">
        <v>1061</v>
      </c>
    </row>
    <row r="571" spans="1:5" x14ac:dyDescent="0.25">
      <c r="A571">
        <v>570</v>
      </c>
      <c r="B571">
        <v>1140593</v>
      </c>
      <c r="C571" s="1" t="str">
        <f>HYPERLINK("http://stackoverflow.com/users/1140593", "Haocheng")</f>
        <v>Haocheng</v>
      </c>
      <c r="D571" t="s">
        <v>5</v>
      </c>
      <c r="E571">
        <v>1061</v>
      </c>
    </row>
    <row r="572" spans="1:5" x14ac:dyDescent="0.25">
      <c r="A572">
        <v>571</v>
      </c>
      <c r="B572">
        <v>1495739</v>
      </c>
      <c r="C572" s="1" t="str">
        <f>HYPERLINK("http://stackoverflow.com/users/1495739", "liuyi.luo")</f>
        <v>liuyi.luo</v>
      </c>
      <c r="D572" t="s">
        <v>17</v>
      </c>
      <c r="E572">
        <v>1059</v>
      </c>
    </row>
    <row r="573" spans="1:5" x14ac:dyDescent="0.25">
      <c r="A573">
        <v>572</v>
      </c>
      <c r="B573">
        <v>1332817</v>
      </c>
      <c r="C573" s="1" t="str">
        <f>HYPERLINK("http://stackoverflow.com/users/1332817", "abcdabcd987")</f>
        <v>abcdabcd987</v>
      </c>
      <c r="D573" t="s">
        <v>4</v>
      </c>
      <c r="E573">
        <v>1059</v>
      </c>
    </row>
    <row r="574" spans="1:5" x14ac:dyDescent="0.25">
      <c r="A574">
        <v>573</v>
      </c>
      <c r="B574">
        <v>617149</v>
      </c>
      <c r="C574" s="1" t="str">
        <f>HYPERLINK("http://stackoverflow.com/users/617149", "ukessi")</f>
        <v>ukessi</v>
      </c>
      <c r="D574" t="s">
        <v>21</v>
      </c>
      <c r="E574">
        <v>1056</v>
      </c>
    </row>
    <row r="575" spans="1:5" x14ac:dyDescent="0.25">
      <c r="A575">
        <v>574</v>
      </c>
      <c r="B575">
        <v>554068</v>
      </c>
      <c r="C575" s="1" t="str">
        <f>HYPERLINK("http://stackoverflow.com/users/554068", "hetaoblog")</f>
        <v>hetaoblog</v>
      </c>
      <c r="D575" t="s">
        <v>12</v>
      </c>
      <c r="E575">
        <v>1053</v>
      </c>
    </row>
    <row r="576" spans="1:5" x14ac:dyDescent="0.25">
      <c r="A576">
        <v>575</v>
      </c>
      <c r="B576">
        <v>1173351</v>
      </c>
      <c r="C576" s="1" t="str">
        <f>HYPERLINK("http://stackoverflow.com/users/1173351", "Tony Han")</f>
        <v>Tony Han</v>
      </c>
      <c r="D576" t="s">
        <v>4</v>
      </c>
      <c r="E576">
        <v>1051</v>
      </c>
    </row>
    <row r="577" spans="1:5" x14ac:dyDescent="0.25">
      <c r="A577">
        <v>576</v>
      </c>
      <c r="B577">
        <v>1073075</v>
      </c>
      <c r="C577" s="1" t="str">
        <f>HYPERLINK("http://stackoverflow.com/users/1073075", "user1073075")</f>
        <v>user1073075</v>
      </c>
      <c r="D577" t="s">
        <v>70</v>
      </c>
      <c r="E577">
        <v>1051</v>
      </c>
    </row>
    <row r="578" spans="1:5" x14ac:dyDescent="0.25">
      <c r="A578">
        <v>577</v>
      </c>
      <c r="B578">
        <v>1278112</v>
      </c>
      <c r="C578" s="1" t="str">
        <f>HYPERLINK("http://stackoverflow.com/users/1278112", "Shihe Zhang")</f>
        <v>Shihe Zhang</v>
      </c>
      <c r="D578" t="s">
        <v>37</v>
      </c>
      <c r="E578">
        <v>1049</v>
      </c>
    </row>
    <row r="579" spans="1:5" x14ac:dyDescent="0.25">
      <c r="A579">
        <v>578</v>
      </c>
      <c r="B579">
        <v>1155464</v>
      </c>
      <c r="C579" s="1" t="str">
        <f>HYPERLINK("http://stackoverflow.com/users/1155464", "Linc")</f>
        <v>Linc</v>
      </c>
      <c r="D579" t="s">
        <v>4</v>
      </c>
      <c r="E579">
        <v>1048</v>
      </c>
    </row>
    <row r="580" spans="1:5" x14ac:dyDescent="0.25">
      <c r="A580">
        <v>579</v>
      </c>
      <c r="B580">
        <v>2719683</v>
      </c>
      <c r="C580" s="1" t="str">
        <f>HYPERLINK("http://stackoverflow.com/users/2719683", "peacepassion")</f>
        <v>peacepassion</v>
      </c>
      <c r="D580" t="s">
        <v>37</v>
      </c>
      <c r="E580">
        <v>1048</v>
      </c>
    </row>
    <row r="581" spans="1:5" x14ac:dyDescent="0.25">
      <c r="A581">
        <v>580</v>
      </c>
      <c r="B581">
        <v>1438743</v>
      </c>
      <c r="C581" s="1" t="str">
        <f>HYPERLINK("http://stackoverflow.com/users/1438743", "Maxthon Chan")</f>
        <v>Maxthon Chan</v>
      </c>
      <c r="D581" t="s">
        <v>4</v>
      </c>
      <c r="E581">
        <v>1046</v>
      </c>
    </row>
    <row r="582" spans="1:5" x14ac:dyDescent="0.25">
      <c r="A582">
        <v>581</v>
      </c>
      <c r="B582">
        <v>554754</v>
      </c>
      <c r="C582" s="1" t="str">
        <f>HYPERLINK("http://stackoverflow.com/users/554754", "Smartkid")</f>
        <v>Smartkid</v>
      </c>
      <c r="D582" t="s">
        <v>5</v>
      </c>
      <c r="E582">
        <v>1044</v>
      </c>
    </row>
    <row r="583" spans="1:5" x14ac:dyDescent="0.25">
      <c r="A583">
        <v>582</v>
      </c>
      <c r="B583">
        <v>399855</v>
      </c>
      <c r="C583" s="1" t="str">
        <f>HYPERLINK("http://stackoverflow.com/users/399855", "shaobin0604")</f>
        <v>shaobin0604</v>
      </c>
      <c r="D583" t="s">
        <v>5</v>
      </c>
      <c r="E583">
        <v>1044</v>
      </c>
    </row>
    <row r="584" spans="1:5" x14ac:dyDescent="0.25">
      <c r="A584">
        <v>583</v>
      </c>
      <c r="B584">
        <v>2310396</v>
      </c>
      <c r="C584" s="1" t="str">
        <f>HYPERLINK("http://stackoverflow.com/users/2310396", "Xiao Hanyu")</f>
        <v>Xiao Hanyu</v>
      </c>
      <c r="D584" t="s">
        <v>12</v>
      </c>
      <c r="E584">
        <v>1040</v>
      </c>
    </row>
    <row r="585" spans="1:5" x14ac:dyDescent="0.25">
      <c r="A585">
        <v>584</v>
      </c>
      <c r="B585">
        <v>1784595</v>
      </c>
      <c r="C585" s="1" t="str">
        <f>HYPERLINK("http://stackoverflow.com/users/1784595", "frank.lin")</f>
        <v>frank.lin</v>
      </c>
      <c r="D585" t="s">
        <v>4</v>
      </c>
      <c r="E585">
        <v>1038</v>
      </c>
    </row>
    <row r="586" spans="1:5" x14ac:dyDescent="0.25">
      <c r="A586">
        <v>585</v>
      </c>
      <c r="B586">
        <v>571227</v>
      </c>
      <c r="C586" s="1" t="str">
        <f>HYPERLINK("http://stackoverflow.com/users/571227", "haxpor")</f>
        <v>haxpor</v>
      </c>
      <c r="D586" t="s">
        <v>7</v>
      </c>
      <c r="E586">
        <v>1038</v>
      </c>
    </row>
    <row r="587" spans="1:5" x14ac:dyDescent="0.25">
      <c r="A587">
        <v>586</v>
      </c>
      <c r="B587">
        <v>1924657</v>
      </c>
      <c r="C587" s="1" t="str">
        <f>HYPERLINK("http://stackoverflow.com/users/1924657", "Bryce")</f>
        <v>Bryce</v>
      </c>
      <c r="D587" t="s">
        <v>5</v>
      </c>
      <c r="E587">
        <v>1038</v>
      </c>
    </row>
    <row r="588" spans="1:5" x14ac:dyDescent="0.25">
      <c r="A588">
        <v>587</v>
      </c>
      <c r="B588">
        <v>1069219</v>
      </c>
      <c r="C588" s="1" t="str">
        <f>HYPERLINK("http://stackoverflow.com/users/1069219", "etragu")</f>
        <v>etragu</v>
      </c>
      <c r="D588" t="s">
        <v>4</v>
      </c>
      <c r="E588">
        <v>1037</v>
      </c>
    </row>
    <row r="589" spans="1:5" x14ac:dyDescent="0.25">
      <c r="A589">
        <v>588</v>
      </c>
      <c r="B589">
        <v>3331750</v>
      </c>
      <c r="C589" s="1" t="str">
        <f>HYPERLINK("http://stackoverflow.com/users/3331750", "Justlike")</f>
        <v>Justlike</v>
      </c>
      <c r="D589" t="s">
        <v>17</v>
      </c>
      <c r="E589">
        <v>1036</v>
      </c>
    </row>
    <row r="590" spans="1:5" x14ac:dyDescent="0.25">
      <c r="A590">
        <v>589</v>
      </c>
      <c r="B590">
        <v>503297</v>
      </c>
      <c r="C590" s="1" t="str">
        <f>HYPERLINK("http://stackoverflow.com/users/503297", "Jiaji Li")</f>
        <v>Jiaji Li</v>
      </c>
      <c r="D590" t="s">
        <v>5</v>
      </c>
      <c r="E590">
        <v>1036</v>
      </c>
    </row>
    <row r="591" spans="1:5" x14ac:dyDescent="0.25">
      <c r="A591">
        <v>590</v>
      </c>
      <c r="B591">
        <v>576497</v>
      </c>
      <c r="C591" s="1" t="str">
        <f>HYPERLINK("http://stackoverflow.com/users/576497", "Van")</f>
        <v>Van</v>
      </c>
      <c r="D591" t="s">
        <v>71</v>
      </c>
      <c r="E591">
        <v>1034</v>
      </c>
    </row>
    <row r="592" spans="1:5" x14ac:dyDescent="0.25">
      <c r="A592">
        <v>591</v>
      </c>
      <c r="B592">
        <v>1032171</v>
      </c>
      <c r="C592" s="1" t="str">
        <f>HYPERLINK("http://stackoverflow.com/users/1032171", "liuyang1")</f>
        <v>liuyang1</v>
      </c>
      <c r="D592" t="s">
        <v>4</v>
      </c>
      <c r="E592">
        <v>1030</v>
      </c>
    </row>
    <row r="593" spans="1:5" x14ac:dyDescent="0.25">
      <c r="A593">
        <v>592</v>
      </c>
      <c r="B593">
        <v>486149</v>
      </c>
      <c r="C593" s="1" t="str">
        <f>HYPERLINK("http://stackoverflow.com/users/486149", "Angus Lee")</f>
        <v>Angus Lee</v>
      </c>
      <c r="D593" t="s">
        <v>5</v>
      </c>
      <c r="E593">
        <v>1029</v>
      </c>
    </row>
    <row r="594" spans="1:5" x14ac:dyDescent="0.25">
      <c r="A594">
        <v>593</v>
      </c>
      <c r="B594">
        <v>970426</v>
      </c>
      <c r="C594" s="1" t="str">
        <f>HYPERLINK("http://stackoverflow.com/users/970426", "Tsung Goh")</f>
        <v>Tsung Goh</v>
      </c>
      <c r="D594" t="s">
        <v>15</v>
      </c>
      <c r="E594">
        <v>1024</v>
      </c>
    </row>
    <row r="595" spans="1:5" x14ac:dyDescent="0.25">
      <c r="A595">
        <v>594</v>
      </c>
      <c r="B595">
        <v>3986395</v>
      </c>
      <c r="C595" s="1" t="str">
        <f>HYPERLINK("http://stackoverflow.com/users/3986395", "Simas Joneliunas")</f>
        <v>Simas Joneliunas</v>
      </c>
      <c r="D595" t="s">
        <v>4</v>
      </c>
      <c r="E595">
        <v>1024</v>
      </c>
    </row>
    <row r="596" spans="1:5" x14ac:dyDescent="0.25">
      <c r="A596">
        <v>595</v>
      </c>
      <c r="B596">
        <v>2803340</v>
      </c>
      <c r="C596" s="1" t="str">
        <f>HYPERLINK("http://stackoverflow.com/users/2803340", "tcpiper")</f>
        <v>tcpiper</v>
      </c>
      <c r="D596" t="s">
        <v>72</v>
      </c>
      <c r="E596">
        <v>1020</v>
      </c>
    </row>
    <row r="597" spans="1:5" x14ac:dyDescent="0.25">
      <c r="A597">
        <v>596</v>
      </c>
      <c r="B597">
        <v>3135546</v>
      </c>
      <c r="C597" s="1" t="str">
        <f>HYPERLINK("http://stackoverflow.com/users/3135546", "wangdq")</f>
        <v>wangdq</v>
      </c>
      <c r="D597" t="s">
        <v>21</v>
      </c>
      <c r="E597">
        <v>1019</v>
      </c>
    </row>
    <row r="598" spans="1:5" x14ac:dyDescent="0.25">
      <c r="A598">
        <v>597</v>
      </c>
      <c r="B598">
        <v>4260959</v>
      </c>
      <c r="C598" s="1" t="str">
        <f>HYPERLINK("http://stackoverflow.com/users/4260959", "auntyellow")</f>
        <v>auntyellow</v>
      </c>
      <c r="D598" t="s">
        <v>4</v>
      </c>
      <c r="E598">
        <v>1019</v>
      </c>
    </row>
    <row r="599" spans="1:5" x14ac:dyDescent="0.25">
      <c r="A599">
        <v>598</v>
      </c>
      <c r="B599">
        <v>893898</v>
      </c>
      <c r="C599" s="1" t="str">
        <f>HYPERLINK("http://stackoverflow.com/users/893898", "Hantsy")</f>
        <v>Hantsy</v>
      </c>
      <c r="D599" t="s">
        <v>21</v>
      </c>
      <c r="E599">
        <v>1016</v>
      </c>
    </row>
    <row r="600" spans="1:5" x14ac:dyDescent="0.25">
      <c r="A600">
        <v>599</v>
      </c>
      <c r="B600">
        <v>4493265</v>
      </c>
      <c r="C600" s="1" t="str">
        <f>HYPERLINK("http://stackoverflow.com/users/4493265", "waltersu")</f>
        <v>waltersu</v>
      </c>
      <c r="D600" t="s">
        <v>16</v>
      </c>
      <c r="E600">
        <v>1016</v>
      </c>
    </row>
    <row r="601" spans="1:5" x14ac:dyDescent="0.25">
      <c r="A601">
        <v>600</v>
      </c>
      <c r="B601">
        <v>7130077</v>
      </c>
      <c r="C601" s="1" t="str">
        <f>HYPERLINK("http://stackoverflow.com/users/7130077", "Germinate")</f>
        <v>Germinate</v>
      </c>
      <c r="D601" t="s">
        <v>5</v>
      </c>
      <c r="E601">
        <v>1013</v>
      </c>
    </row>
    <row r="602" spans="1:5" x14ac:dyDescent="0.25">
      <c r="A602">
        <v>601</v>
      </c>
      <c r="B602">
        <v>193584</v>
      </c>
      <c r="C602" s="1" t="str">
        <f>HYPERLINK("http://stackoverflow.com/users/193584", "xds2000")</f>
        <v>xds2000</v>
      </c>
      <c r="D602" t="s">
        <v>5</v>
      </c>
      <c r="E602">
        <v>1004</v>
      </c>
    </row>
    <row r="603" spans="1:5" x14ac:dyDescent="0.25">
      <c r="A603">
        <v>602</v>
      </c>
      <c r="B603">
        <v>3358665</v>
      </c>
      <c r="C603" s="1" t="str">
        <f>HYPERLINK("http://stackoverflow.com/users/3358665", "andycoder")</f>
        <v>andycoder</v>
      </c>
      <c r="D603" t="s">
        <v>3</v>
      </c>
      <c r="E603">
        <v>1003</v>
      </c>
    </row>
    <row r="604" spans="1:5" x14ac:dyDescent="0.25">
      <c r="A604">
        <v>603</v>
      </c>
      <c r="B604">
        <v>9250153</v>
      </c>
      <c r="C604" s="1" t="str">
        <f>HYPERLINK("http://stackoverflow.com/users/9250153", "Alex.Wei")</f>
        <v>Alex.Wei</v>
      </c>
      <c r="D604" t="s">
        <v>73</v>
      </c>
      <c r="E604">
        <v>1000</v>
      </c>
    </row>
    <row r="605" spans="1:5" x14ac:dyDescent="0.25">
      <c r="A605">
        <v>604</v>
      </c>
      <c r="B605">
        <v>1063398</v>
      </c>
      <c r="C605" s="1" t="str">
        <f>HYPERLINK("http://stackoverflow.com/users/1063398", "Jimmy liu")</f>
        <v>Jimmy liu</v>
      </c>
      <c r="D605" t="s">
        <v>4</v>
      </c>
      <c r="E605">
        <v>992</v>
      </c>
    </row>
    <row r="606" spans="1:5" x14ac:dyDescent="0.25">
      <c r="A606">
        <v>605</v>
      </c>
      <c r="B606">
        <v>2078383</v>
      </c>
      <c r="C606" s="1" t="str">
        <f>HYPERLINK("http://stackoverflow.com/users/2078383", "redux")</f>
        <v>redux</v>
      </c>
      <c r="D606" t="s">
        <v>4</v>
      </c>
      <c r="E606">
        <v>985</v>
      </c>
    </row>
    <row r="607" spans="1:5" x14ac:dyDescent="0.25">
      <c r="A607">
        <v>606</v>
      </c>
      <c r="B607">
        <v>467005</v>
      </c>
      <c r="C607" s="1" t="str">
        <f>HYPERLINK("http://stackoverflow.com/users/467005", "David Guo")</f>
        <v>David Guo</v>
      </c>
      <c r="D607" t="s">
        <v>5</v>
      </c>
      <c r="E607">
        <v>981</v>
      </c>
    </row>
    <row r="608" spans="1:5" x14ac:dyDescent="0.25">
      <c r="A608">
        <v>607</v>
      </c>
      <c r="B608">
        <v>379071</v>
      </c>
      <c r="C608" s="1" t="str">
        <f>HYPERLINK("http://stackoverflow.com/users/379071", "Tracy")</f>
        <v>Tracy</v>
      </c>
      <c r="D608" t="s">
        <v>17</v>
      </c>
      <c r="E608">
        <v>981</v>
      </c>
    </row>
    <row r="609" spans="1:5" x14ac:dyDescent="0.25">
      <c r="A609">
        <v>608</v>
      </c>
      <c r="B609">
        <v>811653</v>
      </c>
      <c r="C609" s="1" t="str">
        <f>HYPERLINK("http://stackoverflow.com/users/811653", "emj365")</f>
        <v>emj365</v>
      </c>
      <c r="D609" t="s">
        <v>4</v>
      </c>
      <c r="E609">
        <v>980</v>
      </c>
    </row>
    <row r="610" spans="1:5" x14ac:dyDescent="0.25">
      <c r="A610">
        <v>609</v>
      </c>
      <c r="B610">
        <v>3127828</v>
      </c>
      <c r="C610" s="1" t="str">
        <f>HYPERLINK("http://stackoverflow.com/users/3127828", "lzl124631x")</f>
        <v>lzl124631x</v>
      </c>
      <c r="D610" t="s">
        <v>5</v>
      </c>
      <c r="E610">
        <v>979</v>
      </c>
    </row>
    <row r="611" spans="1:5" x14ac:dyDescent="0.25">
      <c r="A611">
        <v>610</v>
      </c>
      <c r="B611">
        <v>552976</v>
      </c>
      <c r="C611" s="1" t="str">
        <f>HYPERLINK("http://stackoverflow.com/users/552976", "Igotit")</f>
        <v>Igotit</v>
      </c>
      <c r="D611" t="s">
        <v>5</v>
      </c>
      <c r="E611">
        <v>976</v>
      </c>
    </row>
    <row r="612" spans="1:5" x14ac:dyDescent="0.25">
      <c r="A612">
        <v>611</v>
      </c>
      <c r="B612">
        <v>333033</v>
      </c>
      <c r="C612" s="1" t="str">
        <f>HYPERLINK("http://stackoverflow.com/users/333033", "Frank R.")</f>
        <v>Frank R.</v>
      </c>
      <c r="D612" t="s">
        <v>43</v>
      </c>
      <c r="E612">
        <v>973</v>
      </c>
    </row>
    <row r="613" spans="1:5" x14ac:dyDescent="0.25">
      <c r="A613">
        <v>612</v>
      </c>
      <c r="B613">
        <v>882493</v>
      </c>
      <c r="C613" s="1" t="str">
        <f>HYPERLINK("http://stackoverflow.com/users/882493", "Sun Junwen")</f>
        <v>Sun Junwen</v>
      </c>
      <c r="D613" t="s">
        <v>37</v>
      </c>
      <c r="E613">
        <v>972</v>
      </c>
    </row>
    <row r="614" spans="1:5" x14ac:dyDescent="0.25">
      <c r="A614">
        <v>613</v>
      </c>
      <c r="B614">
        <v>3171537</v>
      </c>
      <c r="C614" s="1" t="str">
        <f>HYPERLINK("http://stackoverflow.com/users/3171537", "JohnWatsonDev")</f>
        <v>JohnWatsonDev</v>
      </c>
      <c r="D614" t="s">
        <v>16</v>
      </c>
      <c r="E614">
        <v>972</v>
      </c>
    </row>
    <row r="615" spans="1:5" x14ac:dyDescent="0.25">
      <c r="A615">
        <v>614</v>
      </c>
      <c r="B615">
        <v>1137904</v>
      </c>
      <c r="C615" s="1" t="str">
        <f>HYPERLINK("http://stackoverflow.com/users/1137904", "Alanmars")</f>
        <v>Alanmars</v>
      </c>
      <c r="D615" t="s">
        <v>5</v>
      </c>
      <c r="E615">
        <v>972</v>
      </c>
    </row>
    <row r="616" spans="1:5" x14ac:dyDescent="0.25">
      <c r="A616">
        <v>615</v>
      </c>
      <c r="B616">
        <v>4608899</v>
      </c>
      <c r="C616" s="1" t="str">
        <f>HYPERLINK("http://stackoverflow.com/users/4608899", "Bobbie Wu")</f>
        <v>Bobbie Wu</v>
      </c>
      <c r="D616" t="s">
        <v>21</v>
      </c>
      <c r="E616">
        <v>971</v>
      </c>
    </row>
    <row r="617" spans="1:5" x14ac:dyDescent="0.25">
      <c r="A617">
        <v>616</v>
      </c>
      <c r="B617">
        <v>69730</v>
      </c>
      <c r="C617" s="1" t="str">
        <f>HYPERLINK("http://stackoverflow.com/users/69730", "ShiningRay")</f>
        <v>ShiningRay</v>
      </c>
      <c r="D617" t="s">
        <v>4</v>
      </c>
      <c r="E617">
        <v>968</v>
      </c>
    </row>
    <row r="618" spans="1:5" x14ac:dyDescent="0.25">
      <c r="A618">
        <v>617</v>
      </c>
      <c r="B618">
        <v>1093344</v>
      </c>
      <c r="C618" s="1" t="str">
        <f>HYPERLINK("http://stackoverflow.com/users/1093344", "cmoaciopm")</f>
        <v>cmoaciopm</v>
      </c>
      <c r="D618" t="s">
        <v>5</v>
      </c>
      <c r="E618">
        <v>963</v>
      </c>
    </row>
    <row r="619" spans="1:5" x14ac:dyDescent="0.25">
      <c r="A619">
        <v>618</v>
      </c>
      <c r="B619">
        <v>4845808</v>
      </c>
      <c r="C619" s="1" t="str">
        <f>HYPERLINK("http://stackoverflow.com/users/4845808", "Licat Julius")</f>
        <v>Licat Julius</v>
      </c>
      <c r="D619" t="s">
        <v>25</v>
      </c>
      <c r="E619">
        <v>963</v>
      </c>
    </row>
    <row r="620" spans="1:5" x14ac:dyDescent="0.25">
      <c r="A620">
        <v>619</v>
      </c>
      <c r="B620">
        <v>6364089</v>
      </c>
      <c r="C620" s="1" t="str">
        <f>HYPERLINK("http://stackoverflow.com/users/6364089", "hxysayhi")</f>
        <v>hxysayhi</v>
      </c>
      <c r="D620" t="s">
        <v>28</v>
      </c>
      <c r="E620">
        <v>962</v>
      </c>
    </row>
    <row r="621" spans="1:5" x14ac:dyDescent="0.25">
      <c r="A621">
        <v>620</v>
      </c>
      <c r="B621">
        <v>396580</v>
      </c>
      <c r="C621" s="1" t="str">
        <f>HYPERLINK("http://stackoverflow.com/users/396580", "Ted Yu")</f>
        <v>Ted Yu</v>
      </c>
      <c r="D621" t="s">
        <v>21</v>
      </c>
      <c r="E621">
        <v>962</v>
      </c>
    </row>
    <row r="622" spans="1:5" x14ac:dyDescent="0.25">
      <c r="A622">
        <v>621</v>
      </c>
      <c r="B622">
        <v>6779334</v>
      </c>
      <c r="C622" s="1" t="str">
        <f>HYPERLINK("http://stackoverflow.com/users/6779334", "xtluo")</f>
        <v>xtluo</v>
      </c>
      <c r="D622" t="s">
        <v>28</v>
      </c>
      <c r="E622">
        <v>961</v>
      </c>
    </row>
    <row r="623" spans="1:5" x14ac:dyDescent="0.25">
      <c r="A623">
        <v>622</v>
      </c>
      <c r="B623">
        <v>707580</v>
      </c>
      <c r="C623" s="1" t="str">
        <f>HYPERLINK("http://stackoverflow.com/users/707580", "hbrls")</f>
        <v>hbrls</v>
      </c>
      <c r="D623" t="s">
        <v>4</v>
      </c>
      <c r="E623">
        <v>955</v>
      </c>
    </row>
    <row r="624" spans="1:5" x14ac:dyDescent="0.25">
      <c r="A624">
        <v>623</v>
      </c>
      <c r="B624">
        <v>3477929</v>
      </c>
      <c r="C624" s="1" t="str">
        <f>HYPERLINK("http://stackoverflow.com/users/3477929", "Flaudre")</f>
        <v>Flaudre</v>
      </c>
      <c r="D624" t="s">
        <v>4</v>
      </c>
      <c r="E624">
        <v>953</v>
      </c>
    </row>
    <row r="625" spans="1:5" x14ac:dyDescent="0.25">
      <c r="A625">
        <v>624</v>
      </c>
      <c r="B625">
        <v>2353188</v>
      </c>
      <c r="C625" s="1" t="str">
        <f>HYPERLINK("http://stackoverflow.com/users/2353188", "ltebean")</f>
        <v>ltebean</v>
      </c>
      <c r="D625" t="s">
        <v>4</v>
      </c>
      <c r="E625">
        <v>949</v>
      </c>
    </row>
    <row r="626" spans="1:5" x14ac:dyDescent="0.25">
      <c r="A626">
        <v>625</v>
      </c>
      <c r="B626">
        <v>1778658</v>
      </c>
      <c r="C626" s="1" t="str">
        <f>HYPERLINK("http://stackoverflow.com/users/1778658", "osrpt")</f>
        <v>osrpt</v>
      </c>
      <c r="D626" t="s">
        <v>22</v>
      </c>
      <c r="E626">
        <v>944</v>
      </c>
    </row>
    <row r="627" spans="1:5" x14ac:dyDescent="0.25">
      <c r="A627">
        <v>626</v>
      </c>
      <c r="B627">
        <v>701420</v>
      </c>
      <c r="C627" s="1" t="str">
        <f>HYPERLINK("http://stackoverflow.com/users/701420", "Chad")</f>
        <v>Chad</v>
      </c>
      <c r="D627" t="s">
        <v>5</v>
      </c>
      <c r="E627">
        <v>944</v>
      </c>
    </row>
    <row r="628" spans="1:5" x14ac:dyDescent="0.25">
      <c r="A628">
        <v>627</v>
      </c>
      <c r="B628">
        <v>1071535</v>
      </c>
      <c r="C628" s="1" t="str">
        <f>HYPERLINK("http://stackoverflow.com/users/1071535", "SeaStar")</f>
        <v>SeaStar</v>
      </c>
      <c r="D628" t="s">
        <v>5</v>
      </c>
      <c r="E628">
        <v>942</v>
      </c>
    </row>
    <row r="629" spans="1:5" x14ac:dyDescent="0.25">
      <c r="A629">
        <v>628</v>
      </c>
      <c r="B629">
        <v>4140668</v>
      </c>
      <c r="C629" s="1" t="str">
        <f>HYPERLINK("http://stackoverflow.com/users/4140668", "lz96")</f>
        <v>lz96</v>
      </c>
      <c r="D629" t="s">
        <v>4</v>
      </c>
      <c r="E629">
        <v>941</v>
      </c>
    </row>
    <row r="630" spans="1:5" x14ac:dyDescent="0.25">
      <c r="A630">
        <v>629</v>
      </c>
      <c r="B630">
        <v>1799224</v>
      </c>
      <c r="C630" s="1" t="str">
        <f>HYPERLINK("http://stackoverflow.com/users/1799224", "Dark.Passenger")</f>
        <v>Dark.Passenger</v>
      </c>
      <c r="D630" t="s">
        <v>5</v>
      </c>
      <c r="E630">
        <v>938</v>
      </c>
    </row>
    <row r="631" spans="1:5" x14ac:dyDescent="0.25">
      <c r="A631">
        <v>630</v>
      </c>
      <c r="B631">
        <v>200404</v>
      </c>
      <c r="C631" s="1" t="str">
        <f>HYPERLINK("http://stackoverflow.com/users/200404", "rogerz")</f>
        <v>rogerz</v>
      </c>
      <c r="D631" t="s">
        <v>4</v>
      </c>
      <c r="E631">
        <v>938</v>
      </c>
    </row>
    <row r="632" spans="1:5" x14ac:dyDescent="0.25">
      <c r="A632">
        <v>631</v>
      </c>
      <c r="B632">
        <v>2377334</v>
      </c>
      <c r="C632" s="1" t="str">
        <f>HYPERLINK("http://stackoverflow.com/users/2377334", "Adam Liu")</f>
        <v>Adam Liu</v>
      </c>
      <c r="D632" t="s">
        <v>5</v>
      </c>
      <c r="E632">
        <v>938</v>
      </c>
    </row>
    <row r="633" spans="1:5" x14ac:dyDescent="0.25">
      <c r="A633">
        <v>632</v>
      </c>
      <c r="B633">
        <v>2362322</v>
      </c>
      <c r="C633" s="1" t="str">
        <f>HYPERLINK("http://stackoverflow.com/users/2362322", "hexinpeter")</f>
        <v>hexinpeter</v>
      </c>
      <c r="D633" t="s">
        <v>7</v>
      </c>
      <c r="E633">
        <v>937</v>
      </c>
    </row>
    <row r="634" spans="1:5" x14ac:dyDescent="0.25">
      <c r="A634">
        <v>633</v>
      </c>
      <c r="B634">
        <v>4665587</v>
      </c>
      <c r="C634" s="1" t="str">
        <f>HYPERLINK("http://stackoverflow.com/users/4665587", "ooOlly")</f>
        <v>ooOlly</v>
      </c>
      <c r="D634" t="s">
        <v>22</v>
      </c>
      <c r="E634">
        <v>936</v>
      </c>
    </row>
    <row r="635" spans="1:5" x14ac:dyDescent="0.25">
      <c r="A635">
        <v>634</v>
      </c>
      <c r="B635">
        <v>173824</v>
      </c>
      <c r="C635" s="1" t="str">
        <f>HYPERLINK("http://stackoverflow.com/users/173824", "Yinan")</f>
        <v>Yinan</v>
      </c>
      <c r="D635" t="s">
        <v>5</v>
      </c>
      <c r="E635">
        <v>936</v>
      </c>
    </row>
    <row r="636" spans="1:5" x14ac:dyDescent="0.25">
      <c r="A636">
        <v>635</v>
      </c>
      <c r="B636">
        <v>6510138</v>
      </c>
      <c r="C636" s="1" t="str">
        <f>HYPERLINK("http://stackoverflow.com/users/6510138", "Zhong Wu")</f>
        <v>Zhong Wu</v>
      </c>
      <c r="D636" t="s">
        <v>4</v>
      </c>
      <c r="E636">
        <v>935</v>
      </c>
    </row>
    <row r="637" spans="1:5" x14ac:dyDescent="0.25">
      <c r="A637">
        <v>636</v>
      </c>
      <c r="B637">
        <v>990996</v>
      </c>
      <c r="C637" s="1" t="str">
        <f>HYPERLINK("http://stackoverflow.com/users/990996", "kenshinji")</f>
        <v>kenshinji</v>
      </c>
      <c r="D637" t="s">
        <v>4</v>
      </c>
      <c r="E637">
        <v>935</v>
      </c>
    </row>
    <row r="638" spans="1:5" x14ac:dyDescent="0.25">
      <c r="A638">
        <v>637</v>
      </c>
      <c r="B638">
        <v>3480295</v>
      </c>
      <c r="C638" s="1" t="str">
        <f>HYPERLINK("http://stackoverflow.com/users/3480295", "user3480295")</f>
        <v>user3480295</v>
      </c>
      <c r="D638" t="s">
        <v>17</v>
      </c>
      <c r="E638">
        <v>933</v>
      </c>
    </row>
    <row r="639" spans="1:5" x14ac:dyDescent="0.25">
      <c r="A639">
        <v>638</v>
      </c>
      <c r="B639">
        <v>1517100</v>
      </c>
      <c r="C639" s="1" t="str">
        <f>HYPERLINK("http://stackoverflow.com/users/1517100", "jiahut")</f>
        <v>jiahut</v>
      </c>
      <c r="D639" t="s">
        <v>4</v>
      </c>
      <c r="E639">
        <v>932</v>
      </c>
    </row>
    <row r="640" spans="1:5" x14ac:dyDescent="0.25">
      <c r="A640">
        <v>639</v>
      </c>
      <c r="B640">
        <v>1564668</v>
      </c>
      <c r="C640" s="1" t="str">
        <f>HYPERLINK("http://stackoverflow.com/users/1564668", "Liao Zhuodi")</f>
        <v>Liao Zhuodi</v>
      </c>
      <c r="D640" t="s">
        <v>5</v>
      </c>
      <c r="E640">
        <v>931</v>
      </c>
    </row>
    <row r="641" spans="1:5" x14ac:dyDescent="0.25">
      <c r="A641">
        <v>640</v>
      </c>
      <c r="B641">
        <v>2400209</v>
      </c>
      <c r="C641" s="1" t="str">
        <f>HYPERLINK("http://stackoverflow.com/users/2400209", "Justina Chen")</f>
        <v>Justina Chen</v>
      </c>
      <c r="D641" t="s">
        <v>22</v>
      </c>
      <c r="E641">
        <v>931</v>
      </c>
    </row>
    <row r="642" spans="1:5" x14ac:dyDescent="0.25">
      <c r="A642">
        <v>641</v>
      </c>
      <c r="B642">
        <v>364382</v>
      </c>
      <c r="C642" s="1" t="str">
        <f>HYPERLINK("http://stackoverflow.com/users/364382", "gerry")</f>
        <v>gerry</v>
      </c>
      <c r="D642" t="s">
        <v>5</v>
      </c>
      <c r="E642">
        <v>931</v>
      </c>
    </row>
    <row r="643" spans="1:5" x14ac:dyDescent="0.25">
      <c r="A643">
        <v>642</v>
      </c>
      <c r="B643">
        <v>2757178</v>
      </c>
      <c r="C643" s="1" t="str">
        <f>HYPERLINK("http://stackoverflow.com/users/2757178", "Verdigrass")</f>
        <v>Verdigrass</v>
      </c>
      <c r="D643" t="s">
        <v>17</v>
      </c>
      <c r="E643">
        <v>928</v>
      </c>
    </row>
    <row r="644" spans="1:5" x14ac:dyDescent="0.25">
      <c r="A644">
        <v>643</v>
      </c>
      <c r="B644">
        <v>1582747</v>
      </c>
      <c r="C644" s="1" t="str">
        <f>HYPERLINK("http://stackoverflow.com/users/1582747", "nightire")</f>
        <v>nightire</v>
      </c>
      <c r="D644" t="s">
        <v>4</v>
      </c>
      <c r="E644">
        <v>925</v>
      </c>
    </row>
    <row r="645" spans="1:5" x14ac:dyDescent="0.25">
      <c r="A645">
        <v>644</v>
      </c>
      <c r="B645">
        <v>3601654</v>
      </c>
      <c r="C645" s="1" t="str">
        <f>HYPERLINK("http://stackoverflow.com/users/3601654", "ramwin")</f>
        <v>ramwin</v>
      </c>
      <c r="D645" t="s">
        <v>4</v>
      </c>
      <c r="E645">
        <v>924</v>
      </c>
    </row>
    <row r="646" spans="1:5" x14ac:dyDescent="0.25">
      <c r="A646">
        <v>645</v>
      </c>
      <c r="B646">
        <v>386272</v>
      </c>
      <c r="C646" s="1" t="str">
        <f>HYPERLINK("http://stackoverflow.com/users/386272", "Sai Venkat")</f>
        <v>Sai Venkat</v>
      </c>
      <c r="D646" t="s">
        <v>5</v>
      </c>
      <c r="E646">
        <v>923</v>
      </c>
    </row>
    <row r="647" spans="1:5" x14ac:dyDescent="0.25">
      <c r="A647">
        <v>646</v>
      </c>
      <c r="B647">
        <v>1089063</v>
      </c>
      <c r="C647" s="1" t="str">
        <f>HYPERLINK("http://stackoverflow.com/users/1089063", "Yad Smood")</f>
        <v>Yad Smood</v>
      </c>
      <c r="D647" t="s">
        <v>5</v>
      </c>
      <c r="E647">
        <v>922</v>
      </c>
    </row>
    <row r="648" spans="1:5" x14ac:dyDescent="0.25">
      <c r="A648">
        <v>647</v>
      </c>
      <c r="B648">
        <v>9428471</v>
      </c>
      <c r="C648" s="1" t="str">
        <f>HYPERLINK("http://stackoverflow.com/users/9428471", "undefined")</f>
        <v>undefined</v>
      </c>
      <c r="D648" t="s">
        <v>74</v>
      </c>
      <c r="E648">
        <v>921</v>
      </c>
    </row>
    <row r="649" spans="1:5" x14ac:dyDescent="0.25">
      <c r="A649">
        <v>648</v>
      </c>
      <c r="B649">
        <v>8281081</v>
      </c>
      <c r="C649" s="1" t="str">
        <f>HYPERLINK("http://stackoverflow.com/users/8281081", "Alex.Z")</f>
        <v>Alex.Z</v>
      </c>
      <c r="D649" t="s">
        <v>43</v>
      </c>
      <c r="E649">
        <v>921</v>
      </c>
    </row>
    <row r="650" spans="1:5" x14ac:dyDescent="0.25">
      <c r="A650">
        <v>649</v>
      </c>
      <c r="B650">
        <v>1871377</v>
      </c>
      <c r="C650" s="1" t="str">
        <f>HYPERLINK("http://stackoverflow.com/users/1871377", "Sean")</f>
        <v>Sean</v>
      </c>
      <c r="D650" t="s">
        <v>37</v>
      </c>
      <c r="E650">
        <v>919</v>
      </c>
    </row>
    <row r="651" spans="1:5" x14ac:dyDescent="0.25">
      <c r="A651">
        <v>650</v>
      </c>
      <c r="B651">
        <v>2693447</v>
      </c>
      <c r="C651" s="1" t="str">
        <f>HYPERLINK("http://stackoverflow.com/users/2693447", "Yu Zhang")</f>
        <v>Yu Zhang</v>
      </c>
      <c r="D651" t="s">
        <v>4</v>
      </c>
      <c r="E651">
        <v>916</v>
      </c>
    </row>
    <row r="652" spans="1:5" x14ac:dyDescent="0.25">
      <c r="A652">
        <v>651</v>
      </c>
      <c r="B652">
        <v>3908814</v>
      </c>
      <c r="C652" s="1" t="str">
        <f>HYPERLINK("http://stackoverflow.com/users/3908814", "Bejond")</f>
        <v>Bejond</v>
      </c>
      <c r="D652" t="s">
        <v>74</v>
      </c>
      <c r="E652">
        <v>912</v>
      </c>
    </row>
    <row r="653" spans="1:5" x14ac:dyDescent="0.25">
      <c r="A653">
        <v>652</v>
      </c>
      <c r="B653">
        <v>3414180</v>
      </c>
      <c r="C653" s="1" t="str">
        <f>HYPERLINK("http://stackoverflow.com/users/3414180", "Mingfei")</f>
        <v>Mingfei</v>
      </c>
      <c r="D653" t="s">
        <v>5</v>
      </c>
      <c r="E653">
        <v>911</v>
      </c>
    </row>
    <row r="654" spans="1:5" x14ac:dyDescent="0.25">
      <c r="A654">
        <v>653</v>
      </c>
      <c r="B654">
        <v>1629342</v>
      </c>
      <c r="C654" s="1" t="str">
        <f>HYPERLINK("http://stackoverflow.com/users/1629342", "Yong")</f>
        <v>Yong</v>
      </c>
      <c r="D654" t="s">
        <v>57</v>
      </c>
      <c r="E654">
        <v>910</v>
      </c>
    </row>
    <row r="655" spans="1:5" x14ac:dyDescent="0.25">
      <c r="A655">
        <v>654</v>
      </c>
      <c r="B655">
        <v>1513998</v>
      </c>
      <c r="C655" s="1" t="str">
        <f>HYPERLINK("http://stackoverflow.com/users/1513998", "cloosen")</f>
        <v>cloosen</v>
      </c>
      <c r="D655" t="s">
        <v>5</v>
      </c>
      <c r="E655">
        <v>903</v>
      </c>
    </row>
    <row r="656" spans="1:5" x14ac:dyDescent="0.25">
      <c r="A656">
        <v>655</v>
      </c>
      <c r="B656">
        <v>1287439</v>
      </c>
      <c r="C656" s="1" t="str">
        <f>HYPERLINK("http://stackoverflow.com/users/1287439", "sunjinbo")</f>
        <v>sunjinbo</v>
      </c>
      <c r="D656" t="s">
        <v>5</v>
      </c>
      <c r="E656">
        <v>900</v>
      </c>
    </row>
    <row r="657" spans="1:5" x14ac:dyDescent="0.25">
      <c r="A657">
        <v>656</v>
      </c>
      <c r="B657">
        <v>6477201</v>
      </c>
      <c r="C657" s="1" t="str">
        <f>HYPERLINK("http://stackoverflow.com/users/6477201", "Praveen")</f>
        <v>Praveen</v>
      </c>
      <c r="D657" t="s">
        <v>28</v>
      </c>
      <c r="E657">
        <v>898</v>
      </c>
    </row>
    <row r="658" spans="1:5" x14ac:dyDescent="0.25">
      <c r="A658">
        <v>657</v>
      </c>
      <c r="B658">
        <v>111774</v>
      </c>
      <c r="C658" s="1" t="str">
        <f>HYPERLINK("http://stackoverflow.com/users/111774", "JeffZhnn")</f>
        <v>JeffZhnn</v>
      </c>
      <c r="D658" t="s">
        <v>28</v>
      </c>
      <c r="E658">
        <v>897</v>
      </c>
    </row>
    <row r="659" spans="1:5" x14ac:dyDescent="0.25">
      <c r="A659">
        <v>658</v>
      </c>
      <c r="B659">
        <v>10176713</v>
      </c>
      <c r="C659" s="1" t="str">
        <f>HYPERLINK("http://stackoverflow.com/users/10176713", "Jake")</f>
        <v>Jake</v>
      </c>
      <c r="D659" t="s">
        <v>4</v>
      </c>
      <c r="E659">
        <v>894</v>
      </c>
    </row>
    <row r="660" spans="1:5" x14ac:dyDescent="0.25">
      <c r="A660">
        <v>659</v>
      </c>
      <c r="B660">
        <v>353132</v>
      </c>
      <c r="C660" s="1" t="str">
        <f>HYPERLINK("http://stackoverflow.com/users/353132", "Jayson")</f>
        <v>Jayson</v>
      </c>
      <c r="D660" t="s">
        <v>5</v>
      </c>
      <c r="E660">
        <v>893</v>
      </c>
    </row>
    <row r="661" spans="1:5" x14ac:dyDescent="0.25">
      <c r="A661">
        <v>660</v>
      </c>
      <c r="B661">
        <v>1077158</v>
      </c>
      <c r="C661" s="1" t="str">
        <f>HYPERLINK("http://stackoverflow.com/users/1077158", "can.")</f>
        <v>can.</v>
      </c>
      <c r="D661" t="s">
        <v>5</v>
      </c>
      <c r="E661">
        <v>893</v>
      </c>
    </row>
    <row r="662" spans="1:5" x14ac:dyDescent="0.25">
      <c r="A662">
        <v>661</v>
      </c>
      <c r="B662">
        <v>5722565</v>
      </c>
      <c r="C662" s="1" t="str">
        <f>HYPERLINK("http://stackoverflow.com/users/5722565", "Liang Xiao")</f>
        <v>Liang Xiao</v>
      </c>
      <c r="D662" t="s">
        <v>5</v>
      </c>
      <c r="E662">
        <v>892</v>
      </c>
    </row>
    <row r="663" spans="1:5" x14ac:dyDescent="0.25">
      <c r="A663">
        <v>662</v>
      </c>
      <c r="B663">
        <v>461412</v>
      </c>
      <c r="C663" s="1" t="str">
        <f>HYPERLINK("http://stackoverflow.com/users/461412", "AiShiguang")</f>
        <v>AiShiguang</v>
      </c>
      <c r="D663" t="s">
        <v>5</v>
      </c>
      <c r="E663">
        <v>891</v>
      </c>
    </row>
    <row r="664" spans="1:5" x14ac:dyDescent="0.25">
      <c r="A664">
        <v>663</v>
      </c>
      <c r="B664">
        <v>1910546</v>
      </c>
      <c r="C664" s="1" t="str">
        <f>HYPERLINK("http://stackoverflow.com/users/1910546", "Ian Li")</f>
        <v>Ian Li</v>
      </c>
      <c r="D664" t="s">
        <v>22</v>
      </c>
      <c r="E664">
        <v>890</v>
      </c>
    </row>
    <row r="665" spans="1:5" x14ac:dyDescent="0.25">
      <c r="A665">
        <v>664</v>
      </c>
      <c r="B665">
        <v>1553502</v>
      </c>
      <c r="C665" s="1" t="str">
        <f>HYPERLINK("http://stackoverflow.com/users/1553502", "Bes Ley")</f>
        <v>Bes Ley</v>
      </c>
      <c r="D665" t="s">
        <v>12</v>
      </c>
      <c r="E665">
        <v>890</v>
      </c>
    </row>
    <row r="666" spans="1:5" x14ac:dyDescent="0.25">
      <c r="A666">
        <v>665</v>
      </c>
      <c r="B666">
        <v>1275303</v>
      </c>
      <c r="C666" s="1" t="str">
        <f>HYPERLINK("http://stackoverflow.com/users/1275303", "Windor C")</f>
        <v>Windor C</v>
      </c>
      <c r="D666" t="s">
        <v>5</v>
      </c>
      <c r="E666">
        <v>887</v>
      </c>
    </row>
    <row r="667" spans="1:5" x14ac:dyDescent="0.25">
      <c r="A667">
        <v>666</v>
      </c>
      <c r="B667">
        <v>1510752</v>
      </c>
      <c r="C667" s="1" t="str">
        <f>HYPERLINK("http://stackoverflow.com/users/1510752", "dyzdyz010")</f>
        <v>dyzdyz010</v>
      </c>
      <c r="D667" t="s">
        <v>5</v>
      </c>
      <c r="E667">
        <v>886</v>
      </c>
    </row>
    <row r="668" spans="1:5" x14ac:dyDescent="0.25">
      <c r="A668">
        <v>667</v>
      </c>
      <c r="B668">
        <v>1319619</v>
      </c>
      <c r="C668" s="1" t="str">
        <f>HYPERLINK("http://stackoverflow.com/users/1319619", "lit2019")</f>
        <v>lit2019</v>
      </c>
      <c r="D668" t="s">
        <v>17</v>
      </c>
      <c r="E668">
        <v>885</v>
      </c>
    </row>
    <row r="669" spans="1:5" x14ac:dyDescent="0.25">
      <c r="A669">
        <v>668</v>
      </c>
      <c r="B669">
        <v>2045725</v>
      </c>
      <c r="C669" s="1" t="str">
        <f>HYPERLINK("http://stackoverflow.com/users/2045725", "littlepea")</f>
        <v>littlepea</v>
      </c>
      <c r="D669" t="s">
        <v>5</v>
      </c>
      <c r="E669">
        <v>884</v>
      </c>
    </row>
    <row r="670" spans="1:5" x14ac:dyDescent="0.25">
      <c r="A670">
        <v>669</v>
      </c>
      <c r="B670">
        <v>1041383</v>
      </c>
      <c r="C670" s="1" t="str">
        <f>HYPERLINK("http://stackoverflow.com/users/1041383", "civic.LiLister")</f>
        <v>civic.LiLister</v>
      </c>
      <c r="D670" t="s">
        <v>5</v>
      </c>
      <c r="E670">
        <v>882</v>
      </c>
    </row>
    <row r="671" spans="1:5" x14ac:dyDescent="0.25">
      <c r="A671">
        <v>670</v>
      </c>
      <c r="B671">
        <v>1087890</v>
      </c>
      <c r="C671" s="1" t="str">
        <f>HYPERLINK("http://stackoverflow.com/users/1087890", "Yang Luo")</f>
        <v>Yang Luo</v>
      </c>
      <c r="D671" t="s">
        <v>5</v>
      </c>
      <c r="E671">
        <v>881</v>
      </c>
    </row>
    <row r="672" spans="1:5" x14ac:dyDescent="0.25">
      <c r="A672">
        <v>671</v>
      </c>
      <c r="B672">
        <v>459289</v>
      </c>
      <c r="C672" s="1" t="str">
        <f>HYPERLINK("http://stackoverflow.com/users/459289", "samxli")</f>
        <v>samxli</v>
      </c>
      <c r="D672" t="s">
        <v>5</v>
      </c>
      <c r="E672">
        <v>881</v>
      </c>
    </row>
    <row r="673" spans="1:5" x14ac:dyDescent="0.25">
      <c r="A673">
        <v>672</v>
      </c>
      <c r="B673">
        <v>690629</v>
      </c>
      <c r="C673" s="1" t="str">
        <f>HYPERLINK("http://stackoverflow.com/users/690629", "Zhao Xiang")</f>
        <v>Zhao Xiang</v>
      </c>
      <c r="D673" t="s">
        <v>5</v>
      </c>
      <c r="E673">
        <v>880</v>
      </c>
    </row>
    <row r="674" spans="1:5" x14ac:dyDescent="0.25">
      <c r="A674">
        <v>673</v>
      </c>
      <c r="B674">
        <v>163324</v>
      </c>
      <c r="C674" s="1" t="str">
        <f>HYPERLINK("http://stackoverflow.com/users/163324", "tshao")</f>
        <v>tshao</v>
      </c>
      <c r="D674" t="s">
        <v>4</v>
      </c>
      <c r="E674">
        <v>877</v>
      </c>
    </row>
    <row r="675" spans="1:5" x14ac:dyDescent="0.25">
      <c r="A675">
        <v>674</v>
      </c>
      <c r="B675">
        <v>314537</v>
      </c>
      <c r="C675" s="1" t="str">
        <f>HYPERLINK("http://stackoverflow.com/users/314537", "Tinyfool")</f>
        <v>Tinyfool</v>
      </c>
      <c r="D675" t="s">
        <v>4</v>
      </c>
      <c r="E675">
        <v>875</v>
      </c>
    </row>
    <row r="676" spans="1:5" x14ac:dyDescent="0.25">
      <c r="A676">
        <v>675</v>
      </c>
      <c r="B676">
        <v>1241980</v>
      </c>
      <c r="C676" s="1" t="str">
        <f>HYPERLINK("http://stackoverflow.com/users/1241980", "lyfing")</f>
        <v>lyfing</v>
      </c>
      <c r="D676" t="s">
        <v>12</v>
      </c>
      <c r="E676">
        <v>875</v>
      </c>
    </row>
    <row r="677" spans="1:5" x14ac:dyDescent="0.25">
      <c r="A677">
        <v>676</v>
      </c>
      <c r="B677">
        <v>422389</v>
      </c>
      <c r="C677" s="1" t="str">
        <f>HYPERLINK("http://stackoverflow.com/users/422389", "Dollyn")</f>
        <v>Dollyn</v>
      </c>
      <c r="D677" t="s">
        <v>12</v>
      </c>
      <c r="E677">
        <v>874</v>
      </c>
    </row>
    <row r="678" spans="1:5" x14ac:dyDescent="0.25">
      <c r="A678">
        <v>677</v>
      </c>
      <c r="B678">
        <v>133653</v>
      </c>
      <c r="C678" s="1" t="str">
        <f>HYPERLINK("http://stackoverflow.com/users/133653", "Edwin Tai")</f>
        <v>Edwin Tai</v>
      </c>
      <c r="D678" t="s">
        <v>4</v>
      </c>
      <c r="E678">
        <v>874</v>
      </c>
    </row>
    <row r="679" spans="1:5" x14ac:dyDescent="0.25">
      <c r="A679">
        <v>678</v>
      </c>
      <c r="B679">
        <v>86601</v>
      </c>
      <c r="C679" s="1" t="str">
        <f>HYPERLINK("http://stackoverflow.com/users/86601", "Jacky")</f>
        <v>Jacky</v>
      </c>
      <c r="D679" t="s">
        <v>4</v>
      </c>
      <c r="E679">
        <v>874</v>
      </c>
    </row>
    <row r="680" spans="1:5" x14ac:dyDescent="0.25">
      <c r="A680">
        <v>679</v>
      </c>
      <c r="B680">
        <v>2794539</v>
      </c>
      <c r="C680" s="1" t="str">
        <f>HYPERLINK("http://stackoverflow.com/users/2794539", "gaozhidf")</f>
        <v>gaozhidf</v>
      </c>
      <c r="D680" t="s">
        <v>75</v>
      </c>
      <c r="E680">
        <v>872</v>
      </c>
    </row>
    <row r="681" spans="1:5" x14ac:dyDescent="0.25">
      <c r="A681">
        <v>680</v>
      </c>
      <c r="B681">
        <v>1669169</v>
      </c>
      <c r="C681" s="1" t="str">
        <f>HYPERLINK("http://stackoverflow.com/users/1669169", "Bok McDonagh")</f>
        <v>Bok McDonagh</v>
      </c>
      <c r="D681" t="s">
        <v>4</v>
      </c>
      <c r="E681">
        <v>871</v>
      </c>
    </row>
    <row r="682" spans="1:5" x14ac:dyDescent="0.25">
      <c r="A682">
        <v>681</v>
      </c>
      <c r="B682">
        <v>1367677</v>
      </c>
      <c r="C682" s="1" t="str">
        <f>HYPERLINK("http://stackoverflow.com/users/1367677", "Alan")</f>
        <v>Alan</v>
      </c>
      <c r="D682" t="s">
        <v>4</v>
      </c>
      <c r="E682">
        <v>869</v>
      </c>
    </row>
    <row r="683" spans="1:5" x14ac:dyDescent="0.25">
      <c r="A683">
        <v>682</v>
      </c>
      <c r="B683">
        <v>166521</v>
      </c>
      <c r="C683" s="1" t="str">
        <f>HYPERLINK("http://stackoverflow.com/users/166521", "anchandra")</f>
        <v>anchandra</v>
      </c>
      <c r="D683" t="s">
        <v>5</v>
      </c>
      <c r="E683">
        <v>869</v>
      </c>
    </row>
    <row r="684" spans="1:5" x14ac:dyDescent="0.25">
      <c r="A684">
        <v>683</v>
      </c>
      <c r="B684">
        <v>1117445</v>
      </c>
      <c r="C684" s="1" t="str">
        <f>HYPERLINK("http://stackoverflow.com/users/1117445", "Rain Diao")</f>
        <v>Rain Diao</v>
      </c>
      <c r="D684" t="s">
        <v>22</v>
      </c>
      <c r="E684">
        <v>868</v>
      </c>
    </row>
    <row r="685" spans="1:5" x14ac:dyDescent="0.25">
      <c r="A685">
        <v>684</v>
      </c>
      <c r="B685">
        <v>1756039</v>
      </c>
      <c r="C685" s="1" t="str">
        <f>HYPERLINK("http://stackoverflow.com/users/1756039", "Wilson Wu")</f>
        <v>Wilson Wu</v>
      </c>
      <c r="D685" t="s">
        <v>22</v>
      </c>
      <c r="E685">
        <v>866</v>
      </c>
    </row>
    <row r="686" spans="1:5" x14ac:dyDescent="0.25">
      <c r="A686">
        <v>685</v>
      </c>
      <c r="B686">
        <v>3881143</v>
      </c>
      <c r="C686" s="1" t="str">
        <f>HYPERLINK("http://stackoverflow.com/users/3881143", "ACcreator")</f>
        <v>ACcreator</v>
      </c>
      <c r="D686" t="s">
        <v>4</v>
      </c>
      <c r="E686">
        <v>864</v>
      </c>
    </row>
    <row r="687" spans="1:5" x14ac:dyDescent="0.25">
      <c r="A687">
        <v>686</v>
      </c>
      <c r="B687">
        <v>5552686</v>
      </c>
      <c r="C687" s="1" t="str">
        <f>HYPERLINK("http://stackoverflow.com/users/5552686", "jpenna")</f>
        <v>jpenna</v>
      </c>
      <c r="D687" t="s">
        <v>5</v>
      </c>
      <c r="E687">
        <v>864</v>
      </c>
    </row>
    <row r="688" spans="1:5" x14ac:dyDescent="0.25">
      <c r="A688">
        <v>687</v>
      </c>
      <c r="B688">
        <v>254805</v>
      </c>
      <c r="C688" s="1" t="str">
        <f>HYPERLINK("http://stackoverflow.com/users/254805", "jebberwocky")</f>
        <v>jebberwocky</v>
      </c>
      <c r="D688" t="s">
        <v>4</v>
      </c>
      <c r="E688">
        <v>863</v>
      </c>
    </row>
    <row r="689" spans="1:5" x14ac:dyDescent="0.25">
      <c r="A689">
        <v>688</v>
      </c>
      <c r="B689">
        <v>1080041</v>
      </c>
      <c r="C689" s="1" t="str">
        <f>HYPERLINK("http://stackoverflow.com/users/1080041", "Hong")</f>
        <v>Hong</v>
      </c>
      <c r="D689" t="s">
        <v>4</v>
      </c>
      <c r="E689">
        <v>863</v>
      </c>
    </row>
    <row r="690" spans="1:5" x14ac:dyDescent="0.25">
      <c r="A690">
        <v>689</v>
      </c>
      <c r="B690">
        <v>4540267</v>
      </c>
      <c r="C690" s="1" t="str">
        <f>HYPERLINK("http://stackoverflow.com/users/4540267", "Jess Yuan")</f>
        <v>Jess Yuan</v>
      </c>
      <c r="D690" t="s">
        <v>76</v>
      </c>
      <c r="E690">
        <v>861</v>
      </c>
    </row>
    <row r="691" spans="1:5" x14ac:dyDescent="0.25">
      <c r="A691">
        <v>690</v>
      </c>
      <c r="B691">
        <v>3968346</v>
      </c>
      <c r="C691" s="1" t="str">
        <f>HYPERLINK("http://stackoverflow.com/users/3968346", "Musen")</f>
        <v>Musen</v>
      </c>
      <c r="D691" t="s">
        <v>5</v>
      </c>
      <c r="E691">
        <v>861</v>
      </c>
    </row>
    <row r="692" spans="1:5" x14ac:dyDescent="0.25">
      <c r="A692">
        <v>691</v>
      </c>
      <c r="B692">
        <v>5089211</v>
      </c>
      <c r="C692" s="1" t="str">
        <f>HYPERLINK("http://stackoverflow.com/users/5089211", "weijia.wang")</f>
        <v>weijia.wang</v>
      </c>
      <c r="D692" t="s">
        <v>4</v>
      </c>
      <c r="E692">
        <v>860</v>
      </c>
    </row>
    <row r="693" spans="1:5" x14ac:dyDescent="0.25">
      <c r="A693">
        <v>692</v>
      </c>
      <c r="B693">
        <v>314425</v>
      </c>
      <c r="C693" s="1" t="str">
        <f>HYPERLINK("http://stackoverflow.com/users/314425", "mpdaugherty")</f>
        <v>mpdaugherty</v>
      </c>
      <c r="D693" t="s">
        <v>5</v>
      </c>
      <c r="E693">
        <v>859</v>
      </c>
    </row>
    <row r="694" spans="1:5" x14ac:dyDescent="0.25">
      <c r="A694">
        <v>693</v>
      </c>
      <c r="B694">
        <v>1524900</v>
      </c>
      <c r="C694" s="1" t="str">
        <f>HYPERLINK("http://stackoverflow.com/users/1524900", "duckegg")</f>
        <v>duckegg</v>
      </c>
      <c r="D694" t="s">
        <v>21</v>
      </c>
      <c r="E694">
        <v>858</v>
      </c>
    </row>
    <row r="695" spans="1:5" x14ac:dyDescent="0.25">
      <c r="A695">
        <v>694</v>
      </c>
      <c r="B695">
        <v>5238583</v>
      </c>
      <c r="C695" s="1" t="str">
        <f>HYPERLINK("http://stackoverflow.com/users/5238583", "Tina Chen")</f>
        <v>Tina Chen</v>
      </c>
      <c r="D695" t="s">
        <v>4</v>
      </c>
      <c r="E695">
        <v>856</v>
      </c>
    </row>
    <row r="696" spans="1:5" x14ac:dyDescent="0.25">
      <c r="A696">
        <v>695</v>
      </c>
      <c r="B696">
        <v>689832</v>
      </c>
      <c r="C696" s="1" t="str">
        <f>HYPERLINK("http://stackoverflow.com/users/689832", "CharlieJade")</f>
        <v>CharlieJade</v>
      </c>
      <c r="D696" t="s">
        <v>5</v>
      </c>
      <c r="E696">
        <v>853</v>
      </c>
    </row>
    <row r="697" spans="1:5" x14ac:dyDescent="0.25">
      <c r="A697">
        <v>696</v>
      </c>
      <c r="B697">
        <v>1925299</v>
      </c>
      <c r="C697" s="1" t="str">
        <f>HYPERLINK("http://stackoverflow.com/users/1925299", "Harry Lee")</f>
        <v>Harry Lee</v>
      </c>
      <c r="D697" t="s">
        <v>54</v>
      </c>
      <c r="E697">
        <v>852</v>
      </c>
    </row>
    <row r="698" spans="1:5" x14ac:dyDescent="0.25">
      <c r="A698">
        <v>697</v>
      </c>
      <c r="B698">
        <v>4385714</v>
      </c>
      <c r="C698" s="1" t="str">
        <f>HYPERLINK("http://stackoverflow.com/users/4385714", "artificerpi")</f>
        <v>artificerpi</v>
      </c>
      <c r="D698" t="s">
        <v>77</v>
      </c>
      <c r="E698">
        <v>851</v>
      </c>
    </row>
    <row r="699" spans="1:5" x14ac:dyDescent="0.25">
      <c r="A699">
        <v>698</v>
      </c>
      <c r="B699">
        <v>4394850</v>
      </c>
      <c r="C699" s="1" t="str">
        <f>HYPERLINK("http://stackoverflow.com/users/4394850", "Hustlion")</f>
        <v>Hustlion</v>
      </c>
      <c r="D699" t="s">
        <v>52</v>
      </c>
      <c r="E699">
        <v>850</v>
      </c>
    </row>
    <row r="700" spans="1:5" x14ac:dyDescent="0.25">
      <c r="A700">
        <v>699</v>
      </c>
      <c r="B700">
        <v>1783246</v>
      </c>
      <c r="C700" s="1" t="str">
        <f>HYPERLINK("http://stackoverflow.com/users/1783246", "Joe")</f>
        <v>Joe</v>
      </c>
      <c r="D700" t="s">
        <v>8</v>
      </c>
      <c r="E700">
        <v>848</v>
      </c>
    </row>
    <row r="701" spans="1:5" x14ac:dyDescent="0.25">
      <c r="A701">
        <v>700</v>
      </c>
      <c r="B701">
        <v>448081</v>
      </c>
      <c r="C701" s="1" t="str">
        <f>HYPERLINK("http://stackoverflow.com/users/448081", "Jay")</f>
        <v>Jay</v>
      </c>
      <c r="D701" t="s">
        <v>57</v>
      </c>
      <c r="E701">
        <v>847</v>
      </c>
    </row>
    <row r="702" spans="1:5" x14ac:dyDescent="0.25">
      <c r="A702">
        <v>701</v>
      </c>
      <c r="B702">
        <v>576660</v>
      </c>
      <c r="C702" s="1" t="str">
        <f>HYPERLINK("http://stackoverflow.com/users/576660", "Bargitta")</f>
        <v>Bargitta</v>
      </c>
      <c r="D702" t="s">
        <v>5</v>
      </c>
      <c r="E702">
        <v>847</v>
      </c>
    </row>
    <row r="703" spans="1:5" x14ac:dyDescent="0.25">
      <c r="A703">
        <v>702</v>
      </c>
      <c r="B703">
        <v>238028</v>
      </c>
      <c r="C703" s="1" t="str">
        <f>HYPERLINK("http://stackoverflow.com/users/238028", "vcLwei")</f>
        <v>vcLwei</v>
      </c>
      <c r="D703" t="s">
        <v>5</v>
      </c>
      <c r="E703">
        <v>847</v>
      </c>
    </row>
    <row r="704" spans="1:5" x14ac:dyDescent="0.25">
      <c r="A704">
        <v>703</v>
      </c>
      <c r="B704">
        <v>514376</v>
      </c>
      <c r="C704" s="1" t="str">
        <f>HYPERLINK("http://stackoverflow.com/users/514376", "rsanden")</f>
        <v>rsanden</v>
      </c>
      <c r="D704" t="s">
        <v>78</v>
      </c>
      <c r="E704">
        <v>846</v>
      </c>
    </row>
    <row r="705" spans="1:5" x14ac:dyDescent="0.25">
      <c r="A705">
        <v>704</v>
      </c>
      <c r="B705">
        <v>3481706</v>
      </c>
      <c r="C705" s="1" t="str">
        <f>HYPERLINK("http://stackoverflow.com/users/3481706", "oysteing")</f>
        <v>oysteing</v>
      </c>
      <c r="D705" t="s">
        <v>16</v>
      </c>
      <c r="E705">
        <v>843</v>
      </c>
    </row>
    <row r="706" spans="1:5" x14ac:dyDescent="0.25">
      <c r="A706">
        <v>705</v>
      </c>
      <c r="B706">
        <v>3027450</v>
      </c>
      <c r="C706" s="1" t="str">
        <f>HYPERLINK("http://stackoverflow.com/users/3027450", "Javy")</f>
        <v>Javy</v>
      </c>
      <c r="D706" t="s">
        <v>5</v>
      </c>
      <c r="E706">
        <v>841</v>
      </c>
    </row>
    <row r="707" spans="1:5" x14ac:dyDescent="0.25">
      <c r="A707">
        <v>706</v>
      </c>
      <c r="B707">
        <v>401406</v>
      </c>
      <c r="C707" s="1" t="str">
        <f>HYPERLINK("http://stackoverflow.com/users/401406", "Jack Gao")</f>
        <v>Jack Gao</v>
      </c>
      <c r="D707" t="s">
        <v>22</v>
      </c>
      <c r="E707">
        <v>841</v>
      </c>
    </row>
    <row r="708" spans="1:5" x14ac:dyDescent="0.25">
      <c r="A708">
        <v>707</v>
      </c>
      <c r="B708">
        <v>1002324</v>
      </c>
      <c r="C708" s="1" t="str">
        <f>HYPERLINK("http://stackoverflow.com/users/1002324", "Anthony Vipond")</f>
        <v>Anthony Vipond</v>
      </c>
      <c r="D708" t="s">
        <v>4</v>
      </c>
      <c r="E708">
        <v>840</v>
      </c>
    </row>
    <row r="709" spans="1:5" x14ac:dyDescent="0.25">
      <c r="A709">
        <v>708</v>
      </c>
      <c r="B709">
        <v>7149128</v>
      </c>
      <c r="C709" s="1" t="str">
        <f>HYPERLINK("http://stackoverflow.com/users/7149128", "Hokhy Tann")</f>
        <v>Hokhy Tann</v>
      </c>
      <c r="D709" t="s">
        <v>4</v>
      </c>
      <c r="E709">
        <v>835</v>
      </c>
    </row>
    <row r="710" spans="1:5" x14ac:dyDescent="0.25">
      <c r="A710">
        <v>709</v>
      </c>
      <c r="B710">
        <v>581055</v>
      </c>
      <c r="C710" s="1" t="str">
        <f>HYPERLINK("http://stackoverflow.com/users/581055", "riven")</f>
        <v>riven</v>
      </c>
      <c r="D710" t="s">
        <v>28</v>
      </c>
      <c r="E710">
        <v>834</v>
      </c>
    </row>
    <row r="711" spans="1:5" x14ac:dyDescent="0.25">
      <c r="A711">
        <v>710</v>
      </c>
      <c r="B711">
        <v>919155</v>
      </c>
      <c r="C711" s="1" t="str">
        <f>HYPERLINK("http://stackoverflow.com/users/919155", "Damien")</f>
        <v>Damien</v>
      </c>
      <c r="D711" t="s">
        <v>4</v>
      </c>
      <c r="E711">
        <v>833</v>
      </c>
    </row>
    <row r="712" spans="1:5" x14ac:dyDescent="0.25">
      <c r="A712">
        <v>711</v>
      </c>
      <c r="B712">
        <v>7718714</v>
      </c>
      <c r="C712" s="1" t="str">
        <f>HYPERLINK("http://stackoverflow.com/users/7718714", "Ke Li")</f>
        <v>Ke Li</v>
      </c>
      <c r="D712" t="s">
        <v>4</v>
      </c>
      <c r="E712">
        <v>832</v>
      </c>
    </row>
    <row r="713" spans="1:5" x14ac:dyDescent="0.25">
      <c r="A713">
        <v>712</v>
      </c>
      <c r="B713">
        <v>5556905</v>
      </c>
      <c r="C713" s="1" t="str">
        <f>HYPERLINK("http://stackoverflow.com/users/5556905", "jinglei")</f>
        <v>jinglei</v>
      </c>
      <c r="D713" t="s">
        <v>28</v>
      </c>
      <c r="E713">
        <v>832</v>
      </c>
    </row>
    <row r="714" spans="1:5" x14ac:dyDescent="0.25">
      <c r="A714">
        <v>713</v>
      </c>
      <c r="B714">
        <v>1035133</v>
      </c>
      <c r="C714" s="1" t="str">
        <f>HYPERLINK("http://stackoverflow.com/users/1035133", "Pan Ruochen")</f>
        <v>Pan Ruochen</v>
      </c>
      <c r="D714" t="s">
        <v>5</v>
      </c>
      <c r="E714">
        <v>831</v>
      </c>
    </row>
    <row r="715" spans="1:5" x14ac:dyDescent="0.25">
      <c r="A715">
        <v>714</v>
      </c>
      <c r="B715">
        <v>2513026</v>
      </c>
      <c r="C715" s="1" t="str">
        <f>HYPERLINK("http://stackoverflow.com/users/2513026", "Sin30")</f>
        <v>Sin30</v>
      </c>
      <c r="D715" t="s">
        <v>4</v>
      </c>
      <c r="E715">
        <v>831</v>
      </c>
    </row>
    <row r="716" spans="1:5" x14ac:dyDescent="0.25">
      <c r="A716">
        <v>715</v>
      </c>
      <c r="B716">
        <v>2681335</v>
      </c>
      <c r="C716" s="1" t="str">
        <f>HYPERLINK("http://stackoverflow.com/users/2681335", "menghan")</f>
        <v>menghan</v>
      </c>
      <c r="D716" t="s">
        <v>5</v>
      </c>
      <c r="E716">
        <v>830</v>
      </c>
    </row>
    <row r="717" spans="1:5" x14ac:dyDescent="0.25">
      <c r="A717">
        <v>716</v>
      </c>
      <c r="B717">
        <v>253363</v>
      </c>
      <c r="C717" s="1" t="str">
        <f>HYPERLINK("http://stackoverflow.com/users/253363", "Forrest Ye")</f>
        <v>Forrest Ye</v>
      </c>
      <c r="D717" t="s">
        <v>4</v>
      </c>
      <c r="E717">
        <v>829</v>
      </c>
    </row>
    <row r="718" spans="1:5" x14ac:dyDescent="0.25">
      <c r="A718">
        <v>717</v>
      </c>
      <c r="B718">
        <v>3209127</v>
      </c>
      <c r="C718" s="1" t="str">
        <f>HYPERLINK("http://stackoverflow.com/users/3209127", "Ginhing")</f>
        <v>Ginhing</v>
      </c>
      <c r="D718" t="s">
        <v>21</v>
      </c>
      <c r="E718">
        <v>824</v>
      </c>
    </row>
    <row r="719" spans="1:5" x14ac:dyDescent="0.25">
      <c r="A719">
        <v>718</v>
      </c>
      <c r="B719">
        <v>488487</v>
      </c>
      <c r="C719" s="1" t="str">
        <f>HYPERLINK("http://stackoverflow.com/users/488487", "wliao")</f>
        <v>wliao</v>
      </c>
      <c r="D719" t="s">
        <v>5</v>
      </c>
      <c r="E719">
        <v>824</v>
      </c>
    </row>
    <row r="720" spans="1:5" x14ac:dyDescent="0.25">
      <c r="A720">
        <v>719</v>
      </c>
      <c r="B720">
        <v>3331479</v>
      </c>
      <c r="C720" s="1" t="str">
        <f>HYPERLINK("http://stackoverflow.com/users/3331479", "Fanl")</f>
        <v>Fanl</v>
      </c>
      <c r="D720" t="s">
        <v>5</v>
      </c>
      <c r="E720">
        <v>822</v>
      </c>
    </row>
    <row r="721" spans="1:5" x14ac:dyDescent="0.25">
      <c r="A721">
        <v>720</v>
      </c>
      <c r="B721">
        <v>749774</v>
      </c>
      <c r="C721" s="1" t="str">
        <f>HYPERLINK("http://stackoverflow.com/users/749774", "zw963")</f>
        <v>zw963</v>
      </c>
      <c r="D721" t="s">
        <v>4</v>
      </c>
      <c r="E721">
        <v>818</v>
      </c>
    </row>
    <row r="722" spans="1:5" x14ac:dyDescent="0.25">
      <c r="A722">
        <v>721</v>
      </c>
      <c r="B722">
        <v>7103137</v>
      </c>
      <c r="C722" s="1" t="str">
        <f>HYPERLINK("http://stackoverflow.com/users/7103137", "zippo")</f>
        <v>zippo</v>
      </c>
      <c r="D722" t="s">
        <v>79</v>
      </c>
      <c r="E722">
        <v>818</v>
      </c>
    </row>
    <row r="723" spans="1:5" x14ac:dyDescent="0.25">
      <c r="A723">
        <v>722</v>
      </c>
      <c r="B723">
        <v>620935</v>
      </c>
      <c r="C723" s="1" t="str">
        <f>HYPERLINK("http://stackoverflow.com/users/620935", "fen")</f>
        <v>fen</v>
      </c>
      <c r="D723" t="s">
        <v>12</v>
      </c>
      <c r="E723">
        <v>817</v>
      </c>
    </row>
    <row r="724" spans="1:5" x14ac:dyDescent="0.25">
      <c r="A724">
        <v>723</v>
      </c>
      <c r="B724">
        <v>963346</v>
      </c>
      <c r="C724" s="1" t="str">
        <f>HYPERLINK("http://stackoverflow.com/users/963346", "wangshuaijie")</f>
        <v>wangshuaijie</v>
      </c>
      <c r="D724" t="s">
        <v>5</v>
      </c>
      <c r="E724">
        <v>816</v>
      </c>
    </row>
    <row r="725" spans="1:5" x14ac:dyDescent="0.25">
      <c r="A725">
        <v>724</v>
      </c>
      <c r="B725">
        <v>1803356</v>
      </c>
      <c r="C725" s="1" t="str">
        <f>HYPERLINK("http://stackoverflow.com/users/1803356", "suiwenfeng")</f>
        <v>suiwenfeng</v>
      </c>
      <c r="D725" t="s">
        <v>4</v>
      </c>
      <c r="E725">
        <v>813</v>
      </c>
    </row>
    <row r="726" spans="1:5" x14ac:dyDescent="0.25">
      <c r="A726">
        <v>725</v>
      </c>
      <c r="B726">
        <v>1531029</v>
      </c>
      <c r="C726" s="1" t="str">
        <f>HYPERLINK("http://stackoverflow.com/users/1531029", "William Gu")</f>
        <v>William Gu</v>
      </c>
      <c r="D726" t="s">
        <v>4</v>
      </c>
      <c r="E726">
        <v>811</v>
      </c>
    </row>
    <row r="727" spans="1:5" x14ac:dyDescent="0.25">
      <c r="A727">
        <v>726</v>
      </c>
      <c r="B727">
        <v>2346716</v>
      </c>
      <c r="C727" s="1" t="str">
        <f>HYPERLINK("http://stackoverflow.com/users/2346716", "ssj")</f>
        <v>ssj</v>
      </c>
      <c r="D727" t="s">
        <v>80</v>
      </c>
      <c r="E727">
        <v>810</v>
      </c>
    </row>
    <row r="728" spans="1:5" x14ac:dyDescent="0.25">
      <c r="A728">
        <v>727</v>
      </c>
      <c r="B728">
        <v>5421580</v>
      </c>
      <c r="C728" s="1" t="str">
        <f>HYPERLINK("http://stackoverflow.com/users/5421580", "Teddy Ma")</f>
        <v>Teddy Ma</v>
      </c>
      <c r="D728" t="s">
        <v>4</v>
      </c>
      <c r="E728">
        <v>808</v>
      </c>
    </row>
    <row r="729" spans="1:5" x14ac:dyDescent="0.25">
      <c r="A729">
        <v>728</v>
      </c>
      <c r="B729">
        <v>438720</v>
      </c>
      <c r="C729" s="1" t="str">
        <f>HYPERLINK("http://stackoverflow.com/users/438720", "timothyqiu")</f>
        <v>timothyqiu</v>
      </c>
      <c r="D729" t="s">
        <v>10</v>
      </c>
      <c r="E729">
        <v>807</v>
      </c>
    </row>
    <row r="730" spans="1:5" x14ac:dyDescent="0.25">
      <c r="A730">
        <v>729</v>
      </c>
      <c r="B730">
        <v>1053352</v>
      </c>
      <c r="C730" s="1" t="str">
        <f>HYPERLINK("http://stackoverflow.com/users/1053352", "pigletfly")</f>
        <v>pigletfly</v>
      </c>
      <c r="D730" t="s">
        <v>5</v>
      </c>
      <c r="E730">
        <v>807</v>
      </c>
    </row>
    <row r="731" spans="1:5" x14ac:dyDescent="0.25">
      <c r="A731">
        <v>730</v>
      </c>
      <c r="B731">
        <v>5844373</v>
      </c>
      <c r="C731" s="1" t="str">
        <f>HYPERLINK("http://stackoverflow.com/users/5844373", "未来陆家嘴顶尖的投资人")</f>
        <v>未来陆家嘴顶尖的投资人</v>
      </c>
      <c r="D731" t="s">
        <v>4</v>
      </c>
      <c r="E731">
        <v>805</v>
      </c>
    </row>
    <row r="732" spans="1:5" x14ac:dyDescent="0.25">
      <c r="A732">
        <v>731</v>
      </c>
      <c r="B732">
        <v>1804929</v>
      </c>
      <c r="C732" s="1" t="str">
        <f>HYPERLINK("http://stackoverflow.com/users/1804929", "Zhifeng Hu")</f>
        <v>Zhifeng Hu</v>
      </c>
      <c r="D732" t="s">
        <v>17</v>
      </c>
      <c r="E732">
        <v>803</v>
      </c>
    </row>
    <row r="733" spans="1:5" x14ac:dyDescent="0.25">
      <c r="A733">
        <v>732</v>
      </c>
      <c r="B733">
        <v>1819810</v>
      </c>
      <c r="C733" s="1" t="str">
        <f>HYPERLINK("http://stackoverflow.com/users/1819810", "Weekend")</f>
        <v>Weekend</v>
      </c>
      <c r="D733" t="s">
        <v>81</v>
      </c>
      <c r="E733">
        <v>803</v>
      </c>
    </row>
    <row r="734" spans="1:5" x14ac:dyDescent="0.25">
      <c r="A734">
        <v>733</v>
      </c>
      <c r="B734">
        <v>1935699</v>
      </c>
      <c r="C734" s="1" t="str">
        <f>HYPERLINK("http://stackoverflow.com/users/1935699", "songlj")</f>
        <v>songlj</v>
      </c>
      <c r="D734" t="s">
        <v>4</v>
      </c>
      <c r="E734">
        <v>802</v>
      </c>
    </row>
    <row r="735" spans="1:5" x14ac:dyDescent="0.25">
      <c r="A735">
        <v>734</v>
      </c>
      <c r="B735">
        <v>901642</v>
      </c>
      <c r="C735" s="1" t="str">
        <f>HYPERLINK("http://stackoverflow.com/users/901642", "bobzhang")</f>
        <v>bobzhang</v>
      </c>
      <c r="D735" t="s">
        <v>7</v>
      </c>
      <c r="E735">
        <v>801</v>
      </c>
    </row>
    <row r="736" spans="1:5" x14ac:dyDescent="0.25">
      <c r="A736">
        <v>735</v>
      </c>
      <c r="B736">
        <v>549487</v>
      </c>
      <c r="C736" s="1" t="str">
        <f>HYPERLINK("http://stackoverflow.com/users/549487", "jeswang")</f>
        <v>jeswang</v>
      </c>
      <c r="D736" t="s">
        <v>5</v>
      </c>
      <c r="E736">
        <v>799</v>
      </c>
    </row>
    <row r="737" spans="1:5" x14ac:dyDescent="0.25">
      <c r="A737">
        <v>736</v>
      </c>
      <c r="B737">
        <v>642738</v>
      </c>
      <c r="C737" s="1" t="str">
        <f>HYPERLINK("http://stackoverflow.com/users/642738", "Strong Liu")</f>
        <v>Strong Liu</v>
      </c>
      <c r="D737" t="s">
        <v>5</v>
      </c>
      <c r="E737">
        <v>794</v>
      </c>
    </row>
    <row r="738" spans="1:5" x14ac:dyDescent="0.25">
      <c r="A738">
        <v>737</v>
      </c>
      <c r="B738">
        <v>186140</v>
      </c>
      <c r="C738" s="1" t="str">
        <f>HYPERLINK("http://stackoverflow.com/users/186140", "Qing Xu")</f>
        <v>Qing Xu</v>
      </c>
      <c r="D738" t="s">
        <v>4</v>
      </c>
      <c r="E738">
        <v>794</v>
      </c>
    </row>
    <row r="739" spans="1:5" x14ac:dyDescent="0.25">
      <c r="A739">
        <v>738</v>
      </c>
      <c r="B739">
        <v>3049524</v>
      </c>
      <c r="C739" s="1" t="str">
        <f>HYPERLINK("http://stackoverflow.com/users/3049524", "Max Peng")</f>
        <v>Max Peng</v>
      </c>
      <c r="D739" t="s">
        <v>52</v>
      </c>
      <c r="E739">
        <v>790</v>
      </c>
    </row>
    <row r="740" spans="1:5" x14ac:dyDescent="0.25">
      <c r="A740">
        <v>739</v>
      </c>
      <c r="B740">
        <v>207465</v>
      </c>
      <c r="C740" s="1" t="str">
        <f>HYPERLINK("http://stackoverflow.com/users/207465", "wenqiang")</f>
        <v>wenqiang</v>
      </c>
      <c r="D740" t="s">
        <v>54</v>
      </c>
      <c r="E740">
        <v>788</v>
      </c>
    </row>
    <row r="741" spans="1:5" x14ac:dyDescent="0.25">
      <c r="A741">
        <v>740</v>
      </c>
      <c r="B741">
        <v>300593</v>
      </c>
      <c r="C741" s="1" t="str">
        <f>HYPERLINK("http://stackoverflow.com/users/300593", "Zoozy")</f>
        <v>Zoozy</v>
      </c>
      <c r="D741" t="s">
        <v>5</v>
      </c>
      <c r="E741">
        <v>788</v>
      </c>
    </row>
    <row r="742" spans="1:5" x14ac:dyDescent="0.25">
      <c r="A742">
        <v>741</v>
      </c>
      <c r="B742">
        <v>6689800</v>
      </c>
      <c r="C742" s="1" t="str">
        <f>HYPERLINK("http://stackoverflow.com/users/6689800", "Haotian Liu")</f>
        <v>Haotian Liu</v>
      </c>
      <c r="D742" t="s">
        <v>16</v>
      </c>
      <c r="E742">
        <v>786</v>
      </c>
    </row>
    <row r="743" spans="1:5" x14ac:dyDescent="0.25">
      <c r="A743">
        <v>742</v>
      </c>
      <c r="B743">
        <v>3962533</v>
      </c>
      <c r="C743" s="1" t="str">
        <f>HYPERLINK("http://stackoverflow.com/users/3962533", "Trey Cai")</f>
        <v>Trey Cai</v>
      </c>
      <c r="D743" t="s">
        <v>21</v>
      </c>
      <c r="E743">
        <v>786</v>
      </c>
    </row>
    <row r="744" spans="1:5" x14ac:dyDescent="0.25">
      <c r="A744">
        <v>743</v>
      </c>
      <c r="B744">
        <v>701481</v>
      </c>
      <c r="C744" s="1" t="str">
        <f>HYPERLINK("http://stackoverflow.com/users/701481", "LeoYuan 袁力皓")</f>
        <v>LeoYuan 袁力皓</v>
      </c>
      <c r="D744" t="s">
        <v>12</v>
      </c>
      <c r="E744">
        <v>786</v>
      </c>
    </row>
    <row r="745" spans="1:5" x14ac:dyDescent="0.25">
      <c r="A745">
        <v>744</v>
      </c>
      <c r="B745">
        <v>1699111</v>
      </c>
      <c r="C745" s="1" t="str">
        <f>HYPERLINK("http://stackoverflow.com/users/1699111", "pypyodbc")</f>
        <v>pypyodbc</v>
      </c>
      <c r="D745" t="s">
        <v>4</v>
      </c>
      <c r="E745">
        <v>785</v>
      </c>
    </row>
    <row r="746" spans="1:5" x14ac:dyDescent="0.25">
      <c r="A746">
        <v>745</v>
      </c>
      <c r="B746">
        <v>1155439</v>
      </c>
      <c r="C746" s="1" t="str">
        <f>HYPERLINK("http://stackoverflow.com/users/1155439", "Lake")</f>
        <v>Lake</v>
      </c>
      <c r="D746" t="s">
        <v>21</v>
      </c>
      <c r="E746">
        <v>784</v>
      </c>
    </row>
    <row r="747" spans="1:5" x14ac:dyDescent="0.25">
      <c r="A747">
        <v>746</v>
      </c>
      <c r="B747">
        <v>1222656</v>
      </c>
      <c r="C747" s="1" t="str">
        <f>HYPERLINK("http://stackoverflow.com/users/1222656", "topxebec")</f>
        <v>topxebec</v>
      </c>
      <c r="D747" t="s">
        <v>5</v>
      </c>
      <c r="E747">
        <v>782</v>
      </c>
    </row>
    <row r="748" spans="1:5" x14ac:dyDescent="0.25">
      <c r="A748">
        <v>747</v>
      </c>
      <c r="B748">
        <v>254762</v>
      </c>
      <c r="C748" s="1" t="str">
        <f>HYPERLINK("http://stackoverflow.com/users/254762", "Ford Guo")</f>
        <v>Ford Guo</v>
      </c>
      <c r="D748" t="s">
        <v>4</v>
      </c>
      <c r="E748">
        <v>781</v>
      </c>
    </row>
    <row r="749" spans="1:5" x14ac:dyDescent="0.25">
      <c r="A749">
        <v>748</v>
      </c>
      <c r="B749">
        <v>1033798</v>
      </c>
      <c r="C749" s="1" t="str">
        <f>HYPERLINK("http://stackoverflow.com/users/1033798", "fundon")</f>
        <v>fundon</v>
      </c>
      <c r="D749" t="s">
        <v>82</v>
      </c>
      <c r="E749">
        <v>781</v>
      </c>
    </row>
    <row r="750" spans="1:5" x14ac:dyDescent="0.25">
      <c r="A750">
        <v>749</v>
      </c>
      <c r="B750">
        <v>2194236</v>
      </c>
      <c r="C750" s="1" t="str">
        <f>HYPERLINK("http://stackoverflow.com/users/2194236", "morisunshine")</f>
        <v>morisunshine</v>
      </c>
      <c r="D750" t="s">
        <v>12</v>
      </c>
      <c r="E750">
        <v>780</v>
      </c>
    </row>
    <row r="751" spans="1:5" x14ac:dyDescent="0.25">
      <c r="A751">
        <v>750</v>
      </c>
      <c r="B751">
        <v>2422037</v>
      </c>
      <c r="C751" s="1" t="str">
        <f>HYPERLINK("http://stackoverflow.com/users/2422037", "clinyong")</f>
        <v>clinyong</v>
      </c>
      <c r="D751" t="s">
        <v>17</v>
      </c>
      <c r="E751">
        <v>780</v>
      </c>
    </row>
    <row r="752" spans="1:5" x14ac:dyDescent="0.25">
      <c r="A752">
        <v>751</v>
      </c>
      <c r="B752">
        <v>1355590</v>
      </c>
      <c r="C752" s="1" t="str">
        <f>HYPERLINK("http://stackoverflow.com/users/1355590", "debbie")</f>
        <v>debbie</v>
      </c>
      <c r="D752" t="s">
        <v>5</v>
      </c>
      <c r="E752">
        <v>779</v>
      </c>
    </row>
    <row r="753" spans="1:5" x14ac:dyDescent="0.25">
      <c r="A753">
        <v>752</v>
      </c>
      <c r="B753">
        <v>2496146</v>
      </c>
      <c r="C753" s="1" t="str">
        <f>HYPERLINK("http://stackoverflow.com/users/2496146", "cherish")</f>
        <v>cherish</v>
      </c>
      <c r="D753" t="s">
        <v>4</v>
      </c>
      <c r="E753">
        <v>779</v>
      </c>
    </row>
    <row r="754" spans="1:5" x14ac:dyDescent="0.25">
      <c r="A754">
        <v>753</v>
      </c>
      <c r="B754">
        <v>2999359</v>
      </c>
      <c r="C754" s="1" t="str">
        <f>HYPERLINK("http://stackoverflow.com/users/2999359", "MsrButterfly")</f>
        <v>MsrButterfly</v>
      </c>
      <c r="D754" t="s">
        <v>5</v>
      </c>
      <c r="E754">
        <v>779</v>
      </c>
    </row>
    <row r="755" spans="1:5" x14ac:dyDescent="0.25">
      <c r="A755">
        <v>754</v>
      </c>
      <c r="B755">
        <v>835239</v>
      </c>
      <c r="C755" s="1" t="str">
        <f>HYPERLINK("http://stackoverflow.com/users/835239", "zhongxiao37")</f>
        <v>zhongxiao37</v>
      </c>
      <c r="D755" t="s">
        <v>22</v>
      </c>
      <c r="E755">
        <v>779</v>
      </c>
    </row>
    <row r="756" spans="1:5" x14ac:dyDescent="0.25">
      <c r="A756">
        <v>755</v>
      </c>
      <c r="B756">
        <v>3035247</v>
      </c>
      <c r="C756" s="1" t="str">
        <f>HYPERLINK("http://stackoverflow.com/users/3035247", "xiaohuo")</f>
        <v>xiaohuo</v>
      </c>
      <c r="D756" t="s">
        <v>5</v>
      </c>
      <c r="E756">
        <v>777</v>
      </c>
    </row>
    <row r="757" spans="1:5" x14ac:dyDescent="0.25">
      <c r="A757">
        <v>756</v>
      </c>
      <c r="B757">
        <v>2220110</v>
      </c>
      <c r="C757" s="1" t="str">
        <f>HYPERLINK("http://stackoverflow.com/users/2220110", "Folyd")</f>
        <v>Folyd</v>
      </c>
      <c r="D757" t="s">
        <v>5</v>
      </c>
      <c r="E757">
        <v>777</v>
      </c>
    </row>
    <row r="758" spans="1:5" x14ac:dyDescent="0.25">
      <c r="A758">
        <v>757</v>
      </c>
      <c r="B758">
        <v>195015</v>
      </c>
      <c r="C758" s="1" t="str">
        <f>HYPERLINK("http://stackoverflow.com/users/195015", "panweizeng")</f>
        <v>panweizeng</v>
      </c>
      <c r="D758" t="s">
        <v>5</v>
      </c>
      <c r="E758">
        <v>776</v>
      </c>
    </row>
    <row r="759" spans="1:5" x14ac:dyDescent="0.25">
      <c r="A759">
        <v>758</v>
      </c>
      <c r="B759">
        <v>222167</v>
      </c>
      <c r="C759" s="1" t="str">
        <f>HYPERLINK("http://stackoverflow.com/users/222167", "Fei")</f>
        <v>Fei</v>
      </c>
      <c r="D759" t="s">
        <v>12</v>
      </c>
      <c r="E759">
        <v>773</v>
      </c>
    </row>
    <row r="760" spans="1:5" x14ac:dyDescent="0.25">
      <c r="A760">
        <v>759</v>
      </c>
      <c r="B760">
        <v>835269</v>
      </c>
      <c r="C760" s="1" t="str">
        <f>HYPERLINK("http://stackoverflow.com/users/835269", "Shuai Zhang")</f>
        <v>Shuai Zhang</v>
      </c>
      <c r="D760" t="s">
        <v>5</v>
      </c>
      <c r="E760">
        <v>771</v>
      </c>
    </row>
    <row r="761" spans="1:5" x14ac:dyDescent="0.25">
      <c r="A761">
        <v>760</v>
      </c>
      <c r="B761">
        <v>1275719</v>
      </c>
      <c r="C761" s="1" t="str">
        <f>HYPERLINK("http://stackoverflow.com/users/1275719", "ricky")</f>
        <v>ricky</v>
      </c>
      <c r="D761" t="s">
        <v>4</v>
      </c>
      <c r="E761">
        <v>771</v>
      </c>
    </row>
    <row r="762" spans="1:5" x14ac:dyDescent="0.25">
      <c r="A762">
        <v>761</v>
      </c>
      <c r="B762">
        <v>2944502</v>
      </c>
      <c r="C762" s="1" t="str">
        <f>HYPERLINK("http://stackoverflow.com/users/2944502", "fengye87")</f>
        <v>fengye87</v>
      </c>
      <c r="D762" t="s">
        <v>5</v>
      </c>
      <c r="E762">
        <v>771</v>
      </c>
    </row>
    <row r="763" spans="1:5" x14ac:dyDescent="0.25">
      <c r="A763">
        <v>762</v>
      </c>
      <c r="B763">
        <v>562335</v>
      </c>
      <c r="C763" s="1" t="str">
        <f>HYPERLINK("http://stackoverflow.com/users/562335", "holmescn")</f>
        <v>holmescn</v>
      </c>
      <c r="D763" t="s">
        <v>5</v>
      </c>
      <c r="E763">
        <v>770</v>
      </c>
    </row>
    <row r="764" spans="1:5" x14ac:dyDescent="0.25">
      <c r="A764">
        <v>763</v>
      </c>
      <c r="B764">
        <v>1661557</v>
      </c>
      <c r="C764" s="1" t="str">
        <f>HYPERLINK("http://stackoverflow.com/users/1661557", "FamZheng")</f>
        <v>FamZheng</v>
      </c>
      <c r="D764" t="s">
        <v>5</v>
      </c>
      <c r="E764">
        <v>769</v>
      </c>
    </row>
    <row r="765" spans="1:5" x14ac:dyDescent="0.25">
      <c r="A765">
        <v>764</v>
      </c>
      <c r="B765">
        <v>227994</v>
      </c>
      <c r="C765" s="1" t="str">
        <f>HYPERLINK("http://stackoverflow.com/users/227994", "khotyn")</f>
        <v>khotyn</v>
      </c>
      <c r="D765" t="s">
        <v>12</v>
      </c>
      <c r="E765">
        <v>769</v>
      </c>
    </row>
    <row r="766" spans="1:5" x14ac:dyDescent="0.25">
      <c r="A766">
        <v>765</v>
      </c>
      <c r="B766">
        <v>1528524</v>
      </c>
      <c r="C766" s="1" t="str">
        <f>HYPERLINK("http://stackoverflow.com/users/1528524", "lingyfh")</f>
        <v>lingyfh</v>
      </c>
      <c r="D766" t="s">
        <v>5</v>
      </c>
      <c r="E766">
        <v>765</v>
      </c>
    </row>
    <row r="767" spans="1:5" x14ac:dyDescent="0.25">
      <c r="A767">
        <v>766</v>
      </c>
      <c r="B767">
        <v>1754984</v>
      </c>
      <c r="C767" s="1" t="str">
        <f>HYPERLINK("http://stackoverflow.com/users/1754984", "koola")</f>
        <v>koola</v>
      </c>
      <c r="D767" t="s">
        <v>4</v>
      </c>
      <c r="E767">
        <v>762</v>
      </c>
    </row>
    <row r="768" spans="1:5" x14ac:dyDescent="0.25">
      <c r="A768">
        <v>767</v>
      </c>
      <c r="B768">
        <v>2695642</v>
      </c>
      <c r="C768" s="1" t="str">
        <f>HYPERLINK("http://stackoverflow.com/users/2695642", "TangMonk")</f>
        <v>TangMonk</v>
      </c>
      <c r="D768" t="s">
        <v>28</v>
      </c>
      <c r="E768">
        <v>762</v>
      </c>
    </row>
    <row r="769" spans="1:5" x14ac:dyDescent="0.25">
      <c r="A769">
        <v>768</v>
      </c>
      <c r="B769">
        <v>334103</v>
      </c>
      <c r="C769" s="1" t="str">
        <f>HYPERLINK("http://stackoverflow.com/users/334103", "jolestar")</f>
        <v>jolestar</v>
      </c>
      <c r="D769" t="s">
        <v>5</v>
      </c>
      <c r="E769">
        <v>759</v>
      </c>
    </row>
    <row r="770" spans="1:5" x14ac:dyDescent="0.25">
      <c r="A770">
        <v>769</v>
      </c>
      <c r="B770">
        <v>1624112</v>
      </c>
      <c r="C770" s="1" t="str">
        <f>HYPERLINK("http://stackoverflow.com/users/1624112", "Specode")</f>
        <v>Specode</v>
      </c>
      <c r="D770" t="s">
        <v>5</v>
      </c>
      <c r="E770">
        <v>758</v>
      </c>
    </row>
    <row r="771" spans="1:5" x14ac:dyDescent="0.25">
      <c r="A771">
        <v>770</v>
      </c>
      <c r="B771">
        <v>3141068</v>
      </c>
      <c r="C771" s="1" t="str">
        <f>HYPERLINK("http://stackoverflow.com/users/3141068", "tainy")</f>
        <v>tainy</v>
      </c>
      <c r="D771" t="s">
        <v>5</v>
      </c>
      <c r="E771">
        <v>757</v>
      </c>
    </row>
    <row r="772" spans="1:5" x14ac:dyDescent="0.25">
      <c r="A772">
        <v>771</v>
      </c>
      <c r="B772">
        <v>4526557</v>
      </c>
      <c r="C772" s="1" t="str">
        <f>HYPERLINK("http://stackoverflow.com/users/4526557", "liuwenzhuang")</f>
        <v>liuwenzhuang</v>
      </c>
      <c r="D772" t="s">
        <v>5</v>
      </c>
      <c r="E772">
        <v>756</v>
      </c>
    </row>
    <row r="773" spans="1:5" x14ac:dyDescent="0.25">
      <c r="A773">
        <v>772</v>
      </c>
      <c r="B773">
        <v>1490682</v>
      </c>
      <c r="C773" s="1" t="str">
        <f>HYPERLINK("http://stackoverflow.com/users/1490682", "robinwen")</f>
        <v>robinwen</v>
      </c>
      <c r="D773" t="s">
        <v>21</v>
      </c>
      <c r="E773">
        <v>754</v>
      </c>
    </row>
    <row r="774" spans="1:5" x14ac:dyDescent="0.25">
      <c r="A774">
        <v>773</v>
      </c>
      <c r="B774">
        <v>3316267</v>
      </c>
      <c r="C774" s="1" t="str">
        <f>HYPERLINK("http://stackoverflow.com/users/3316267", "Fantix King")</f>
        <v>Fantix King</v>
      </c>
      <c r="D774" t="s">
        <v>5</v>
      </c>
      <c r="E774">
        <v>753</v>
      </c>
    </row>
    <row r="775" spans="1:5" x14ac:dyDescent="0.25">
      <c r="A775">
        <v>774</v>
      </c>
      <c r="B775">
        <v>4305700</v>
      </c>
      <c r="C775" s="1" t="str">
        <f>HYPERLINK("http://stackoverflow.com/users/4305700", "Henson Fang")</f>
        <v>Henson Fang</v>
      </c>
      <c r="D775" t="s">
        <v>4</v>
      </c>
      <c r="E775">
        <v>751</v>
      </c>
    </row>
    <row r="776" spans="1:5" x14ac:dyDescent="0.25">
      <c r="A776">
        <v>775</v>
      </c>
      <c r="B776">
        <v>1319145</v>
      </c>
      <c r="C776" s="1" t="str">
        <f>HYPERLINK("http://stackoverflow.com/users/1319145", "fantaxy025025")</f>
        <v>fantaxy025025</v>
      </c>
      <c r="D776" t="s">
        <v>5</v>
      </c>
      <c r="E776">
        <v>749</v>
      </c>
    </row>
    <row r="777" spans="1:5" x14ac:dyDescent="0.25">
      <c r="A777">
        <v>776</v>
      </c>
      <c r="B777">
        <v>3683845</v>
      </c>
      <c r="C777" s="1" t="str">
        <f>HYPERLINK("http://stackoverflow.com/users/3683845", "SeanChense")</f>
        <v>SeanChense</v>
      </c>
      <c r="D777" t="s">
        <v>5</v>
      </c>
      <c r="E777">
        <v>747</v>
      </c>
    </row>
    <row r="778" spans="1:5" x14ac:dyDescent="0.25">
      <c r="A778">
        <v>777</v>
      </c>
      <c r="B778">
        <v>3853490</v>
      </c>
      <c r="C778" s="1" t="str">
        <f>HYPERLINK("http://stackoverflow.com/users/3853490", "Louis Zhu")</f>
        <v>Louis Zhu</v>
      </c>
      <c r="D778" t="s">
        <v>37</v>
      </c>
      <c r="E778">
        <v>747</v>
      </c>
    </row>
    <row r="779" spans="1:5" x14ac:dyDescent="0.25">
      <c r="A779">
        <v>778</v>
      </c>
      <c r="B779">
        <v>7572149</v>
      </c>
      <c r="C779" s="1" t="str">
        <f>HYPERLINK("http://stackoverflow.com/users/7572149", "Bofeng")</f>
        <v>Bofeng</v>
      </c>
      <c r="D779" t="s">
        <v>5</v>
      </c>
      <c r="E779">
        <v>742</v>
      </c>
    </row>
    <row r="780" spans="1:5" x14ac:dyDescent="0.25">
      <c r="A780">
        <v>779</v>
      </c>
      <c r="B780">
        <v>4927212</v>
      </c>
      <c r="C780" s="1" t="str">
        <f>HYPERLINK("http://stackoverflow.com/users/4927212", "KaiserKatze")</f>
        <v>KaiserKatze</v>
      </c>
      <c r="D780" t="s">
        <v>62</v>
      </c>
      <c r="E780">
        <v>742</v>
      </c>
    </row>
    <row r="781" spans="1:5" x14ac:dyDescent="0.25">
      <c r="A781">
        <v>780</v>
      </c>
      <c r="B781">
        <v>1961654</v>
      </c>
      <c r="C781" s="1" t="str">
        <f>HYPERLINK("http://stackoverflow.com/users/1961654", "godice")</f>
        <v>godice</v>
      </c>
      <c r="D781" t="s">
        <v>5</v>
      </c>
      <c r="E781">
        <v>742</v>
      </c>
    </row>
    <row r="782" spans="1:5" x14ac:dyDescent="0.25">
      <c r="A782">
        <v>781</v>
      </c>
      <c r="B782">
        <v>3632556</v>
      </c>
      <c r="C782" s="1" t="str">
        <f>HYPERLINK("http://stackoverflow.com/users/3632556", "bgshi")</f>
        <v>bgshi</v>
      </c>
      <c r="D782" t="s">
        <v>5</v>
      </c>
      <c r="E782">
        <v>740</v>
      </c>
    </row>
    <row r="783" spans="1:5" x14ac:dyDescent="0.25">
      <c r="A783">
        <v>782</v>
      </c>
      <c r="B783">
        <v>3367915</v>
      </c>
      <c r="C783" s="1" t="str">
        <f>HYPERLINK("http://stackoverflow.com/users/3367915", "Raniys")</f>
        <v>Raniys</v>
      </c>
      <c r="D783" t="s">
        <v>4</v>
      </c>
      <c r="E783">
        <v>738</v>
      </c>
    </row>
    <row r="784" spans="1:5" x14ac:dyDescent="0.25">
      <c r="A784">
        <v>783</v>
      </c>
      <c r="B784">
        <v>5576325</v>
      </c>
      <c r="C784" s="1" t="str">
        <f>HYPERLINK("http://stackoverflow.com/users/5576325", "Gu Wang")</f>
        <v>Gu Wang</v>
      </c>
      <c r="D784" t="s">
        <v>5</v>
      </c>
      <c r="E784">
        <v>736</v>
      </c>
    </row>
    <row r="785" spans="1:5" x14ac:dyDescent="0.25">
      <c r="A785">
        <v>784</v>
      </c>
      <c r="B785">
        <v>261880</v>
      </c>
      <c r="C785" s="1" t="str">
        <f>HYPERLINK("http://stackoverflow.com/users/261880", "Yuanfei Zhu")</f>
        <v>Yuanfei Zhu</v>
      </c>
      <c r="D785" t="s">
        <v>5</v>
      </c>
      <c r="E785">
        <v>736</v>
      </c>
    </row>
    <row r="786" spans="1:5" x14ac:dyDescent="0.25">
      <c r="A786">
        <v>785</v>
      </c>
      <c r="B786">
        <v>655621</v>
      </c>
      <c r="C786" s="1" t="str">
        <f>HYPERLINK("http://stackoverflow.com/users/655621", "dfang")</f>
        <v>dfang</v>
      </c>
      <c r="D786" t="s">
        <v>52</v>
      </c>
      <c r="E786">
        <v>733</v>
      </c>
    </row>
    <row r="787" spans="1:5" x14ac:dyDescent="0.25">
      <c r="A787">
        <v>786</v>
      </c>
      <c r="B787">
        <v>968188</v>
      </c>
      <c r="C787" s="1" t="str">
        <f>HYPERLINK("http://stackoverflow.com/users/968188", "xiaoyifang")</f>
        <v>xiaoyifang</v>
      </c>
      <c r="D787" t="s">
        <v>38</v>
      </c>
      <c r="E787">
        <v>732</v>
      </c>
    </row>
    <row r="788" spans="1:5" x14ac:dyDescent="0.25">
      <c r="A788">
        <v>787</v>
      </c>
      <c r="B788">
        <v>2862195</v>
      </c>
      <c r="C788" s="1" t="str">
        <f>HYPERLINK("http://stackoverflow.com/users/2862195", "Nighon")</f>
        <v>Nighon</v>
      </c>
      <c r="D788" t="s">
        <v>17</v>
      </c>
      <c r="E788">
        <v>731</v>
      </c>
    </row>
    <row r="789" spans="1:5" x14ac:dyDescent="0.25">
      <c r="A789">
        <v>788</v>
      </c>
      <c r="B789">
        <v>2928446</v>
      </c>
      <c r="C789" s="1" t="str">
        <f>HYPERLINK("http://stackoverflow.com/users/2928446", "Shenxian")</f>
        <v>Shenxian</v>
      </c>
      <c r="D789" t="s">
        <v>4</v>
      </c>
      <c r="E789">
        <v>731</v>
      </c>
    </row>
    <row r="790" spans="1:5" x14ac:dyDescent="0.25">
      <c r="A790">
        <v>789</v>
      </c>
      <c r="B790">
        <v>707161</v>
      </c>
      <c r="C790" s="1" t="str">
        <f>HYPERLINK("http://stackoverflow.com/users/707161", "Leon")</f>
        <v>Leon</v>
      </c>
      <c r="D790" t="s">
        <v>4</v>
      </c>
      <c r="E790">
        <v>727</v>
      </c>
    </row>
    <row r="791" spans="1:5" x14ac:dyDescent="0.25">
      <c r="A791">
        <v>790</v>
      </c>
      <c r="B791">
        <v>749727</v>
      </c>
      <c r="C791" s="1" t="str">
        <f>HYPERLINK("http://stackoverflow.com/users/749727", "androidyue")</f>
        <v>androidyue</v>
      </c>
      <c r="D791" t="s">
        <v>5</v>
      </c>
      <c r="E791">
        <v>726</v>
      </c>
    </row>
    <row r="792" spans="1:5" x14ac:dyDescent="0.25">
      <c r="A792">
        <v>791</v>
      </c>
      <c r="B792">
        <v>1112757</v>
      </c>
      <c r="C792" s="1" t="str">
        <f>HYPERLINK("http://stackoverflow.com/users/1112757", "Eric Wu")</f>
        <v>Eric Wu</v>
      </c>
      <c r="D792" t="s">
        <v>12</v>
      </c>
      <c r="E792">
        <v>726</v>
      </c>
    </row>
    <row r="793" spans="1:5" x14ac:dyDescent="0.25">
      <c r="A793">
        <v>792</v>
      </c>
      <c r="B793">
        <v>304768</v>
      </c>
      <c r="C793" s="1" t="str">
        <f>HYPERLINK("http://stackoverflow.com/users/304768", "Jason")</f>
        <v>Jason</v>
      </c>
      <c r="D793" t="s">
        <v>5</v>
      </c>
      <c r="E793">
        <v>725</v>
      </c>
    </row>
    <row r="794" spans="1:5" x14ac:dyDescent="0.25">
      <c r="A794">
        <v>793</v>
      </c>
      <c r="B794">
        <v>1304402</v>
      </c>
      <c r="C794" s="1" t="str">
        <f>HYPERLINK("http://stackoverflow.com/users/1304402", "scottxu")</f>
        <v>scottxu</v>
      </c>
      <c r="D794" t="s">
        <v>5</v>
      </c>
      <c r="E794">
        <v>724</v>
      </c>
    </row>
    <row r="795" spans="1:5" x14ac:dyDescent="0.25">
      <c r="A795">
        <v>794</v>
      </c>
      <c r="B795">
        <v>860788</v>
      </c>
      <c r="C795" s="1" t="str">
        <f>HYPERLINK("http://stackoverflow.com/users/860788", "Codefor")</f>
        <v>Codefor</v>
      </c>
      <c r="D795" t="s">
        <v>5</v>
      </c>
      <c r="E795">
        <v>722</v>
      </c>
    </row>
    <row r="796" spans="1:5" x14ac:dyDescent="0.25">
      <c r="A796">
        <v>795</v>
      </c>
      <c r="B796">
        <v>5167396</v>
      </c>
      <c r="C796" s="1" t="str">
        <f>HYPERLINK("http://stackoverflow.com/users/5167396", "吴海豹")</f>
        <v>吴海豹</v>
      </c>
      <c r="D796" t="s">
        <v>4</v>
      </c>
      <c r="E796">
        <v>722</v>
      </c>
    </row>
    <row r="797" spans="1:5" x14ac:dyDescent="0.25">
      <c r="A797">
        <v>796</v>
      </c>
      <c r="B797">
        <v>1294958</v>
      </c>
      <c r="C797" s="1" t="str">
        <f>HYPERLINK("http://stackoverflow.com/users/1294958", "lephix")</f>
        <v>lephix</v>
      </c>
      <c r="D797" t="s">
        <v>5</v>
      </c>
      <c r="E797">
        <v>722</v>
      </c>
    </row>
    <row r="798" spans="1:5" x14ac:dyDescent="0.25">
      <c r="A798">
        <v>797</v>
      </c>
      <c r="B798">
        <v>273345</v>
      </c>
      <c r="C798" s="1" t="str">
        <f>HYPERLINK("http://stackoverflow.com/users/273345", "Daniel Lv")</f>
        <v>Daniel Lv</v>
      </c>
      <c r="D798" t="s">
        <v>4</v>
      </c>
      <c r="E798">
        <v>722</v>
      </c>
    </row>
    <row r="799" spans="1:5" x14ac:dyDescent="0.25">
      <c r="A799">
        <v>798</v>
      </c>
      <c r="B799">
        <v>2101894</v>
      </c>
      <c r="C799" s="1" t="str">
        <f>HYPERLINK("http://stackoverflow.com/users/2101894", "Ziyu Zhou")</f>
        <v>Ziyu Zhou</v>
      </c>
      <c r="D799" t="s">
        <v>21</v>
      </c>
      <c r="E799">
        <v>721</v>
      </c>
    </row>
    <row r="800" spans="1:5" x14ac:dyDescent="0.25">
      <c r="A800">
        <v>799</v>
      </c>
      <c r="B800">
        <v>869645</v>
      </c>
      <c r="C800" s="1" t="str">
        <f>HYPERLINK("http://stackoverflow.com/users/869645", "alsotang")</f>
        <v>alsotang</v>
      </c>
      <c r="D800" t="s">
        <v>12</v>
      </c>
      <c r="E800">
        <v>719</v>
      </c>
    </row>
    <row r="801" spans="1:5" x14ac:dyDescent="0.25">
      <c r="A801">
        <v>800</v>
      </c>
      <c r="B801">
        <v>3077508</v>
      </c>
      <c r="C801" s="1" t="str">
        <f>HYPERLINK("http://stackoverflow.com/users/3077508", "Piasy")</f>
        <v>Piasy</v>
      </c>
      <c r="D801" t="s">
        <v>5</v>
      </c>
      <c r="E801">
        <v>719</v>
      </c>
    </row>
    <row r="802" spans="1:5" x14ac:dyDescent="0.25">
      <c r="A802">
        <v>801</v>
      </c>
      <c r="B802">
        <v>834596</v>
      </c>
      <c r="C802" s="1" t="str">
        <f>HYPERLINK("http://stackoverflow.com/users/834596", "Jack")</f>
        <v>Jack</v>
      </c>
      <c r="D802" t="s">
        <v>83</v>
      </c>
      <c r="E802">
        <v>717</v>
      </c>
    </row>
    <row r="803" spans="1:5" x14ac:dyDescent="0.25">
      <c r="A803">
        <v>802</v>
      </c>
      <c r="B803">
        <v>4256081</v>
      </c>
      <c r="C803" s="1" t="str">
        <f>HYPERLINK("http://stackoverflow.com/users/4256081", "Adam Liu")</f>
        <v>Adam Liu</v>
      </c>
      <c r="D803" t="s">
        <v>4</v>
      </c>
      <c r="E803">
        <v>717</v>
      </c>
    </row>
    <row r="804" spans="1:5" x14ac:dyDescent="0.25">
      <c r="A804">
        <v>803</v>
      </c>
      <c r="B804">
        <v>873669</v>
      </c>
      <c r="C804" s="1" t="str">
        <f>HYPERLINK("http://stackoverflow.com/users/873669", "jinwei")</f>
        <v>jinwei</v>
      </c>
      <c r="D804" t="s">
        <v>17</v>
      </c>
      <c r="E804">
        <v>716</v>
      </c>
    </row>
    <row r="805" spans="1:5" x14ac:dyDescent="0.25">
      <c r="A805">
        <v>804</v>
      </c>
      <c r="B805">
        <v>257239</v>
      </c>
      <c r="C805" s="1" t="str">
        <f>HYPERLINK("http://stackoverflow.com/users/257239", "bearing09")</f>
        <v>bearing09</v>
      </c>
      <c r="D805" t="s">
        <v>4</v>
      </c>
      <c r="E805">
        <v>714</v>
      </c>
    </row>
    <row r="806" spans="1:5" x14ac:dyDescent="0.25">
      <c r="A806">
        <v>805</v>
      </c>
      <c r="B806">
        <v>468712</v>
      </c>
      <c r="C806" s="1" t="str">
        <f>HYPERLINK("http://stackoverflow.com/users/468712", "mockee")</f>
        <v>mockee</v>
      </c>
      <c r="D806" t="s">
        <v>5</v>
      </c>
      <c r="E806">
        <v>713</v>
      </c>
    </row>
    <row r="807" spans="1:5" x14ac:dyDescent="0.25">
      <c r="A807">
        <v>806</v>
      </c>
      <c r="B807">
        <v>204861</v>
      </c>
      <c r="C807" s="1" t="str">
        <f>HYPERLINK("http://stackoverflow.com/users/204861", "Raymond")</f>
        <v>Raymond</v>
      </c>
      <c r="D807" t="s">
        <v>4</v>
      </c>
      <c r="E807">
        <v>713</v>
      </c>
    </row>
    <row r="808" spans="1:5" x14ac:dyDescent="0.25">
      <c r="A808">
        <v>807</v>
      </c>
      <c r="B808">
        <v>1055585</v>
      </c>
      <c r="C808" s="1" t="str">
        <f>HYPERLINK("http://stackoverflow.com/users/1055585", "lancy")</f>
        <v>lancy</v>
      </c>
      <c r="D808" t="s">
        <v>5</v>
      </c>
      <c r="E808">
        <v>712</v>
      </c>
    </row>
    <row r="809" spans="1:5" x14ac:dyDescent="0.25">
      <c r="A809">
        <v>808</v>
      </c>
      <c r="B809">
        <v>667158</v>
      </c>
      <c r="C809" s="1" t="str">
        <f>HYPERLINK("http://stackoverflow.com/users/667158", "Ian Yang")</f>
        <v>Ian Yang</v>
      </c>
      <c r="D809" t="s">
        <v>4</v>
      </c>
      <c r="E809">
        <v>712</v>
      </c>
    </row>
    <row r="810" spans="1:5" x14ac:dyDescent="0.25">
      <c r="A810">
        <v>809</v>
      </c>
      <c r="B810">
        <v>2410281</v>
      </c>
      <c r="C810" s="1" t="str">
        <f>HYPERLINK("http://stackoverflow.com/users/2410281", "Calvin Zhang")</f>
        <v>Calvin Zhang</v>
      </c>
      <c r="D810" t="s">
        <v>4</v>
      </c>
      <c r="E810">
        <v>711</v>
      </c>
    </row>
    <row r="811" spans="1:5" x14ac:dyDescent="0.25">
      <c r="A811">
        <v>810</v>
      </c>
      <c r="B811">
        <v>989105</v>
      </c>
      <c r="C811" s="1" t="str">
        <f>HYPERLINK("http://stackoverflow.com/users/989105", "Vivodo")</f>
        <v>Vivodo</v>
      </c>
      <c r="D811" t="s">
        <v>5</v>
      </c>
      <c r="E811">
        <v>710</v>
      </c>
    </row>
    <row r="812" spans="1:5" x14ac:dyDescent="0.25">
      <c r="A812">
        <v>811</v>
      </c>
      <c r="B812">
        <v>317532</v>
      </c>
      <c r="C812" s="1" t="str">
        <f>HYPERLINK("http://stackoverflow.com/users/317532", "SunLiWei")</f>
        <v>SunLiWei</v>
      </c>
      <c r="D812" t="s">
        <v>5</v>
      </c>
      <c r="E812">
        <v>710</v>
      </c>
    </row>
    <row r="813" spans="1:5" x14ac:dyDescent="0.25">
      <c r="A813">
        <v>812</v>
      </c>
      <c r="B813">
        <v>3020683</v>
      </c>
      <c r="C813" s="1" t="str">
        <f>HYPERLINK("http://stackoverflow.com/users/3020683", "Jia")</f>
        <v>Jia</v>
      </c>
      <c r="D813" t="s">
        <v>52</v>
      </c>
      <c r="E813">
        <v>709</v>
      </c>
    </row>
    <row r="814" spans="1:5" x14ac:dyDescent="0.25">
      <c r="A814">
        <v>813</v>
      </c>
      <c r="B814">
        <v>1261069</v>
      </c>
      <c r="C814" s="1" t="str">
        <f>HYPERLINK("http://stackoverflow.com/users/1261069", "Ever")</f>
        <v>Ever</v>
      </c>
      <c r="D814" t="s">
        <v>5</v>
      </c>
      <c r="E814">
        <v>709</v>
      </c>
    </row>
    <row r="815" spans="1:5" x14ac:dyDescent="0.25">
      <c r="A815">
        <v>814</v>
      </c>
      <c r="B815">
        <v>2651695</v>
      </c>
      <c r="C815" s="1" t="str">
        <f>HYPERLINK("http://stackoverflow.com/users/2651695", "lessisawesome")</f>
        <v>lessisawesome</v>
      </c>
      <c r="D815" t="s">
        <v>5</v>
      </c>
      <c r="E815">
        <v>709</v>
      </c>
    </row>
    <row r="816" spans="1:5" x14ac:dyDescent="0.25">
      <c r="A816">
        <v>815</v>
      </c>
      <c r="B816">
        <v>1837505</v>
      </c>
      <c r="C816" s="1" t="str">
        <f>HYPERLINK("http://stackoverflow.com/users/1837505", "perry")</f>
        <v>perry</v>
      </c>
      <c r="D816" t="s">
        <v>5</v>
      </c>
      <c r="E816">
        <v>708</v>
      </c>
    </row>
    <row r="817" spans="1:5" x14ac:dyDescent="0.25">
      <c r="A817">
        <v>816</v>
      </c>
      <c r="B817">
        <v>1361668</v>
      </c>
      <c r="C817" s="1" t="str">
        <f>HYPERLINK("http://stackoverflow.com/users/1361668", "venkatesh.khandare")</f>
        <v>venkatesh.khandare</v>
      </c>
      <c r="D817" t="s">
        <v>4</v>
      </c>
      <c r="E817">
        <v>707</v>
      </c>
    </row>
    <row r="818" spans="1:5" x14ac:dyDescent="0.25">
      <c r="A818">
        <v>817</v>
      </c>
      <c r="B818">
        <v>5726725</v>
      </c>
      <c r="C818" s="1" t="str">
        <f>HYPERLINK("http://stackoverflow.com/users/5726725", "刘晓飞")</f>
        <v>刘晓飞</v>
      </c>
      <c r="D818" t="s">
        <v>84</v>
      </c>
      <c r="E818">
        <v>705</v>
      </c>
    </row>
    <row r="819" spans="1:5" x14ac:dyDescent="0.25">
      <c r="A819">
        <v>818</v>
      </c>
      <c r="B819">
        <v>365734</v>
      </c>
      <c r="C819" s="1" t="str">
        <f>HYPERLINK("http://stackoverflow.com/users/365734", "Begtostudy")</f>
        <v>Begtostudy</v>
      </c>
      <c r="D819" t="s">
        <v>4</v>
      </c>
      <c r="E819">
        <v>704</v>
      </c>
    </row>
    <row r="820" spans="1:5" x14ac:dyDescent="0.25">
      <c r="A820">
        <v>819</v>
      </c>
      <c r="B820">
        <v>3994063</v>
      </c>
      <c r="C820" s="1" t="str">
        <f>HYPERLINK("http://stackoverflow.com/users/3994063", "KIDJourney")</f>
        <v>KIDJourney</v>
      </c>
      <c r="D820" t="s">
        <v>6</v>
      </c>
      <c r="E820">
        <v>703</v>
      </c>
    </row>
    <row r="821" spans="1:5" x14ac:dyDescent="0.25">
      <c r="A821">
        <v>820</v>
      </c>
      <c r="B821">
        <v>1029484</v>
      </c>
      <c r="C821" s="1" t="str">
        <f>HYPERLINK("http://stackoverflow.com/users/1029484", "Wu Li")</f>
        <v>Wu Li</v>
      </c>
      <c r="D821" t="s">
        <v>4</v>
      </c>
      <c r="E821">
        <v>700</v>
      </c>
    </row>
    <row r="822" spans="1:5" x14ac:dyDescent="0.25">
      <c r="A822">
        <v>821</v>
      </c>
      <c r="B822">
        <v>6764338</v>
      </c>
      <c r="C822" s="1" t="str">
        <f>HYPERLINK("http://stackoverflow.com/users/6764338", "Guohua Cheng")</f>
        <v>Guohua Cheng</v>
      </c>
      <c r="D822" t="s">
        <v>5</v>
      </c>
      <c r="E822">
        <v>698</v>
      </c>
    </row>
    <row r="823" spans="1:5" x14ac:dyDescent="0.25">
      <c r="A823">
        <v>822</v>
      </c>
      <c r="B823">
        <v>1737332</v>
      </c>
      <c r="C823" s="1" t="str">
        <f>HYPERLINK("http://stackoverflow.com/users/1737332", "Patrick")</f>
        <v>Patrick</v>
      </c>
      <c r="D823" t="s">
        <v>17</v>
      </c>
      <c r="E823">
        <v>696</v>
      </c>
    </row>
    <row r="824" spans="1:5" x14ac:dyDescent="0.25">
      <c r="A824">
        <v>823</v>
      </c>
      <c r="B824">
        <v>407744</v>
      </c>
      <c r="C824" s="1" t="str">
        <f>HYPERLINK("http://stackoverflow.com/users/407744", "Chan")</f>
        <v>Chan</v>
      </c>
      <c r="D824" t="s">
        <v>4</v>
      </c>
      <c r="E824">
        <v>696</v>
      </c>
    </row>
    <row r="825" spans="1:5" x14ac:dyDescent="0.25">
      <c r="A825">
        <v>824</v>
      </c>
      <c r="B825">
        <v>1165123</v>
      </c>
      <c r="C825" s="1" t="str">
        <f>HYPERLINK("http://stackoverflow.com/users/1165123", "chao787")</f>
        <v>chao787</v>
      </c>
      <c r="D825" t="s">
        <v>5</v>
      </c>
      <c r="E825">
        <v>695</v>
      </c>
    </row>
    <row r="826" spans="1:5" x14ac:dyDescent="0.25">
      <c r="A826">
        <v>825</v>
      </c>
      <c r="B826">
        <v>302199</v>
      </c>
      <c r="C826" s="1" t="str">
        <f>HYPERLINK("http://stackoverflow.com/users/302199", "huangcd")</f>
        <v>huangcd</v>
      </c>
      <c r="D826" t="s">
        <v>5</v>
      </c>
      <c r="E826">
        <v>694</v>
      </c>
    </row>
    <row r="827" spans="1:5" x14ac:dyDescent="0.25">
      <c r="A827">
        <v>826</v>
      </c>
      <c r="B827">
        <v>5357</v>
      </c>
      <c r="C827" s="1" t="str">
        <f>HYPERLINK("http://stackoverflow.com/users/5357", "Jacob Rigby")</f>
        <v>Jacob Rigby</v>
      </c>
      <c r="D827" t="s">
        <v>4</v>
      </c>
      <c r="E827">
        <v>693</v>
      </c>
    </row>
    <row r="828" spans="1:5" x14ac:dyDescent="0.25">
      <c r="A828">
        <v>827</v>
      </c>
      <c r="B828">
        <v>926472</v>
      </c>
      <c r="C828" s="1" t="str">
        <f>HYPERLINK("http://stackoverflow.com/users/926472", "ZhenYu Wang")</f>
        <v>ZhenYu Wang</v>
      </c>
      <c r="D828" t="s">
        <v>3</v>
      </c>
      <c r="E828">
        <v>692</v>
      </c>
    </row>
    <row r="829" spans="1:5" x14ac:dyDescent="0.25">
      <c r="A829">
        <v>828</v>
      </c>
      <c r="B829">
        <v>6768462</v>
      </c>
      <c r="C829" s="1" t="str">
        <f>HYPERLINK("http://stackoverflow.com/users/6768462", "Chinglim CHAN")</f>
        <v>Chinglim CHAN</v>
      </c>
      <c r="D829" t="s">
        <v>85</v>
      </c>
      <c r="E829">
        <v>691</v>
      </c>
    </row>
    <row r="830" spans="1:5" x14ac:dyDescent="0.25">
      <c r="A830">
        <v>829</v>
      </c>
      <c r="B830">
        <v>1077489</v>
      </c>
      <c r="C830" s="1" t="str">
        <f>HYPERLINK("http://stackoverflow.com/users/1077489", "chenxsan")</f>
        <v>chenxsan</v>
      </c>
      <c r="D830" t="s">
        <v>38</v>
      </c>
      <c r="E830">
        <v>688</v>
      </c>
    </row>
    <row r="831" spans="1:5" x14ac:dyDescent="0.25">
      <c r="A831">
        <v>830</v>
      </c>
      <c r="B831">
        <v>489657</v>
      </c>
      <c r="C831" s="1" t="str">
        <f>HYPERLINK("http://stackoverflow.com/users/489657", "lina")</f>
        <v>lina</v>
      </c>
      <c r="D831" t="s">
        <v>5</v>
      </c>
      <c r="E831">
        <v>686</v>
      </c>
    </row>
    <row r="832" spans="1:5" x14ac:dyDescent="0.25">
      <c r="A832">
        <v>831</v>
      </c>
      <c r="B832">
        <v>2677145</v>
      </c>
      <c r="C832" s="1" t="str">
        <f>HYPERLINK("http://stackoverflow.com/users/2677145", "Fu Xu")</f>
        <v>Fu Xu</v>
      </c>
      <c r="D832" t="s">
        <v>5</v>
      </c>
      <c r="E832">
        <v>686</v>
      </c>
    </row>
    <row r="833" spans="1:5" x14ac:dyDescent="0.25">
      <c r="A833">
        <v>832</v>
      </c>
      <c r="B833">
        <v>1122212</v>
      </c>
      <c r="C833" s="1" t="str">
        <f>HYPERLINK("http://stackoverflow.com/users/1122212", "Chopper Lee")</f>
        <v>Chopper Lee</v>
      </c>
      <c r="D833" t="s">
        <v>22</v>
      </c>
      <c r="E833">
        <v>685</v>
      </c>
    </row>
    <row r="834" spans="1:5" x14ac:dyDescent="0.25">
      <c r="A834">
        <v>833</v>
      </c>
      <c r="B834">
        <v>5341512</v>
      </c>
      <c r="C834" s="1" t="str">
        <f>HYPERLINK("http://stackoverflow.com/users/5341512", "throwit")</f>
        <v>throwit</v>
      </c>
      <c r="D834" t="s">
        <v>5</v>
      </c>
      <c r="E834">
        <v>684</v>
      </c>
    </row>
    <row r="835" spans="1:5" x14ac:dyDescent="0.25">
      <c r="A835">
        <v>834</v>
      </c>
      <c r="B835">
        <v>5217234</v>
      </c>
      <c r="C835" s="1" t="str">
        <f>HYPERLINK("http://stackoverflow.com/users/5217234", "Miron")</f>
        <v>Miron</v>
      </c>
      <c r="D835" t="s">
        <v>33</v>
      </c>
      <c r="E835">
        <v>683</v>
      </c>
    </row>
    <row r="836" spans="1:5" x14ac:dyDescent="0.25">
      <c r="A836">
        <v>835</v>
      </c>
      <c r="B836">
        <v>1246718</v>
      </c>
      <c r="C836" s="1" t="str">
        <f>HYPERLINK("http://stackoverflow.com/users/1246718", "Aaron Wang")</f>
        <v>Aaron Wang</v>
      </c>
      <c r="D836" t="s">
        <v>4</v>
      </c>
      <c r="E836">
        <v>683</v>
      </c>
    </row>
    <row r="837" spans="1:5" x14ac:dyDescent="0.25">
      <c r="A837">
        <v>836</v>
      </c>
      <c r="B837">
        <v>6149338</v>
      </c>
      <c r="C837" s="1" t="str">
        <f>HYPERLINK("http://stackoverflow.com/users/6149338", "Weike")</f>
        <v>Weike</v>
      </c>
      <c r="D837" t="s">
        <v>52</v>
      </c>
      <c r="E837">
        <v>682</v>
      </c>
    </row>
    <row r="838" spans="1:5" x14ac:dyDescent="0.25">
      <c r="A838">
        <v>837</v>
      </c>
      <c r="B838">
        <v>1661664</v>
      </c>
      <c r="C838" s="1" t="str">
        <f>HYPERLINK("http://stackoverflow.com/users/1661664", "Dickeylth")</f>
        <v>Dickeylth</v>
      </c>
      <c r="D838" t="s">
        <v>5</v>
      </c>
      <c r="E838">
        <v>682</v>
      </c>
    </row>
    <row r="839" spans="1:5" x14ac:dyDescent="0.25">
      <c r="A839">
        <v>838</v>
      </c>
      <c r="B839">
        <v>2489271</v>
      </c>
      <c r="C839" s="1" t="str">
        <f>HYPERLINK("http://stackoverflow.com/users/2489271", "yoyo")</f>
        <v>yoyo</v>
      </c>
      <c r="D839" t="s">
        <v>5</v>
      </c>
      <c r="E839">
        <v>682</v>
      </c>
    </row>
    <row r="840" spans="1:5" x14ac:dyDescent="0.25">
      <c r="A840">
        <v>839</v>
      </c>
      <c r="B840">
        <v>4006970</v>
      </c>
      <c r="C840" s="1" t="str">
        <f>HYPERLINK("http://stackoverflow.com/users/4006970", "Fei Liang")</f>
        <v>Fei Liang</v>
      </c>
      <c r="D840" t="s">
        <v>12</v>
      </c>
      <c r="E840">
        <v>681</v>
      </c>
    </row>
    <row r="841" spans="1:5" x14ac:dyDescent="0.25">
      <c r="A841">
        <v>840</v>
      </c>
      <c r="B841">
        <v>401883</v>
      </c>
      <c r="C841" s="1" t="str">
        <f>HYPERLINK("http://stackoverflow.com/users/401883", "snyh")</f>
        <v>snyh</v>
      </c>
      <c r="D841" t="s">
        <v>86</v>
      </c>
      <c r="E841">
        <v>681</v>
      </c>
    </row>
    <row r="842" spans="1:5" x14ac:dyDescent="0.25">
      <c r="A842">
        <v>841</v>
      </c>
      <c r="B842">
        <v>484130</v>
      </c>
      <c r="C842" s="1" t="str">
        <f>HYPERLINK("http://stackoverflow.com/users/484130", "Francis.TM")</f>
        <v>Francis.TM</v>
      </c>
      <c r="D842" t="s">
        <v>87</v>
      </c>
      <c r="E842">
        <v>680</v>
      </c>
    </row>
    <row r="843" spans="1:5" x14ac:dyDescent="0.25">
      <c r="A843">
        <v>842</v>
      </c>
      <c r="B843">
        <v>2720934</v>
      </c>
      <c r="C843" s="1" t="str">
        <f>HYPERLINK("http://stackoverflow.com/users/2720934", "Edmond Wang")</f>
        <v>Edmond Wang</v>
      </c>
      <c r="D843" t="s">
        <v>4</v>
      </c>
      <c r="E843">
        <v>678</v>
      </c>
    </row>
    <row r="844" spans="1:5" x14ac:dyDescent="0.25">
      <c r="A844">
        <v>843</v>
      </c>
      <c r="B844">
        <v>1484850</v>
      </c>
      <c r="C844" s="1" t="str">
        <f>HYPERLINK("http://stackoverflow.com/users/1484850", "jiandingzhe")</f>
        <v>jiandingzhe</v>
      </c>
      <c r="D844" t="s">
        <v>5</v>
      </c>
      <c r="E844">
        <v>678</v>
      </c>
    </row>
    <row r="845" spans="1:5" x14ac:dyDescent="0.25">
      <c r="A845">
        <v>844</v>
      </c>
      <c r="B845">
        <v>448076</v>
      </c>
      <c r="C845" s="1" t="str">
        <f>HYPERLINK("http://stackoverflow.com/users/448076", "xwl")</f>
        <v>xwl</v>
      </c>
      <c r="D845" t="s">
        <v>5</v>
      </c>
      <c r="E845">
        <v>678</v>
      </c>
    </row>
    <row r="846" spans="1:5" x14ac:dyDescent="0.25">
      <c r="A846">
        <v>845</v>
      </c>
      <c r="B846">
        <v>4539333</v>
      </c>
      <c r="C846" s="1" t="str">
        <f>HYPERLINK("http://stackoverflow.com/users/4539333", "uestcfei")</f>
        <v>uestcfei</v>
      </c>
      <c r="D846" t="s">
        <v>22</v>
      </c>
      <c r="E846">
        <v>678</v>
      </c>
    </row>
    <row r="847" spans="1:5" x14ac:dyDescent="0.25">
      <c r="A847">
        <v>846</v>
      </c>
      <c r="B847">
        <v>10087214</v>
      </c>
      <c r="C847" s="1" t="str">
        <f>HYPERLINK("http://stackoverflow.com/users/10087214", "Keen Jin")</f>
        <v>Keen Jin</v>
      </c>
      <c r="D847" t="s">
        <v>4</v>
      </c>
      <c r="E847">
        <v>678</v>
      </c>
    </row>
    <row r="848" spans="1:5" x14ac:dyDescent="0.25">
      <c r="A848">
        <v>847</v>
      </c>
      <c r="B848">
        <v>3618799</v>
      </c>
      <c r="C848" s="1" t="str">
        <f>HYPERLINK("http://stackoverflow.com/users/3618799", "Juude")</f>
        <v>Juude</v>
      </c>
      <c r="D848" t="s">
        <v>4</v>
      </c>
      <c r="E848">
        <v>677</v>
      </c>
    </row>
    <row r="849" spans="1:5" x14ac:dyDescent="0.25">
      <c r="A849">
        <v>848</v>
      </c>
      <c r="B849">
        <v>4921099</v>
      </c>
      <c r="C849" s="1" t="str">
        <f>HYPERLINK("http://stackoverflow.com/users/4921099", "martin")</f>
        <v>martin</v>
      </c>
      <c r="D849" t="s">
        <v>22</v>
      </c>
      <c r="E849">
        <v>677</v>
      </c>
    </row>
    <row r="850" spans="1:5" x14ac:dyDescent="0.25">
      <c r="A850">
        <v>849</v>
      </c>
      <c r="B850">
        <v>748463</v>
      </c>
      <c r="C850" s="1" t="str">
        <f>HYPERLINK("http://stackoverflow.com/users/748463", "Robert")</f>
        <v>Robert</v>
      </c>
      <c r="D850" t="s">
        <v>4</v>
      </c>
      <c r="E850">
        <v>676</v>
      </c>
    </row>
    <row r="851" spans="1:5" x14ac:dyDescent="0.25">
      <c r="A851">
        <v>850</v>
      </c>
      <c r="B851">
        <v>778659</v>
      </c>
      <c r="C851" s="1" t="str">
        <f>HYPERLINK("http://stackoverflow.com/users/778659", "Ben Xu")</f>
        <v>Ben Xu</v>
      </c>
      <c r="D851" t="s">
        <v>4</v>
      </c>
      <c r="E851">
        <v>675</v>
      </c>
    </row>
    <row r="852" spans="1:5" x14ac:dyDescent="0.25">
      <c r="A852">
        <v>851</v>
      </c>
      <c r="B852">
        <v>3326683</v>
      </c>
      <c r="C852" s="1" t="str">
        <f>HYPERLINK("http://stackoverflow.com/users/3326683", "androidmalin")</f>
        <v>androidmalin</v>
      </c>
      <c r="D852" t="s">
        <v>5</v>
      </c>
      <c r="E852">
        <v>674</v>
      </c>
    </row>
    <row r="853" spans="1:5" x14ac:dyDescent="0.25">
      <c r="A853">
        <v>852</v>
      </c>
      <c r="B853">
        <v>3183939</v>
      </c>
      <c r="C853" s="1" t="str">
        <f>HYPERLINK("http://stackoverflow.com/users/3183939", "xjfengck")</f>
        <v>xjfengck</v>
      </c>
      <c r="D853" t="s">
        <v>4</v>
      </c>
      <c r="E853">
        <v>671</v>
      </c>
    </row>
    <row r="854" spans="1:5" x14ac:dyDescent="0.25">
      <c r="A854">
        <v>853</v>
      </c>
      <c r="B854">
        <v>511594</v>
      </c>
      <c r="C854" s="1" t="str">
        <f>HYPERLINK("http://stackoverflow.com/users/511594", "maxint")</f>
        <v>maxint</v>
      </c>
      <c r="D854" t="s">
        <v>12</v>
      </c>
      <c r="E854">
        <v>670</v>
      </c>
    </row>
    <row r="855" spans="1:5" x14ac:dyDescent="0.25">
      <c r="A855">
        <v>854</v>
      </c>
      <c r="B855">
        <v>2047584</v>
      </c>
      <c r="C855" s="1" t="str">
        <f>HYPERLINK("http://stackoverflow.com/users/2047584", "Angela")</f>
        <v>Angela</v>
      </c>
      <c r="D855" t="s">
        <v>5</v>
      </c>
      <c r="E855">
        <v>669</v>
      </c>
    </row>
    <row r="856" spans="1:5" x14ac:dyDescent="0.25">
      <c r="A856">
        <v>855</v>
      </c>
      <c r="B856">
        <v>460257</v>
      </c>
      <c r="C856" s="1" t="str">
        <f>HYPERLINK("http://stackoverflow.com/users/460257", "moligaloo")</f>
        <v>moligaloo</v>
      </c>
      <c r="D856" t="s">
        <v>16</v>
      </c>
      <c r="E856">
        <v>668</v>
      </c>
    </row>
    <row r="857" spans="1:5" x14ac:dyDescent="0.25">
      <c r="A857">
        <v>856</v>
      </c>
      <c r="B857">
        <v>415143</v>
      </c>
      <c r="C857" s="1" t="str">
        <f>HYPERLINK("http://stackoverflow.com/users/415143", "Mark Ma")</f>
        <v>Mark Ma</v>
      </c>
      <c r="D857" t="s">
        <v>88</v>
      </c>
      <c r="E857">
        <v>668</v>
      </c>
    </row>
    <row r="858" spans="1:5" x14ac:dyDescent="0.25">
      <c r="A858">
        <v>857</v>
      </c>
      <c r="B858">
        <v>1292212</v>
      </c>
      <c r="C858" s="1" t="str">
        <f>HYPERLINK("http://stackoverflow.com/users/1292212", "Jack Zhang")</f>
        <v>Jack Zhang</v>
      </c>
      <c r="D858" t="s">
        <v>5</v>
      </c>
      <c r="E858">
        <v>666</v>
      </c>
    </row>
    <row r="859" spans="1:5" x14ac:dyDescent="0.25">
      <c r="A859">
        <v>858</v>
      </c>
      <c r="B859">
        <v>1476114</v>
      </c>
      <c r="C859" s="1" t="str">
        <f>HYPERLINK("http://stackoverflow.com/users/1476114", "比尔盖子")</f>
        <v>比尔盖子</v>
      </c>
      <c r="D859" t="s">
        <v>5</v>
      </c>
      <c r="E859">
        <v>665</v>
      </c>
    </row>
    <row r="860" spans="1:5" x14ac:dyDescent="0.25">
      <c r="A860">
        <v>859</v>
      </c>
      <c r="B860">
        <v>970902</v>
      </c>
      <c r="C860" s="1" t="str">
        <f>HYPERLINK("http://stackoverflow.com/users/970902", "KKK")</f>
        <v>KKK</v>
      </c>
      <c r="D860" t="s">
        <v>5</v>
      </c>
      <c r="E860">
        <v>665</v>
      </c>
    </row>
    <row r="861" spans="1:5" x14ac:dyDescent="0.25">
      <c r="A861">
        <v>860</v>
      </c>
      <c r="B861">
        <v>2566663</v>
      </c>
      <c r="C861" s="1" t="str">
        <f>HYPERLINK("http://stackoverflow.com/users/2566663", "David.Zheng")</f>
        <v>David.Zheng</v>
      </c>
      <c r="D861" t="s">
        <v>5</v>
      </c>
      <c r="E861">
        <v>663</v>
      </c>
    </row>
    <row r="862" spans="1:5" x14ac:dyDescent="0.25">
      <c r="A862">
        <v>861</v>
      </c>
      <c r="B862">
        <v>1719038</v>
      </c>
      <c r="C862" s="1" t="str">
        <f>HYPERLINK("http://stackoverflow.com/users/1719038", "buaacss")</f>
        <v>buaacss</v>
      </c>
      <c r="D862" t="s">
        <v>5</v>
      </c>
      <c r="E862">
        <v>661</v>
      </c>
    </row>
    <row r="863" spans="1:5" x14ac:dyDescent="0.25">
      <c r="A863">
        <v>862</v>
      </c>
      <c r="B863">
        <v>3995834</v>
      </c>
      <c r="C863" s="1" t="str">
        <f>HYPERLINK("http://stackoverflow.com/users/3995834", "Ying Yi")</f>
        <v>Ying Yi</v>
      </c>
      <c r="D863" t="s">
        <v>5</v>
      </c>
      <c r="E863">
        <v>661</v>
      </c>
    </row>
    <row r="864" spans="1:5" x14ac:dyDescent="0.25">
      <c r="A864">
        <v>863</v>
      </c>
      <c r="B864">
        <v>1293317</v>
      </c>
      <c r="C864" s="1" t="str">
        <f>HYPERLINK("http://stackoverflow.com/users/1293317", "Dean")</f>
        <v>Dean</v>
      </c>
      <c r="D864" t="s">
        <v>89</v>
      </c>
      <c r="E864">
        <v>661</v>
      </c>
    </row>
    <row r="865" spans="1:5" x14ac:dyDescent="0.25">
      <c r="A865">
        <v>864</v>
      </c>
      <c r="B865">
        <v>1081900</v>
      </c>
      <c r="C865" s="1" t="str">
        <f>HYPERLINK("http://stackoverflow.com/users/1081900", "oldmonk")</f>
        <v>oldmonk</v>
      </c>
      <c r="D865" t="s">
        <v>5</v>
      </c>
      <c r="E865">
        <v>659</v>
      </c>
    </row>
    <row r="866" spans="1:5" x14ac:dyDescent="0.25">
      <c r="A866">
        <v>865</v>
      </c>
      <c r="B866">
        <v>449162</v>
      </c>
      <c r="C866" s="1" t="str">
        <f>HYPERLINK("http://stackoverflow.com/users/449162", "L42y")</f>
        <v>L42y</v>
      </c>
      <c r="D866" t="s">
        <v>17</v>
      </c>
      <c r="E866">
        <v>658</v>
      </c>
    </row>
    <row r="867" spans="1:5" x14ac:dyDescent="0.25">
      <c r="A867">
        <v>866</v>
      </c>
      <c r="B867">
        <v>1890716</v>
      </c>
      <c r="C867" s="1" t="str">
        <f>HYPERLINK("http://stackoverflow.com/users/1890716", "7heaven")</f>
        <v>7heaven</v>
      </c>
      <c r="D867" t="s">
        <v>5</v>
      </c>
      <c r="E867">
        <v>657</v>
      </c>
    </row>
    <row r="868" spans="1:5" x14ac:dyDescent="0.25">
      <c r="A868">
        <v>867</v>
      </c>
      <c r="B868">
        <v>9254404</v>
      </c>
      <c r="C868" s="1" t="str">
        <f>HYPERLINK("http://stackoverflow.com/users/9254404", "leiyc")</f>
        <v>leiyc</v>
      </c>
      <c r="D868" t="s">
        <v>55</v>
      </c>
      <c r="E868">
        <v>657</v>
      </c>
    </row>
    <row r="869" spans="1:5" x14ac:dyDescent="0.25">
      <c r="A869">
        <v>868</v>
      </c>
      <c r="B869">
        <v>4526762</v>
      </c>
      <c r="C869" s="1" t="str">
        <f>HYPERLINK("http://stackoverflow.com/users/4526762", "Yuan Wen")</f>
        <v>Yuan Wen</v>
      </c>
      <c r="D869" t="s">
        <v>5</v>
      </c>
      <c r="E869">
        <v>656</v>
      </c>
    </row>
    <row r="870" spans="1:5" x14ac:dyDescent="0.25">
      <c r="A870">
        <v>869</v>
      </c>
      <c r="B870">
        <v>685223</v>
      </c>
      <c r="C870" s="1" t="str">
        <f>HYPERLINK("http://stackoverflow.com/users/685223", "leafei")</f>
        <v>leafei</v>
      </c>
      <c r="D870" t="s">
        <v>22</v>
      </c>
      <c r="E870">
        <v>655</v>
      </c>
    </row>
    <row r="871" spans="1:5" x14ac:dyDescent="0.25">
      <c r="A871">
        <v>870</v>
      </c>
      <c r="B871">
        <v>748129</v>
      </c>
      <c r="C871" s="1" t="str">
        <f>HYPERLINK("http://stackoverflow.com/users/748129", "Chasefornone")</f>
        <v>Chasefornone</v>
      </c>
      <c r="D871" t="s">
        <v>4</v>
      </c>
      <c r="E871">
        <v>654</v>
      </c>
    </row>
    <row r="872" spans="1:5" x14ac:dyDescent="0.25">
      <c r="A872">
        <v>871</v>
      </c>
      <c r="B872">
        <v>4124310</v>
      </c>
      <c r="C872" s="1" t="str">
        <f>HYPERLINK("http://stackoverflow.com/users/4124310", "realhu")</f>
        <v>realhu</v>
      </c>
      <c r="D872" t="s">
        <v>4</v>
      </c>
      <c r="E872">
        <v>654</v>
      </c>
    </row>
    <row r="873" spans="1:5" x14ac:dyDescent="0.25">
      <c r="A873">
        <v>872</v>
      </c>
      <c r="B873">
        <v>1479415</v>
      </c>
      <c r="C873" s="1" t="str">
        <f>HYPERLINK("http://stackoverflow.com/users/1479415", "EthanL")</f>
        <v>EthanL</v>
      </c>
      <c r="D873" t="s">
        <v>5</v>
      </c>
      <c r="E873">
        <v>654</v>
      </c>
    </row>
    <row r="874" spans="1:5" x14ac:dyDescent="0.25">
      <c r="A874">
        <v>873</v>
      </c>
      <c r="B874">
        <v>2676708</v>
      </c>
      <c r="C874" s="1" t="str">
        <f>HYPERLINK("http://stackoverflow.com/users/2676708", "xuri")</f>
        <v>xuri</v>
      </c>
      <c r="D874" t="s">
        <v>5</v>
      </c>
      <c r="E874">
        <v>652</v>
      </c>
    </row>
    <row r="875" spans="1:5" x14ac:dyDescent="0.25">
      <c r="A875">
        <v>874</v>
      </c>
      <c r="B875">
        <v>1728239</v>
      </c>
      <c r="C875" s="1" t="str">
        <f>HYPERLINK("http://stackoverflow.com/users/1728239", "Charles")</f>
        <v>Charles</v>
      </c>
      <c r="D875" t="s">
        <v>4</v>
      </c>
      <c r="E875">
        <v>651</v>
      </c>
    </row>
    <row r="876" spans="1:5" x14ac:dyDescent="0.25">
      <c r="A876">
        <v>875</v>
      </c>
      <c r="B876">
        <v>3128576</v>
      </c>
      <c r="C876" s="1" t="str">
        <f>HYPERLINK("http://stackoverflow.com/users/3128576", "Bian Jiaping")</f>
        <v>Bian Jiaping</v>
      </c>
      <c r="D876" t="s">
        <v>21</v>
      </c>
      <c r="E876">
        <v>650</v>
      </c>
    </row>
    <row r="877" spans="1:5" x14ac:dyDescent="0.25">
      <c r="A877">
        <v>876</v>
      </c>
      <c r="B877">
        <v>1415645</v>
      </c>
      <c r="C877" s="1" t="str">
        <f>HYPERLINK("http://stackoverflow.com/users/1415645", "Shane Lu")</f>
        <v>Shane Lu</v>
      </c>
      <c r="D877" t="s">
        <v>4</v>
      </c>
      <c r="E877">
        <v>650</v>
      </c>
    </row>
    <row r="878" spans="1:5" x14ac:dyDescent="0.25">
      <c r="A878">
        <v>877</v>
      </c>
      <c r="B878">
        <v>503724</v>
      </c>
      <c r="C878" s="1" t="str">
        <f>HYPERLINK("http://stackoverflow.com/users/503724", "Sean Thayne")</f>
        <v>Sean Thayne</v>
      </c>
      <c r="D878" t="s">
        <v>17</v>
      </c>
      <c r="E878">
        <v>648</v>
      </c>
    </row>
    <row r="879" spans="1:5" x14ac:dyDescent="0.25">
      <c r="A879">
        <v>878</v>
      </c>
      <c r="B879">
        <v>1249094</v>
      </c>
      <c r="C879" s="1" t="str">
        <f>HYPERLINK("http://stackoverflow.com/users/1249094", "tinybai")</f>
        <v>tinybai</v>
      </c>
      <c r="D879" t="s">
        <v>8</v>
      </c>
      <c r="E879">
        <v>648</v>
      </c>
    </row>
    <row r="880" spans="1:5" x14ac:dyDescent="0.25">
      <c r="A880">
        <v>879</v>
      </c>
      <c r="B880">
        <v>4590516</v>
      </c>
      <c r="C880" s="1" t="str">
        <f>HYPERLINK("http://stackoverflow.com/users/4590516", "Kaiyuan Xu")</f>
        <v>Kaiyuan Xu</v>
      </c>
      <c r="D880" t="s">
        <v>62</v>
      </c>
      <c r="E880">
        <v>647</v>
      </c>
    </row>
    <row r="881" spans="1:5" x14ac:dyDescent="0.25">
      <c r="A881">
        <v>880</v>
      </c>
      <c r="B881">
        <v>1621354</v>
      </c>
      <c r="C881" s="1" t="str">
        <f>HYPERLINK("http://stackoverflow.com/users/1621354", "Alex Chi")</f>
        <v>Alex Chi</v>
      </c>
      <c r="D881" t="s">
        <v>4</v>
      </c>
      <c r="E881">
        <v>645</v>
      </c>
    </row>
    <row r="882" spans="1:5" x14ac:dyDescent="0.25">
      <c r="A882">
        <v>881</v>
      </c>
      <c r="B882">
        <v>2293677</v>
      </c>
      <c r="C882" s="1" t="str">
        <f>HYPERLINK("http://stackoverflow.com/users/2293677", "foogry")</f>
        <v>foogry</v>
      </c>
      <c r="D882" t="s">
        <v>5</v>
      </c>
      <c r="E882">
        <v>645</v>
      </c>
    </row>
    <row r="883" spans="1:5" x14ac:dyDescent="0.25">
      <c r="A883">
        <v>882</v>
      </c>
      <c r="B883">
        <v>872058</v>
      </c>
      <c r="C883" s="1" t="str">
        <f>HYPERLINK("http://stackoverflow.com/users/872058", "Fei Xue")</f>
        <v>Fei Xue</v>
      </c>
      <c r="D883" t="s">
        <v>5</v>
      </c>
      <c r="E883">
        <v>642</v>
      </c>
    </row>
    <row r="884" spans="1:5" x14ac:dyDescent="0.25">
      <c r="A884">
        <v>883</v>
      </c>
      <c r="B884">
        <v>427716</v>
      </c>
      <c r="C884" s="1" t="str">
        <f>HYPERLINK("http://stackoverflow.com/users/427716", "didier")</f>
        <v>didier</v>
      </c>
      <c r="D884" t="s">
        <v>5</v>
      </c>
      <c r="E884">
        <v>641</v>
      </c>
    </row>
    <row r="885" spans="1:5" x14ac:dyDescent="0.25">
      <c r="A885">
        <v>884</v>
      </c>
      <c r="B885">
        <v>158165</v>
      </c>
      <c r="C885" s="1" t="str">
        <f>HYPERLINK("http://stackoverflow.com/users/158165", "Qianjigui")</f>
        <v>Qianjigui</v>
      </c>
      <c r="D885" t="s">
        <v>8</v>
      </c>
      <c r="E885">
        <v>641</v>
      </c>
    </row>
    <row r="886" spans="1:5" x14ac:dyDescent="0.25">
      <c r="A886">
        <v>885</v>
      </c>
      <c r="B886">
        <v>1498924</v>
      </c>
      <c r="C886" s="1" t="str">
        <f>HYPERLINK("http://stackoverflow.com/users/1498924", "ybdesire")</f>
        <v>ybdesire</v>
      </c>
      <c r="D886" t="s">
        <v>37</v>
      </c>
      <c r="E886">
        <v>640</v>
      </c>
    </row>
    <row r="887" spans="1:5" x14ac:dyDescent="0.25">
      <c r="A887">
        <v>886</v>
      </c>
      <c r="B887">
        <v>1794985</v>
      </c>
      <c r="C887" s="1" t="str">
        <f>HYPERLINK("http://stackoverflow.com/users/1794985", "Yang")</f>
        <v>Yang</v>
      </c>
      <c r="D887" t="s">
        <v>57</v>
      </c>
      <c r="E887">
        <v>640</v>
      </c>
    </row>
    <row r="888" spans="1:5" x14ac:dyDescent="0.25">
      <c r="A888">
        <v>887</v>
      </c>
      <c r="B888">
        <v>6755206</v>
      </c>
      <c r="C888" s="1" t="str">
        <f>HYPERLINK("http://stackoverflow.com/users/6755206", "hwding")</f>
        <v>hwding</v>
      </c>
      <c r="D888" t="s">
        <v>55</v>
      </c>
      <c r="E888">
        <v>639</v>
      </c>
    </row>
    <row r="889" spans="1:5" x14ac:dyDescent="0.25">
      <c r="A889">
        <v>888</v>
      </c>
      <c r="B889">
        <v>2259979</v>
      </c>
      <c r="C889" s="1" t="str">
        <f>HYPERLINK("http://stackoverflow.com/users/2259979", "Binux")</f>
        <v>Binux</v>
      </c>
      <c r="D889" t="s">
        <v>5</v>
      </c>
      <c r="E889">
        <v>639</v>
      </c>
    </row>
    <row r="890" spans="1:5" x14ac:dyDescent="0.25">
      <c r="A890">
        <v>889</v>
      </c>
      <c r="B890">
        <v>1516794</v>
      </c>
      <c r="C890" s="1" t="str">
        <f>HYPERLINK("http://stackoverflow.com/users/1516794", "cmal")</f>
        <v>cmal</v>
      </c>
      <c r="D890" t="s">
        <v>34</v>
      </c>
      <c r="E890">
        <v>638</v>
      </c>
    </row>
    <row r="891" spans="1:5" x14ac:dyDescent="0.25">
      <c r="A891">
        <v>890</v>
      </c>
      <c r="B891">
        <v>633742</v>
      </c>
      <c r="C891" s="1" t="str">
        <f>HYPERLINK("http://stackoverflow.com/users/633742", "Yuan He")</f>
        <v>Yuan He</v>
      </c>
      <c r="D891" t="s">
        <v>12</v>
      </c>
      <c r="E891">
        <v>638</v>
      </c>
    </row>
    <row r="892" spans="1:5" x14ac:dyDescent="0.25">
      <c r="A892">
        <v>891</v>
      </c>
      <c r="B892">
        <v>4988506</v>
      </c>
      <c r="C892" s="1" t="str">
        <f>HYPERLINK("http://stackoverflow.com/users/4988506", "Ekeyme Mo")</f>
        <v>Ekeyme Mo</v>
      </c>
      <c r="D892" t="s">
        <v>25</v>
      </c>
      <c r="E892">
        <v>637</v>
      </c>
    </row>
    <row r="893" spans="1:5" x14ac:dyDescent="0.25">
      <c r="A893">
        <v>892</v>
      </c>
      <c r="B893">
        <v>1573750</v>
      </c>
      <c r="C893" s="1" t="str">
        <f>HYPERLINK("http://stackoverflow.com/users/1573750", "Jaybo")</f>
        <v>Jaybo</v>
      </c>
      <c r="D893" t="s">
        <v>12</v>
      </c>
      <c r="E893">
        <v>637</v>
      </c>
    </row>
    <row r="894" spans="1:5" x14ac:dyDescent="0.25">
      <c r="A894">
        <v>893</v>
      </c>
      <c r="B894">
        <v>440100</v>
      </c>
      <c r="C894" s="1" t="str">
        <f>HYPERLINK("http://stackoverflow.com/users/440100", "Liang")</f>
        <v>Liang</v>
      </c>
      <c r="D894" t="s">
        <v>5</v>
      </c>
      <c r="E894">
        <v>637</v>
      </c>
    </row>
    <row r="895" spans="1:5" x14ac:dyDescent="0.25">
      <c r="A895">
        <v>894</v>
      </c>
      <c r="B895">
        <v>904373</v>
      </c>
      <c r="C895" s="1" t="str">
        <f>HYPERLINK("http://stackoverflow.com/users/904373", "hellojinjie")</f>
        <v>hellojinjie</v>
      </c>
      <c r="D895" t="s">
        <v>4</v>
      </c>
      <c r="E895">
        <v>636</v>
      </c>
    </row>
    <row r="896" spans="1:5" x14ac:dyDescent="0.25">
      <c r="A896">
        <v>895</v>
      </c>
      <c r="B896">
        <v>1381532</v>
      </c>
      <c r="C896" s="1" t="str">
        <f>HYPERLINK("http://stackoverflow.com/users/1381532", "Aylwyn Lake")</f>
        <v>Aylwyn Lake</v>
      </c>
      <c r="D896" t="s">
        <v>4</v>
      </c>
      <c r="E896">
        <v>636</v>
      </c>
    </row>
    <row r="897" spans="1:5" x14ac:dyDescent="0.25">
      <c r="A897">
        <v>896</v>
      </c>
      <c r="B897">
        <v>2779495</v>
      </c>
      <c r="C897" s="1" t="str">
        <f>HYPERLINK("http://stackoverflow.com/users/2779495", "Scott YAN")</f>
        <v>Scott YAN</v>
      </c>
      <c r="D897" t="s">
        <v>5</v>
      </c>
      <c r="E897">
        <v>635</v>
      </c>
    </row>
    <row r="898" spans="1:5" x14ac:dyDescent="0.25">
      <c r="A898">
        <v>897</v>
      </c>
      <c r="B898">
        <v>3212496</v>
      </c>
      <c r="C898" s="1" t="str">
        <f>HYPERLINK("http://stackoverflow.com/users/3212496", "Muhammad")</f>
        <v>Muhammad</v>
      </c>
      <c r="D898" t="s">
        <v>7</v>
      </c>
      <c r="E898">
        <v>635</v>
      </c>
    </row>
    <row r="899" spans="1:5" x14ac:dyDescent="0.25">
      <c r="A899">
        <v>898</v>
      </c>
      <c r="B899">
        <v>4466221</v>
      </c>
      <c r="C899" s="1" t="str">
        <f>HYPERLINK("http://stackoverflow.com/users/4466221", "Bandon")</f>
        <v>Bandon</v>
      </c>
      <c r="D899" t="s">
        <v>5</v>
      </c>
      <c r="E899">
        <v>635</v>
      </c>
    </row>
    <row r="900" spans="1:5" x14ac:dyDescent="0.25">
      <c r="A900">
        <v>899</v>
      </c>
      <c r="B900">
        <v>2168539</v>
      </c>
      <c r="C900" s="1" t="str">
        <f>HYPERLINK("http://stackoverflow.com/users/2168539", "XuZhangning")</f>
        <v>XuZhangning</v>
      </c>
      <c r="D900" t="s">
        <v>4</v>
      </c>
      <c r="E900">
        <v>633</v>
      </c>
    </row>
    <row r="901" spans="1:5" x14ac:dyDescent="0.25">
      <c r="A901">
        <v>900</v>
      </c>
      <c r="B901">
        <v>121787</v>
      </c>
      <c r="C901" s="1" t="str">
        <f>HYPERLINK("http://stackoverflow.com/users/121787", "anakin")</f>
        <v>anakin</v>
      </c>
      <c r="D901" t="s">
        <v>5</v>
      </c>
      <c r="E901">
        <v>633</v>
      </c>
    </row>
    <row r="902" spans="1:5" x14ac:dyDescent="0.25">
      <c r="A902">
        <v>901</v>
      </c>
      <c r="B902">
        <v>2306824</v>
      </c>
      <c r="C902" s="1" t="str">
        <f>HYPERLINK("http://stackoverflow.com/users/2306824", "Le Zhang")</f>
        <v>Le Zhang</v>
      </c>
      <c r="D902" t="s">
        <v>5</v>
      </c>
      <c r="E902">
        <v>631</v>
      </c>
    </row>
    <row r="903" spans="1:5" x14ac:dyDescent="0.25">
      <c r="A903">
        <v>902</v>
      </c>
      <c r="B903">
        <v>4463749</v>
      </c>
      <c r="C903" s="1" t="str">
        <f>HYPERLINK("http://stackoverflow.com/users/4463749", "zxbin")</f>
        <v>zxbin</v>
      </c>
      <c r="D903" t="s">
        <v>25</v>
      </c>
      <c r="E903">
        <v>630</v>
      </c>
    </row>
    <row r="904" spans="1:5" x14ac:dyDescent="0.25">
      <c r="A904">
        <v>903</v>
      </c>
      <c r="B904">
        <v>339885</v>
      </c>
      <c r="C904" s="1" t="str">
        <f>HYPERLINK("http://stackoverflow.com/users/339885", "Ikbear")</f>
        <v>Ikbear</v>
      </c>
      <c r="D904" t="s">
        <v>12</v>
      </c>
      <c r="E904">
        <v>629</v>
      </c>
    </row>
    <row r="905" spans="1:5" x14ac:dyDescent="0.25">
      <c r="A905">
        <v>904</v>
      </c>
      <c r="B905">
        <v>4600414</v>
      </c>
      <c r="C905" s="1" t="str">
        <f>HYPERLINK("http://stackoverflow.com/users/4600414", "David")</f>
        <v>David</v>
      </c>
      <c r="D905" t="s">
        <v>5</v>
      </c>
      <c r="E905">
        <v>628</v>
      </c>
    </row>
    <row r="906" spans="1:5" x14ac:dyDescent="0.25">
      <c r="A906">
        <v>905</v>
      </c>
      <c r="B906">
        <v>291189</v>
      </c>
      <c r="C906" s="1" t="str">
        <f>HYPERLINK("http://stackoverflow.com/users/291189", "yapingchen")</f>
        <v>yapingchen</v>
      </c>
      <c r="D906" t="s">
        <v>4</v>
      </c>
      <c r="E906">
        <v>626</v>
      </c>
    </row>
    <row r="907" spans="1:5" x14ac:dyDescent="0.25">
      <c r="A907">
        <v>906</v>
      </c>
      <c r="B907">
        <v>6054042</v>
      </c>
      <c r="C907" s="1" t="str">
        <f>HYPERLINK("http://stackoverflow.com/users/6054042", "ZhengGe Che")</f>
        <v>ZhengGe Che</v>
      </c>
      <c r="D907" t="s">
        <v>74</v>
      </c>
      <c r="E907">
        <v>624</v>
      </c>
    </row>
    <row r="908" spans="1:5" x14ac:dyDescent="0.25">
      <c r="A908">
        <v>907</v>
      </c>
      <c r="B908">
        <v>3336551</v>
      </c>
      <c r="C908" s="1" t="str">
        <f>HYPERLINK("http://stackoverflow.com/users/3336551", "Alter Hu")</f>
        <v>Alter Hu</v>
      </c>
      <c r="D908" t="s">
        <v>4</v>
      </c>
      <c r="E908">
        <v>624</v>
      </c>
    </row>
    <row r="909" spans="1:5" x14ac:dyDescent="0.25">
      <c r="A909">
        <v>908</v>
      </c>
      <c r="B909">
        <v>411662</v>
      </c>
      <c r="C909" s="1" t="str">
        <f>HYPERLINK("http://stackoverflow.com/users/411662", "xiaket")</f>
        <v>xiaket</v>
      </c>
      <c r="D909" t="s">
        <v>21</v>
      </c>
      <c r="E909">
        <v>623</v>
      </c>
    </row>
    <row r="910" spans="1:5" x14ac:dyDescent="0.25">
      <c r="A910">
        <v>909</v>
      </c>
      <c r="B910">
        <v>1448254</v>
      </c>
      <c r="C910" s="1" t="str">
        <f>HYPERLINK("http://stackoverflow.com/users/1448254", "Quotation")</f>
        <v>Quotation</v>
      </c>
      <c r="D910" t="s">
        <v>5</v>
      </c>
      <c r="E910">
        <v>622</v>
      </c>
    </row>
    <row r="911" spans="1:5" x14ac:dyDescent="0.25">
      <c r="A911">
        <v>910</v>
      </c>
      <c r="B911">
        <v>2497506</v>
      </c>
      <c r="C911" s="1" t="str">
        <f>HYPERLINK("http://stackoverflow.com/users/2497506", "lalameat")</f>
        <v>lalameat</v>
      </c>
      <c r="D911" t="s">
        <v>5</v>
      </c>
      <c r="E911">
        <v>621</v>
      </c>
    </row>
    <row r="912" spans="1:5" x14ac:dyDescent="0.25">
      <c r="A912">
        <v>911</v>
      </c>
      <c r="B912">
        <v>1652918</v>
      </c>
      <c r="C912" s="1" t="str">
        <f>HYPERLINK("http://stackoverflow.com/users/1652918", "Loki")</f>
        <v>Loki</v>
      </c>
      <c r="D912" t="s">
        <v>5</v>
      </c>
      <c r="E912">
        <v>621</v>
      </c>
    </row>
    <row r="913" spans="1:5" x14ac:dyDescent="0.25">
      <c r="A913">
        <v>912</v>
      </c>
      <c r="B913">
        <v>891145</v>
      </c>
      <c r="C913" s="1" t="str">
        <f>HYPERLINK("http://stackoverflow.com/users/891145", "haosdent")</f>
        <v>haosdent</v>
      </c>
      <c r="D913" t="s">
        <v>5</v>
      </c>
      <c r="E913">
        <v>616</v>
      </c>
    </row>
    <row r="914" spans="1:5" x14ac:dyDescent="0.25">
      <c r="A914">
        <v>913</v>
      </c>
      <c r="B914">
        <v>654952</v>
      </c>
      <c r="C914" s="1" t="str">
        <f>HYPERLINK("http://stackoverflow.com/users/654952", "yuwang")</f>
        <v>yuwang</v>
      </c>
      <c r="D914" t="s">
        <v>5</v>
      </c>
      <c r="E914">
        <v>616</v>
      </c>
    </row>
    <row r="915" spans="1:5" x14ac:dyDescent="0.25">
      <c r="A915">
        <v>914</v>
      </c>
      <c r="B915">
        <v>7955072</v>
      </c>
      <c r="C915" s="1" t="str">
        <f>HYPERLINK("http://stackoverflow.com/users/7955072", "wolfog")</f>
        <v>wolfog</v>
      </c>
      <c r="D915" t="s">
        <v>7</v>
      </c>
      <c r="E915">
        <v>616</v>
      </c>
    </row>
    <row r="916" spans="1:5" x14ac:dyDescent="0.25">
      <c r="A916">
        <v>915</v>
      </c>
      <c r="B916">
        <v>4948149</v>
      </c>
      <c r="C916" s="1" t="str">
        <f>HYPERLINK("http://stackoverflow.com/users/4948149", "Mo Tao")</f>
        <v>Mo Tao</v>
      </c>
      <c r="D916" t="s">
        <v>5</v>
      </c>
      <c r="E916">
        <v>615</v>
      </c>
    </row>
    <row r="917" spans="1:5" x14ac:dyDescent="0.25">
      <c r="A917">
        <v>916</v>
      </c>
      <c r="B917">
        <v>4283218</v>
      </c>
      <c r="C917" s="1" t="str">
        <f>HYPERLINK("http://stackoverflow.com/users/4283218", "keyOfVv")</f>
        <v>keyOfVv</v>
      </c>
      <c r="D917" t="s">
        <v>5</v>
      </c>
      <c r="E917">
        <v>615</v>
      </c>
    </row>
    <row r="918" spans="1:5" x14ac:dyDescent="0.25">
      <c r="A918">
        <v>917</v>
      </c>
      <c r="B918">
        <v>1563469</v>
      </c>
      <c r="C918" s="1" t="str">
        <f>HYPERLINK("http://stackoverflow.com/users/1563469", "Reegan Ochora")</f>
        <v>Reegan Ochora</v>
      </c>
      <c r="D918" t="s">
        <v>90</v>
      </c>
      <c r="E918">
        <v>614</v>
      </c>
    </row>
    <row r="919" spans="1:5" x14ac:dyDescent="0.25">
      <c r="A919">
        <v>918</v>
      </c>
      <c r="B919">
        <v>3435562</v>
      </c>
      <c r="C919" s="1" t="str">
        <f>HYPERLINK("http://stackoverflow.com/users/3435562", "mattliu")</f>
        <v>mattliu</v>
      </c>
      <c r="D919" t="s">
        <v>91</v>
      </c>
      <c r="E919">
        <v>613</v>
      </c>
    </row>
    <row r="920" spans="1:5" x14ac:dyDescent="0.25">
      <c r="A920">
        <v>919</v>
      </c>
      <c r="B920">
        <v>637902</v>
      </c>
      <c r="C920" s="1" t="str">
        <f>HYPERLINK("http://stackoverflow.com/users/637902", "PeopleMoutainPeopleSea")</f>
        <v>PeopleMoutainPeopleSea</v>
      </c>
      <c r="D920" t="s">
        <v>4</v>
      </c>
      <c r="E920">
        <v>613</v>
      </c>
    </row>
    <row r="921" spans="1:5" x14ac:dyDescent="0.25">
      <c r="A921">
        <v>920</v>
      </c>
      <c r="B921">
        <v>871359</v>
      </c>
      <c r="C921" s="1" t="str">
        <f>HYPERLINK("http://stackoverflow.com/users/871359", "majie")</f>
        <v>majie</v>
      </c>
      <c r="D921" t="s">
        <v>4</v>
      </c>
      <c r="E921">
        <v>613</v>
      </c>
    </row>
    <row r="922" spans="1:5" x14ac:dyDescent="0.25">
      <c r="A922">
        <v>921</v>
      </c>
      <c r="B922">
        <v>1637850</v>
      </c>
      <c r="C922" s="1" t="str">
        <f>HYPERLINK("http://stackoverflow.com/users/1637850", "jmknoll")</f>
        <v>jmknoll</v>
      </c>
      <c r="D922" t="s">
        <v>4</v>
      </c>
      <c r="E922">
        <v>612</v>
      </c>
    </row>
    <row r="923" spans="1:5" x14ac:dyDescent="0.25">
      <c r="A923">
        <v>922</v>
      </c>
      <c r="B923">
        <v>1142942</v>
      </c>
      <c r="C923" s="1" t="str">
        <f>HYPERLINK("http://stackoverflow.com/users/1142942", "Hai Bo Wang")</f>
        <v>Hai Bo Wang</v>
      </c>
      <c r="D923" t="s">
        <v>17</v>
      </c>
      <c r="E923">
        <v>612</v>
      </c>
    </row>
    <row r="924" spans="1:5" x14ac:dyDescent="0.25">
      <c r="A924">
        <v>923</v>
      </c>
      <c r="B924">
        <v>459234</v>
      </c>
      <c r="C924" s="1" t="str">
        <f>HYPERLINK("http://stackoverflow.com/users/459234", "Dingxin Xu")</f>
        <v>Dingxin Xu</v>
      </c>
      <c r="D924" t="s">
        <v>5</v>
      </c>
      <c r="E924">
        <v>612</v>
      </c>
    </row>
    <row r="925" spans="1:5" x14ac:dyDescent="0.25">
      <c r="A925">
        <v>924</v>
      </c>
      <c r="B925">
        <v>2268644</v>
      </c>
      <c r="C925" s="1" t="str">
        <f>HYPERLINK("http://stackoverflow.com/users/2268644", "Xuan Hu")</f>
        <v>Xuan Hu</v>
      </c>
      <c r="D925" t="s">
        <v>5</v>
      </c>
      <c r="E925">
        <v>611</v>
      </c>
    </row>
    <row r="926" spans="1:5" x14ac:dyDescent="0.25">
      <c r="A926">
        <v>925</v>
      </c>
      <c r="B926">
        <v>1142180</v>
      </c>
      <c r="C926" s="1" t="str">
        <f>HYPERLINK("http://stackoverflow.com/users/1142180", "spmno")</f>
        <v>spmno</v>
      </c>
      <c r="D926" t="s">
        <v>90</v>
      </c>
      <c r="E926">
        <v>610</v>
      </c>
    </row>
    <row r="927" spans="1:5" x14ac:dyDescent="0.25">
      <c r="A927">
        <v>926</v>
      </c>
      <c r="B927">
        <v>931908</v>
      </c>
      <c r="C927" s="1" t="str">
        <f>HYPERLINK("http://stackoverflow.com/users/931908", "Paul Lan")</f>
        <v>Paul Lan</v>
      </c>
      <c r="D927" t="s">
        <v>5</v>
      </c>
      <c r="E927">
        <v>610</v>
      </c>
    </row>
    <row r="928" spans="1:5" x14ac:dyDescent="0.25">
      <c r="A928">
        <v>927</v>
      </c>
      <c r="B928">
        <v>461293</v>
      </c>
      <c r="C928" s="1" t="str">
        <f>HYPERLINK("http://stackoverflow.com/users/461293", "ngn999")</f>
        <v>ngn999</v>
      </c>
      <c r="D928" t="s">
        <v>12</v>
      </c>
      <c r="E928">
        <v>608</v>
      </c>
    </row>
    <row r="929" spans="1:5" x14ac:dyDescent="0.25">
      <c r="A929">
        <v>928</v>
      </c>
      <c r="B929">
        <v>863276</v>
      </c>
      <c r="C929" s="1" t="str">
        <f>HYPERLINK("http://stackoverflow.com/users/863276", "deju")</f>
        <v>deju</v>
      </c>
      <c r="D929" t="s">
        <v>5</v>
      </c>
      <c r="E929">
        <v>607</v>
      </c>
    </row>
    <row r="930" spans="1:5" x14ac:dyDescent="0.25">
      <c r="A930">
        <v>929</v>
      </c>
      <c r="B930">
        <v>1657630</v>
      </c>
      <c r="C930" s="1" t="str">
        <f>HYPERLINK("http://stackoverflow.com/users/1657630", "micfan")</f>
        <v>micfan</v>
      </c>
      <c r="D930" t="s">
        <v>4</v>
      </c>
      <c r="E930">
        <v>606</v>
      </c>
    </row>
    <row r="931" spans="1:5" x14ac:dyDescent="0.25">
      <c r="A931">
        <v>930</v>
      </c>
      <c r="B931">
        <v>2680776</v>
      </c>
      <c r="C931" s="1" t="str">
        <f>HYPERLINK("http://stackoverflow.com/users/2680776", "Bruce")</f>
        <v>Bruce</v>
      </c>
      <c r="D931" t="s">
        <v>21</v>
      </c>
      <c r="E931">
        <v>605</v>
      </c>
    </row>
    <row r="932" spans="1:5" x14ac:dyDescent="0.25">
      <c r="A932">
        <v>931</v>
      </c>
      <c r="B932">
        <v>2215449</v>
      </c>
      <c r="C932" s="1" t="str">
        <f>HYPERLINK("http://stackoverflow.com/users/2215449", "tintin")</f>
        <v>tintin</v>
      </c>
      <c r="D932" t="s">
        <v>31</v>
      </c>
      <c r="E932">
        <v>604</v>
      </c>
    </row>
    <row r="933" spans="1:5" x14ac:dyDescent="0.25">
      <c r="A933">
        <v>932</v>
      </c>
      <c r="B933">
        <v>846050</v>
      </c>
      <c r="C933" s="1" t="str">
        <f>HYPERLINK("http://stackoverflow.com/users/846050", "MeaCulpa")</f>
        <v>MeaCulpa</v>
      </c>
      <c r="D933" t="s">
        <v>4</v>
      </c>
      <c r="E933">
        <v>601</v>
      </c>
    </row>
    <row r="934" spans="1:5" x14ac:dyDescent="0.25">
      <c r="A934">
        <v>933</v>
      </c>
      <c r="B934">
        <v>10139109</v>
      </c>
      <c r="C934" s="1" t="str">
        <f>HYPERLINK("http://stackoverflow.com/users/10139109", "Ian Zhong")</f>
        <v>Ian Zhong</v>
      </c>
      <c r="D934" t="s">
        <v>92</v>
      </c>
      <c r="E934">
        <v>601</v>
      </c>
    </row>
    <row r="935" spans="1:5" x14ac:dyDescent="0.25">
      <c r="A935">
        <v>934</v>
      </c>
      <c r="B935">
        <v>2580967</v>
      </c>
      <c r="C935" s="1" t="str">
        <f>HYPERLINK("http://stackoverflow.com/users/2580967", "Morris Miao")</f>
        <v>Morris Miao</v>
      </c>
      <c r="D935" t="s">
        <v>4</v>
      </c>
      <c r="E935">
        <v>600</v>
      </c>
    </row>
    <row r="936" spans="1:5" x14ac:dyDescent="0.25">
      <c r="A936">
        <v>935</v>
      </c>
      <c r="B936">
        <v>452647</v>
      </c>
      <c r="C936" s="1" t="str">
        <f>HYPERLINK("http://stackoverflow.com/users/452647", "meadlai")</f>
        <v>meadlai</v>
      </c>
      <c r="D936" t="s">
        <v>12</v>
      </c>
      <c r="E936">
        <v>600</v>
      </c>
    </row>
    <row r="937" spans="1:5" x14ac:dyDescent="0.25">
      <c r="A937">
        <v>936</v>
      </c>
      <c r="B937">
        <v>1291020</v>
      </c>
      <c r="C937" s="1" t="str">
        <f>HYPERLINK("http://stackoverflow.com/users/1291020", "yaronli")</f>
        <v>yaronli</v>
      </c>
      <c r="D937" t="s">
        <v>5</v>
      </c>
      <c r="E937">
        <v>599</v>
      </c>
    </row>
    <row r="938" spans="1:5" x14ac:dyDescent="0.25">
      <c r="A938">
        <v>937</v>
      </c>
      <c r="B938">
        <v>2360385</v>
      </c>
      <c r="C938" s="1" t="str">
        <f>HYPERLINK("http://stackoverflow.com/users/2360385", "samsong8610")</f>
        <v>samsong8610</v>
      </c>
      <c r="D938" t="s">
        <v>5</v>
      </c>
      <c r="E938">
        <v>599</v>
      </c>
    </row>
    <row r="939" spans="1:5" x14ac:dyDescent="0.25">
      <c r="A939">
        <v>938</v>
      </c>
      <c r="B939">
        <v>1220212</v>
      </c>
      <c r="C939" s="1" t="str">
        <f>HYPERLINK("http://stackoverflow.com/users/1220212", "posaidong")</f>
        <v>posaidong</v>
      </c>
      <c r="D939" t="s">
        <v>17</v>
      </c>
      <c r="E939">
        <v>598</v>
      </c>
    </row>
    <row r="940" spans="1:5" x14ac:dyDescent="0.25">
      <c r="A940">
        <v>939</v>
      </c>
      <c r="B940">
        <v>1608464</v>
      </c>
      <c r="C940" s="1" t="str">
        <f>HYPERLINK("http://stackoverflow.com/users/1608464", "Enders")</f>
        <v>Enders</v>
      </c>
      <c r="D940" t="s">
        <v>4</v>
      </c>
      <c r="E940">
        <v>598</v>
      </c>
    </row>
    <row r="941" spans="1:5" x14ac:dyDescent="0.25">
      <c r="A941">
        <v>940</v>
      </c>
      <c r="B941">
        <v>573789</v>
      </c>
      <c r="C941" s="1" t="str">
        <f>HYPERLINK("http://stackoverflow.com/users/573789", "qianfg")</f>
        <v>qianfg</v>
      </c>
      <c r="D941" t="s">
        <v>5</v>
      </c>
      <c r="E941">
        <v>597</v>
      </c>
    </row>
    <row r="942" spans="1:5" x14ac:dyDescent="0.25">
      <c r="A942">
        <v>941</v>
      </c>
      <c r="B942">
        <v>877859</v>
      </c>
      <c r="C942" s="1" t="str">
        <f>HYPERLINK("http://stackoverflow.com/users/877859", "Ernest")</f>
        <v>Ernest</v>
      </c>
      <c r="D942" t="s">
        <v>5</v>
      </c>
      <c r="E942">
        <v>597</v>
      </c>
    </row>
    <row r="943" spans="1:5" x14ac:dyDescent="0.25">
      <c r="A943">
        <v>942</v>
      </c>
      <c r="B943">
        <v>7062483</v>
      </c>
      <c r="C943" s="1" t="str">
        <f>HYPERLINK("http://stackoverflow.com/users/7062483", "jupiar")</f>
        <v>jupiar</v>
      </c>
      <c r="D943" t="s">
        <v>4</v>
      </c>
      <c r="E943">
        <v>594</v>
      </c>
    </row>
    <row r="944" spans="1:5" x14ac:dyDescent="0.25">
      <c r="A944">
        <v>943</v>
      </c>
      <c r="B944">
        <v>1084801</v>
      </c>
      <c r="C944" s="1" t="str">
        <f>HYPERLINK("http://stackoverflow.com/users/1084801", "Richie Min")</f>
        <v>Richie Min</v>
      </c>
      <c r="D944" t="s">
        <v>4</v>
      </c>
      <c r="E944">
        <v>594</v>
      </c>
    </row>
    <row r="945" spans="1:5" x14ac:dyDescent="0.25">
      <c r="A945">
        <v>944</v>
      </c>
      <c r="B945">
        <v>6294371</v>
      </c>
      <c r="C945" s="1" t="str">
        <f>HYPERLINK("http://stackoverflow.com/users/6294371", "Chen Dachao")</f>
        <v>Chen Dachao</v>
      </c>
      <c r="D945" t="s">
        <v>4</v>
      </c>
      <c r="E945">
        <v>594</v>
      </c>
    </row>
    <row r="946" spans="1:5" x14ac:dyDescent="0.25">
      <c r="A946">
        <v>945</v>
      </c>
      <c r="B946">
        <v>1004941</v>
      </c>
      <c r="C946" s="1" t="str">
        <f>HYPERLINK("http://stackoverflow.com/users/1004941", "Li Dong")</f>
        <v>Li Dong</v>
      </c>
      <c r="D946" t="s">
        <v>5</v>
      </c>
      <c r="E946">
        <v>593</v>
      </c>
    </row>
    <row r="947" spans="1:5" x14ac:dyDescent="0.25">
      <c r="A947">
        <v>946</v>
      </c>
      <c r="B947">
        <v>4242454</v>
      </c>
      <c r="C947" s="1" t="str">
        <f>HYPERLINK("http://stackoverflow.com/users/4242454", "Kevin_wyx")</f>
        <v>Kevin_wyx</v>
      </c>
      <c r="D947" t="s">
        <v>93</v>
      </c>
      <c r="E947">
        <v>593</v>
      </c>
    </row>
    <row r="948" spans="1:5" x14ac:dyDescent="0.25">
      <c r="A948">
        <v>947</v>
      </c>
      <c r="B948">
        <v>2710165</v>
      </c>
      <c r="C948" s="1" t="str">
        <f>HYPERLINK("http://stackoverflow.com/users/2710165", "shrekuu")</f>
        <v>shrekuu</v>
      </c>
      <c r="D948" t="s">
        <v>54</v>
      </c>
      <c r="E948">
        <v>593</v>
      </c>
    </row>
    <row r="949" spans="1:5" x14ac:dyDescent="0.25">
      <c r="A949">
        <v>948</v>
      </c>
      <c r="B949">
        <v>505334</v>
      </c>
      <c r="C949" s="1" t="str">
        <f>HYPERLINK("http://stackoverflow.com/users/505334", "Lei Xu")</f>
        <v>Lei Xu</v>
      </c>
      <c r="D949" t="s">
        <v>5</v>
      </c>
      <c r="E949">
        <v>591</v>
      </c>
    </row>
    <row r="950" spans="1:5" x14ac:dyDescent="0.25">
      <c r="A950">
        <v>949</v>
      </c>
      <c r="B950">
        <v>447642</v>
      </c>
      <c r="C950" s="1" t="str">
        <f>HYPERLINK("http://stackoverflow.com/users/447642", "Eric Chai")</f>
        <v>Eric Chai</v>
      </c>
      <c r="D950" t="s">
        <v>5</v>
      </c>
      <c r="E950">
        <v>590</v>
      </c>
    </row>
    <row r="951" spans="1:5" x14ac:dyDescent="0.25">
      <c r="A951">
        <v>950</v>
      </c>
      <c r="B951">
        <v>3968307</v>
      </c>
      <c r="C951" s="1" t="str">
        <f>HYPERLINK("http://stackoverflow.com/users/3968307", "ravin.wang")</f>
        <v>ravin.wang</v>
      </c>
      <c r="D951" t="s">
        <v>4</v>
      </c>
      <c r="E951">
        <v>590</v>
      </c>
    </row>
    <row r="952" spans="1:5" x14ac:dyDescent="0.25">
      <c r="A952">
        <v>951</v>
      </c>
      <c r="B952">
        <v>158132</v>
      </c>
      <c r="C952" s="1" t="str">
        <f>HYPERLINK("http://stackoverflow.com/users/158132", "C.C.")</f>
        <v>C.C.</v>
      </c>
      <c r="D952" t="s">
        <v>94</v>
      </c>
      <c r="E952">
        <v>589</v>
      </c>
    </row>
    <row r="953" spans="1:5" x14ac:dyDescent="0.25">
      <c r="A953">
        <v>952</v>
      </c>
      <c r="B953">
        <v>501639</v>
      </c>
      <c r="C953" s="1" t="str">
        <f>HYPERLINK("http://stackoverflow.com/users/501639", "truease.com")</f>
        <v>truease.com</v>
      </c>
      <c r="D953" t="s">
        <v>12</v>
      </c>
      <c r="E953">
        <v>588</v>
      </c>
    </row>
    <row r="954" spans="1:5" x14ac:dyDescent="0.25">
      <c r="A954">
        <v>953</v>
      </c>
      <c r="B954">
        <v>4861655</v>
      </c>
      <c r="C954" s="1" t="str">
        <f>HYPERLINK("http://stackoverflow.com/users/4861655", "wizChen")</f>
        <v>wizChen</v>
      </c>
      <c r="D954" t="s">
        <v>56</v>
      </c>
      <c r="E954">
        <v>588</v>
      </c>
    </row>
    <row r="955" spans="1:5" x14ac:dyDescent="0.25">
      <c r="A955">
        <v>954</v>
      </c>
      <c r="B955">
        <v>418070</v>
      </c>
      <c r="C955" s="1" t="str">
        <f>HYPERLINK("http://stackoverflow.com/users/418070", "Felix Chan")</f>
        <v>Felix Chan</v>
      </c>
      <c r="D955" t="s">
        <v>12</v>
      </c>
      <c r="E955">
        <v>588</v>
      </c>
    </row>
    <row r="956" spans="1:5" x14ac:dyDescent="0.25">
      <c r="A956">
        <v>955</v>
      </c>
      <c r="B956">
        <v>696033</v>
      </c>
      <c r="C956" s="1" t="str">
        <f>HYPERLINK("http://stackoverflow.com/users/696033", "Justin")</f>
        <v>Justin</v>
      </c>
      <c r="D956" t="s">
        <v>22</v>
      </c>
      <c r="E956">
        <v>588</v>
      </c>
    </row>
    <row r="957" spans="1:5" x14ac:dyDescent="0.25">
      <c r="A957">
        <v>956</v>
      </c>
      <c r="B957">
        <v>1389917</v>
      </c>
      <c r="C957" s="1" t="str">
        <f>HYPERLINK("http://stackoverflow.com/users/1389917", "天才小飞猫")</f>
        <v>天才小飞猫</v>
      </c>
      <c r="D957" t="s">
        <v>5</v>
      </c>
      <c r="E957">
        <v>587</v>
      </c>
    </row>
    <row r="958" spans="1:5" x14ac:dyDescent="0.25">
      <c r="A958">
        <v>957</v>
      </c>
      <c r="B958">
        <v>1089262</v>
      </c>
      <c r="C958" s="1" t="str">
        <f>HYPERLINK("http://stackoverflow.com/users/1089262", "Daniel Dai")</f>
        <v>Daniel Dai</v>
      </c>
      <c r="D958" t="s">
        <v>5</v>
      </c>
      <c r="E958">
        <v>587</v>
      </c>
    </row>
    <row r="959" spans="1:5" x14ac:dyDescent="0.25">
      <c r="A959">
        <v>958</v>
      </c>
      <c r="B959">
        <v>1887381</v>
      </c>
      <c r="C959" s="1" t="str">
        <f>HYPERLINK("http://stackoverflow.com/users/1887381", "alucard.g")</f>
        <v>alucard.g</v>
      </c>
      <c r="D959" t="s">
        <v>5</v>
      </c>
      <c r="E959">
        <v>586</v>
      </c>
    </row>
    <row r="960" spans="1:5" x14ac:dyDescent="0.25">
      <c r="A960">
        <v>959</v>
      </c>
      <c r="B960">
        <v>1340144</v>
      </c>
      <c r="C960" s="1" t="str">
        <f>HYPERLINK("http://stackoverflow.com/users/1340144", "Wang Bin")</f>
        <v>Wang Bin</v>
      </c>
      <c r="D960" t="s">
        <v>5</v>
      </c>
      <c r="E960">
        <v>586</v>
      </c>
    </row>
    <row r="961" spans="1:5" x14ac:dyDescent="0.25">
      <c r="A961">
        <v>960</v>
      </c>
      <c r="B961">
        <v>1145976</v>
      </c>
      <c r="C961" s="1" t="str">
        <f>HYPERLINK("http://stackoverflow.com/users/1145976", "shanwu")</f>
        <v>shanwu</v>
      </c>
      <c r="D961" t="s">
        <v>5</v>
      </c>
      <c r="E961">
        <v>585</v>
      </c>
    </row>
    <row r="962" spans="1:5" x14ac:dyDescent="0.25">
      <c r="A962">
        <v>961</v>
      </c>
      <c r="B962">
        <v>3475912</v>
      </c>
      <c r="C962" s="1" t="str">
        <f>HYPERLINK("http://stackoverflow.com/users/3475912", "thuzhf")</f>
        <v>thuzhf</v>
      </c>
      <c r="D962" t="s">
        <v>5</v>
      </c>
      <c r="E962">
        <v>585</v>
      </c>
    </row>
    <row r="963" spans="1:5" x14ac:dyDescent="0.25">
      <c r="A963">
        <v>962</v>
      </c>
      <c r="B963">
        <v>974454</v>
      </c>
      <c r="C963" s="1" t="str">
        <f>HYPERLINK("http://stackoverflow.com/users/974454", "likaiguo.happy")</f>
        <v>likaiguo.happy</v>
      </c>
      <c r="D963" t="s">
        <v>28</v>
      </c>
      <c r="E963">
        <v>585</v>
      </c>
    </row>
    <row r="964" spans="1:5" x14ac:dyDescent="0.25">
      <c r="A964">
        <v>963</v>
      </c>
      <c r="B964">
        <v>7549930</v>
      </c>
      <c r="C964" s="1" t="str">
        <f>HYPERLINK("http://stackoverflow.com/users/7549930", "soloice")</f>
        <v>soloice</v>
      </c>
      <c r="D964" t="s">
        <v>95</v>
      </c>
      <c r="E964">
        <v>585</v>
      </c>
    </row>
    <row r="965" spans="1:5" x14ac:dyDescent="0.25">
      <c r="A965">
        <v>964</v>
      </c>
      <c r="B965">
        <v>890991</v>
      </c>
      <c r="C965" s="1" t="str">
        <f>HYPERLINK("http://stackoverflow.com/users/890991", "Jiaming Lu")</f>
        <v>Jiaming Lu</v>
      </c>
      <c r="D965" t="s">
        <v>4</v>
      </c>
      <c r="E965">
        <v>583</v>
      </c>
    </row>
    <row r="966" spans="1:5" x14ac:dyDescent="0.25">
      <c r="A966">
        <v>965</v>
      </c>
      <c r="B966">
        <v>5267494</v>
      </c>
      <c r="C966" s="1" t="str">
        <f>HYPERLINK("http://stackoverflow.com/users/5267494", "SLdragon")</f>
        <v>SLdragon</v>
      </c>
      <c r="D966" t="s">
        <v>4</v>
      </c>
      <c r="E966">
        <v>580</v>
      </c>
    </row>
    <row r="967" spans="1:5" x14ac:dyDescent="0.25">
      <c r="A967">
        <v>966</v>
      </c>
      <c r="B967">
        <v>3461734</v>
      </c>
      <c r="C967" s="1" t="str">
        <f>HYPERLINK("http://stackoverflow.com/users/3461734", "ar-ms")</f>
        <v>ar-ms</v>
      </c>
      <c r="D967" t="s">
        <v>5</v>
      </c>
      <c r="E967">
        <v>580</v>
      </c>
    </row>
    <row r="968" spans="1:5" x14ac:dyDescent="0.25">
      <c r="A968">
        <v>967</v>
      </c>
      <c r="B968">
        <v>263191</v>
      </c>
      <c r="C968" s="1" t="str">
        <f>HYPERLINK("http://stackoverflow.com/users/263191", "photon")</f>
        <v>photon</v>
      </c>
      <c r="D968" t="s">
        <v>35</v>
      </c>
      <c r="E968">
        <v>579</v>
      </c>
    </row>
    <row r="969" spans="1:5" x14ac:dyDescent="0.25">
      <c r="A969">
        <v>968</v>
      </c>
      <c r="B969">
        <v>1960612</v>
      </c>
      <c r="C969" s="1" t="str">
        <f>HYPERLINK("http://stackoverflow.com/users/1960612", "Yarco")</f>
        <v>Yarco</v>
      </c>
      <c r="D969" t="s">
        <v>4</v>
      </c>
      <c r="E969">
        <v>578</v>
      </c>
    </row>
    <row r="970" spans="1:5" x14ac:dyDescent="0.25">
      <c r="A970">
        <v>969</v>
      </c>
      <c r="B970">
        <v>1241250</v>
      </c>
      <c r="C970" s="1" t="str">
        <f>HYPERLINK("http://stackoverflow.com/users/1241250", "Qiaosen Huang")</f>
        <v>Qiaosen Huang</v>
      </c>
      <c r="D970" t="s">
        <v>12</v>
      </c>
      <c r="E970">
        <v>578</v>
      </c>
    </row>
    <row r="971" spans="1:5" x14ac:dyDescent="0.25">
      <c r="A971">
        <v>970</v>
      </c>
      <c r="B971">
        <v>245345</v>
      </c>
      <c r="C971" s="1" t="str">
        <f>HYPERLINK("http://stackoverflow.com/users/245345", "Evi Song")</f>
        <v>Evi Song</v>
      </c>
      <c r="D971" t="s">
        <v>5</v>
      </c>
      <c r="E971">
        <v>578</v>
      </c>
    </row>
    <row r="972" spans="1:5" x14ac:dyDescent="0.25">
      <c r="A972">
        <v>971</v>
      </c>
      <c r="B972">
        <v>3374759</v>
      </c>
      <c r="C972" s="1" t="str">
        <f>HYPERLINK("http://stackoverflow.com/users/3374759", "Jiang")</f>
        <v>Jiang</v>
      </c>
      <c r="D972" t="s">
        <v>5</v>
      </c>
      <c r="E972">
        <v>576</v>
      </c>
    </row>
    <row r="973" spans="1:5" x14ac:dyDescent="0.25">
      <c r="A973">
        <v>972</v>
      </c>
      <c r="B973">
        <v>753533</v>
      </c>
      <c r="C973" s="1" t="str">
        <f>HYPERLINK("http://stackoverflow.com/users/753533", "Mengdi Gao")</f>
        <v>Mengdi Gao</v>
      </c>
      <c r="D973" t="s">
        <v>5</v>
      </c>
      <c r="E973">
        <v>575</v>
      </c>
    </row>
    <row r="974" spans="1:5" x14ac:dyDescent="0.25">
      <c r="A974">
        <v>973</v>
      </c>
      <c r="B974">
        <v>1697017</v>
      </c>
      <c r="C974" s="1" t="str">
        <f>HYPERLINK("http://stackoverflow.com/users/1697017", "Brady Zhu")</f>
        <v>Brady Zhu</v>
      </c>
      <c r="D974" t="s">
        <v>4</v>
      </c>
      <c r="E974">
        <v>575</v>
      </c>
    </row>
    <row r="975" spans="1:5" x14ac:dyDescent="0.25">
      <c r="A975">
        <v>974</v>
      </c>
      <c r="B975">
        <v>3358215</v>
      </c>
      <c r="C975" s="1" t="str">
        <f>HYPERLINK("http://stackoverflow.com/users/3358215", "qin")</f>
        <v>qin</v>
      </c>
      <c r="D975" t="s">
        <v>5</v>
      </c>
      <c r="E975">
        <v>575</v>
      </c>
    </row>
    <row r="976" spans="1:5" x14ac:dyDescent="0.25">
      <c r="A976">
        <v>975</v>
      </c>
      <c r="B976">
        <v>528400</v>
      </c>
      <c r="C976" s="1" t="str">
        <f>HYPERLINK("http://stackoverflow.com/users/528400", "Lu Ming")</f>
        <v>Lu Ming</v>
      </c>
      <c r="D976" t="s">
        <v>5</v>
      </c>
      <c r="E976">
        <v>574</v>
      </c>
    </row>
    <row r="977" spans="1:5" x14ac:dyDescent="0.25">
      <c r="A977">
        <v>976</v>
      </c>
      <c r="B977">
        <v>1249216</v>
      </c>
      <c r="C977" s="1" t="str">
        <f>HYPERLINK("http://stackoverflow.com/users/1249216", "zsounder")</f>
        <v>zsounder</v>
      </c>
      <c r="D977" t="s">
        <v>5</v>
      </c>
      <c r="E977">
        <v>573</v>
      </c>
    </row>
    <row r="978" spans="1:5" x14ac:dyDescent="0.25">
      <c r="A978">
        <v>977</v>
      </c>
      <c r="B978">
        <v>7194276</v>
      </c>
      <c r="C978" s="1" t="str">
        <f>HYPERLINK("http://stackoverflow.com/users/7194276", "Matt Douhan")</f>
        <v>Matt Douhan</v>
      </c>
      <c r="D978" t="s">
        <v>4</v>
      </c>
      <c r="E978">
        <v>572</v>
      </c>
    </row>
    <row r="979" spans="1:5" x14ac:dyDescent="0.25">
      <c r="A979">
        <v>978</v>
      </c>
      <c r="B979">
        <v>3278171</v>
      </c>
      <c r="C979" s="1" t="str">
        <f>HYPERLINK("http://stackoverflow.com/users/3278171", "hsfzxjy")</f>
        <v>hsfzxjy</v>
      </c>
      <c r="D979" t="s">
        <v>21</v>
      </c>
      <c r="E979">
        <v>572</v>
      </c>
    </row>
    <row r="980" spans="1:5" x14ac:dyDescent="0.25">
      <c r="A980">
        <v>979</v>
      </c>
      <c r="B980">
        <v>838233</v>
      </c>
      <c r="C980" s="1" t="str">
        <f>HYPERLINK("http://stackoverflow.com/users/838233", "sam sha")</f>
        <v>sam sha</v>
      </c>
      <c r="D980" t="s">
        <v>4</v>
      </c>
      <c r="E980">
        <v>572</v>
      </c>
    </row>
    <row r="981" spans="1:5" x14ac:dyDescent="0.25">
      <c r="A981">
        <v>980</v>
      </c>
      <c r="B981">
        <v>498087</v>
      </c>
      <c r="C981" s="1" t="str">
        <f>HYPERLINK("http://stackoverflow.com/users/498087", "Scarlett")</f>
        <v>Scarlett</v>
      </c>
      <c r="D981" t="s">
        <v>17</v>
      </c>
      <c r="E981">
        <v>571</v>
      </c>
    </row>
    <row r="982" spans="1:5" x14ac:dyDescent="0.25">
      <c r="A982">
        <v>981</v>
      </c>
      <c r="B982">
        <v>2603713</v>
      </c>
      <c r="C982" s="1" t="str">
        <f>HYPERLINK("http://stackoverflow.com/users/2603713", "Shinoka")</f>
        <v>Shinoka</v>
      </c>
      <c r="D982" t="s">
        <v>96</v>
      </c>
      <c r="E982">
        <v>571</v>
      </c>
    </row>
    <row r="983" spans="1:5" x14ac:dyDescent="0.25">
      <c r="A983">
        <v>982</v>
      </c>
      <c r="B983">
        <v>744916</v>
      </c>
      <c r="C983" s="1" t="str">
        <f>HYPERLINK("http://stackoverflow.com/users/744916", "Tallmad")</f>
        <v>Tallmad</v>
      </c>
      <c r="D983" t="s">
        <v>4</v>
      </c>
      <c r="E983">
        <v>570</v>
      </c>
    </row>
    <row r="984" spans="1:5" x14ac:dyDescent="0.25">
      <c r="A984">
        <v>983</v>
      </c>
      <c r="B984">
        <v>1868812</v>
      </c>
      <c r="C984" s="1" t="str">
        <f>HYPERLINK("http://stackoverflow.com/users/1868812", "Phoenix")</f>
        <v>Phoenix</v>
      </c>
      <c r="D984" t="s">
        <v>4</v>
      </c>
      <c r="E984">
        <v>570</v>
      </c>
    </row>
    <row r="985" spans="1:5" x14ac:dyDescent="0.25">
      <c r="A985">
        <v>984</v>
      </c>
      <c r="B985">
        <v>1479138</v>
      </c>
      <c r="C985" s="1" t="str">
        <f>HYPERLINK("http://stackoverflow.com/users/1479138", "Zhengyang Liu")</f>
        <v>Zhengyang Liu</v>
      </c>
      <c r="D985" t="s">
        <v>5</v>
      </c>
      <c r="E985">
        <v>569</v>
      </c>
    </row>
    <row r="986" spans="1:5" x14ac:dyDescent="0.25">
      <c r="A986">
        <v>985</v>
      </c>
      <c r="B986">
        <v>3917295</v>
      </c>
      <c r="C986" s="1" t="str">
        <f>HYPERLINK("http://stackoverflow.com/users/3917295", "vinllen")</f>
        <v>vinllen</v>
      </c>
      <c r="D986" t="s">
        <v>5</v>
      </c>
      <c r="E986">
        <v>569</v>
      </c>
    </row>
    <row r="987" spans="1:5" x14ac:dyDescent="0.25">
      <c r="A987">
        <v>986</v>
      </c>
      <c r="B987">
        <v>3377836</v>
      </c>
      <c r="C987" s="1" t="str">
        <f>HYPERLINK("http://stackoverflow.com/users/3377836", "frank")</f>
        <v>frank</v>
      </c>
      <c r="D987" t="s">
        <v>17</v>
      </c>
      <c r="E987">
        <v>568</v>
      </c>
    </row>
    <row r="988" spans="1:5" x14ac:dyDescent="0.25">
      <c r="A988">
        <v>987</v>
      </c>
      <c r="B988">
        <v>566330</v>
      </c>
      <c r="C988" s="1" t="str">
        <f>HYPERLINK("http://stackoverflow.com/users/566330", "David Dai")</f>
        <v>David Dai</v>
      </c>
      <c r="D988" t="s">
        <v>97</v>
      </c>
      <c r="E988">
        <v>568</v>
      </c>
    </row>
    <row r="989" spans="1:5" x14ac:dyDescent="0.25">
      <c r="A989">
        <v>988</v>
      </c>
      <c r="B989">
        <v>985423</v>
      </c>
      <c r="C989" s="1" t="str">
        <f>HYPERLINK("http://stackoverflow.com/users/985423", "Siyuan Miao")</f>
        <v>Siyuan Miao</v>
      </c>
      <c r="D989" t="s">
        <v>98</v>
      </c>
      <c r="E989">
        <v>566</v>
      </c>
    </row>
    <row r="990" spans="1:5" x14ac:dyDescent="0.25">
      <c r="A990">
        <v>989</v>
      </c>
      <c r="B990">
        <v>1691873</v>
      </c>
      <c r="C990" s="1" t="str">
        <f>HYPERLINK("http://stackoverflow.com/users/1691873", "elinx")</f>
        <v>elinx</v>
      </c>
      <c r="D990" t="s">
        <v>12</v>
      </c>
      <c r="E990">
        <v>566</v>
      </c>
    </row>
    <row r="991" spans="1:5" x14ac:dyDescent="0.25">
      <c r="A991">
        <v>990</v>
      </c>
      <c r="B991">
        <v>945796</v>
      </c>
      <c r="C991" s="1" t="str">
        <f>HYPERLINK("http://stackoverflow.com/users/945796", "jianhua")</f>
        <v>jianhua</v>
      </c>
      <c r="D991" t="s">
        <v>4</v>
      </c>
      <c r="E991">
        <v>566</v>
      </c>
    </row>
    <row r="992" spans="1:5" x14ac:dyDescent="0.25">
      <c r="A992">
        <v>991</v>
      </c>
      <c r="B992">
        <v>894451</v>
      </c>
      <c r="C992" s="1" t="str">
        <f>HYPERLINK("http://stackoverflow.com/users/894451", "Lingfeng Xiong")</f>
        <v>Lingfeng Xiong</v>
      </c>
      <c r="D992" t="s">
        <v>99</v>
      </c>
      <c r="E992">
        <v>566</v>
      </c>
    </row>
    <row r="993" spans="1:5" x14ac:dyDescent="0.25">
      <c r="A993">
        <v>992</v>
      </c>
      <c r="B993">
        <v>1268526</v>
      </c>
      <c r="C993" s="1" t="str">
        <f>HYPERLINK("http://stackoverflow.com/users/1268526", "Jeroen de Lau")</f>
        <v>Jeroen de Lau</v>
      </c>
      <c r="D993" t="s">
        <v>5</v>
      </c>
      <c r="E993">
        <v>564</v>
      </c>
    </row>
    <row r="994" spans="1:5" x14ac:dyDescent="0.25">
      <c r="A994">
        <v>993</v>
      </c>
      <c r="B994">
        <v>2378918</v>
      </c>
      <c r="C994" s="1" t="str">
        <f>HYPERLINK("http://stackoverflow.com/users/2378918", "jaredsk")</f>
        <v>jaredsk</v>
      </c>
      <c r="D994" t="s">
        <v>4</v>
      </c>
      <c r="E994">
        <v>564</v>
      </c>
    </row>
    <row r="995" spans="1:5" x14ac:dyDescent="0.25">
      <c r="A995">
        <v>994</v>
      </c>
      <c r="B995">
        <v>1764290</v>
      </c>
      <c r="C995" s="1" t="str">
        <f>HYPERLINK("http://stackoverflow.com/users/1764290", "aGuegu")</f>
        <v>aGuegu</v>
      </c>
      <c r="D995" t="s">
        <v>96</v>
      </c>
      <c r="E995">
        <v>564</v>
      </c>
    </row>
    <row r="996" spans="1:5" x14ac:dyDescent="0.25">
      <c r="A996">
        <v>995</v>
      </c>
      <c r="B996">
        <v>405193</v>
      </c>
      <c r="C996" s="1" t="str">
        <f>HYPERLINK("http://stackoverflow.com/users/405193", "jesse cai")</f>
        <v>jesse cai</v>
      </c>
      <c r="D996" t="s">
        <v>17</v>
      </c>
      <c r="E996">
        <v>563</v>
      </c>
    </row>
    <row r="997" spans="1:5" x14ac:dyDescent="0.25">
      <c r="A997">
        <v>996</v>
      </c>
      <c r="B997">
        <v>5673962</v>
      </c>
      <c r="C997" s="1" t="str">
        <f>HYPERLINK("http://stackoverflow.com/users/5673962", "Zhang Chao")</f>
        <v>Zhang Chao</v>
      </c>
      <c r="D997" t="s">
        <v>5</v>
      </c>
      <c r="E997">
        <v>562</v>
      </c>
    </row>
    <row r="998" spans="1:5" x14ac:dyDescent="0.25">
      <c r="A998">
        <v>997</v>
      </c>
      <c r="B998">
        <v>1942681</v>
      </c>
      <c r="C998" s="1" t="str">
        <f>HYPERLINK("http://stackoverflow.com/users/1942681", "ray6080")</f>
        <v>ray6080</v>
      </c>
      <c r="D998" t="s">
        <v>100</v>
      </c>
      <c r="E998">
        <v>561</v>
      </c>
    </row>
    <row r="999" spans="1:5" x14ac:dyDescent="0.25">
      <c r="A999">
        <v>998</v>
      </c>
      <c r="B999">
        <v>1303663</v>
      </c>
      <c r="C999" s="1" t="str">
        <f>HYPERLINK("http://stackoverflow.com/users/1303663", "Justin wong")</f>
        <v>Justin wong</v>
      </c>
      <c r="D999" t="s">
        <v>5</v>
      </c>
      <c r="E999">
        <v>560</v>
      </c>
    </row>
    <row r="1000" spans="1:5" x14ac:dyDescent="0.25">
      <c r="A1000">
        <v>999</v>
      </c>
      <c r="B1000">
        <v>5950470</v>
      </c>
      <c r="C1000" s="1" t="str">
        <f>HYPERLINK("http://stackoverflow.com/users/5950470", "Abhilash Nayak")</f>
        <v>Abhilash Nayak</v>
      </c>
      <c r="D1000" t="s">
        <v>7</v>
      </c>
      <c r="E1000">
        <v>559</v>
      </c>
    </row>
    <row r="1001" spans="1:5" x14ac:dyDescent="0.25">
      <c r="A1001">
        <v>1000</v>
      </c>
      <c r="B1001">
        <v>2969074</v>
      </c>
      <c r="C1001" s="1" t="str">
        <f>HYPERLINK("http://stackoverflow.com/users/2969074", "Emmanuel N K")</f>
        <v>Emmanuel N K</v>
      </c>
      <c r="D1001" t="s">
        <v>5</v>
      </c>
      <c r="E1001">
        <v>559</v>
      </c>
    </row>
    <row r="1002" spans="1:5" x14ac:dyDescent="0.25">
      <c r="A1002">
        <v>1001</v>
      </c>
      <c r="B1002">
        <v>1728767</v>
      </c>
      <c r="C1002" s="1" t="str">
        <f>HYPERLINK("http://stackoverflow.com/users/1728767", "Z. Lin")</f>
        <v>Z. Lin</v>
      </c>
      <c r="D1002" t="s">
        <v>4</v>
      </c>
      <c r="E1002">
        <v>558</v>
      </c>
    </row>
    <row r="1003" spans="1:5" x14ac:dyDescent="0.25">
      <c r="A1003">
        <v>1002</v>
      </c>
      <c r="B1003">
        <v>1294322</v>
      </c>
      <c r="C1003" s="1" t="str">
        <f>HYPERLINK("http://stackoverflow.com/users/1294322", "Ezio")</f>
        <v>Ezio</v>
      </c>
      <c r="D1003" t="s">
        <v>5</v>
      </c>
      <c r="E1003">
        <v>558</v>
      </c>
    </row>
    <row r="1004" spans="1:5" x14ac:dyDescent="0.25">
      <c r="A1004">
        <v>1003</v>
      </c>
      <c r="B1004">
        <v>1340768</v>
      </c>
      <c r="C1004" s="1" t="str">
        <f>HYPERLINK("http://stackoverflow.com/users/1340768", "Jimmy Zhang")</f>
        <v>Jimmy Zhang</v>
      </c>
      <c r="D1004" t="s">
        <v>4</v>
      </c>
      <c r="E1004">
        <v>556</v>
      </c>
    </row>
    <row r="1005" spans="1:5" x14ac:dyDescent="0.25">
      <c r="A1005">
        <v>1004</v>
      </c>
      <c r="B1005">
        <v>174417</v>
      </c>
      <c r="C1005" s="1" t="str">
        <f>HYPERLINK("http://stackoverflow.com/users/174417", "ibread")</f>
        <v>ibread</v>
      </c>
      <c r="D1005" t="s">
        <v>5</v>
      </c>
      <c r="E1005">
        <v>555</v>
      </c>
    </row>
    <row r="1006" spans="1:5" x14ac:dyDescent="0.25">
      <c r="A1006">
        <v>1005</v>
      </c>
      <c r="B1006">
        <v>7255149</v>
      </c>
      <c r="C1006" s="1" t="str">
        <f>HYPERLINK("http://stackoverflow.com/users/7255149", "Justin Yueh")</f>
        <v>Justin Yueh</v>
      </c>
      <c r="D1006" t="s">
        <v>4</v>
      </c>
      <c r="E1006">
        <v>555</v>
      </c>
    </row>
    <row r="1007" spans="1:5" x14ac:dyDescent="0.25">
      <c r="A1007">
        <v>1006</v>
      </c>
      <c r="B1007">
        <v>2828685</v>
      </c>
      <c r="C1007" s="1" t="str">
        <f>HYPERLINK("http://stackoverflow.com/users/2828685", "Almett")</f>
        <v>Almett</v>
      </c>
      <c r="D1007" t="s">
        <v>5</v>
      </c>
      <c r="E1007">
        <v>554</v>
      </c>
    </row>
    <row r="1008" spans="1:5" x14ac:dyDescent="0.25">
      <c r="A1008">
        <v>1007</v>
      </c>
      <c r="B1008">
        <v>2952138</v>
      </c>
      <c r="C1008" s="1" t="str">
        <f>HYPERLINK("http://stackoverflow.com/users/2952138", "zayn")</f>
        <v>zayn</v>
      </c>
      <c r="D1008" t="s">
        <v>7</v>
      </c>
      <c r="E1008">
        <v>553</v>
      </c>
    </row>
    <row r="1009" spans="1:5" x14ac:dyDescent="0.25">
      <c r="A1009">
        <v>1008</v>
      </c>
      <c r="B1009">
        <v>2351262</v>
      </c>
      <c r="C1009" s="1" t="str">
        <f>HYPERLINK("http://stackoverflow.com/users/2351262", "Roger")</f>
        <v>Roger</v>
      </c>
      <c r="D1009" t="s">
        <v>8</v>
      </c>
      <c r="E1009">
        <v>553</v>
      </c>
    </row>
    <row r="1010" spans="1:5" x14ac:dyDescent="0.25">
      <c r="A1010">
        <v>1009</v>
      </c>
      <c r="B1010">
        <v>1513552</v>
      </c>
      <c r="C1010" s="1" t="str">
        <f>HYPERLINK("http://stackoverflow.com/users/1513552", "loveky")</f>
        <v>loveky</v>
      </c>
      <c r="D1010" t="s">
        <v>5</v>
      </c>
      <c r="E1010">
        <v>552</v>
      </c>
    </row>
    <row r="1011" spans="1:5" x14ac:dyDescent="0.25">
      <c r="A1011">
        <v>1010</v>
      </c>
      <c r="B1011">
        <v>379646</v>
      </c>
      <c r="C1011" s="1" t="str">
        <f>HYPERLINK("http://stackoverflow.com/users/379646", "snow8261")</f>
        <v>snow8261</v>
      </c>
      <c r="D1011" t="s">
        <v>4</v>
      </c>
      <c r="E1011">
        <v>552</v>
      </c>
    </row>
    <row r="1012" spans="1:5" x14ac:dyDescent="0.25">
      <c r="A1012">
        <v>1011</v>
      </c>
      <c r="B1012">
        <v>2823791</v>
      </c>
      <c r="C1012" s="1" t="str">
        <f>HYPERLINK("http://stackoverflow.com/users/2823791", "VicX")</f>
        <v>VicX</v>
      </c>
      <c r="D1012" t="s">
        <v>4</v>
      </c>
      <c r="E1012">
        <v>551</v>
      </c>
    </row>
    <row r="1013" spans="1:5" x14ac:dyDescent="0.25">
      <c r="A1013">
        <v>1012</v>
      </c>
      <c r="B1013">
        <v>1265569</v>
      </c>
      <c r="C1013" s="1" t="str">
        <f>HYPERLINK("http://stackoverflow.com/users/1265569", "Yue Zhang")</f>
        <v>Yue Zhang</v>
      </c>
      <c r="D1013" t="s">
        <v>57</v>
      </c>
      <c r="E1013">
        <v>551</v>
      </c>
    </row>
    <row r="1014" spans="1:5" x14ac:dyDescent="0.25">
      <c r="A1014">
        <v>1013</v>
      </c>
      <c r="B1014">
        <v>2310331</v>
      </c>
      <c r="C1014" s="1" t="str">
        <f>HYPERLINK("http://stackoverflow.com/users/2310331", "david30xie")</f>
        <v>david30xie</v>
      </c>
      <c r="D1014" t="s">
        <v>54</v>
      </c>
      <c r="E1014">
        <v>551</v>
      </c>
    </row>
    <row r="1015" spans="1:5" x14ac:dyDescent="0.25">
      <c r="A1015">
        <v>1014</v>
      </c>
      <c r="B1015">
        <v>222072</v>
      </c>
      <c r="C1015" s="1" t="str">
        <f>HYPERLINK("http://stackoverflow.com/users/222072", "Dong")</f>
        <v>Dong</v>
      </c>
      <c r="D1015" t="s">
        <v>5</v>
      </c>
      <c r="E1015">
        <v>551</v>
      </c>
    </row>
    <row r="1016" spans="1:5" x14ac:dyDescent="0.25">
      <c r="A1016">
        <v>1015</v>
      </c>
      <c r="B1016">
        <v>2420010</v>
      </c>
      <c r="C1016" s="1" t="str">
        <f>HYPERLINK("http://stackoverflow.com/users/2420010", "MaxMxx")</f>
        <v>MaxMxx</v>
      </c>
      <c r="D1016" t="s">
        <v>5</v>
      </c>
      <c r="E1016">
        <v>551</v>
      </c>
    </row>
    <row r="1017" spans="1:5" x14ac:dyDescent="0.25">
      <c r="A1017">
        <v>1016</v>
      </c>
      <c r="B1017">
        <v>567873</v>
      </c>
      <c r="C1017" s="1" t="str">
        <f>HYPERLINK("http://stackoverflow.com/users/567873", "2power10")</f>
        <v>2power10</v>
      </c>
      <c r="D1017" t="s">
        <v>4</v>
      </c>
      <c r="E1017">
        <v>551</v>
      </c>
    </row>
    <row r="1018" spans="1:5" x14ac:dyDescent="0.25">
      <c r="A1018">
        <v>1017</v>
      </c>
      <c r="B1018">
        <v>2276379</v>
      </c>
      <c r="C1018" s="1" t="str">
        <f>HYPERLINK("http://stackoverflow.com/users/2276379", "resle")</f>
        <v>resle</v>
      </c>
      <c r="D1018" t="s">
        <v>4</v>
      </c>
      <c r="E1018">
        <v>550</v>
      </c>
    </row>
    <row r="1019" spans="1:5" x14ac:dyDescent="0.25">
      <c r="A1019">
        <v>1018</v>
      </c>
      <c r="B1019">
        <v>445440</v>
      </c>
      <c r="C1019" s="1" t="str">
        <f>HYPERLINK("http://stackoverflow.com/users/445440", "danny")</f>
        <v>danny</v>
      </c>
      <c r="D1019" t="s">
        <v>37</v>
      </c>
      <c r="E1019">
        <v>550</v>
      </c>
    </row>
    <row r="1020" spans="1:5" x14ac:dyDescent="0.25">
      <c r="A1020">
        <v>1019</v>
      </c>
      <c r="B1020">
        <v>707258</v>
      </c>
      <c r="C1020" s="1" t="str">
        <f>HYPERLINK("http://stackoverflow.com/users/707258", "Justineo")</f>
        <v>Justineo</v>
      </c>
      <c r="D1020" t="s">
        <v>4</v>
      </c>
      <c r="E1020">
        <v>550</v>
      </c>
    </row>
    <row r="1021" spans="1:5" x14ac:dyDescent="0.25">
      <c r="A1021">
        <v>1020</v>
      </c>
      <c r="B1021">
        <v>5237440</v>
      </c>
      <c r="C1021" s="1" t="str">
        <f>HYPERLINK("http://stackoverflow.com/users/5237440", "TianZeng")</f>
        <v>TianZeng</v>
      </c>
      <c r="D1021" t="s">
        <v>17</v>
      </c>
      <c r="E1021">
        <v>550</v>
      </c>
    </row>
    <row r="1022" spans="1:5" x14ac:dyDescent="0.25">
      <c r="A1022">
        <v>1021</v>
      </c>
      <c r="B1022">
        <v>3081675</v>
      </c>
      <c r="C1022" s="1" t="str">
        <f>HYPERLINK("http://stackoverflow.com/users/3081675", "Wiki Wang")</f>
        <v>Wiki Wang</v>
      </c>
      <c r="D1022" t="s">
        <v>43</v>
      </c>
      <c r="E1022">
        <v>549</v>
      </c>
    </row>
    <row r="1023" spans="1:5" x14ac:dyDescent="0.25">
      <c r="A1023">
        <v>1022</v>
      </c>
      <c r="B1023">
        <v>1423031</v>
      </c>
      <c r="C1023" s="1" t="str">
        <f>HYPERLINK("http://stackoverflow.com/users/1423031", "Avt'W")</f>
        <v>Avt'W</v>
      </c>
      <c r="D1023" t="s">
        <v>4</v>
      </c>
      <c r="E1023">
        <v>549</v>
      </c>
    </row>
    <row r="1024" spans="1:5" x14ac:dyDescent="0.25">
      <c r="A1024">
        <v>1023</v>
      </c>
      <c r="B1024">
        <v>2369823</v>
      </c>
      <c r="C1024" s="1" t="str">
        <f>HYPERLINK("http://stackoverflow.com/users/2369823", "Dolphin_Wood")</f>
        <v>Dolphin_Wood</v>
      </c>
      <c r="D1024" t="s">
        <v>5</v>
      </c>
      <c r="E1024">
        <v>549</v>
      </c>
    </row>
    <row r="1025" spans="1:5" x14ac:dyDescent="0.25">
      <c r="A1025">
        <v>1024</v>
      </c>
      <c r="B1025">
        <v>692223</v>
      </c>
      <c r="C1025" s="1" t="str">
        <f>HYPERLINK("http://stackoverflow.com/users/692223", "Steve")</f>
        <v>Steve</v>
      </c>
      <c r="D1025" t="s">
        <v>4</v>
      </c>
      <c r="E1025">
        <v>548</v>
      </c>
    </row>
    <row r="1026" spans="1:5" x14ac:dyDescent="0.25">
      <c r="A1026">
        <v>1025</v>
      </c>
      <c r="B1026">
        <v>325072</v>
      </c>
      <c r="C1026" s="1" t="str">
        <f>HYPERLINK("http://stackoverflow.com/users/325072", "tstyle")</f>
        <v>tstyle</v>
      </c>
      <c r="D1026" t="s">
        <v>5</v>
      </c>
      <c r="E1026">
        <v>548</v>
      </c>
    </row>
    <row r="1027" spans="1:5" x14ac:dyDescent="0.25">
      <c r="A1027">
        <v>1026</v>
      </c>
      <c r="B1027">
        <v>421478</v>
      </c>
      <c r="C1027" s="1" t="str">
        <f>HYPERLINK("http://stackoverflow.com/users/421478", "nouh")</f>
        <v>nouh</v>
      </c>
      <c r="D1027" t="s">
        <v>4</v>
      </c>
      <c r="E1027">
        <v>547</v>
      </c>
    </row>
    <row r="1028" spans="1:5" x14ac:dyDescent="0.25">
      <c r="A1028">
        <v>1027</v>
      </c>
      <c r="B1028">
        <v>107464</v>
      </c>
      <c r="C1028" s="1" t="str">
        <f>HYPERLINK("http://stackoverflow.com/users/107464", "agate")</f>
        <v>agate</v>
      </c>
      <c r="D1028" t="s">
        <v>4</v>
      </c>
      <c r="E1028">
        <v>547</v>
      </c>
    </row>
    <row r="1029" spans="1:5" x14ac:dyDescent="0.25">
      <c r="A1029">
        <v>1028</v>
      </c>
      <c r="B1029">
        <v>680186</v>
      </c>
      <c r="C1029" s="1" t="str">
        <f>HYPERLINK("http://stackoverflow.com/users/680186", "Yiming Tang")</f>
        <v>Yiming Tang</v>
      </c>
      <c r="D1029" t="s">
        <v>4</v>
      </c>
      <c r="E1029">
        <v>547</v>
      </c>
    </row>
    <row r="1030" spans="1:5" x14ac:dyDescent="0.25">
      <c r="A1030">
        <v>1029</v>
      </c>
      <c r="B1030">
        <v>1263164</v>
      </c>
      <c r="C1030" s="1" t="str">
        <f>HYPERLINK("http://stackoverflow.com/users/1263164", "big-circle")</f>
        <v>big-circle</v>
      </c>
      <c r="D1030" t="s">
        <v>5</v>
      </c>
      <c r="E1030">
        <v>547</v>
      </c>
    </row>
    <row r="1031" spans="1:5" x14ac:dyDescent="0.25">
      <c r="A1031">
        <v>1030</v>
      </c>
      <c r="B1031">
        <v>2160176</v>
      </c>
      <c r="C1031" s="1" t="str">
        <f>HYPERLINK("http://stackoverflow.com/users/2160176", "HongchaoZhang")</f>
        <v>HongchaoZhang</v>
      </c>
      <c r="D1031" t="s">
        <v>12</v>
      </c>
      <c r="E1031">
        <v>546</v>
      </c>
    </row>
    <row r="1032" spans="1:5" x14ac:dyDescent="0.25">
      <c r="A1032">
        <v>1031</v>
      </c>
      <c r="B1032">
        <v>7067655</v>
      </c>
      <c r="C1032" s="1" t="str">
        <f>HYPERLINK("http://stackoverflow.com/users/7067655", "Alessandro Solbiati")</f>
        <v>Alessandro Solbiati</v>
      </c>
      <c r="D1032" t="s">
        <v>4</v>
      </c>
      <c r="E1032">
        <v>546</v>
      </c>
    </row>
    <row r="1033" spans="1:5" x14ac:dyDescent="0.25">
      <c r="A1033">
        <v>1032</v>
      </c>
      <c r="B1033">
        <v>5218585</v>
      </c>
      <c r="C1033" s="1" t="str">
        <f>HYPERLINK("http://stackoverflow.com/users/5218585", "Allen Vork")</f>
        <v>Allen Vork</v>
      </c>
      <c r="D1033" t="s">
        <v>42</v>
      </c>
      <c r="E1033">
        <v>546</v>
      </c>
    </row>
    <row r="1034" spans="1:5" x14ac:dyDescent="0.25">
      <c r="A1034">
        <v>1033</v>
      </c>
      <c r="B1034">
        <v>3921045</v>
      </c>
      <c r="C1034" s="1" t="str">
        <f>HYPERLINK("http://stackoverflow.com/users/3921045", "elrrrrrrr")</f>
        <v>elrrrrrrr</v>
      </c>
      <c r="D1034" t="s">
        <v>4</v>
      </c>
      <c r="E1034">
        <v>546</v>
      </c>
    </row>
    <row r="1035" spans="1:5" x14ac:dyDescent="0.25">
      <c r="A1035">
        <v>1034</v>
      </c>
      <c r="B1035">
        <v>6032275</v>
      </c>
      <c r="C1035" s="1" t="str">
        <f>HYPERLINK("http://stackoverflow.com/users/6032275", "Timi")</f>
        <v>Timi</v>
      </c>
      <c r="D1035" t="s">
        <v>101</v>
      </c>
      <c r="E1035">
        <v>543</v>
      </c>
    </row>
    <row r="1036" spans="1:5" x14ac:dyDescent="0.25">
      <c r="A1036">
        <v>1035</v>
      </c>
      <c r="B1036">
        <v>4947234</v>
      </c>
      <c r="C1036" s="1" t="str">
        <f>HYPERLINK("http://stackoverflow.com/users/4947234", "Timothy.Li")</f>
        <v>Timothy.Li</v>
      </c>
      <c r="D1036" t="s">
        <v>4</v>
      </c>
      <c r="E1036">
        <v>541</v>
      </c>
    </row>
    <row r="1037" spans="1:5" x14ac:dyDescent="0.25">
      <c r="A1037">
        <v>1036</v>
      </c>
      <c r="B1037">
        <v>921169</v>
      </c>
      <c r="C1037" s="1" t="str">
        <f>HYPERLINK("http://stackoverflow.com/users/921169", "Amom")</f>
        <v>Amom</v>
      </c>
      <c r="D1037" t="s">
        <v>5</v>
      </c>
      <c r="E1037">
        <v>539</v>
      </c>
    </row>
    <row r="1038" spans="1:5" x14ac:dyDescent="0.25">
      <c r="A1038">
        <v>1037</v>
      </c>
      <c r="B1038">
        <v>1230772</v>
      </c>
      <c r="C1038" s="1" t="str">
        <f>HYPERLINK("http://stackoverflow.com/users/1230772", "chentingpc")</f>
        <v>chentingpc</v>
      </c>
      <c r="D1038" t="s">
        <v>5</v>
      </c>
      <c r="E1038">
        <v>538</v>
      </c>
    </row>
    <row r="1039" spans="1:5" x14ac:dyDescent="0.25">
      <c r="A1039">
        <v>1038</v>
      </c>
      <c r="B1039">
        <v>2361991</v>
      </c>
      <c r="C1039" s="1" t="str">
        <f>HYPERLINK("http://stackoverflow.com/users/2361991", "John Wu")</f>
        <v>John Wu</v>
      </c>
      <c r="D1039" t="s">
        <v>4</v>
      </c>
      <c r="E1039">
        <v>537</v>
      </c>
    </row>
    <row r="1040" spans="1:5" x14ac:dyDescent="0.25">
      <c r="A1040">
        <v>1039</v>
      </c>
      <c r="B1040">
        <v>4328122</v>
      </c>
      <c r="C1040" s="1" t="str">
        <f>HYPERLINK("http://stackoverflow.com/users/4328122", "Lei Shi")</f>
        <v>Lei Shi</v>
      </c>
      <c r="D1040" t="s">
        <v>4</v>
      </c>
      <c r="E1040">
        <v>537</v>
      </c>
    </row>
    <row r="1041" spans="1:5" x14ac:dyDescent="0.25">
      <c r="A1041">
        <v>1040</v>
      </c>
      <c r="B1041">
        <v>1461780</v>
      </c>
      <c r="C1041" s="1" t="str">
        <f>HYPERLINK("http://stackoverflow.com/users/1461780", "Leon Young")</f>
        <v>Leon Young</v>
      </c>
      <c r="D1041" t="s">
        <v>17</v>
      </c>
      <c r="E1041">
        <v>537</v>
      </c>
    </row>
    <row r="1042" spans="1:5" x14ac:dyDescent="0.25">
      <c r="A1042">
        <v>1041</v>
      </c>
      <c r="B1042">
        <v>336889</v>
      </c>
      <c r="C1042" s="1" t="str">
        <f>HYPERLINK("http://stackoverflow.com/users/336889", "tq0fqeu")</f>
        <v>tq0fqeu</v>
      </c>
      <c r="D1042" t="s">
        <v>5</v>
      </c>
      <c r="E1042">
        <v>536</v>
      </c>
    </row>
    <row r="1043" spans="1:5" x14ac:dyDescent="0.25">
      <c r="A1043">
        <v>1042</v>
      </c>
      <c r="B1043">
        <v>3922976</v>
      </c>
      <c r="C1043" s="1" t="str">
        <f>HYPERLINK("http://stackoverflow.com/users/3922976", "Kingname")</f>
        <v>Kingname</v>
      </c>
      <c r="D1043" t="s">
        <v>22</v>
      </c>
      <c r="E1043">
        <v>535</v>
      </c>
    </row>
    <row r="1044" spans="1:5" x14ac:dyDescent="0.25">
      <c r="A1044">
        <v>1043</v>
      </c>
      <c r="B1044">
        <v>5587080</v>
      </c>
      <c r="C1044" s="1" t="str">
        <f>HYPERLINK("http://stackoverflow.com/users/5587080", "FavorMylikes")</f>
        <v>FavorMylikes</v>
      </c>
      <c r="D1044" t="s">
        <v>5</v>
      </c>
      <c r="E1044">
        <v>534</v>
      </c>
    </row>
    <row r="1045" spans="1:5" x14ac:dyDescent="0.25">
      <c r="A1045">
        <v>1044</v>
      </c>
      <c r="B1045">
        <v>4380247</v>
      </c>
      <c r="C1045" s="1" t="str">
        <f>HYPERLINK("http://stackoverflow.com/users/4380247", "kcats")</f>
        <v>kcats</v>
      </c>
      <c r="D1045" t="s">
        <v>4</v>
      </c>
      <c r="E1045">
        <v>534</v>
      </c>
    </row>
    <row r="1046" spans="1:5" x14ac:dyDescent="0.25">
      <c r="A1046">
        <v>1045</v>
      </c>
      <c r="B1046">
        <v>791955</v>
      </c>
      <c r="C1046" s="1" t="str">
        <f>HYPERLINK("http://stackoverflow.com/users/791955", "mashuai")</f>
        <v>mashuai</v>
      </c>
      <c r="D1046" t="s">
        <v>5</v>
      </c>
      <c r="E1046">
        <v>533</v>
      </c>
    </row>
    <row r="1047" spans="1:5" x14ac:dyDescent="0.25">
      <c r="A1047">
        <v>1046</v>
      </c>
      <c r="B1047">
        <v>679004</v>
      </c>
      <c r="C1047" s="1" t="str">
        <f>HYPERLINK("http://stackoverflow.com/users/679004", "feisky")</f>
        <v>feisky</v>
      </c>
      <c r="D1047" t="s">
        <v>4</v>
      </c>
      <c r="E1047">
        <v>533</v>
      </c>
    </row>
    <row r="1048" spans="1:5" x14ac:dyDescent="0.25">
      <c r="A1048">
        <v>1047</v>
      </c>
      <c r="B1048">
        <v>688895</v>
      </c>
      <c r="C1048" s="1" t="str">
        <f>HYPERLINK("http://stackoverflow.com/users/688895", "KAlO2")</f>
        <v>KAlO2</v>
      </c>
      <c r="D1048" t="s">
        <v>17</v>
      </c>
      <c r="E1048">
        <v>533</v>
      </c>
    </row>
    <row r="1049" spans="1:5" x14ac:dyDescent="0.25">
      <c r="A1049">
        <v>1048</v>
      </c>
      <c r="B1049">
        <v>1915946</v>
      </c>
      <c r="C1049" s="1" t="str">
        <f>HYPERLINK("http://stackoverflow.com/users/1915946", "zhb")</f>
        <v>zhb</v>
      </c>
      <c r="D1049" t="s">
        <v>4</v>
      </c>
      <c r="E1049">
        <v>531</v>
      </c>
    </row>
    <row r="1050" spans="1:5" x14ac:dyDescent="0.25">
      <c r="A1050">
        <v>1049</v>
      </c>
      <c r="B1050">
        <v>2645712</v>
      </c>
      <c r="C1050" s="1" t="str">
        <f>HYPERLINK("http://stackoverflow.com/users/2645712", "dxci")</f>
        <v>dxci</v>
      </c>
      <c r="D1050" t="s">
        <v>5</v>
      </c>
      <c r="E1050">
        <v>531</v>
      </c>
    </row>
    <row r="1051" spans="1:5" x14ac:dyDescent="0.25">
      <c r="A1051">
        <v>1050</v>
      </c>
      <c r="B1051">
        <v>1693431</v>
      </c>
      <c r="C1051" s="1" t="str">
        <f>HYPERLINK("http://stackoverflow.com/users/1693431", "TroyCheng")</f>
        <v>TroyCheng</v>
      </c>
      <c r="D1051" t="s">
        <v>5</v>
      </c>
      <c r="E1051">
        <v>531</v>
      </c>
    </row>
    <row r="1052" spans="1:5" x14ac:dyDescent="0.25">
      <c r="A1052">
        <v>1051</v>
      </c>
      <c r="B1052">
        <v>1767373</v>
      </c>
      <c r="C1052" s="1" t="str">
        <f>HYPERLINK("http://stackoverflow.com/users/1767373", "Pratik")</f>
        <v>Pratik</v>
      </c>
      <c r="D1052" t="s">
        <v>4</v>
      </c>
      <c r="E1052">
        <v>531</v>
      </c>
    </row>
    <row r="1053" spans="1:5" x14ac:dyDescent="0.25">
      <c r="A1053">
        <v>1052</v>
      </c>
      <c r="B1053">
        <v>4547943</v>
      </c>
      <c r="C1053" s="1" t="str">
        <f>HYPERLINK("http://stackoverflow.com/users/4547943", "Frankie")</f>
        <v>Frankie</v>
      </c>
      <c r="D1053" t="s">
        <v>16</v>
      </c>
      <c r="E1053">
        <v>530</v>
      </c>
    </row>
    <row r="1054" spans="1:5" x14ac:dyDescent="0.25">
      <c r="A1054">
        <v>1053</v>
      </c>
      <c r="B1054">
        <v>463141</v>
      </c>
      <c r="C1054" s="1" t="str">
        <f>HYPERLINK("http://stackoverflow.com/users/463141", "Andy Wan")</f>
        <v>Andy Wan</v>
      </c>
      <c r="D1054" t="s">
        <v>4</v>
      </c>
      <c r="E1054">
        <v>530</v>
      </c>
    </row>
    <row r="1055" spans="1:5" x14ac:dyDescent="0.25">
      <c r="A1055">
        <v>1054</v>
      </c>
      <c r="B1055">
        <v>6689698</v>
      </c>
      <c r="C1055" s="1" t="str">
        <f>HYPERLINK("http://stackoverflow.com/users/6689698", "Simon")</f>
        <v>Simon</v>
      </c>
      <c r="D1055" t="s">
        <v>4</v>
      </c>
      <c r="E1055">
        <v>529</v>
      </c>
    </row>
    <row r="1056" spans="1:5" x14ac:dyDescent="0.25">
      <c r="A1056">
        <v>1055</v>
      </c>
      <c r="B1056">
        <v>4072873</v>
      </c>
      <c r="C1056" s="1" t="str">
        <f>HYPERLINK("http://stackoverflow.com/users/4072873", "Jerry Liu")</f>
        <v>Jerry Liu</v>
      </c>
      <c r="D1056" t="s">
        <v>4</v>
      </c>
      <c r="E1056">
        <v>529</v>
      </c>
    </row>
    <row r="1057" spans="1:5" x14ac:dyDescent="0.25">
      <c r="A1057">
        <v>1056</v>
      </c>
      <c r="B1057">
        <v>281782</v>
      </c>
      <c r="C1057" s="1" t="str">
        <f>HYPERLINK("http://stackoverflow.com/users/281782", "Geln Yang")</f>
        <v>Geln Yang</v>
      </c>
      <c r="D1057" t="s">
        <v>38</v>
      </c>
      <c r="E1057">
        <v>529</v>
      </c>
    </row>
    <row r="1058" spans="1:5" x14ac:dyDescent="0.25">
      <c r="A1058">
        <v>1057</v>
      </c>
      <c r="B1058">
        <v>4229567</v>
      </c>
      <c r="C1058" s="1" t="str">
        <f>HYPERLINK("http://stackoverflow.com/users/4229567", "sofia")</f>
        <v>sofia</v>
      </c>
      <c r="D1058" t="s">
        <v>5</v>
      </c>
      <c r="E1058">
        <v>527</v>
      </c>
    </row>
    <row r="1059" spans="1:5" x14ac:dyDescent="0.25">
      <c r="A1059">
        <v>1058</v>
      </c>
      <c r="B1059">
        <v>1068676</v>
      </c>
      <c r="C1059" s="1" t="str">
        <f>HYPERLINK("http://stackoverflow.com/users/1068676", "Coaku")</f>
        <v>Coaku</v>
      </c>
      <c r="D1059" t="s">
        <v>37</v>
      </c>
      <c r="E1059">
        <v>527</v>
      </c>
    </row>
    <row r="1060" spans="1:5" x14ac:dyDescent="0.25">
      <c r="A1060">
        <v>1059</v>
      </c>
      <c r="B1060">
        <v>3024172</v>
      </c>
      <c r="C1060" s="1" t="str">
        <f>HYPERLINK("http://stackoverflow.com/users/3024172", "Tomek Kozlowski")</f>
        <v>Tomek Kozlowski</v>
      </c>
      <c r="D1060" t="s">
        <v>17</v>
      </c>
      <c r="E1060">
        <v>526</v>
      </c>
    </row>
    <row r="1061" spans="1:5" x14ac:dyDescent="0.25">
      <c r="A1061">
        <v>1060</v>
      </c>
      <c r="B1061">
        <v>427193</v>
      </c>
      <c r="C1061" s="1" t="str">
        <f>HYPERLINK("http://stackoverflow.com/users/427193", "anhulife")</f>
        <v>anhulife</v>
      </c>
      <c r="D1061" t="s">
        <v>5</v>
      </c>
      <c r="E1061">
        <v>526</v>
      </c>
    </row>
    <row r="1062" spans="1:5" x14ac:dyDescent="0.25">
      <c r="A1062">
        <v>1061</v>
      </c>
      <c r="B1062">
        <v>1696102</v>
      </c>
      <c r="C1062" s="1" t="str">
        <f>HYPERLINK("http://stackoverflow.com/users/1696102", "Grant")</f>
        <v>Grant</v>
      </c>
      <c r="D1062" t="s">
        <v>57</v>
      </c>
      <c r="E1062">
        <v>525</v>
      </c>
    </row>
    <row r="1063" spans="1:5" x14ac:dyDescent="0.25">
      <c r="A1063">
        <v>1062</v>
      </c>
      <c r="B1063">
        <v>751875</v>
      </c>
      <c r="C1063" s="1" t="str">
        <f>HYPERLINK("http://stackoverflow.com/users/751875", "HunkSmile")</f>
        <v>HunkSmile</v>
      </c>
      <c r="D1063" t="s">
        <v>5</v>
      </c>
      <c r="E1063">
        <v>524</v>
      </c>
    </row>
    <row r="1064" spans="1:5" x14ac:dyDescent="0.25">
      <c r="A1064">
        <v>1063</v>
      </c>
      <c r="B1064">
        <v>1430232</v>
      </c>
      <c r="C1064" s="1" t="str">
        <f>HYPERLINK("http://stackoverflow.com/users/1430232", "Tian Yong")</f>
        <v>Tian Yong</v>
      </c>
      <c r="D1064" t="s">
        <v>6</v>
      </c>
      <c r="E1064">
        <v>524</v>
      </c>
    </row>
    <row r="1065" spans="1:5" x14ac:dyDescent="0.25">
      <c r="A1065">
        <v>1064</v>
      </c>
      <c r="B1065">
        <v>4390503</v>
      </c>
      <c r="C1065" s="1" t="str">
        <f>HYPERLINK("http://stackoverflow.com/users/4390503", "Jerry Chin")</f>
        <v>Jerry Chin</v>
      </c>
      <c r="D1065" t="s">
        <v>102</v>
      </c>
      <c r="E1065">
        <v>523</v>
      </c>
    </row>
    <row r="1066" spans="1:5" x14ac:dyDescent="0.25">
      <c r="A1066">
        <v>1065</v>
      </c>
      <c r="B1066">
        <v>459076</v>
      </c>
      <c r="C1066" s="1" t="str">
        <f>HYPERLINK("http://stackoverflow.com/users/459076", "MasterBeta")</f>
        <v>MasterBeta</v>
      </c>
      <c r="D1066" t="s">
        <v>12</v>
      </c>
      <c r="E1066">
        <v>522</v>
      </c>
    </row>
    <row r="1067" spans="1:5" x14ac:dyDescent="0.25">
      <c r="A1067">
        <v>1066</v>
      </c>
      <c r="B1067">
        <v>498177</v>
      </c>
      <c r="C1067" s="1" t="str">
        <f>HYPERLINK("http://stackoverflow.com/users/498177", "jim.huang")</f>
        <v>jim.huang</v>
      </c>
      <c r="D1067" t="s">
        <v>5</v>
      </c>
      <c r="E1067">
        <v>522</v>
      </c>
    </row>
    <row r="1068" spans="1:5" x14ac:dyDescent="0.25">
      <c r="A1068">
        <v>1067</v>
      </c>
      <c r="B1068">
        <v>3043534</v>
      </c>
      <c r="C1068" s="1" t="str">
        <f>HYPERLINK("http://stackoverflow.com/users/3043534", "Charles Xu")</f>
        <v>Charles Xu</v>
      </c>
      <c r="D1068" t="s">
        <v>5</v>
      </c>
      <c r="E1068">
        <v>521</v>
      </c>
    </row>
    <row r="1069" spans="1:5" x14ac:dyDescent="0.25">
      <c r="A1069">
        <v>1068</v>
      </c>
      <c r="B1069">
        <v>3118460</v>
      </c>
      <c r="C1069" s="1" t="str">
        <f>HYPERLINK("http://stackoverflow.com/users/3118460", "Singo")</f>
        <v>Singo</v>
      </c>
      <c r="D1069" t="s">
        <v>37</v>
      </c>
      <c r="E1069">
        <v>521</v>
      </c>
    </row>
    <row r="1070" spans="1:5" x14ac:dyDescent="0.25">
      <c r="A1070">
        <v>1069</v>
      </c>
      <c r="B1070">
        <v>1029242</v>
      </c>
      <c r="C1070" s="1" t="str">
        <f>HYPERLINK("http://stackoverflow.com/users/1029242", "wangf")</f>
        <v>wangf</v>
      </c>
      <c r="D1070" t="s">
        <v>4</v>
      </c>
      <c r="E1070">
        <v>521</v>
      </c>
    </row>
    <row r="1071" spans="1:5" x14ac:dyDescent="0.25">
      <c r="A1071">
        <v>1070</v>
      </c>
      <c r="B1071">
        <v>3171427</v>
      </c>
      <c r="C1071" s="1" t="str">
        <f>HYPERLINK("http://stackoverflow.com/users/3171427", "uvwxyz888")</f>
        <v>uvwxyz888</v>
      </c>
      <c r="D1071" t="s">
        <v>5</v>
      </c>
      <c r="E1071">
        <v>521</v>
      </c>
    </row>
    <row r="1072" spans="1:5" x14ac:dyDescent="0.25">
      <c r="A1072">
        <v>1071</v>
      </c>
      <c r="B1072">
        <v>9455299</v>
      </c>
      <c r="C1072" s="1" t="str">
        <f>HYPERLINK("http://stackoverflow.com/users/9455299", "Jiayi Liao")</f>
        <v>Jiayi Liao</v>
      </c>
      <c r="D1072" t="s">
        <v>5</v>
      </c>
      <c r="E1072">
        <v>520</v>
      </c>
    </row>
    <row r="1073" spans="1:5" x14ac:dyDescent="0.25">
      <c r="A1073">
        <v>1072</v>
      </c>
      <c r="B1073">
        <v>2667202</v>
      </c>
      <c r="C1073" s="1" t="str">
        <f>HYPERLINK("http://stackoverflow.com/users/2667202", "Ezio Shiki")</f>
        <v>Ezio Shiki</v>
      </c>
      <c r="D1073" t="s">
        <v>12</v>
      </c>
      <c r="E1073">
        <v>520</v>
      </c>
    </row>
    <row r="1074" spans="1:5" x14ac:dyDescent="0.25">
      <c r="A1074">
        <v>1073</v>
      </c>
      <c r="B1074">
        <v>748402</v>
      </c>
      <c r="C1074" s="1" t="str">
        <f>HYPERLINK("http://stackoverflow.com/users/748402", "MustDie1Bit")</f>
        <v>MustDie1Bit</v>
      </c>
      <c r="D1074" t="s">
        <v>103</v>
      </c>
      <c r="E1074">
        <v>520</v>
      </c>
    </row>
    <row r="1075" spans="1:5" x14ac:dyDescent="0.25">
      <c r="A1075">
        <v>1074</v>
      </c>
      <c r="B1075">
        <v>896026</v>
      </c>
      <c r="C1075" s="1" t="str">
        <f>HYPERLINK("http://stackoverflow.com/users/896026", "auxten")</f>
        <v>auxten</v>
      </c>
      <c r="D1075" t="s">
        <v>5</v>
      </c>
      <c r="E1075">
        <v>519</v>
      </c>
    </row>
    <row r="1076" spans="1:5" x14ac:dyDescent="0.25">
      <c r="A1076">
        <v>1075</v>
      </c>
      <c r="B1076">
        <v>881628</v>
      </c>
      <c r="C1076" s="1" t="str">
        <f>HYPERLINK("http://stackoverflow.com/users/881628", "chaiko")</f>
        <v>chaiko</v>
      </c>
      <c r="D1076" t="s">
        <v>5</v>
      </c>
      <c r="E1076">
        <v>519</v>
      </c>
    </row>
    <row r="1077" spans="1:5" x14ac:dyDescent="0.25">
      <c r="A1077">
        <v>1076</v>
      </c>
      <c r="B1077">
        <v>5689835</v>
      </c>
      <c r="C1077" s="1" t="str">
        <f>HYPERLINK("http://stackoverflow.com/users/5689835", "Raffaello.D.Huke")</f>
        <v>Raffaello.D.Huke</v>
      </c>
      <c r="D1077" t="s">
        <v>4</v>
      </c>
      <c r="E1077">
        <v>519</v>
      </c>
    </row>
    <row r="1078" spans="1:5" x14ac:dyDescent="0.25">
      <c r="A1078">
        <v>1077</v>
      </c>
      <c r="B1078">
        <v>6532225</v>
      </c>
      <c r="C1078" s="1" t="str">
        <f>HYPERLINK("http://stackoverflow.com/users/6532225", "mistdon")</f>
        <v>mistdon</v>
      </c>
      <c r="D1078" t="s">
        <v>4</v>
      </c>
      <c r="E1078">
        <v>519</v>
      </c>
    </row>
    <row r="1079" spans="1:5" x14ac:dyDescent="0.25">
      <c r="A1079">
        <v>1078</v>
      </c>
      <c r="B1079">
        <v>658181</v>
      </c>
      <c r="C1079" s="1" t="str">
        <f>HYPERLINK("http://stackoverflow.com/users/658181", "zires")</f>
        <v>zires</v>
      </c>
      <c r="D1079" t="s">
        <v>4</v>
      </c>
      <c r="E1079">
        <v>519</v>
      </c>
    </row>
    <row r="1080" spans="1:5" x14ac:dyDescent="0.25">
      <c r="A1080">
        <v>1079</v>
      </c>
      <c r="B1080">
        <v>166417</v>
      </c>
      <c r="C1080" s="1" t="str">
        <f>HYPERLINK("http://stackoverflow.com/users/166417", "Zhongmin")</f>
        <v>Zhongmin</v>
      </c>
      <c r="D1080" t="s">
        <v>4</v>
      </c>
      <c r="E1080">
        <v>518</v>
      </c>
    </row>
    <row r="1081" spans="1:5" x14ac:dyDescent="0.25">
      <c r="A1081">
        <v>1080</v>
      </c>
      <c r="B1081">
        <v>4064006</v>
      </c>
      <c r="C1081" s="1" t="str">
        <f>HYPERLINK("http://stackoverflow.com/users/4064006", "Will")</f>
        <v>Will</v>
      </c>
      <c r="D1081" t="s">
        <v>5</v>
      </c>
      <c r="E1081">
        <v>518</v>
      </c>
    </row>
    <row r="1082" spans="1:5" x14ac:dyDescent="0.25">
      <c r="A1082">
        <v>1081</v>
      </c>
      <c r="B1082">
        <v>582388</v>
      </c>
      <c r="C1082" s="1" t="str">
        <f>HYPERLINK("http://stackoverflow.com/users/582388", "mike")</f>
        <v>mike</v>
      </c>
      <c r="D1082" t="s">
        <v>5</v>
      </c>
      <c r="E1082">
        <v>517</v>
      </c>
    </row>
    <row r="1083" spans="1:5" x14ac:dyDescent="0.25">
      <c r="A1083">
        <v>1082</v>
      </c>
      <c r="B1083">
        <v>770870</v>
      </c>
      <c r="C1083" s="1" t="str">
        <f>HYPERLINK("http://stackoverflow.com/users/770870", "slepox")</f>
        <v>slepox</v>
      </c>
      <c r="D1083" t="s">
        <v>4</v>
      </c>
      <c r="E1083">
        <v>517</v>
      </c>
    </row>
    <row r="1084" spans="1:5" x14ac:dyDescent="0.25">
      <c r="A1084">
        <v>1083</v>
      </c>
      <c r="B1084">
        <v>1055039</v>
      </c>
      <c r="C1084" s="1" t="str">
        <f>HYPERLINK("http://stackoverflow.com/users/1055039", "qun")</f>
        <v>qun</v>
      </c>
      <c r="D1084" t="s">
        <v>12</v>
      </c>
      <c r="E1084">
        <v>516</v>
      </c>
    </row>
    <row r="1085" spans="1:5" x14ac:dyDescent="0.25">
      <c r="A1085">
        <v>1084</v>
      </c>
      <c r="B1085">
        <v>342757</v>
      </c>
      <c r="C1085" s="1" t="str">
        <f>HYPERLINK("http://stackoverflow.com/users/342757", "alswl")</f>
        <v>alswl</v>
      </c>
      <c r="D1085" t="s">
        <v>4</v>
      </c>
      <c r="E1085">
        <v>514</v>
      </c>
    </row>
    <row r="1086" spans="1:5" x14ac:dyDescent="0.25">
      <c r="A1086">
        <v>1085</v>
      </c>
      <c r="B1086">
        <v>3206948</v>
      </c>
      <c r="C1086" s="1" t="str">
        <f>HYPERLINK("http://stackoverflow.com/users/3206948", "MasterJedi")</f>
        <v>MasterJedi</v>
      </c>
      <c r="D1086" t="s">
        <v>4</v>
      </c>
      <c r="E1086">
        <v>513</v>
      </c>
    </row>
    <row r="1087" spans="1:5" x14ac:dyDescent="0.25">
      <c r="A1087">
        <v>1086</v>
      </c>
      <c r="B1087">
        <v>1645569</v>
      </c>
      <c r="C1087" s="1" t="str">
        <f>HYPERLINK("http://stackoverflow.com/users/1645569", "yukaizhao")</f>
        <v>yukaizhao</v>
      </c>
      <c r="D1087" t="s">
        <v>5</v>
      </c>
      <c r="E1087">
        <v>513</v>
      </c>
    </row>
    <row r="1088" spans="1:5" x14ac:dyDescent="0.25">
      <c r="A1088">
        <v>1087</v>
      </c>
      <c r="B1088">
        <v>988680</v>
      </c>
      <c r="C1088" s="1" t="str">
        <f>HYPERLINK("http://stackoverflow.com/users/988680", "madper")</f>
        <v>madper</v>
      </c>
      <c r="D1088" t="s">
        <v>5</v>
      </c>
      <c r="E1088">
        <v>511</v>
      </c>
    </row>
    <row r="1089" spans="1:5" x14ac:dyDescent="0.25">
      <c r="A1089">
        <v>1088</v>
      </c>
      <c r="B1089">
        <v>2666824</v>
      </c>
      <c r="C1089" s="1" t="str">
        <f>HYPERLINK("http://stackoverflow.com/users/2666824", "Wayne Cui")</f>
        <v>Wayne Cui</v>
      </c>
      <c r="D1089" t="s">
        <v>5</v>
      </c>
      <c r="E1089">
        <v>510</v>
      </c>
    </row>
    <row r="1090" spans="1:5" x14ac:dyDescent="0.25">
      <c r="A1090">
        <v>1089</v>
      </c>
      <c r="B1090">
        <v>625834</v>
      </c>
      <c r="C1090" s="1" t="str">
        <f>HYPERLINK("http://stackoverflow.com/users/625834", "Doug Hou")</f>
        <v>Doug Hou</v>
      </c>
      <c r="D1090" t="s">
        <v>12</v>
      </c>
      <c r="E1090">
        <v>510</v>
      </c>
    </row>
    <row r="1091" spans="1:5" x14ac:dyDescent="0.25">
      <c r="A1091">
        <v>1090</v>
      </c>
      <c r="B1091">
        <v>4705481</v>
      </c>
      <c r="C1091" s="1" t="str">
        <f>HYPERLINK("http://stackoverflow.com/users/4705481", "Jackie Dong")</f>
        <v>Jackie Dong</v>
      </c>
      <c r="D1091" t="s">
        <v>4</v>
      </c>
      <c r="E1091">
        <v>510</v>
      </c>
    </row>
    <row r="1092" spans="1:5" x14ac:dyDescent="0.25">
      <c r="A1092">
        <v>1091</v>
      </c>
      <c r="B1092">
        <v>61145</v>
      </c>
      <c r="C1092" s="1" t="str">
        <f>HYPERLINK("http://stackoverflow.com/users/61145", "unigogo")</f>
        <v>unigogo</v>
      </c>
      <c r="D1092" t="s">
        <v>4</v>
      </c>
      <c r="E1092">
        <v>509</v>
      </c>
    </row>
    <row r="1093" spans="1:5" x14ac:dyDescent="0.25">
      <c r="A1093">
        <v>1092</v>
      </c>
      <c r="B1093">
        <v>996925</v>
      </c>
      <c r="C1093" s="1" t="str">
        <f>HYPERLINK("http://stackoverflow.com/users/996925", "Sam")</f>
        <v>Sam</v>
      </c>
      <c r="D1093" t="s">
        <v>5</v>
      </c>
      <c r="E1093">
        <v>509</v>
      </c>
    </row>
    <row r="1094" spans="1:5" x14ac:dyDescent="0.25">
      <c r="A1094">
        <v>1093</v>
      </c>
      <c r="B1094">
        <v>996540</v>
      </c>
      <c r="C1094" s="1" t="str">
        <f>HYPERLINK("http://stackoverflow.com/users/996540", "amanjiang")</f>
        <v>amanjiang</v>
      </c>
      <c r="D1094" t="s">
        <v>5</v>
      </c>
      <c r="E1094">
        <v>509</v>
      </c>
    </row>
    <row r="1095" spans="1:5" x14ac:dyDescent="0.25">
      <c r="A1095">
        <v>1094</v>
      </c>
      <c r="B1095">
        <v>572802</v>
      </c>
      <c r="C1095" s="1" t="str">
        <f>HYPERLINK("http://stackoverflow.com/users/572802", "StanleyZ")</f>
        <v>StanleyZ</v>
      </c>
      <c r="D1095" t="s">
        <v>5</v>
      </c>
      <c r="E1095">
        <v>508</v>
      </c>
    </row>
    <row r="1096" spans="1:5" x14ac:dyDescent="0.25">
      <c r="A1096">
        <v>1095</v>
      </c>
      <c r="B1096">
        <v>6482303</v>
      </c>
      <c r="C1096" s="1" t="str">
        <f>HYPERLINK("http://stackoverflow.com/users/6482303", "adamyi")</f>
        <v>adamyi</v>
      </c>
      <c r="D1096" t="s">
        <v>5</v>
      </c>
      <c r="E1096">
        <v>507</v>
      </c>
    </row>
    <row r="1097" spans="1:5" x14ac:dyDescent="0.25">
      <c r="A1097">
        <v>1096</v>
      </c>
      <c r="B1097">
        <v>1113063</v>
      </c>
      <c r="C1097" s="1" t="str">
        <f>HYPERLINK("http://stackoverflow.com/users/1113063", "shengbinmeng")</f>
        <v>shengbinmeng</v>
      </c>
      <c r="D1097" t="s">
        <v>5</v>
      </c>
      <c r="E1097">
        <v>507</v>
      </c>
    </row>
    <row r="1098" spans="1:5" x14ac:dyDescent="0.25">
      <c r="A1098">
        <v>1097</v>
      </c>
      <c r="B1098">
        <v>4874073</v>
      </c>
      <c r="C1098" s="1" t="str">
        <f>HYPERLINK("http://stackoverflow.com/users/4874073", "Nie Xing")</f>
        <v>Nie Xing</v>
      </c>
      <c r="D1098" t="s">
        <v>5</v>
      </c>
      <c r="E1098">
        <v>506</v>
      </c>
    </row>
    <row r="1099" spans="1:5" x14ac:dyDescent="0.25">
      <c r="A1099">
        <v>1098</v>
      </c>
      <c r="B1099">
        <v>6075331</v>
      </c>
      <c r="C1099" s="1" t="str">
        <f>HYPERLINK("http://stackoverflow.com/users/6075331", "Bravo Yeung")</f>
        <v>Bravo Yeung</v>
      </c>
      <c r="D1099" t="s">
        <v>104</v>
      </c>
      <c r="E1099">
        <v>505</v>
      </c>
    </row>
    <row r="1100" spans="1:5" x14ac:dyDescent="0.25">
      <c r="A1100">
        <v>1099</v>
      </c>
      <c r="B1100">
        <v>626160</v>
      </c>
      <c r="C1100" s="1" t="str">
        <f>HYPERLINK("http://stackoverflow.com/users/626160", "Gary Shi")</f>
        <v>Gary Shi</v>
      </c>
      <c r="D1100" t="s">
        <v>4</v>
      </c>
      <c r="E1100">
        <v>505</v>
      </c>
    </row>
    <row r="1101" spans="1:5" x14ac:dyDescent="0.25">
      <c r="A1101">
        <v>1100</v>
      </c>
      <c r="B1101">
        <v>1144711</v>
      </c>
      <c r="C1101" s="1" t="str">
        <f>HYPERLINK("http://stackoverflow.com/users/1144711", "Flickerlight")</f>
        <v>Flickerlight</v>
      </c>
      <c r="D1101" t="s">
        <v>4</v>
      </c>
      <c r="E1101">
        <v>504</v>
      </c>
    </row>
    <row r="1102" spans="1:5" x14ac:dyDescent="0.25">
      <c r="A1102">
        <v>1101</v>
      </c>
      <c r="B1102">
        <v>2351069</v>
      </c>
      <c r="C1102" s="1" t="str">
        <f>HYPERLINK("http://stackoverflow.com/users/2351069", "wormlxd")</f>
        <v>wormlxd</v>
      </c>
      <c r="D1102" t="s">
        <v>24</v>
      </c>
      <c r="E1102">
        <v>504</v>
      </c>
    </row>
    <row r="1103" spans="1:5" x14ac:dyDescent="0.25">
      <c r="A1103">
        <v>1102</v>
      </c>
      <c r="B1103">
        <v>6536335</v>
      </c>
      <c r="C1103" s="1" t="str">
        <f>HYPERLINK("http://stackoverflow.com/users/6536335", "Rob JS")</f>
        <v>Rob JS</v>
      </c>
      <c r="D1103" t="s">
        <v>7</v>
      </c>
      <c r="E1103">
        <v>504</v>
      </c>
    </row>
    <row r="1104" spans="1:5" x14ac:dyDescent="0.25">
      <c r="A1104">
        <v>1103</v>
      </c>
      <c r="B1104">
        <v>903362</v>
      </c>
      <c r="C1104" s="1" t="str">
        <f>HYPERLINK("http://stackoverflow.com/users/903362", "tassar")</f>
        <v>tassar</v>
      </c>
      <c r="D1104" t="s">
        <v>4</v>
      </c>
      <c r="E1104">
        <v>503</v>
      </c>
    </row>
    <row r="1105" spans="1:5" x14ac:dyDescent="0.25">
      <c r="A1105">
        <v>1104</v>
      </c>
      <c r="B1105">
        <v>5735646</v>
      </c>
      <c r="C1105" s="1" t="str">
        <f>HYPERLINK("http://stackoverflow.com/users/5735646", "nick")</f>
        <v>nick</v>
      </c>
      <c r="D1105" t="s">
        <v>5</v>
      </c>
      <c r="E1105">
        <v>503</v>
      </c>
    </row>
    <row r="1106" spans="1:5" x14ac:dyDescent="0.25">
      <c r="A1106">
        <v>1105</v>
      </c>
      <c r="B1106">
        <v>991131</v>
      </c>
      <c r="C1106" s="1" t="str">
        <f>HYPERLINK("http://stackoverflow.com/users/991131", "Sutra")</f>
        <v>Sutra</v>
      </c>
      <c r="D1106" t="s">
        <v>17</v>
      </c>
      <c r="E1106">
        <v>502</v>
      </c>
    </row>
    <row r="1107" spans="1:5" x14ac:dyDescent="0.25">
      <c r="A1107">
        <v>1106</v>
      </c>
      <c r="B1107">
        <v>1986026</v>
      </c>
      <c r="C1107" s="1" t="str">
        <f>HYPERLINK("http://stackoverflow.com/users/1986026", "Moxi  Zhong")</f>
        <v>Moxi  Zhong</v>
      </c>
      <c r="D1107" t="s">
        <v>5</v>
      </c>
      <c r="E1107">
        <v>501</v>
      </c>
    </row>
    <row r="1108" spans="1:5" x14ac:dyDescent="0.25">
      <c r="A1108">
        <v>1107</v>
      </c>
      <c r="B1108">
        <v>531966</v>
      </c>
      <c r="C1108" s="1" t="str">
        <f>HYPERLINK("http://stackoverflow.com/users/531966", "Nickolas")</f>
        <v>Nickolas</v>
      </c>
      <c r="D1108" t="s">
        <v>12</v>
      </c>
      <c r="E1108">
        <v>500</v>
      </c>
    </row>
    <row r="1109" spans="1:5" x14ac:dyDescent="0.25">
      <c r="A1109">
        <v>1108</v>
      </c>
      <c r="B1109">
        <v>3055831</v>
      </c>
      <c r="C1109" s="1" t="str">
        <f>HYPERLINK("http://stackoverflow.com/users/3055831", "michael")</f>
        <v>michael</v>
      </c>
      <c r="D1109" t="s">
        <v>5</v>
      </c>
      <c r="E1109">
        <v>500</v>
      </c>
    </row>
    <row r="1110" spans="1:5" x14ac:dyDescent="0.25">
      <c r="A1110">
        <v>1109</v>
      </c>
      <c r="B1110">
        <v>1176303</v>
      </c>
      <c r="C1110" s="1" t="str">
        <f>HYPERLINK("http://stackoverflow.com/users/1176303", "Five")</f>
        <v>Five</v>
      </c>
      <c r="D1110" t="s">
        <v>15</v>
      </c>
      <c r="E1110">
        <v>500</v>
      </c>
    </row>
    <row r="1111" spans="1:5" x14ac:dyDescent="0.25">
      <c r="A1111">
        <v>1110</v>
      </c>
      <c r="B1111">
        <v>2519227</v>
      </c>
      <c r="C1111" s="1" t="str">
        <f>HYPERLINK("http://stackoverflow.com/users/2519227", "Leo Zhao")</f>
        <v>Leo Zhao</v>
      </c>
      <c r="D1111" t="s">
        <v>61</v>
      </c>
      <c r="E1111">
        <v>499</v>
      </c>
    </row>
    <row r="1112" spans="1:5" x14ac:dyDescent="0.25">
      <c r="A1112">
        <v>1111</v>
      </c>
      <c r="B1112">
        <v>371973</v>
      </c>
      <c r="C1112" s="1" t="str">
        <f>HYPERLINK("http://stackoverflow.com/users/371973", "elprup")</f>
        <v>elprup</v>
      </c>
      <c r="D1112" t="s">
        <v>5</v>
      </c>
      <c r="E1112">
        <v>499</v>
      </c>
    </row>
    <row r="1113" spans="1:5" x14ac:dyDescent="0.25">
      <c r="A1113">
        <v>1112</v>
      </c>
      <c r="B1113">
        <v>1562861</v>
      </c>
      <c r="C1113" s="1" t="str">
        <f>HYPERLINK("http://stackoverflow.com/users/1562861", "David")</f>
        <v>David</v>
      </c>
      <c r="D1113" t="s">
        <v>4</v>
      </c>
      <c r="E1113">
        <v>499</v>
      </c>
    </row>
    <row r="1114" spans="1:5" x14ac:dyDescent="0.25">
      <c r="A1114">
        <v>1113</v>
      </c>
      <c r="B1114">
        <v>837697</v>
      </c>
      <c r="C1114" s="1" t="str">
        <f>HYPERLINK("http://stackoverflow.com/users/837697", "yegong")</f>
        <v>yegong</v>
      </c>
      <c r="D1114" t="s">
        <v>4</v>
      </c>
      <c r="E1114">
        <v>499</v>
      </c>
    </row>
    <row r="1115" spans="1:5" x14ac:dyDescent="0.25">
      <c r="A1115">
        <v>1114</v>
      </c>
      <c r="B1115">
        <v>5233508</v>
      </c>
      <c r="C1115" s="1" t="str">
        <f>HYPERLINK("http://stackoverflow.com/users/5233508", "Daniel Martin Shum")</f>
        <v>Daniel Martin Shum</v>
      </c>
      <c r="D1115" t="s">
        <v>21</v>
      </c>
      <c r="E1115">
        <v>499</v>
      </c>
    </row>
    <row r="1116" spans="1:5" x14ac:dyDescent="0.25">
      <c r="A1116">
        <v>1115</v>
      </c>
      <c r="B1116">
        <v>951296</v>
      </c>
      <c r="C1116" s="1" t="str">
        <f>HYPERLINK("http://stackoverflow.com/users/951296", "Flybywind")</f>
        <v>Flybywind</v>
      </c>
      <c r="D1116" t="s">
        <v>5</v>
      </c>
      <c r="E1116">
        <v>498</v>
      </c>
    </row>
    <row r="1117" spans="1:5" x14ac:dyDescent="0.25">
      <c r="A1117">
        <v>1116</v>
      </c>
      <c r="B1117">
        <v>289325</v>
      </c>
      <c r="C1117" s="1" t="str">
        <f>HYPERLINK("http://stackoverflow.com/users/289325", "sean")</f>
        <v>sean</v>
      </c>
      <c r="D1117" t="s">
        <v>5</v>
      </c>
      <c r="E1117">
        <v>498</v>
      </c>
    </row>
    <row r="1118" spans="1:5" x14ac:dyDescent="0.25">
      <c r="A1118">
        <v>1117</v>
      </c>
      <c r="B1118">
        <v>1252933</v>
      </c>
      <c r="C1118" s="1" t="str">
        <f>HYPERLINK("http://stackoverflow.com/users/1252933", "stevey")</f>
        <v>stevey</v>
      </c>
      <c r="D1118" t="s">
        <v>16</v>
      </c>
      <c r="E1118">
        <v>497</v>
      </c>
    </row>
    <row r="1119" spans="1:5" x14ac:dyDescent="0.25">
      <c r="A1119">
        <v>1118</v>
      </c>
      <c r="B1119">
        <v>9130314</v>
      </c>
      <c r="C1119" s="1" t="str">
        <f>HYPERLINK("http://stackoverflow.com/users/9130314", "Hash Jang")</f>
        <v>Hash Jang</v>
      </c>
      <c r="D1119" t="s">
        <v>105</v>
      </c>
      <c r="E1119">
        <v>497</v>
      </c>
    </row>
    <row r="1120" spans="1:5" x14ac:dyDescent="0.25">
      <c r="A1120">
        <v>1119</v>
      </c>
      <c r="B1120">
        <v>679758</v>
      </c>
      <c r="C1120" s="1" t="str">
        <f>HYPERLINK("http://stackoverflow.com/users/679758", "gs1")</f>
        <v>gs1</v>
      </c>
      <c r="D1120" t="s">
        <v>106</v>
      </c>
      <c r="E1120">
        <v>497</v>
      </c>
    </row>
    <row r="1121" spans="1:5" x14ac:dyDescent="0.25">
      <c r="A1121">
        <v>1120</v>
      </c>
      <c r="B1121">
        <v>3543892</v>
      </c>
      <c r="C1121" s="1" t="str">
        <f>HYPERLINK("http://stackoverflow.com/users/3543892", "Stephen Kuo")</f>
        <v>Stephen Kuo</v>
      </c>
      <c r="D1121" t="s">
        <v>4</v>
      </c>
      <c r="E1121">
        <v>496</v>
      </c>
    </row>
    <row r="1122" spans="1:5" x14ac:dyDescent="0.25">
      <c r="A1122">
        <v>1121</v>
      </c>
      <c r="B1122">
        <v>2678523</v>
      </c>
      <c r="C1122" s="1" t="str">
        <f>HYPERLINK("http://stackoverflow.com/users/2678523", "hailong")</f>
        <v>hailong</v>
      </c>
      <c r="D1122" t="s">
        <v>5</v>
      </c>
      <c r="E1122">
        <v>496</v>
      </c>
    </row>
    <row r="1123" spans="1:5" x14ac:dyDescent="0.25">
      <c r="A1123">
        <v>1122</v>
      </c>
      <c r="B1123">
        <v>709113</v>
      </c>
      <c r="C1123" s="1" t="str">
        <f>HYPERLINK("http://stackoverflow.com/users/709113", "Water Lin")</f>
        <v>Water Lin</v>
      </c>
      <c r="D1123" t="s">
        <v>21</v>
      </c>
      <c r="E1123">
        <v>496</v>
      </c>
    </row>
    <row r="1124" spans="1:5" x14ac:dyDescent="0.25">
      <c r="A1124">
        <v>1123</v>
      </c>
      <c r="B1124">
        <v>5518682</v>
      </c>
      <c r="C1124" s="1" t="str">
        <f>HYPERLINK("http://stackoverflow.com/users/5518682", "Changhua")</f>
        <v>Changhua</v>
      </c>
      <c r="D1124" t="s">
        <v>5</v>
      </c>
      <c r="E1124">
        <v>496</v>
      </c>
    </row>
    <row r="1125" spans="1:5" x14ac:dyDescent="0.25">
      <c r="A1125">
        <v>1124</v>
      </c>
      <c r="B1125">
        <v>764869</v>
      </c>
      <c r="C1125" s="1" t="str">
        <f>HYPERLINK("http://stackoverflow.com/users/764869", "bystander")</f>
        <v>bystander</v>
      </c>
      <c r="D1125" t="s">
        <v>8</v>
      </c>
      <c r="E1125">
        <v>495</v>
      </c>
    </row>
    <row r="1126" spans="1:5" x14ac:dyDescent="0.25">
      <c r="A1126">
        <v>1125</v>
      </c>
      <c r="B1126">
        <v>4348095</v>
      </c>
      <c r="C1126" s="1" t="str">
        <f>HYPERLINK("http://stackoverflow.com/users/4348095", "yhluo")</f>
        <v>yhluo</v>
      </c>
      <c r="D1126" t="s">
        <v>5</v>
      </c>
      <c r="E1126">
        <v>495</v>
      </c>
    </row>
    <row r="1127" spans="1:5" x14ac:dyDescent="0.25">
      <c r="A1127">
        <v>1126</v>
      </c>
      <c r="B1127">
        <v>4334399</v>
      </c>
      <c r="C1127" s="1" t="str">
        <f>HYPERLINK("http://stackoverflow.com/users/4334399", "ghui zhang")</f>
        <v>ghui zhang</v>
      </c>
      <c r="D1127" t="s">
        <v>5</v>
      </c>
      <c r="E1127">
        <v>495</v>
      </c>
    </row>
    <row r="1128" spans="1:5" x14ac:dyDescent="0.25">
      <c r="A1128">
        <v>1127</v>
      </c>
      <c r="B1128">
        <v>2469858</v>
      </c>
      <c r="C1128" s="1" t="str">
        <f>HYPERLINK("http://stackoverflow.com/users/2469858", "staticor")</f>
        <v>staticor</v>
      </c>
      <c r="D1128" t="s">
        <v>5</v>
      </c>
      <c r="E1128">
        <v>495</v>
      </c>
    </row>
    <row r="1129" spans="1:5" x14ac:dyDescent="0.25">
      <c r="A1129">
        <v>1128</v>
      </c>
      <c r="B1129">
        <v>521179</v>
      </c>
      <c r="C1129" s="1" t="str">
        <f>HYPERLINK("http://stackoverflow.com/users/521179", "Andrew Au")</f>
        <v>Andrew Au</v>
      </c>
      <c r="D1129" t="s">
        <v>4</v>
      </c>
      <c r="E1129">
        <v>494</v>
      </c>
    </row>
    <row r="1130" spans="1:5" x14ac:dyDescent="0.25">
      <c r="A1130">
        <v>1129</v>
      </c>
      <c r="B1130">
        <v>5218240</v>
      </c>
      <c r="C1130" s="1" t="str">
        <f>HYPERLINK("http://stackoverflow.com/users/5218240", "cinqS")</f>
        <v>cinqS</v>
      </c>
      <c r="D1130" t="s">
        <v>5</v>
      </c>
      <c r="E1130">
        <v>494</v>
      </c>
    </row>
    <row r="1131" spans="1:5" x14ac:dyDescent="0.25">
      <c r="A1131">
        <v>1130</v>
      </c>
      <c r="B1131">
        <v>2691836</v>
      </c>
      <c r="C1131" s="1" t="str">
        <f>HYPERLINK("http://stackoverflow.com/users/2691836", "Tom")</f>
        <v>Tom</v>
      </c>
      <c r="D1131" t="s">
        <v>4</v>
      </c>
      <c r="E1131">
        <v>494</v>
      </c>
    </row>
    <row r="1132" spans="1:5" x14ac:dyDescent="0.25">
      <c r="A1132">
        <v>1131</v>
      </c>
      <c r="B1132">
        <v>1412555</v>
      </c>
      <c r="C1132" s="1" t="str">
        <f>HYPERLINK("http://stackoverflow.com/users/1412555", "Zhigong Li")</f>
        <v>Zhigong Li</v>
      </c>
      <c r="D1132" t="s">
        <v>4</v>
      </c>
      <c r="E1132">
        <v>493</v>
      </c>
    </row>
    <row r="1133" spans="1:5" x14ac:dyDescent="0.25">
      <c r="A1133">
        <v>1132</v>
      </c>
      <c r="B1133">
        <v>685119</v>
      </c>
      <c r="C1133" s="1" t="str">
        <f>HYPERLINK("http://stackoverflow.com/users/685119", "wangguoqin1001")</f>
        <v>wangguoqin1001</v>
      </c>
      <c r="D1133" t="s">
        <v>4</v>
      </c>
      <c r="E1133">
        <v>493</v>
      </c>
    </row>
    <row r="1134" spans="1:5" x14ac:dyDescent="0.25">
      <c r="A1134">
        <v>1133</v>
      </c>
      <c r="B1134">
        <v>2806452</v>
      </c>
      <c r="C1134" s="1" t="str">
        <f>HYPERLINK("http://stackoverflow.com/users/2806452", "zhujs")</f>
        <v>zhujs</v>
      </c>
      <c r="D1134" t="s">
        <v>17</v>
      </c>
      <c r="E1134">
        <v>493</v>
      </c>
    </row>
    <row r="1135" spans="1:5" x14ac:dyDescent="0.25">
      <c r="A1135">
        <v>1134</v>
      </c>
      <c r="B1135">
        <v>226025</v>
      </c>
      <c r="C1135" s="1" t="str">
        <f>HYPERLINK("http://stackoverflow.com/users/226025", "marshluca")</f>
        <v>marshluca</v>
      </c>
      <c r="D1135" t="s">
        <v>5</v>
      </c>
      <c r="E1135">
        <v>491</v>
      </c>
    </row>
    <row r="1136" spans="1:5" x14ac:dyDescent="0.25">
      <c r="A1136">
        <v>1135</v>
      </c>
      <c r="B1136">
        <v>3667946</v>
      </c>
      <c r="C1136" s="1" t="str">
        <f>HYPERLINK("http://stackoverflow.com/users/3667946", "Edward Yang")</f>
        <v>Edward Yang</v>
      </c>
      <c r="D1136" t="s">
        <v>22</v>
      </c>
      <c r="E1136">
        <v>491</v>
      </c>
    </row>
    <row r="1137" spans="1:5" x14ac:dyDescent="0.25">
      <c r="A1137">
        <v>1136</v>
      </c>
      <c r="B1137">
        <v>1123955</v>
      </c>
      <c r="C1137" s="1" t="str">
        <f>HYPERLINK("http://stackoverflow.com/users/1123955", "Huan")</f>
        <v>Huan</v>
      </c>
      <c r="D1137" t="s">
        <v>5</v>
      </c>
      <c r="E1137">
        <v>491</v>
      </c>
    </row>
    <row r="1138" spans="1:5" x14ac:dyDescent="0.25">
      <c r="A1138">
        <v>1137</v>
      </c>
      <c r="B1138">
        <v>1042072</v>
      </c>
      <c r="C1138" s="1" t="str">
        <f>HYPERLINK("http://stackoverflow.com/users/1042072", "Tinggo")</f>
        <v>Tinggo</v>
      </c>
      <c r="D1138" t="s">
        <v>4</v>
      </c>
      <c r="E1138">
        <v>491</v>
      </c>
    </row>
    <row r="1139" spans="1:5" x14ac:dyDescent="0.25">
      <c r="A1139">
        <v>1138</v>
      </c>
      <c r="B1139">
        <v>1952307</v>
      </c>
      <c r="C1139" s="1" t="str">
        <f>HYPERLINK("http://stackoverflow.com/users/1952307", "alxyzc")</f>
        <v>alxyzc</v>
      </c>
      <c r="D1139" t="s">
        <v>4</v>
      </c>
      <c r="E1139">
        <v>491</v>
      </c>
    </row>
    <row r="1140" spans="1:5" x14ac:dyDescent="0.25">
      <c r="A1140">
        <v>1139</v>
      </c>
      <c r="B1140">
        <v>5928111</v>
      </c>
      <c r="C1140" s="1" t="str">
        <f>HYPERLINK("http://stackoverflow.com/users/5928111", "J.Zhao")</f>
        <v>J.Zhao</v>
      </c>
      <c r="D1140" t="s">
        <v>107</v>
      </c>
      <c r="E1140">
        <v>491</v>
      </c>
    </row>
    <row r="1141" spans="1:5" x14ac:dyDescent="0.25">
      <c r="A1141">
        <v>1140</v>
      </c>
      <c r="B1141">
        <v>795256</v>
      </c>
      <c r="C1141" s="1" t="str">
        <f>HYPERLINK("http://stackoverflow.com/users/795256", "Sam")</f>
        <v>Sam</v>
      </c>
      <c r="D1141" t="s">
        <v>21</v>
      </c>
      <c r="E1141">
        <v>490</v>
      </c>
    </row>
    <row r="1142" spans="1:5" x14ac:dyDescent="0.25">
      <c r="A1142">
        <v>1141</v>
      </c>
      <c r="B1142">
        <v>1874980</v>
      </c>
      <c r="C1142" s="1" t="str">
        <f>HYPERLINK("http://stackoverflow.com/users/1874980", "Lex Lian")</f>
        <v>Lex Lian</v>
      </c>
      <c r="D1142" t="s">
        <v>4</v>
      </c>
      <c r="E1142">
        <v>490</v>
      </c>
    </row>
    <row r="1143" spans="1:5" x14ac:dyDescent="0.25">
      <c r="A1143">
        <v>1142</v>
      </c>
      <c r="B1143">
        <v>1047328</v>
      </c>
      <c r="C1143" s="1" t="str">
        <f>HYPERLINK("http://stackoverflow.com/users/1047328", "rookiepig")</f>
        <v>rookiepig</v>
      </c>
      <c r="D1143" t="s">
        <v>5</v>
      </c>
      <c r="E1143">
        <v>489</v>
      </c>
    </row>
    <row r="1144" spans="1:5" x14ac:dyDescent="0.25">
      <c r="A1144">
        <v>1143</v>
      </c>
      <c r="B1144">
        <v>1635855</v>
      </c>
      <c r="C1144" s="1" t="str">
        <f>HYPERLINK("http://stackoverflow.com/users/1635855", "Wuaner")</f>
        <v>Wuaner</v>
      </c>
      <c r="D1144" t="s">
        <v>5</v>
      </c>
      <c r="E1144">
        <v>489</v>
      </c>
    </row>
    <row r="1145" spans="1:5" x14ac:dyDescent="0.25">
      <c r="A1145">
        <v>1144</v>
      </c>
      <c r="B1145">
        <v>500268</v>
      </c>
      <c r="C1145" s="1" t="str">
        <f>HYPERLINK("http://stackoverflow.com/users/500268", "hao")</f>
        <v>hao</v>
      </c>
      <c r="D1145" t="s">
        <v>5</v>
      </c>
      <c r="E1145">
        <v>486</v>
      </c>
    </row>
    <row r="1146" spans="1:5" x14ac:dyDescent="0.25">
      <c r="A1146">
        <v>1145</v>
      </c>
      <c r="B1146">
        <v>167132</v>
      </c>
      <c r="C1146" s="1" t="str">
        <f>HYPERLINK("http://stackoverflow.com/users/167132", "luikore")</f>
        <v>luikore</v>
      </c>
      <c r="D1146" t="s">
        <v>12</v>
      </c>
      <c r="E1146">
        <v>486</v>
      </c>
    </row>
    <row r="1147" spans="1:5" x14ac:dyDescent="0.25">
      <c r="A1147">
        <v>1146</v>
      </c>
      <c r="B1147">
        <v>21465</v>
      </c>
      <c r="C1147" s="1" t="str">
        <f>HYPERLINK("http://stackoverflow.com/users/21465", "Shiny")</f>
        <v>Shiny</v>
      </c>
      <c r="D1147" t="s">
        <v>4</v>
      </c>
      <c r="E1147">
        <v>484</v>
      </c>
    </row>
    <row r="1148" spans="1:5" x14ac:dyDescent="0.25">
      <c r="A1148">
        <v>1147</v>
      </c>
      <c r="B1148">
        <v>681408</v>
      </c>
      <c r="C1148" s="1" t="str">
        <f>HYPERLINK("http://stackoverflow.com/users/681408", "fookwood")</f>
        <v>fookwood</v>
      </c>
      <c r="D1148" t="s">
        <v>12</v>
      </c>
      <c r="E1148">
        <v>483</v>
      </c>
    </row>
    <row r="1149" spans="1:5" x14ac:dyDescent="0.25">
      <c r="A1149">
        <v>1148</v>
      </c>
      <c r="B1149">
        <v>1544748</v>
      </c>
      <c r="C1149" s="1" t="str">
        <f>HYPERLINK("http://stackoverflow.com/users/1544748", "SubmarineX")</f>
        <v>SubmarineX</v>
      </c>
      <c r="D1149" t="s">
        <v>12</v>
      </c>
      <c r="E1149">
        <v>481</v>
      </c>
    </row>
    <row r="1150" spans="1:5" x14ac:dyDescent="0.25">
      <c r="A1150">
        <v>1149</v>
      </c>
      <c r="B1150">
        <v>1776424</v>
      </c>
      <c r="C1150" s="1" t="str">
        <f>HYPERLINK("http://stackoverflow.com/users/1776424", "Hilen")</f>
        <v>Hilen</v>
      </c>
      <c r="D1150" t="s">
        <v>16</v>
      </c>
      <c r="E1150">
        <v>481</v>
      </c>
    </row>
    <row r="1151" spans="1:5" x14ac:dyDescent="0.25">
      <c r="A1151">
        <v>1150</v>
      </c>
      <c r="B1151">
        <v>186880</v>
      </c>
      <c r="C1151" s="1" t="str">
        <f>HYPERLINK("http://stackoverflow.com/users/186880", "Vincent B.")</f>
        <v>Vincent B.</v>
      </c>
      <c r="D1151" t="s">
        <v>4</v>
      </c>
      <c r="E1151">
        <v>481</v>
      </c>
    </row>
    <row r="1152" spans="1:5" x14ac:dyDescent="0.25">
      <c r="A1152">
        <v>1151</v>
      </c>
      <c r="B1152">
        <v>262387</v>
      </c>
      <c r="C1152" s="1" t="str">
        <f>HYPERLINK("http://stackoverflow.com/users/262387", "Vincent")</f>
        <v>Vincent</v>
      </c>
      <c r="D1152" t="s">
        <v>5</v>
      </c>
      <c r="E1152">
        <v>481</v>
      </c>
    </row>
    <row r="1153" spans="1:5" x14ac:dyDescent="0.25">
      <c r="A1153">
        <v>1152</v>
      </c>
      <c r="B1153">
        <v>1039302</v>
      </c>
      <c r="C1153" s="1" t="str">
        <f>HYPERLINK("http://stackoverflow.com/users/1039302", "warem")</f>
        <v>warem</v>
      </c>
      <c r="D1153" t="s">
        <v>5</v>
      </c>
      <c r="E1153">
        <v>481</v>
      </c>
    </row>
    <row r="1154" spans="1:5" x14ac:dyDescent="0.25">
      <c r="A1154">
        <v>1153</v>
      </c>
      <c r="B1154">
        <v>3141951</v>
      </c>
      <c r="C1154" s="1" t="str">
        <f>HYPERLINK("http://stackoverflow.com/users/3141951", "GrapeBaBa")</f>
        <v>GrapeBaBa</v>
      </c>
      <c r="D1154" t="s">
        <v>52</v>
      </c>
      <c r="E1154">
        <v>481</v>
      </c>
    </row>
    <row r="1155" spans="1:5" x14ac:dyDescent="0.25">
      <c r="A1155">
        <v>1154</v>
      </c>
      <c r="B1155">
        <v>2589946</v>
      </c>
      <c r="C1155" s="1" t="str">
        <f>HYPERLINK("http://stackoverflow.com/users/2589946", "Kevin Law")</f>
        <v>Kevin Law</v>
      </c>
      <c r="D1155" t="s">
        <v>28</v>
      </c>
      <c r="E1155">
        <v>479</v>
      </c>
    </row>
    <row r="1156" spans="1:5" x14ac:dyDescent="0.25">
      <c r="A1156">
        <v>1155</v>
      </c>
      <c r="B1156">
        <v>3790559</v>
      </c>
      <c r="C1156" s="1" t="str">
        <f>HYPERLINK("http://stackoverflow.com/users/3790559", "zilongshanren")</f>
        <v>zilongshanren</v>
      </c>
      <c r="D1156" t="s">
        <v>7</v>
      </c>
      <c r="E1156">
        <v>479</v>
      </c>
    </row>
    <row r="1157" spans="1:5" x14ac:dyDescent="0.25">
      <c r="A1157">
        <v>1156</v>
      </c>
      <c r="B1157">
        <v>7102445</v>
      </c>
      <c r="C1157" s="1" t="str">
        <f>HYPERLINK("http://stackoverflow.com/users/7102445", "Xiao")</f>
        <v>Xiao</v>
      </c>
      <c r="D1157" t="s">
        <v>5</v>
      </c>
      <c r="E1157">
        <v>478</v>
      </c>
    </row>
    <row r="1158" spans="1:5" x14ac:dyDescent="0.25">
      <c r="A1158">
        <v>1157</v>
      </c>
      <c r="B1158">
        <v>5181878</v>
      </c>
      <c r="C1158" s="1" t="str">
        <f>HYPERLINK("http://stackoverflow.com/users/5181878", "michael wang")</f>
        <v>michael wang</v>
      </c>
      <c r="D1158" t="s">
        <v>5</v>
      </c>
      <c r="E1158">
        <v>478</v>
      </c>
    </row>
    <row r="1159" spans="1:5" x14ac:dyDescent="0.25">
      <c r="A1159">
        <v>1158</v>
      </c>
      <c r="B1159">
        <v>1550285</v>
      </c>
      <c r="C1159" s="1" t="str">
        <f>HYPERLINK("http://stackoverflow.com/users/1550285", "Jishi Chen")</f>
        <v>Jishi Chen</v>
      </c>
      <c r="D1159" t="s">
        <v>5</v>
      </c>
      <c r="E1159">
        <v>476</v>
      </c>
    </row>
    <row r="1160" spans="1:5" x14ac:dyDescent="0.25">
      <c r="A1160">
        <v>1159</v>
      </c>
      <c r="B1160">
        <v>2358969</v>
      </c>
      <c r="C1160" s="1" t="str">
        <f>HYPERLINK("http://stackoverflow.com/users/2358969", "Yulong Ao")</f>
        <v>Yulong Ao</v>
      </c>
      <c r="D1160" t="s">
        <v>5</v>
      </c>
      <c r="E1160">
        <v>476</v>
      </c>
    </row>
    <row r="1161" spans="1:5" x14ac:dyDescent="0.25">
      <c r="A1161">
        <v>1160</v>
      </c>
      <c r="B1161">
        <v>2302258</v>
      </c>
      <c r="C1161" s="1" t="str">
        <f>HYPERLINK("http://stackoverflow.com/users/2302258", "sodatea")</f>
        <v>sodatea</v>
      </c>
      <c r="D1161" t="s">
        <v>12</v>
      </c>
      <c r="E1161">
        <v>476</v>
      </c>
    </row>
    <row r="1162" spans="1:5" x14ac:dyDescent="0.25">
      <c r="A1162">
        <v>1161</v>
      </c>
      <c r="B1162">
        <v>8438999</v>
      </c>
      <c r="C1162" s="1" t="str">
        <f>HYPERLINK("http://stackoverflow.com/users/8438999", "Light.G")</f>
        <v>Light.G</v>
      </c>
      <c r="D1162" t="s">
        <v>12</v>
      </c>
      <c r="E1162">
        <v>475</v>
      </c>
    </row>
    <row r="1163" spans="1:5" x14ac:dyDescent="0.25">
      <c r="A1163">
        <v>1162</v>
      </c>
      <c r="B1163">
        <v>3160507</v>
      </c>
      <c r="C1163" s="1" t="str">
        <f>HYPERLINK("http://stackoverflow.com/users/3160507", "axl411")</f>
        <v>axl411</v>
      </c>
      <c r="D1163" t="s">
        <v>4</v>
      </c>
      <c r="E1163">
        <v>475</v>
      </c>
    </row>
    <row r="1164" spans="1:5" x14ac:dyDescent="0.25">
      <c r="A1164">
        <v>1163</v>
      </c>
      <c r="B1164">
        <v>157288</v>
      </c>
      <c r="C1164" s="1" t="str">
        <f>HYPERLINK("http://stackoverflow.com/users/157288", "peterwang")</f>
        <v>peterwang</v>
      </c>
      <c r="D1164" t="s">
        <v>5</v>
      </c>
      <c r="E1164">
        <v>474</v>
      </c>
    </row>
    <row r="1165" spans="1:5" x14ac:dyDescent="0.25">
      <c r="A1165">
        <v>1164</v>
      </c>
      <c r="B1165">
        <v>1266556</v>
      </c>
      <c r="C1165" s="1" t="str">
        <f>HYPERLINK("http://stackoverflow.com/users/1266556", "Freedom")</f>
        <v>Freedom</v>
      </c>
      <c r="D1165" t="s">
        <v>4</v>
      </c>
      <c r="E1165">
        <v>473</v>
      </c>
    </row>
    <row r="1166" spans="1:5" x14ac:dyDescent="0.25">
      <c r="A1166">
        <v>1165</v>
      </c>
      <c r="B1166">
        <v>8242705</v>
      </c>
      <c r="C1166" s="1" t="str">
        <f>HYPERLINK("http://stackoverflow.com/users/8242705", "upupming")</f>
        <v>upupming</v>
      </c>
      <c r="D1166" t="s">
        <v>19</v>
      </c>
      <c r="E1166">
        <v>473</v>
      </c>
    </row>
    <row r="1167" spans="1:5" x14ac:dyDescent="0.25">
      <c r="A1167">
        <v>1166</v>
      </c>
      <c r="B1167">
        <v>596407</v>
      </c>
      <c r="C1167" s="1" t="str">
        <f>HYPERLINK("http://stackoverflow.com/users/596407", "xjzhou")</f>
        <v>xjzhou</v>
      </c>
      <c r="D1167" t="s">
        <v>12</v>
      </c>
      <c r="E1167">
        <v>473</v>
      </c>
    </row>
    <row r="1168" spans="1:5" x14ac:dyDescent="0.25">
      <c r="A1168">
        <v>1167</v>
      </c>
      <c r="B1168">
        <v>3920448</v>
      </c>
      <c r="C1168" s="1" t="str">
        <f>HYPERLINK("http://stackoverflow.com/users/3920448", "NeilShen")</f>
        <v>NeilShen</v>
      </c>
      <c r="D1168" t="s">
        <v>108</v>
      </c>
      <c r="E1168">
        <v>473</v>
      </c>
    </row>
    <row r="1169" spans="1:5" x14ac:dyDescent="0.25">
      <c r="A1169">
        <v>1168</v>
      </c>
      <c r="B1169">
        <v>1572913</v>
      </c>
      <c r="C1169" s="1" t="str">
        <f>HYPERLINK("http://stackoverflow.com/users/1572913", "materliu")</f>
        <v>materliu</v>
      </c>
      <c r="D1169" t="s">
        <v>17</v>
      </c>
      <c r="E1169">
        <v>472</v>
      </c>
    </row>
    <row r="1170" spans="1:5" x14ac:dyDescent="0.25">
      <c r="A1170">
        <v>1169</v>
      </c>
      <c r="B1170">
        <v>5180121</v>
      </c>
      <c r="C1170" s="1" t="str">
        <f>HYPERLINK("http://stackoverflow.com/users/5180121", "Total Shaw")</f>
        <v>Total Shaw</v>
      </c>
      <c r="D1170" t="s">
        <v>21</v>
      </c>
      <c r="E1170">
        <v>472</v>
      </c>
    </row>
    <row r="1171" spans="1:5" x14ac:dyDescent="0.25">
      <c r="A1171">
        <v>1170</v>
      </c>
      <c r="B1171">
        <v>474650</v>
      </c>
      <c r="C1171" s="1" t="str">
        <f>HYPERLINK("http://stackoverflow.com/users/474650", "Francis Niu")</f>
        <v>Francis Niu</v>
      </c>
      <c r="D1171" t="s">
        <v>4</v>
      </c>
      <c r="E1171">
        <v>472</v>
      </c>
    </row>
    <row r="1172" spans="1:5" x14ac:dyDescent="0.25">
      <c r="A1172">
        <v>1171</v>
      </c>
      <c r="B1172">
        <v>351637</v>
      </c>
      <c r="C1172" s="1" t="str">
        <f>HYPERLINK("http://stackoverflow.com/users/351637", "Joseph")</f>
        <v>Joseph</v>
      </c>
      <c r="D1172" t="s">
        <v>5</v>
      </c>
      <c r="E1172">
        <v>471</v>
      </c>
    </row>
    <row r="1173" spans="1:5" x14ac:dyDescent="0.25">
      <c r="A1173">
        <v>1172</v>
      </c>
      <c r="B1173">
        <v>5727128</v>
      </c>
      <c r="C1173" s="1" t="str">
        <f>HYPERLINK("http://stackoverflow.com/users/5727128", "liangzr")</f>
        <v>liangzr</v>
      </c>
      <c r="D1173" t="s">
        <v>109</v>
      </c>
      <c r="E1173">
        <v>471</v>
      </c>
    </row>
    <row r="1174" spans="1:5" x14ac:dyDescent="0.25">
      <c r="A1174">
        <v>1173</v>
      </c>
      <c r="B1174">
        <v>1550353</v>
      </c>
      <c r="C1174" s="1" t="str">
        <f>HYPERLINK("http://stackoverflow.com/users/1550353", "enjoy-writing")</f>
        <v>enjoy-writing</v>
      </c>
      <c r="D1174" t="s">
        <v>5</v>
      </c>
      <c r="E1174">
        <v>470</v>
      </c>
    </row>
    <row r="1175" spans="1:5" x14ac:dyDescent="0.25">
      <c r="A1175">
        <v>1174</v>
      </c>
      <c r="B1175">
        <v>905287</v>
      </c>
      <c r="C1175" s="1" t="str">
        <f>HYPERLINK("http://stackoverflow.com/users/905287", "Henry")</f>
        <v>Henry</v>
      </c>
      <c r="D1175" t="s">
        <v>5</v>
      </c>
      <c r="E1175">
        <v>468</v>
      </c>
    </row>
    <row r="1176" spans="1:5" x14ac:dyDescent="0.25">
      <c r="A1176">
        <v>1175</v>
      </c>
      <c r="B1176">
        <v>3675670</v>
      </c>
      <c r="C1176" s="1" t="str">
        <f>HYPERLINK("http://stackoverflow.com/users/3675670", "ryan")</f>
        <v>ryan</v>
      </c>
      <c r="D1176" t="s">
        <v>4</v>
      </c>
      <c r="E1176">
        <v>468</v>
      </c>
    </row>
    <row r="1177" spans="1:5" x14ac:dyDescent="0.25">
      <c r="A1177">
        <v>1176</v>
      </c>
      <c r="B1177">
        <v>4611077</v>
      </c>
      <c r="C1177" s="1" t="str">
        <f>HYPERLINK("http://stackoverflow.com/users/4611077", "DonatasD")</f>
        <v>DonatasD</v>
      </c>
      <c r="D1177" t="s">
        <v>25</v>
      </c>
      <c r="E1177">
        <v>468</v>
      </c>
    </row>
    <row r="1178" spans="1:5" x14ac:dyDescent="0.25">
      <c r="A1178">
        <v>1177</v>
      </c>
      <c r="B1178">
        <v>1893457</v>
      </c>
      <c r="C1178" s="1" t="str">
        <f>HYPERLINK("http://stackoverflow.com/users/1893457", "Bily")</f>
        <v>Bily</v>
      </c>
      <c r="D1178" t="s">
        <v>8</v>
      </c>
      <c r="E1178">
        <v>468</v>
      </c>
    </row>
    <row r="1179" spans="1:5" x14ac:dyDescent="0.25">
      <c r="A1179">
        <v>1178</v>
      </c>
      <c r="B1179">
        <v>422544</v>
      </c>
      <c r="C1179" s="1" t="str">
        <f>HYPERLINK("http://stackoverflow.com/users/422544", "TheoYou")</f>
        <v>TheoYou</v>
      </c>
      <c r="D1179" t="s">
        <v>4</v>
      </c>
      <c r="E1179">
        <v>468</v>
      </c>
    </row>
    <row r="1180" spans="1:5" x14ac:dyDescent="0.25">
      <c r="A1180">
        <v>1179</v>
      </c>
      <c r="B1180">
        <v>674623</v>
      </c>
      <c r="C1180" s="1" t="str">
        <f>HYPERLINK("http://stackoverflow.com/users/674623", "Johnny Qian")</f>
        <v>Johnny Qian</v>
      </c>
      <c r="D1180" t="s">
        <v>4</v>
      </c>
      <c r="E1180">
        <v>468</v>
      </c>
    </row>
    <row r="1181" spans="1:5" x14ac:dyDescent="0.25">
      <c r="A1181">
        <v>1180</v>
      </c>
      <c r="B1181">
        <v>3130081</v>
      </c>
      <c r="C1181" s="1" t="str">
        <f>HYPERLINK("http://stackoverflow.com/users/3130081", "kli_nlpr")</f>
        <v>kli_nlpr</v>
      </c>
      <c r="D1181" t="s">
        <v>5</v>
      </c>
      <c r="E1181">
        <v>467</v>
      </c>
    </row>
    <row r="1182" spans="1:5" x14ac:dyDescent="0.25">
      <c r="A1182">
        <v>1181</v>
      </c>
      <c r="B1182">
        <v>2308258</v>
      </c>
      <c r="C1182" s="1" t="str">
        <f>HYPERLINK("http://stackoverflow.com/users/2308258", "matanwrites")</f>
        <v>matanwrites</v>
      </c>
      <c r="D1182" t="s">
        <v>4</v>
      </c>
      <c r="E1182">
        <v>467</v>
      </c>
    </row>
    <row r="1183" spans="1:5" x14ac:dyDescent="0.25">
      <c r="A1183">
        <v>1182</v>
      </c>
      <c r="B1183">
        <v>792240</v>
      </c>
      <c r="C1183" s="1" t="str">
        <f>HYPERLINK("http://stackoverflow.com/users/792240", "huang.xinghui")</f>
        <v>huang.xinghui</v>
      </c>
      <c r="D1183" t="s">
        <v>37</v>
      </c>
      <c r="E1183">
        <v>466</v>
      </c>
    </row>
    <row r="1184" spans="1:5" x14ac:dyDescent="0.25">
      <c r="A1184">
        <v>1183</v>
      </c>
      <c r="B1184">
        <v>1112140</v>
      </c>
      <c r="C1184" s="1" t="str">
        <f>HYPERLINK("http://stackoverflow.com/users/1112140", "Pride Chung")</f>
        <v>Pride Chung</v>
      </c>
      <c r="D1184" t="s">
        <v>21</v>
      </c>
      <c r="E1184">
        <v>466</v>
      </c>
    </row>
    <row r="1185" spans="1:5" x14ac:dyDescent="0.25">
      <c r="A1185">
        <v>1184</v>
      </c>
      <c r="B1185">
        <v>4982809</v>
      </c>
      <c r="C1185" s="1" t="str">
        <f>HYPERLINK("http://stackoverflow.com/users/4982809", "Zhengquan Bai")</f>
        <v>Zhengquan Bai</v>
      </c>
      <c r="D1185" t="s">
        <v>4</v>
      </c>
      <c r="E1185">
        <v>465</v>
      </c>
    </row>
    <row r="1186" spans="1:5" x14ac:dyDescent="0.25">
      <c r="A1186">
        <v>1185</v>
      </c>
      <c r="B1186">
        <v>1294704</v>
      </c>
      <c r="C1186" s="1" t="str">
        <f>HYPERLINK("http://stackoverflow.com/users/1294704", "wings")</f>
        <v>wings</v>
      </c>
      <c r="D1186" t="s">
        <v>57</v>
      </c>
      <c r="E1186">
        <v>465</v>
      </c>
    </row>
    <row r="1187" spans="1:5" x14ac:dyDescent="0.25">
      <c r="A1187">
        <v>1186</v>
      </c>
      <c r="B1187">
        <v>711901</v>
      </c>
      <c r="C1187" s="1" t="str">
        <f>HYPERLINK("http://stackoverflow.com/users/711901", "stardiviner")</f>
        <v>stardiviner</v>
      </c>
      <c r="D1187" t="s">
        <v>110</v>
      </c>
      <c r="E1187">
        <v>465</v>
      </c>
    </row>
    <row r="1188" spans="1:5" x14ac:dyDescent="0.25">
      <c r="A1188">
        <v>1187</v>
      </c>
      <c r="B1188">
        <v>2098459</v>
      </c>
      <c r="C1188" s="1" t="str">
        <f>HYPERLINK("http://stackoverflow.com/users/2098459", "Mahnster")</f>
        <v>Mahnster</v>
      </c>
      <c r="D1188" t="s">
        <v>4</v>
      </c>
      <c r="E1188">
        <v>465</v>
      </c>
    </row>
    <row r="1189" spans="1:5" x14ac:dyDescent="0.25">
      <c r="A1189">
        <v>1188</v>
      </c>
      <c r="B1189">
        <v>446465</v>
      </c>
      <c r="C1189" s="1" t="str">
        <f>HYPERLINK("http://stackoverflow.com/users/446465", "iwind")</f>
        <v>iwind</v>
      </c>
      <c r="D1189" t="s">
        <v>5</v>
      </c>
      <c r="E1189">
        <v>464</v>
      </c>
    </row>
    <row r="1190" spans="1:5" x14ac:dyDescent="0.25">
      <c r="A1190">
        <v>1189</v>
      </c>
      <c r="B1190">
        <v>1924694</v>
      </c>
      <c r="C1190" s="1" t="str">
        <f>HYPERLINK("http://stackoverflow.com/users/1924694", "Roger Jin")</f>
        <v>Roger Jin</v>
      </c>
      <c r="D1190" t="s">
        <v>4</v>
      </c>
      <c r="E1190">
        <v>463</v>
      </c>
    </row>
    <row r="1191" spans="1:5" x14ac:dyDescent="0.25">
      <c r="A1191">
        <v>1190</v>
      </c>
      <c r="B1191">
        <v>1611552</v>
      </c>
      <c r="C1191" s="1" t="str">
        <f>HYPERLINK("http://stackoverflow.com/users/1611552", "user1611552")</f>
        <v>user1611552</v>
      </c>
      <c r="D1191" t="s">
        <v>54</v>
      </c>
      <c r="E1191">
        <v>461</v>
      </c>
    </row>
    <row r="1192" spans="1:5" x14ac:dyDescent="0.25">
      <c r="A1192">
        <v>1191</v>
      </c>
      <c r="B1192">
        <v>3675719</v>
      </c>
      <c r="C1192" s="1" t="str">
        <f>HYPERLINK("http://stackoverflow.com/users/3675719", "wbswjc")</f>
        <v>wbswjc</v>
      </c>
      <c r="D1192" t="s">
        <v>12</v>
      </c>
      <c r="E1192">
        <v>461</v>
      </c>
    </row>
    <row r="1193" spans="1:5" x14ac:dyDescent="0.25">
      <c r="A1193">
        <v>1192</v>
      </c>
      <c r="B1193">
        <v>1290114</v>
      </c>
      <c r="C1193" s="1" t="str">
        <f>HYPERLINK("http://stackoverflow.com/users/1290114", "alexis")</f>
        <v>alexis</v>
      </c>
      <c r="D1193" t="s">
        <v>21</v>
      </c>
      <c r="E1193">
        <v>461</v>
      </c>
    </row>
    <row r="1194" spans="1:5" x14ac:dyDescent="0.25">
      <c r="A1194">
        <v>1193</v>
      </c>
      <c r="B1194">
        <v>1270533</v>
      </c>
      <c r="C1194" s="1" t="str">
        <f>HYPERLINK("http://stackoverflow.com/users/1270533", "Zhuo YING")</f>
        <v>Zhuo YING</v>
      </c>
      <c r="D1194" t="s">
        <v>4</v>
      </c>
      <c r="E1194">
        <v>461</v>
      </c>
    </row>
    <row r="1195" spans="1:5" x14ac:dyDescent="0.25">
      <c r="A1195">
        <v>1194</v>
      </c>
      <c r="B1195">
        <v>5391055</v>
      </c>
      <c r="C1195" s="1" t="str">
        <f>HYPERLINK("http://stackoverflow.com/users/5391055", "Cecil_Ma")</f>
        <v>Cecil_Ma</v>
      </c>
      <c r="D1195" t="s">
        <v>4</v>
      </c>
      <c r="E1195">
        <v>461</v>
      </c>
    </row>
    <row r="1196" spans="1:5" x14ac:dyDescent="0.25">
      <c r="A1196">
        <v>1195</v>
      </c>
      <c r="B1196">
        <v>1042900</v>
      </c>
      <c r="C1196" s="1" t="str">
        <f>HYPERLINK("http://stackoverflow.com/users/1042900", "DANG Fan")</f>
        <v>DANG Fan</v>
      </c>
      <c r="D1196" t="s">
        <v>5</v>
      </c>
      <c r="E1196">
        <v>459</v>
      </c>
    </row>
    <row r="1197" spans="1:5" x14ac:dyDescent="0.25">
      <c r="A1197">
        <v>1196</v>
      </c>
      <c r="B1197">
        <v>1985786</v>
      </c>
      <c r="C1197" s="1" t="str">
        <f>HYPERLINK("http://stackoverflow.com/users/1985786", "Cao Dongping")</f>
        <v>Cao Dongping</v>
      </c>
      <c r="D1197" t="s">
        <v>4</v>
      </c>
      <c r="E1197">
        <v>459</v>
      </c>
    </row>
    <row r="1198" spans="1:5" x14ac:dyDescent="0.25">
      <c r="A1198">
        <v>1197</v>
      </c>
      <c r="B1198">
        <v>1604483</v>
      </c>
      <c r="C1198" s="1" t="str">
        <f>HYPERLINK("http://stackoverflow.com/users/1604483", "Haiping Fan")</f>
        <v>Haiping Fan</v>
      </c>
      <c r="D1198" t="s">
        <v>5</v>
      </c>
      <c r="E1198">
        <v>459</v>
      </c>
    </row>
    <row r="1199" spans="1:5" x14ac:dyDescent="0.25">
      <c r="A1199">
        <v>1198</v>
      </c>
      <c r="B1199">
        <v>1118944</v>
      </c>
      <c r="C1199" s="1" t="str">
        <f>HYPERLINK("http://stackoverflow.com/users/1118944", "Toni lee")</f>
        <v>Toni lee</v>
      </c>
      <c r="D1199" t="s">
        <v>5</v>
      </c>
      <c r="E1199">
        <v>458</v>
      </c>
    </row>
    <row r="1200" spans="1:5" x14ac:dyDescent="0.25">
      <c r="A1200">
        <v>1199</v>
      </c>
      <c r="B1200">
        <v>3803682</v>
      </c>
      <c r="C1200" s="1" t="str">
        <f>HYPERLINK("http://stackoverflow.com/users/3803682", "Wulfric Lee")</f>
        <v>Wulfric Lee</v>
      </c>
      <c r="D1200" t="s">
        <v>4</v>
      </c>
      <c r="E1200">
        <v>456</v>
      </c>
    </row>
    <row r="1201" spans="1:5" x14ac:dyDescent="0.25">
      <c r="A1201">
        <v>1200</v>
      </c>
      <c r="B1201">
        <v>377847</v>
      </c>
      <c r="C1201" s="1" t="str">
        <f>HYPERLINK("http://stackoverflow.com/users/377847", "Pin")</f>
        <v>Pin</v>
      </c>
      <c r="D1201" t="s">
        <v>5</v>
      </c>
      <c r="E1201">
        <v>456</v>
      </c>
    </row>
    <row r="1202" spans="1:5" x14ac:dyDescent="0.25">
      <c r="A1202">
        <v>1201</v>
      </c>
      <c r="B1202">
        <v>1040952</v>
      </c>
      <c r="C1202" s="1" t="str">
        <f>HYPERLINK("http://stackoverflow.com/users/1040952", "Fantasy Shao")</f>
        <v>Fantasy Shao</v>
      </c>
      <c r="D1202" t="s">
        <v>37</v>
      </c>
      <c r="E1202">
        <v>455</v>
      </c>
    </row>
    <row r="1203" spans="1:5" x14ac:dyDescent="0.25">
      <c r="A1203">
        <v>1202</v>
      </c>
      <c r="B1203">
        <v>959308</v>
      </c>
      <c r="C1203" s="1" t="str">
        <f>HYPERLINK("http://stackoverflow.com/users/959308", "xzgyb")</f>
        <v>xzgyb</v>
      </c>
      <c r="D1203" t="s">
        <v>111</v>
      </c>
      <c r="E1203">
        <v>454</v>
      </c>
    </row>
    <row r="1204" spans="1:5" x14ac:dyDescent="0.25">
      <c r="A1204">
        <v>1203</v>
      </c>
      <c r="B1204">
        <v>1646025</v>
      </c>
      <c r="C1204" s="1" t="str">
        <f>HYPERLINK("http://stackoverflow.com/users/1646025", "Edison")</f>
        <v>Edison</v>
      </c>
      <c r="D1204" t="s">
        <v>5</v>
      </c>
      <c r="E1204">
        <v>454</v>
      </c>
    </row>
    <row r="1205" spans="1:5" x14ac:dyDescent="0.25">
      <c r="A1205">
        <v>1204</v>
      </c>
      <c r="B1205">
        <v>181697</v>
      </c>
      <c r="C1205" s="1" t="str">
        <f>HYPERLINK("http://stackoverflow.com/users/181697", "Xenofex")</f>
        <v>Xenofex</v>
      </c>
      <c r="D1205" t="s">
        <v>4</v>
      </c>
      <c r="E1205">
        <v>453</v>
      </c>
    </row>
    <row r="1206" spans="1:5" x14ac:dyDescent="0.25">
      <c r="A1206">
        <v>1205</v>
      </c>
      <c r="B1206">
        <v>2066978</v>
      </c>
      <c r="C1206" s="1" t="str">
        <f>HYPERLINK("http://stackoverflow.com/users/2066978", "Justin Kahn")</f>
        <v>Justin Kahn</v>
      </c>
      <c r="D1206" t="s">
        <v>16</v>
      </c>
      <c r="E1206">
        <v>453</v>
      </c>
    </row>
    <row r="1207" spans="1:5" x14ac:dyDescent="0.25">
      <c r="A1207">
        <v>1206</v>
      </c>
      <c r="B1207">
        <v>1853876</v>
      </c>
      <c r="C1207" s="1" t="str">
        <f>HYPERLINK("http://stackoverflow.com/users/1853876", "xdays")</f>
        <v>xdays</v>
      </c>
      <c r="D1207" t="s">
        <v>5</v>
      </c>
      <c r="E1207">
        <v>452</v>
      </c>
    </row>
    <row r="1208" spans="1:5" x14ac:dyDescent="0.25">
      <c r="A1208">
        <v>1207</v>
      </c>
      <c r="B1208">
        <v>381646</v>
      </c>
      <c r="C1208" s="1" t="str">
        <f>HYPERLINK("http://stackoverflow.com/users/381646", "ashen")</f>
        <v>ashen</v>
      </c>
      <c r="D1208" t="s">
        <v>4</v>
      </c>
      <c r="E1208">
        <v>452</v>
      </c>
    </row>
    <row r="1209" spans="1:5" x14ac:dyDescent="0.25">
      <c r="A1209">
        <v>1208</v>
      </c>
      <c r="B1209">
        <v>2248839</v>
      </c>
      <c r="C1209" s="1" t="str">
        <f>HYPERLINK("http://stackoverflow.com/users/2248839", "Daniel Qiu")</f>
        <v>Daniel Qiu</v>
      </c>
      <c r="D1209" t="s">
        <v>4</v>
      </c>
      <c r="E1209">
        <v>452</v>
      </c>
    </row>
    <row r="1210" spans="1:5" x14ac:dyDescent="0.25">
      <c r="A1210">
        <v>1209</v>
      </c>
      <c r="B1210">
        <v>5435312</v>
      </c>
      <c r="C1210" s="1" t="str">
        <f>HYPERLINK("http://stackoverflow.com/users/5435312", "Garywzh")</f>
        <v>Garywzh</v>
      </c>
      <c r="D1210" t="s">
        <v>5</v>
      </c>
      <c r="E1210">
        <v>451</v>
      </c>
    </row>
    <row r="1211" spans="1:5" x14ac:dyDescent="0.25">
      <c r="A1211">
        <v>1210</v>
      </c>
      <c r="B1211">
        <v>1013932</v>
      </c>
      <c r="C1211" s="1" t="str">
        <f>HYPERLINK("http://stackoverflow.com/users/1013932", "plusor")</f>
        <v>plusor</v>
      </c>
      <c r="D1211" t="s">
        <v>5</v>
      </c>
      <c r="E1211">
        <v>451</v>
      </c>
    </row>
    <row r="1212" spans="1:5" x14ac:dyDescent="0.25">
      <c r="A1212">
        <v>1211</v>
      </c>
      <c r="B1212">
        <v>204541</v>
      </c>
      <c r="C1212" s="1" t="str">
        <f>HYPERLINK("http://stackoverflow.com/users/204541", "l04m33")</f>
        <v>l04m33</v>
      </c>
      <c r="D1212" t="s">
        <v>112</v>
      </c>
      <c r="E1212">
        <v>451</v>
      </c>
    </row>
    <row r="1213" spans="1:5" x14ac:dyDescent="0.25">
      <c r="A1213">
        <v>1212</v>
      </c>
      <c r="B1213">
        <v>87233</v>
      </c>
      <c r="C1213" s="1" t="str">
        <f>HYPERLINK("http://stackoverflow.com/users/87233", "Ji Yalin")</f>
        <v>Ji Yalin</v>
      </c>
      <c r="D1213" t="s">
        <v>5</v>
      </c>
      <c r="E1213">
        <v>450</v>
      </c>
    </row>
    <row r="1214" spans="1:5" x14ac:dyDescent="0.25">
      <c r="A1214">
        <v>1213</v>
      </c>
      <c r="B1214">
        <v>2927352</v>
      </c>
      <c r="C1214" s="1" t="str">
        <f>HYPERLINK("http://stackoverflow.com/users/2927352", "lei_z")</f>
        <v>lei_z</v>
      </c>
      <c r="D1214" t="s">
        <v>5</v>
      </c>
      <c r="E1214">
        <v>449</v>
      </c>
    </row>
    <row r="1215" spans="1:5" x14ac:dyDescent="0.25">
      <c r="A1215">
        <v>1214</v>
      </c>
      <c r="B1215">
        <v>495640</v>
      </c>
      <c r="C1215" s="1" t="str">
        <f>HYPERLINK("http://stackoverflow.com/users/495640", "Joe Qian")</f>
        <v>Joe Qian</v>
      </c>
      <c r="D1215" t="s">
        <v>4</v>
      </c>
      <c r="E1215">
        <v>448</v>
      </c>
    </row>
    <row r="1216" spans="1:5" x14ac:dyDescent="0.25">
      <c r="A1216">
        <v>1215</v>
      </c>
      <c r="B1216">
        <v>936437</v>
      </c>
      <c r="C1216" s="1" t="str">
        <f>HYPERLINK("http://stackoverflow.com/users/936437", "bitlixi")</f>
        <v>bitlixi</v>
      </c>
      <c r="D1216" t="s">
        <v>5</v>
      </c>
      <c r="E1216">
        <v>446</v>
      </c>
    </row>
    <row r="1217" spans="1:5" x14ac:dyDescent="0.25">
      <c r="A1217">
        <v>1216</v>
      </c>
      <c r="B1217">
        <v>2203643</v>
      </c>
      <c r="C1217" s="1" t="str">
        <f>HYPERLINK("http://stackoverflow.com/users/2203643", "freedoo")</f>
        <v>freedoo</v>
      </c>
      <c r="D1217" t="s">
        <v>4</v>
      </c>
      <c r="E1217">
        <v>446</v>
      </c>
    </row>
    <row r="1218" spans="1:5" x14ac:dyDescent="0.25">
      <c r="A1218">
        <v>1217</v>
      </c>
      <c r="B1218">
        <v>668223</v>
      </c>
      <c r="C1218" s="1" t="str">
        <f>HYPERLINK("http://stackoverflow.com/users/668223", "liuyix")</f>
        <v>liuyix</v>
      </c>
      <c r="D1218" t="s">
        <v>12</v>
      </c>
      <c r="E1218">
        <v>446</v>
      </c>
    </row>
    <row r="1219" spans="1:5" x14ac:dyDescent="0.25">
      <c r="A1219">
        <v>1218</v>
      </c>
      <c r="B1219">
        <v>2046815</v>
      </c>
      <c r="C1219" s="1" t="str">
        <f>HYPERLINK("http://stackoverflow.com/users/2046815", "kevin")</f>
        <v>kevin</v>
      </c>
      <c r="D1219" t="s">
        <v>8</v>
      </c>
      <c r="E1219">
        <v>445</v>
      </c>
    </row>
    <row r="1220" spans="1:5" x14ac:dyDescent="0.25">
      <c r="A1220">
        <v>1219</v>
      </c>
      <c r="B1220">
        <v>2706711</v>
      </c>
      <c r="C1220" s="1" t="str">
        <f>HYPERLINK("http://stackoverflow.com/users/2706711", "lv_laker")</f>
        <v>lv_laker</v>
      </c>
      <c r="D1220" t="s">
        <v>4</v>
      </c>
      <c r="E1220">
        <v>445</v>
      </c>
    </row>
    <row r="1221" spans="1:5" x14ac:dyDescent="0.25">
      <c r="A1221">
        <v>1220</v>
      </c>
      <c r="B1221">
        <v>691385</v>
      </c>
      <c r="C1221" s="1" t="str">
        <f>HYPERLINK("http://stackoverflow.com/users/691385", "Dongqing")</f>
        <v>Dongqing</v>
      </c>
      <c r="D1221" t="s">
        <v>5</v>
      </c>
      <c r="E1221">
        <v>444</v>
      </c>
    </row>
    <row r="1222" spans="1:5" x14ac:dyDescent="0.25">
      <c r="A1222">
        <v>1221</v>
      </c>
      <c r="B1222">
        <v>2562905</v>
      </c>
      <c r="C1222" s="1" t="str">
        <f>HYPERLINK("http://stackoverflow.com/users/2562905", "Harrison Xi")</f>
        <v>Harrison Xi</v>
      </c>
      <c r="D1222" t="s">
        <v>4</v>
      </c>
      <c r="E1222">
        <v>444</v>
      </c>
    </row>
    <row r="1223" spans="1:5" x14ac:dyDescent="0.25">
      <c r="A1223">
        <v>1222</v>
      </c>
      <c r="B1223">
        <v>5117734</v>
      </c>
      <c r="C1223" s="1" t="str">
        <f>HYPERLINK("http://stackoverflow.com/users/5117734", "Feng")</f>
        <v>Feng</v>
      </c>
      <c r="D1223" t="s">
        <v>5</v>
      </c>
      <c r="E1223">
        <v>443</v>
      </c>
    </row>
    <row r="1224" spans="1:5" x14ac:dyDescent="0.25">
      <c r="A1224">
        <v>1223</v>
      </c>
      <c r="B1224">
        <v>1178493</v>
      </c>
      <c r="C1224" s="1" t="str">
        <f>HYPERLINK("http://stackoverflow.com/users/1178493", "Xiangyan Sun")</f>
        <v>Xiangyan Sun</v>
      </c>
      <c r="D1224" t="s">
        <v>4</v>
      </c>
      <c r="E1224">
        <v>443</v>
      </c>
    </row>
    <row r="1225" spans="1:5" x14ac:dyDescent="0.25">
      <c r="A1225">
        <v>1224</v>
      </c>
      <c r="B1225">
        <v>2215913</v>
      </c>
      <c r="C1225" s="1" t="str">
        <f>HYPERLINK("http://stackoverflow.com/users/2215913", "Xinting WANG")</f>
        <v>Xinting WANG</v>
      </c>
      <c r="D1225" t="s">
        <v>4</v>
      </c>
      <c r="E1225">
        <v>443</v>
      </c>
    </row>
    <row r="1226" spans="1:5" x14ac:dyDescent="0.25">
      <c r="A1226">
        <v>1225</v>
      </c>
      <c r="B1226">
        <v>107255</v>
      </c>
      <c r="C1226" s="1" t="str">
        <f>HYPERLINK("http://stackoverflow.com/users/107255", "V a a m Y o b")</f>
        <v>V a a m Y o b</v>
      </c>
      <c r="D1226" t="s">
        <v>5</v>
      </c>
      <c r="E1226">
        <v>442</v>
      </c>
    </row>
    <row r="1227" spans="1:5" x14ac:dyDescent="0.25">
      <c r="A1227">
        <v>1226</v>
      </c>
      <c r="B1227">
        <v>253683</v>
      </c>
      <c r="C1227" s="1" t="str">
        <f>HYPERLINK("http://stackoverflow.com/users/253683", "Kevin Yang")</f>
        <v>Kevin Yang</v>
      </c>
      <c r="D1227" t="s">
        <v>7</v>
      </c>
      <c r="E1227">
        <v>441</v>
      </c>
    </row>
    <row r="1228" spans="1:5" x14ac:dyDescent="0.25">
      <c r="A1228">
        <v>1227</v>
      </c>
      <c r="B1228">
        <v>169723</v>
      </c>
      <c r="C1228" s="1" t="str">
        <f>HYPERLINK("http://stackoverflow.com/users/169723", "Peter Lee")</f>
        <v>Peter Lee</v>
      </c>
      <c r="D1228" t="s">
        <v>5</v>
      </c>
      <c r="E1228">
        <v>441</v>
      </c>
    </row>
    <row r="1229" spans="1:5" x14ac:dyDescent="0.25">
      <c r="A1229">
        <v>1228</v>
      </c>
      <c r="B1229">
        <v>3829845</v>
      </c>
      <c r="C1229" s="1" t="str">
        <f>HYPERLINK("http://stackoverflow.com/users/3829845", "John Hany")</f>
        <v>John Hany</v>
      </c>
      <c r="D1229" t="s">
        <v>22</v>
      </c>
      <c r="E1229">
        <v>441</v>
      </c>
    </row>
    <row r="1230" spans="1:5" x14ac:dyDescent="0.25">
      <c r="A1230">
        <v>1229</v>
      </c>
      <c r="B1230">
        <v>3924168</v>
      </c>
      <c r="C1230" s="1" t="str">
        <f>HYPERLINK("http://stackoverflow.com/users/3924168", "alan_wang")</f>
        <v>alan_wang</v>
      </c>
      <c r="D1230" t="s">
        <v>7</v>
      </c>
      <c r="E1230">
        <v>440</v>
      </c>
    </row>
    <row r="1231" spans="1:5" x14ac:dyDescent="0.25">
      <c r="A1231">
        <v>1230</v>
      </c>
      <c r="B1231">
        <v>413059</v>
      </c>
      <c r="C1231" s="1" t="str">
        <f>HYPERLINK("http://stackoverflow.com/users/413059", "Clippit")</f>
        <v>Clippit</v>
      </c>
      <c r="D1231" t="s">
        <v>5</v>
      </c>
      <c r="E1231">
        <v>440</v>
      </c>
    </row>
    <row r="1232" spans="1:5" x14ac:dyDescent="0.25">
      <c r="A1232">
        <v>1231</v>
      </c>
      <c r="B1232">
        <v>5689129</v>
      </c>
      <c r="C1232" s="1" t="str">
        <f>HYPERLINK("http://stackoverflow.com/users/5689129", "Liu Dongyu")</f>
        <v>Liu Dongyu</v>
      </c>
      <c r="D1232" t="s">
        <v>25</v>
      </c>
      <c r="E1232">
        <v>440</v>
      </c>
    </row>
    <row r="1233" spans="1:5" x14ac:dyDescent="0.25">
      <c r="A1233">
        <v>1232</v>
      </c>
      <c r="B1233">
        <v>1131408</v>
      </c>
      <c r="C1233" s="1" t="str">
        <f>HYPERLINK("http://stackoverflow.com/users/1131408", "alphakevin")</f>
        <v>alphakevin</v>
      </c>
      <c r="D1233" t="s">
        <v>15</v>
      </c>
      <c r="E1233">
        <v>440</v>
      </c>
    </row>
    <row r="1234" spans="1:5" x14ac:dyDescent="0.25">
      <c r="A1234">
        <v>1233</v>
      </c>
      <c r="B1234">
        <v>1356226</v>
      </c>
      <c r="C1234" s="1" t="str">
        <f>HYPERLINK("http://stackoverflow.com/users/1356226", "Gizak")</f>
        <v>Gizak</v>
      </c>
      <c r="D1234" t="s">
        <v>37</v>
      </c>
      <c r="E1234">
        <v>439</v>
      </c>
    </row>
    <row r="1235" spans="1:5" x14ac:dyDescent="0.25">
      <c r="A1235">
        <v>1234</v>
      </c>
      <c r="B1235">
        <v>4596098</v>
      </c>
      <c r="C1235" s="1" t="str">
        <f>HYPERLINK("http://stackoverflow.com/users/4596098", "oirad")</f>
        <v>oirad</v>
      </c>
      <c r="D1235" t="s">
        <v>4</v>
      </c>
      <c r="E1235">
        <v>439</v>
      </c>
    </row>
    <row r="1236" spans="1:5" x14ac:dyDescent="0.25">
      <c r="A1236">
        <v>1235</v>
      </c>
      <c r="B1236">
        <v>1783046</v>
      </c>
      <c r="C1236" s="1" t="str">
        <f>HYPERLINK("http://stackoverflow.com/users/1783046", "zephor")</f>
        <v>zephor</v>
      </c>
      <c r="D1236" t="s">
        <v>57</v>
      </c>
      <c r="E1236">
        <v>438</v>
      </c>
    </row>
    <row r="1237" spans="1:5" x14ac:dyDescent="0.25">
      <c r="A1237">
        <v>1236</v>
      </c>
      <c r="B1237">
        <v>546745</v>
      </c>
      <c r="C1237" s="1" t="str">
        <f>HYPERLINK("http://stackoverflow.com/users/546745", "Yuby")</f>
        <v>Yuby</v>
      </c>
      <c r="D1237" t="s">
        <v>4</v>
      </c>
      <c r="E1237">
        <v>438</v>
      </c>
    </row>
    <row r="1238" spans="1:5" x14ac:dyDescent="0.25">
      <c r="A1238">
        <v>1237</v>
      </c>
      <c r="B1238">
        <v>2008532</v>
      </c>
      <c r="C1238" s="1" t="str">
        <f>HYPERLINK("http://stackoverflow.com/users/2008532", "misssprite")</f>
        <v>misssprite</v>
      </c>
      <c r="D1238" t="s">
        <v>16</v>
      </c>
      <c r="E1238">
        <v>437</v>
      </c>
    </row>
    <row r="1239" spans="1:5" x14ac:dyDescent="0.25">
      <c r="A1239">
        <v>1238</v>
      </c>
      <c r="B1239">
        <v>1907476</v>
      </c>
      <c r="C1239" s="1" t="str">
        <f>HYPERLINK("http://stackoverflow.com/users/1907476", "Moony Chou")</f>
        <v>Moony Chou</v>
      </c>
      <c r="D1239" t="s">
        <v>5</v>
      </c>
      <c r="E1239">
        <v>437</v>
      </c>
    </row>
    <row r="1240" spans="1:5" x14ac:dyDescent="0.25">
      <c r="A1240">
        <v>1239</v>
      </c>
      <c r="B1240">
        <v>5114246</v>
      </c>
      <c r="C1240" s="1" t="str">
        <f>HYPERLINK("http://stackoverflow.com/users/5114246", "Andy Wang")</f>
        <v>Andy Wang</v>
      </c>
      <c r="D1240" t="s">
        <v>5</v>
      </c>
      <c r="E1240">
        <v>437</v>
      </c>
    </row>
    <row r="1241" spans="1:5" x14ac:dyDescent="0.25">
      <c r="A1241">
        <v>1240</v>
      </c>
      <c r="B1241">
        <v>2602410</v>
      </c>
      <c r="C1241" s="1" t="str">
        <f>HYPERLINK("http://stackoverflow.com/users/2602410", "Jcyrss")</f>
        <v>Jcyrss</v>
      </c>
      <c r="D1241" t="s">
        <v>55</v>
      </c>
      <c r="E1241">
        <v>437</v>
      </c>
    </row>
    <row r="1242" spans="1:5" x14ac:dyDescent="0.25">
      <c r="A1242">
        <v>1241</v>
      </c>
      <c r="B1242">
        <v>3209003</v>
      </c>
      <c r="C1242" s="1" t="str">
        <f>HYPERLINK("http://stackoverflow.com/users/3209003", "Haobo")</f>
        <v>Haobo</v>
      </c>
      <c r="D1242" t="s">
        <v>4</v>
      </c>
      <c r="E1242">
        <v>436</v>
      </c>
    </row>
    <row r="1243" spans="1:5" x14ac:dyDescent="0.25">
      <c r="A1243">
        <v>1242</v>
      </c>
      <c r="B1243">
        <v>1232497</v>
      </c>
      <c r="C1243" s="1" t="str">
        <f>HYPERLINK("http://stackoverflow.com/users/1232497", "Jeweller")</f>
        <v>Jeweller</v>
      </c>
      <c r="D1243" t="s">
        <v>5</v>
      </c>
      <c r="E1243">
        <v>436</v>
      </c>
    </row>
    <row r="1244" spans="1:5" x14ac:dyDescent="0.25">
      <c r="A1244">
        <v>1243</v>
      </c>
      <c r="B1244">
        <v>1388881</v>
      </c>
      <c r="C1244" s="1" t="str">
        <f>HYPERLINK("http://stackoverflow.com/users/1388881", "daveztong")</f>
        <v>daveztong</v>
      </c>
      <c r="D1244" t="s">
        <v>22</v>
      </c>
      <c r="E1244">
        <v>436</v>
      </c>
    </row>
    <row r="1245" spans="1:5" x14ac:dyDescent="0.25">
      <c r="A1245">
        <v>1244</v>
      </c>
      <c r="B1245">
        <v>1632336</v>
      </c>
      <c r="C1245" s="1" t="str">
        <f>HYPERLINK("http://stackoverflow.com/users/1632336", "Wizmann")</f>
        <v>Wizmann</v>
      </c>
      <c r="D1245" t="s">
        <v>5</v>
      </c>
      <c r="E1245">
        <v>436</v>
      </c>
    </row>
    <row r="1246" spans="1:5" x14ac:dyDescent="0.25">
      <c r="A1246">
        <v>1245</v>
      </c>
      <c r="B1246">
        <v>1115791</v>
      </c>
      <c r="C1246" s="1" t="str">
        <f>HYPERLINK("http://stackoverflow.com/users/1115791", "roby")</f>
        <v>roby</v>
      </c>
      <c r="D1246" t="s">
        <v>28</v>
      </c>
      <c r="E1246">
        <v>435</v>
      </c>
    </row>
    <row r="1247" spans="1:5" x14ac:dyDescent="0.25">
      <c r="A1247">
        <v>1246</v>
      </c>
      <c r="B1247">
        <v>3082081</v>
      </c>
      <c r="C1247" s="1" t="str">
        <f>HYPERLINK("http://stackoverflow.com/users/3082081", "Neil Z. Shao")</f>
        <v>Neil Z. Shao</v>
      </c>
      <c r="D1247" t="s">
        <v>7</v>
      </c>
      <c r="E1247">
        <v>434</v>
      </c>
    </row>
    <row r="1248" spans="1:5" x14ac:dyDescent="0.25">
      <c r="A1248">
        <v>1247</v>
      </c>
      <c r="B1248">
        <v>1285029</v>
      </c>
      <c r="C1248" s="1" t="str">
        <f>HYPERLINK("http://stackoverflow.com/users/1285029", "mengxiangjian")</f>
        <v>mengxiangjian</v>
      </c>
      <c r="D1248" t="s">
        <v>5</v>
      </c>
      <c r="E1248">
        <v>432</v>
      </c>
    </row>
    <row r="1249" spans="1:5" x14ac:dyDescent="0.25">
      <c r="A1249">
        <v>1248</v>
      </c>
      <c r="B1249">
        <v>1727525</v>
      </c>
      <c r="C1249" s="1" t="str">
        <f>HYPERLINK("http://stackoverflow.com/users/1727525", "triffic")</f>
        <v>triffic</v>
      </c>
      <c r="D1249" t="s">
        <v>108</v>
      </c>
      <c r="E1249">
        <v>432</v>
      </c>
    </row>
    <row r="1250" spans="1:5" x14ac:dyDescent="0.25">
      <c r="A1250">
        <v>1249</v>
      </c>
      <c r="B1250">
        <v>1323283</v>
      </c>
      <c r="C1250" s="1" t="str">
        <f>HYPERLINK("http://stackoverflow.com/users/1323283", "tedyyu")</f>
        <v>tedyyu</v>
      </c>
      <c r="D1250" t="s">
        <v>4</v>
      </c>
      <c r="E1250">
        <v>432</v>
      </c>
    </row>
    <row r="1251" spans="1:5" x14ac:dyDescent="0.25">
      <c r="A1251">
        <v>1250</v>
      </c>
      <c r="B1251">
        <v>1162062</v>
      </c>
      <c r="C1251" s="1" t="str">
        <f>HYPERLINK("http://stackoverflow.com/users/1162062", "sunlight07")</f>
        <v>sunlight07</v>
      </c>
      <c r="D1251" t="s">
        <v>5</v>
      </c>
      <c r="E1251">
        <v>431</v>
      </c>
    </row>
    <row r="1252" spans="1:5" x14ac:dyDescent="0.25">
      <c r="A1252">
        <v>1251</v>
      </c>
      <c r="B1252">
        <v>2416345</v>
      </c>
      <c r="C1252" s="1" t="str">
        <f>HYPERLINK("http://stackoverflow.com/users/2416345", "JaredLuo")</f>
        <v>JaredLuo</v>
      </c>
      <c r="D1252" t="s">
        <v>22</v>
      </c>
      <c r="E1252">
        <v>431</v>
      </c>
    </row>
    <row r="1253" spans="1:5" x14ac:dyDescent="0.25">
      <c r="A1253">
        <v>1252</v>
      </c>
      <c r="B1253">
        <v>323831</v>
      </c>
      <c r="C1253" s="1" t="str">
        <f>HYPERLINK("http://stackoverflow.com/users/323831", "janlay")</f>
        <v>janlay</v>
      </c>
      <c r="D1253" t="s">
        <v>12</v>
      </c>
      <c r="E1253">
        <v>431</v>
      </c>
    </row>
    <row r="1254" spans="1:5" x14ac:dyDescent="0.25">
      <c r="A1254">
        <v>1253</v>
      </c>
      <c r="B1254">
        <v>2590491</v>
      </c>
      <c r="C1254" s="1" t="str">
        <f>HYPERLINK("http://stackoverflow.com/users/2590491", "Bin S")</f>
        <v>Bin S</v>
      </c>
      <c r="D1254" t="s">
        <v>5</v>
      </c>
      <c r="E1254">
        <v>431</v>
      </c>
    </row>
    <row r="1255" spans="1:5" x14ac:dyDescent="0.25">
      <c r="A1255">
        <v>1254</v>
      </c>
      <c r="B1255">
        <v>7811624</v>
      </c>
      <c r="C1255" s="1" t="str">
        <f>HYPERLINK("http://stackoverflow.com/users/7811624", "Daniel")</f>
        <v>Daniel</v>
      </c>
      <c r="D1255" t="s">
        <v>5</v>
      </c>
      <c r="E1255">
        <v>431</v>
      </c>
    </row>
    <row r="1256" spans="1:5" x14ac:dyDescent="0.25">
      <c r="A1256">
        <v>1255</v>
      </c>
      <c r="B1256">
        <v>3054511</v>
      </c>
      <c r="C1256" s="1" t="str">
        <f>HYPERLINK("http://stackoverflow.com/users/3054511", "Henry")</f>
        <v>Henry</v>
      </c>
      <c r="D1256" t="s">
        <v>5</v>
      </c>
      <c r="E1256">
        <v>429</v>
      </c>
    </row>
    <row r="1257" spans="1:5" x14ac:dyDescent="0.25">
      <c r="A1257">
        <v>1256</v>
      </c>
      <c r="B1257">
        <v>1095805</v>
      </c>
      <c r="C1257" s="1" t="str">
        <f>HYPERLINK("http://stackoverflow.com/users/1095805", "peggygao1988")</f>
        <v>peggygao1988</v>
      </c>
      <c r="D1257" t="s">
        <v>5</v>
      </c>
      <c r="E1257">
        <v>429</v>
      </c>
    </row>
    <row r="1258" spans="1:5" x14ac:dyDescent="0.25">
      <c r="A1258">
        <v>1257</v>
      </c>
      <c r="B1258">
        <v>2428562</v>
      </c>
      <c r="C1258" s="1" t="str">
        <f>HYPERLINK("http://stackoverflow.com/users/2428562", "Yongfeng")</f>
        <v>Yongfeng</v>
      </c>
      <c r="D1258" t="s">
        <v>4</v>
      </c>
      <c r="E1258">
        <v>429</v>
      </c>
    </row>
    <row r="1259" spans="1:5" x14ac:dyDescent="0.25">
      <c r="A1259">
        <v>1258</v>
      </c>
      <c r="B1259">
        <v>1271645</v>
      </c>
      <c r="C1259" s="1" t="str">
        <f>HYPERLINK("http://stackoverflow.com/users/1271645", "Wayne")</f>
        <v>Wayne</v>
      </c>
      <c r="D1259" t="s">
        <v>4</v>
      </c>
      <c r="E1259">
        <v>428</v>
      </c>
    </row>
    <row r="1260" spans="1:5" x14ac:dyDescent="0.25">
      <c r="A1260">
        <v>1259</v>
      </c>
      <c r="B1260">
        <v>1334703</v>
      </c>
      <c r="C1260" s="1" t="str">
        <f>HYPERLINK("http://stackoverflow.com/users/1334703", "小弟调调")</f>
        <v>小弟调调</v>
      </c>
      <c r="D1260" t="s">
        <v>4</v>
      </c>
      <c r="E1260">
        <v>428</v>
      </c>
    </row>
    <row r="1261" spans="1:5" x14ac:dyDescent="0.25">
      <c r="A1261">
        <v>1260</v>
      </c>
      <c r="B1261">
        <v>1667917</v>
      </c>
      <c r="C1261" s="1" t="str">
        <f>HYPERLINK("http://stackoverflow.com/users/1667917", "Will Wang")</f>
        <v>Will Wang</v>
      </c>
      <c r="D1261" t="s">
        <v>7</v>
      </c>
      <c r="E1261">
        <v>427</v>
      </c>
    </row>
    <row r="1262" spans="1:5" x14ac:dyDescent="0.25">
      <c r="A1262">
        <v>1261</v>
      </c>
      <c r="B1262">
        <v>2408827</v>
      </c>
      <c r="C1262" s="1" t="str">
        <f>HYPERLINK("http://stackoverflow.com/users/2408827", "CrystalJake")</f>
        <v>CrystalJake</v>
      </c>
      <c r="D1262" t="s">
        <v>5</v>
      </c>
      <c r="E1262">
        <v>427</v>
      </c>
    </row>
    <row r="1263" spans="1:5" x14ac:dyDescent="0.25">
      <c r="A1263">
        <v>1262</v>
      </c>
      <c r="B1263">
        <v>1272106</v>
      </c>
      <c r="C1263" s="1" t="str">
        <f>HYPERLINK("http://stackoverflow.com/users/1272106", "Ricky Jiao")</f>
        <v>Ricky Jiao</v>
      </c>
      <c r="D1263" t="s">
        <v>4</v>
      </c>
      <c r="E1263">
        <v>427</v>
      </c>
    </row>
    <row r="1264" spans="1:5" x14ac:dyDescent="0.25">
      <c r="A1264">
        <v>1263</v>
      </c>
      <c r="B1264">
        <v>653796</v>
      </c>
      <c r="C1264" s="1" t="str">
        <f>HYPERLINK("http://stackoverflow.com/users/653796", "Jude")</f>
        <v>Jude</v>
      </c>
      <c r="D1264" t="s">
        <v>4</v>
      </c>
      <c r="E1264">
        <v>426</v>
      </c>
    </row>
    <row r="1265" spans="1:5" x14ac:dyDescent="0.25">
      <c r="A1265">
        <v>1264</v>
      </c>
      <c r="B1265">
        <v>1030720</v>
      </c>
      <c r="C1265" s="1" t="str">
        <f>HYPERLINK("http://stackoverflow.com/users/1030720", "Ji ZHANG")</f>
        <v>Ji ZHANG</v>
      </c>
      <c r="D1265" t="s">
        <v>4</v>
      </c>
      <c r="E1265">
        <v>426</v>
      </c>
    </row>
    <row r="1266" spans="1:5" x14ac:dyDescent="0.25">
      <c r="A1266">
        <v>1265</v>
      </c>
      <c r="B1266">
        <v>161849</v>
      </c>
      <c r="C1266" s="1" t="str">
        <f>HYPERLINK("http://stackoverflow.com/users/161849", "Pag Sun")</f>
        <v>Pag Sun</v>
      </c>
      <c r="D1266" t="s">
        <v>5</v>
      </c>
      <c r="E1266">
        <v>425</v>
      </c>
    </row>
    <row r="1267" spans="1:5" x14ac:dyDescent="0.25">
      <c r="A1267">
        <v>1266</v>
      </c>
      <c r="B1267">
        <v>5998529</v>
      </c>
      <c r="C1267" s="1" t="str">
        <f>HYPERLINK("http://stackoverflow.com/users/5998529", "tibetty")</f>
        <v>tibetty</v>
      </c>
      <c r="D1267" t="s">
        <v>5</v>
      </c>
      <c r="E1267">
        <v>425</v>
      </c>
    </row>
    <row r="1268" spans="1:5" x14ac:dyDescent="0.25">
      <c r="A1268">
        <v>1267</v>
      </c>
      <c r="B1268">
        <v>657103</v>
      </c>
      <c r="C1268" s="1" t="str">
        <f>HYPERLINK("http://stackoverflow.com/users/657103", "firebear")</f>
        <v>firebear</v>
      </c>
      <c r="D1268" t="s">
        <v>5</v>
      </c>
      <c r="E1268">
        <v>424</v>
      </c>
    </row>
    <row r="1269" spans="1:5" x14ac:dyDescent="0.25">
      <c r="A1269">
        <v>1268</v>
      </c>
      <c r="B1269">
        <v>2263930</v>
      </c>
      <c r="C1269" s="1" t="str">
        <f>HYPERLINK("http://stackoverflow.com/users/2263930", "Likan Zhan")</f>
        <v>Likan Zhan</v>
      </c>
      <c r="D1269" t="s">
        <v>5</v>
      </c>
      <c r="E1269">
        <v>423</v>
      </c>
    </row>
    <row r="1270" spans="1:5" x14ac:dyDescent="0.25">
      <c r="A1270">
        <v>1269</v>
      </c>
      <c r="B1270">
        <v>963832</v>
      </c>
      <c r="C1270" s="1" t="str">
        <f>HYPERLINK("http://stackoverflow.com/users/963832", "Yibin Lin")</f>
        <v>Yibin Lin</v>
      </c>
      <c r="D1270" t="s">
        <v>82</v>
      </c>
      <c r="E1270">
        <v>423</v>
      </c>
    </row>
    <row r="1271" spans="1:5" x14ac:dyDescent="0.25">
      <c r="A1271">
        <v>1270</v>
      </c>
      <c r="B1271">
        <v>1769958</v>
      </c>
      <c r="C1271" s="1" t="str">
        <f>HYPERLINK("http://stackoverflow.com/users/1769958", "Robert Bean")</f>
        <v>Robert Bean</v>
      </c>
      <c r="D1271" t="s">
        <v>113</v>
      </c>
      <c r="E1271">
        <v>423</v>
      </c>
    </row>
    <row r="1272" spans="1:5" x14ac:dyDescent="0.25">
      <c r="A1272">
        <v>1271</v>
      </c>
      <c r="B1272">
        <v>1053236</v>
      </c>
      <c r="C1272" s="1" t="str">
        <f>HYPERLINK("http://stackoverflow.com/users/1053236", "理想评论学派")</f>
        <v>理想评论学派</v>
      </c>
      <c r="D1272" t="s">
        <v>4</v>
      </c>
      <c r="E1272">
        <v>423</v>
      </c>
    </row>
    <row r="1273" spans="1:5" x14ac:dyDescent="0.25">
      <c r="A1273">
        <v>1272</v>
      </c>
      <c r="B1273">
        <v>149487</v>
      </c>
      <c r="C1273" s="1" t="str">
        <f>HYPERLINK("http://stackoverflow.com/users/149487", "James J. Ye")</f>
        <v>James J. Ye</v>
      </c>
      <c r="D1273" t="s">
        <v>3</v>
      </c>
      <c r="E1273">
        <v>422</v>
      </c>
    </row>
    <row r="1274" spans="1:5" x14ac:dyDescent="0.25">
      <c r="A1274">
        <v>1273</v>
      </c>
      <c r="B1274">
        <v>2364882</v>
      </c>
      <c r="C1274" s="1" t="str">
        <f>HYPERLINK("http://stackoverflow.com/users/2364882", "Kanjie Lu")</f>
        <v>Kanjie Lu</v>
      </c>
      <c r="D1274" t="s">
        <v>4</v>
      </c>
      <c r="E1274">
        <v>422</v>
      </c>
    </row>
    <row r="1275" spans="1:5" x14ac:dyDescent="0.25">
      <c r="A1275">
        <v>1274</v>
      </c>
      <c r="B1275">
        <v>8345840</v>
      </c>
      <c r="C1275" s="1" t="str">
        <f>HYPERLINK("http://stackoverflow.com/users/8345840", "Tiefan Ju")</f>
        <v>Tiefan Ju</v>
      </c>
      <c r="D1275" t="s">
        <v>5</v>
      </c>
      <c r="E1275">
        <v>422</v>
      </c>
    </row>
    <row r="1276" spans="1:5" x14ac:dyDescent="0.25">
      <c r="A1276">
        <v>1275</v>
      </c>
      <c r="B1276">
        <v>5340431</v>
      </c>
      <c r="C1276" s="1" t="str">
        <f>HYPERLINK("http://stackoverflow.com/users/5340431", "L.Meng")</f>
        <v>L.Meng</v>
      </c>
      <c r="D1276" t="s">
        <v>12</v>
      </c>
      <c r="E1276">
        <v>422</v>
      </c>
    </row>
    <row r="1277" spans="1:5" x14ac:dyDescent="0.25">
      <c r="A1277">
        <v>1276</v>
      </c>
      <c r="B1277">
        <v>670774</v>
      </c>
      <c r="C1277" s="1" t="str">
        <f>HYPERLINK("http://stackoverflow.com/users/670774", "dilfish")</f>
        <v>dilfish</v>
      </c>
      <c r="D1277" t="s">
        <v>13</v>
      </c>
      <c r="E1277">
        <v>419</v>
      </c>
    </row>
    <row r="1278" spans="1:5" x14ac:dyDescent="0.25">
      <c r="A1278">
        <v>1277</v>
      </c>
      <c r="B1278">
        <v>15525</v>
      </c>
      <c r="C1278" s="1" t="str">
        <f>HYPERLINK("http://stackoverflow.com/users/15525", "Matt")</f>
        <v>Matt</v>
      </c>
      <c r="D1278" t="s">
        <v>4</v>
      </c>
      <c r="E1278">
        <v>419</v>
      </c>
    </row>
    <row r="1279" spans="1:5" x14ac:dyDescent="0.25">
      <c r="A1279">
        <v>1278</v>
      </c>
      <c r="B1279">
        <v>3770260</v>
      </c>
      <c r="C1279" s="1" t="str">
        <f>HYPERLINK("http://stackoverflow.com/users/3770260", "Arthur2e5")</f>
        <v>Arthur2e5</v>
      </c>
      <c r="D1279" t="s">
        <v>4</v>
      </c>
      <c r="E1279">
        <v>419</v>
      </c>
    </row>
    <row r="1280" spans="1:5" x14ac:dyDescent="0.25">
      <c r="A1280">
        <v>1279</v>
      </c>
      <c r="B1280">
        <v>750768</v>
      </c>
      <c r="C1280" s="1" t="str">
        <f>HYPERLINK("http://stackoverflow.com/users/750768", "Tualatrix Chou")</f>
        <v>Tualatrix Chou</v>
      </c>
      <c r="D1280" t="s">
        <v>5</v>
      </c>
      <c r="E1280">
        <v>418</v>
      </c>
    </row>
    <row r="1281" spans="1:5" x14ac:dyDescent="0.25">
      <c r="A1281">
        <v>1280</v>
      </c>
      <c r="B1281">
        <v>3487835</v>
      </c>
      <c r="C1281" s="1" t="str">
        <f>HYPERLINK("http://stackoverflow.com/users/3487835", "Jedi")</f>
        <v>Jedi</v>
      </c>
      <c r="D1281" t="s">
        <v>5</v>
      </c>
      <c r="E1281">
        <v>418</v>
      </c>
    </row>
    <row r="1282" spans="1:5" x14ac:dyDescent="0.25">
      <c r="A1282">
        <v>1281</v>
      </c>
      <c r="B1282">
        <v>1495995</v>
      </c>
      <c r="C1282" s="1" t="str">
        <f>HYPERLINK("http://stackoverflow.com/users/1495995", "lne1030")</f>
        <v>lne1030</v>
      </c>
      <c r="D1282" t="s">
        <v>17</v>
      </c>
      <c r="E1282">
        <v>418</v>
      </c>
    </row>
    <row r="1283" spans="1:5" x14ac:dyDescent="0.25">
      <c r="A1283">
        <v>1282</v>
      </c>
      <c r="B1283">
        <v>4032842</v>
      </c>
      <c r="C1283" s="1" t="str">
        <f>HYPERLINK("http://stackoverflow.com/users/4032842", "haoliang")</f>
        <v>haoliang</v>
      </c>
      <c r="D1283" t="s">
        <v>5</v>
      </c>
      <c r="E1283">
        <v>415</v>
      </c>
    </row>
    <row r="1284" spans="1:5" x14ac:dyDescent="0.25">
      <c r="A1284">
        <v>1283</v>
      </c>
      <c r="B1284">
        <v>1593363</v>
      </c>
      <c r="C1284" s="1" t="str">
        <f>HYPERLINK("http://stackoverflow.com/users/1593363", "manish")</f>
        <v>manish</v>
      </c>
      <c r="D1284" t="s">
        <v>4</v>
      </c>
      <c r="E1284">
        <v>415</v>
      </c>
    </row>
    <row r="1285" spans="1:5" x14ac:dyDescent="0.25">
      <c r="A1285">
        <v>1284</v>
      </c>
      <c r="B1285">
        <v>3349957</v>
      </c>
      <c r="C1285" s="1" t="str">
        <f>HYPERLINK("http://stackoverflow.com/users/3349957", "zlx_star")</f>
        <v>zlx_star</v>
      </c>
      <c r="D1285" t="s">
        <v>12</v>
      </c>
      <c r="E1285">
        <v>414</v>
      </c>
    </row>
    <row r="1286" spans="1:5" x14ac:dyDescent="0.25">
      <c r="A1286">
        <v>1285</v>
      </c>
      <c r="B1286">
        <v>5520728</v>
      </c>
      <c r="C1286" s="1" t="str">
        <f>HYPERLINK("http://stackoverflow.com/users/5520728", "Johnson Steward")</f>
        <v>Johnson Steward</v>
      </c>
      <c r="D1286" t="s">
        <v>5</v>
      </c>
      <c r="E1286">
        <v>413</v>
      </c>
    </row>
    <row r="1287" spans="1:5" x14ac:dyDescent="0.25">
      <c r="A1287">
        <v>1286</v>
      </c>
      <c r="B1287">
        <v>3463091</v>
      </c>
      <c r="C1287" s="1" t="str">
        <f>HYPERLINK("http://stackoverflow.com/users/3463091", "pallxk")</f>
        <v>pallxk</v>
      </c>
      <c r="D1287" t="s">
        <v>4</v>
      </c>
      <c r="E1287">
        <v>412</v>
      </c>
    </row>
    <row r="1288" spans="1:5" x14ac:dyDescent="0.25">
      <c r="A1288">
        <v>1287</v>
      </c>
      <c r="B1288">
        <v>3522344</v>
      </c>
      <c r="C1288" s="1" t="str">
        <f>HYPERLINK("http://stackoverflow.com/users/3522344", "Eric Wang")</f>
        <v>Eric Wang</v>
      </c>
      <c r="D1288" t="s">
        <v>4</v>
      </c>
      <c r="E1288">
        <v>412</v>
      </c>
    </row>
    <row r="1289" spans="1:5" x14ac:dyDescent="0.25">
      <c r="A1289">
        <v>1288</v>
      </c>
      <c r="B1289">
        <v>6467456</v>
      </c>
      <c r="C1289" s="1" t="str">
        <f>HYPERLINK("http://stackoverflow.com/users/6467456", "yann")</f>
        <v>yann</v>
      </c>
      <c r="D1289" t="s">
        <v>114</v>
      </c>
      <c r="E1289">
        <v>411</v>
      </c>
    </row>
    <row r="1290" spans="1:5" x14ac:dyDescent="0.25">
      <c r="A1290">
        <v>1289</v>
      </c>
      <c r="B1290">
        <v>4540877</v>
      </c>
      <c r="C1290" s="1" t="str">
        <f>HYPERLINK("http://stackoverflow.com/users/4540877", "Zhengjie")</f>
        <v>Zhengjie</v>
      </c>
      <c r="D1290" t="s">
        <v>5</v>
      </c>
      <c r="E1290">
        <v>411</v>
      </c>
    </row>
    <row r="1291" spans="1:5" x14ac:dyDescent="0.25">
      <c r="A1291">
        <v>1290</v>
      </c>
      <c r="B1291">
        <v>1129038</v>
      </c>
      <c r="C1291" s="1" t="str">
        <f>HYPERLINK("http://stackoverflow.com/users/1129038", "Jet Yang")</f>
        <v>Jet Yang</v>
      </c>
      <c r="D1291" t="s">
        <v>4</v>
      </c>
      <c r="E1291">
        <v>410</v>
      </c>
    </row>
    <row r="1292" spans="1:5" x14ac:dyDescent="0.25">
      <c r="A1292">
        <v>1291</v>
      </c>
      <c r="B1292">
        <v>2007403</v>
      </c>
      <c r="C1292" s="1" t="str">
        <f>HYPERLINK("http://stackoverflow.com/users/2007403", "boog")</f>
        <v>boog</v>
      </c>
      <c r="D1292" t="s">
        <v>5</v>
      </c>
      <c r="E1292">
        <v>410</v>
      </c>
    </row>
    <row r="1293" spans="1:5" x14ac:dyDescent="0.25">
      <c r="A1293">
        <v>1292</v>
      </c>
      <c r="B1293">
        <v>1705694</v>
      </c>
      <c r="C1293" s="1" t="str">
        <f>HYPERLINK("http://stackoverflow.com/users/1705694", "huangxin")</f>
        <v>huangxin</v>
      </c>
      <c r="D1293" t="s">
        <v>5</v>
      </c>
      <c r="E1293">
        <v>409</v>
      </c>
    </row>
    <row r="1294" spans="1:5" x14ac:dyDescent="0.25">
      <c r="A1294">
        <v>1293</v>
      </c>
      <c r="B1294">
        <v>3140985</v>
      </c>
      <c r="C1294" s="1" t="str">
        <f>HYPERLINK("http://stackoverflow.com/users/3140985", "Allen")</f>
        <v>Allen</v>
      </c>
      <c r="D1294" t="s">
        <v>34</v>
      </c>
      <c r="E1294">
        <v>409</v>
      </c>
    </row>
    <row r="1295" spans="1:5" x14ac:dyDescent="0.25">
      <c r="A1295">
        <v>1294</v>
      </c>
      <c r="B1295">
        <v>2271502</v>
      </c>
      <c r="C1295" s="1" t="str">
        <f>HYPERLINK("http://stackoverflow.com/users/2271502", "Dhiren Hamal")</f>
        <v>Dhiren Hamal</v>
      </c>
      <c r="D1295" t="s">
        <v>5</v>
      </c>
      <c r="E1295">
        <v>409</v>
      </c>
    </row>
    <row r="1296" spans="1:5" x14ac:dyDescent="0.25">
      <c r="A1296">
        <v>1295</v>
      </c>
      <c r="B1296">
        <v>613718</v>
      </c>
      <c r="C1296" s="1" t="str">
        <f>HYPERLINK("http://stackoverflow.com/users/613718", "russell")</f>
        <v>russell</v>
      </c>
      <c r="D1296" t="s">
        <v>5</v>
      </c>
      <c r="E1296">
        <v>408</v>
      </c>
    </row>
    <row r="1297" spans="1:5" x14ac:dyDescent="0.25">
      <c r="A1297">
        <v>1296</v>
      </c>
      <c r="B1297">
        <v>406354</v>
      </c>
      <c r="C1297" s="1" t="str">
        <f>HYPERLINK("http://stackoverflow.com/users/406354", "venj")</f>
        <v>venj</v>
      </c>
      <c r="D1297" t="s">
        <v>73</v>
      </c>
      <c r="E1297">
        <v>408</v>
      </c>
    </row>
    <row r="1298" spans="1:5" x14ac:dyDescent="0.25">
      <c r="A1298">
        <v>1297</v>
      </c>
      <c r="B1298">
        <v>676310</v>
      </c>
      <c r="C1298" s="1" t="str">
        <f>HYPERLINK("http://stackoverflow.com/users/676310", "brookz")</f>
        <v>brookz</v>
      </c>
      <c r="D1298" t="s">
        <v>8</v>
      </c>
      <c r="E1298">
        <v>407</v>
      </c>
    </row>
    <row r="1299" spans="1:5" x14ac:dyDescent="0.25">
      <c r="A1299">
        <v>1298</v>
      </c>
      <c r="B1299">
        <v>1553676</v>
      </c>
      <c r="C1299" s="1" t="str">
        <f>HYPERLINK("http://stackoverflow.com/users/1553676", "yejinxin")</f>
        <v>yejinxin</v>
      </c>
      <c r="D1299" t="s">
        <v>5</v>
      </c>
      <c r="E1299">
        <v>406</v>
      </c>
    </row>
    <row r="1300" spans="1:5" x14ac:dyDescent="0.25">
      <c r="A1300">
        <v>1299</v>
      </c>
      <c r="B1300">
        <v>1465156</v>
      </c>
      <c r="C1300" s="1" t="str">
        <f>HYPERLINK("http://stackoverflow.com/users/1465156", "fishiwhj")</f>
        <v>fishiwhj</v>
      </c>
      <c r="D1300" t="s">
        <v>5</v>
      </c>
      <c r="E1300">
        <v>406</v>
      </c>
    </row>
    <row r="1301" spans="1:5" x14ac:dyDescent="0.25">
      <c r="A1301">
        <v>1300</v>
      </c>
      <c r="B1301">
        <v>5348749</v>
      </c>
      <c r="C1301" s="1" t="str">
        <f>HYPERLINK("http://stackoverflow.com/users/5348749", "Han Qiu")</f>
        <v>Han Qiu</v>
      </c>
      <c r="D1301" t="s">
        <v>5</v>
      </c>
      <c r="E1301">
        <v>406</v>
      </c>
    </row>
    <row r="1302" spans="1:5" x14ac:dyDescent="0.25">
      <c r="A1302">
        <v>1301</v>
      </c>
      <c r="B1302">
        <v>3057462</v>
      </c>
      <c r="C1302" s="1" t="str">
        <f>HYPERLINK("http://stackoverflow.com/users/3057462", "hiveer")</f>
        <v>hiveer</v>
      </c>
      <c r="D1302" t="s">
        <v>28</v>
      </c>
      <c r="E1302">
        <v>406</v>
      </c>
    </row>
    <row r="1303" spans="1:5" x14ac:dyDescent="0.25">
      <c r="A1303">
        <v>1302</v>
      </c>
      <c r="B1303">
        <v>7319114</v>
      </c>
      <c r="C1303" s="1" t="str">
        <f>HYPERLINK("http://stackoverflow.com/users/7319114", "Happy Boy")</f>
        <v>Happy Boy</v>
      </c>
      <c r="D1303" t="s">
        <v>7</v>
      </c>
      <c r="E1303">
        <v>406</v>
      </c>
    </row>
    <row r="1304" spans="1:5" x14ac:dyDescent="0.25">
      <c r="A1304">
        <v>1303</v>
      </c>
      <c r="B1304">
        <v>2256298</v>
      </c>
      <c r="C1304" s="1" t="str">
        <f>HYPERLINK("http://stackoverflow.com/users/2256298", "frankli22586")</f>
        <v>frankli22586</v>
      </c>
      <c r="D1304" t="s">
        <v>5</v>
      </c>
      <c r="E1304">
        <v>405</v>
      </c>
    </row>
    <row r="1305" spans="1:5" x14ac:dyDescent="0.25">
      <c r="A1305">
        <v>1304</v>
      </c>
      <c r="B1305">
        <v>797864</v>
      </c>
      <c r="C1305" s="1" t="str">
        <f>HYPERLINK("http://stackoverflow.com/users/797864", "gekowa")</f>
        <v>gekowa</v>
      </c>
      <c r="D1305" t="s">
        <v>57</v>
      </c>
      <c r="E1305">
        <v>405</v>
      </c>
    </row>
    <row r="1306" spans="1:5" x14ac:dyDescent="0.25">
      <c r="A1306">
        <v>1305</v>
      </c>
      <c r="B1306">
        <v>656764</v>
      </c>
      <c r="C1306" s="1" t="str">
        <f>HYPERLINK("http://stackoverflow.com/users/656764", "nonocast")</f>
        <v>nonocast</v>
      </c>
      <c r="D1306" t="s">
        <v>4</v>
      </c>
      <c r="E1306">
        <v>404</v>
      </c>
    </row>
    <row r="1307" spans="1:5" x14ac:dyDescent="0.25">
      <c r="A1307">
        <v>1306</v>
      </c>
      <c r="B1307">
        <v>1902886</v>
      </c>
      <c r="C1307" s="1" t="str">
        <f>HYPERLINK("http://stackoverflow.com/users/1902886", "William Feirie")</f>
        <v>William Feirie</v>
      </c>
      <c r="D1307" t="s">
        <v>5</v>
      </c>
      <c r="E1307">
        <v>404</v>
      </c>
    </row>
    <row r="1308" spans="1:5" x14ac:dyDescent="0.25">
      <c r="A1308">
        <v>1307</v>
      </c>
      <c r="B1308">
        <v>2390688</v>
      </c>
      <c r="C1308" s="1" t="str">
        <f>HYPERLINK("http://stackoverflow.com/users/2390688", "golddc")</f>
        <v>golddc</v>
      </c>
      <c r="D1308" t="s">
        <v>4</v>
      </c>
      <c r="E1308">
        <v>403</v>
      </c>
    </row>
    <row r="1309" spans="1:5" x14ac:dyDescent="0.25">
      <c r="A1309">
        <v>1308</v>
      </c>
      <c r="B1309">
        <v>4461978</v>
      </c>
      <c r="C1309" s="1" t="str">
        <f>HYPERLINK("http://stackoverflow.com/users/4461978", "crvv")</f>
        <v>crvv</v>
      </c>
      <c r="D1309" t="s">
        <v>7</v>
      </c>
      <c r="E1309">
        <v>402</v>
      </c>
    </row>
    <row r="1310" spans="1:5" x14ac:dyDescent="0.25">
      <c r="A1310">
        <v>1309</v>
      </c>
      <c r="B1310">
        <v>1070525</v>
      </c>
      <c r="C1310" s="1" t="str">
        <f>HYPERLINK("http://stackoverflow.com/users/1070525", "password636")</f>
        <v>password636</v>
      </c>
      <c r="D1310" t="s">
        <v>5</v>
      </c>
      <c r="E1310">
        <v>402</v>
      </c>
    </row>
    <row r="1311" spans="1:5" x14ac:dyDescent="0.25">
      <c r="A1311">
        <v>1310</v>
      </c>
      <c r="B1311">
        <v>1950216</v>
      </c>
      <c r="C1311" s="1" t="str">
        <f>HYPERLINK("http://stackoverflow.com/users/1950216", "Xianyi Ye")</f>
        <v>Xianyi Ye</v>
      </c>
      <c r="D1311" t="s">
        <v>5</v>
      </c>
      <c r="E1311">
        <v>401</v>
      </c>
    </row>
    <row r="1312" spans="1:5" x14ac:dyDescent="0.25">
      <c r="A1312">
        <v>1311</v>
      </c>
      <c r="B1312">
        <v>1523684</v>
      </c>
      <c r="C1312" s="1" t="str">
        <f>HYPERLINK("http://stackoverflow.com/users/1523684", "babttz")</f>
        <v>babttz</v>
      </c>
      <c r="D1312" t="s">
        <v>5</v>
      </c>
      <c r="E1312">
        <v>401</v>
      </c>
    </row>
    <row r="1313" spans="1:5" x14ac:dyDescent="0.25">
      <c r="A1313">
        <v>1312</v>
      </c>
      <c r="B1313">
        <v>1046774</v>
      </c>
      <c r="C1313" s="1" t="str">
        <f>HYPERLINK("http://stackoverflow.com/users/1046774", "lincsoon")</f>
        <v>lincsoon</v>
      </c>
      <c r="D1313" t="s">
        <v>4</v>
      </c>
      <c r="E1313">
        <v>401</v>
      </c>
    </row>
    <row r="1314" spans="1:5" x14ac:dyDescent="0.25">
      <c r="A1314">
        <v>1313</v>
      </c>
      <c r="B1314">
        <v>83558</v>
      </c>
      <c r="C1314" s="1" t="str">
        <f>HYPERLINK("http://stackoverflow.com/users/83558", "huacnlee")</f>
        <v>huacnlee</v>
      </c>
      <c r="D1314" t="s">
        <v>22</v>
      </c>
      <c r="E1314">
        <v>400</v>
      </c>
    </row>
    <row r="1315" spans="1:5" x14ac:dyDescent="0.25">
      <c r="A1315">
        <v>1314</v>
      </c>
      <c r="B1315">
        <v>1232327</v>
      </c>
      <c r="C1315" s="1" t="str">
        <f>HYPERLINK("http://stackoverflow.com/users/1232327", "Niclas Hedhman")</f>
        <v>Niclas Hedhman</v>
      </c>
      <c r="D1315" t="s">
        <v>4</v>
      </c>
      <c r="E1315">
        <v>400</v>
      </c>
    </row>
    <row r="1316" spans="1:5" x14ac:dyDescent="0.25">
      <c r="A1316">
        <v>1315</v>
      </c>
      <c r="B1316">
        <v>1547401</v>
      </c>
      <c r="C1316" s="1" t="str">
        <f>HYPERLINK("http://stackoverflow.com/users/1547401", "Darryl Snow")</f>
        <v>Darryl Snow</v>
      </c>
      <c r="D1316" t="s">
        <v>61</v>
      </c>
      <c r="E1316">
        <v>399</v>
      </c>
    </row>
    <row r="1317" spans="1:5" x14ac:dyDescent="0.25">
      <c r="A1317">
        <v>1316</v>
      </c>
      <c r="B1317">
        <v>1519723</v>
      </c>
      <c r="C1317" s="1" t="str">
        <f>HYPERLINK("http://stackoverflow.com/users/1519723", "Steve")</f>
        <v>Steve</v>
      </c>
      <c r="D1317" t="s">
        <v>4</v>
      </c>
      <c r="E1317">
        <v>399</v>
      </c>
    </row>
    <row r="1318" spans="1:5" x14ac:dyDescent="0.25">
      <c r="A1318">
        <v>1317</v>
      </c>
      <c r="B1318">
        <v>1621654</v>
      </c>
      <c r="C1318" s="1" t="str">
        <f>HYPERLINK("http://stackoverflow.com/users/1621654", "cisolarix")</f>
        <v>cisolarix</v>
      </c>
      <c r="D1318" t="s">
        <v>115</v>
      </c>
      <c r="E1318">
        <v>398</v>
      </c>
    </row>
    <row r="1319" spans="1:5" x14ac:dyDescent="0.25">
      <c r="A1319">
        <v>1318</v>
      </c>
      <c r="B1319">
        <v>1455258</v>
      </c>
      <c r="C1319" s="1" t="str">
        <f>HYPERLINK("http://stackoverflow.com/users/1455258", "Solomon")</f>
        <v>Solomon</v>
      </c>
      <c r="D1319" t="s">
        <v>4</v>
      </c>
      <c r="E1319">
        <v>398</v>
      </c>
    </row>
    <row r="1320" spans="1:5" x14ac:dyDescent="0.25">
      <c r="A1320">
        <v>1319</v>
      </c>
      <c r="B1320">
        <v>1468656</v>
      </c>
      <c r="C1320" s="1" t="str">
        <f>HYPERLINK("http://stackoverflow.com/users/1468656", "watchzerg")</f>
        <v>watchzerg</v>
      </c>
      <c r="D1320" t="s">
        <v>5</v>
      </c>
      <c r="E1320">
        <v>397</v>
      </c>
    </row>
    <row r="1321" spans="1:5" x14ac:dyDescent="0.25">
      <c r="A1321">
        <v>1320</v>
      </c>
      <c r="B1321">
        <v>666953</v>
      </c>
      <c r="C1321" s="1" t="str">
        <f>HYPERLINK("http://stackoverflow.com/users/666953", "iCoder")</f>
        <v>iCoder</v>
      </c>
      <c r="D1321" t="s">
        <v>5</v>
      </c>
      <c r="E1321">
        <v>396</v>
      </c>
    </row>
    <row r="1322" spans="1:5" x14ac:dyDescent="0.25">
      <c r="A1322">
        <v>1321</v>
      </c>
      <c r="B1322">
        <v>150841</v>
      </c>
      <c r="C1322" s="1" t="str">
        <f>HYPERLINK("http://stackoverflow.com/users/150841", "Xie Yanbo")</f>
        <v>Xie Yanbo</v>
      </c>
      <c r="D1322" t="s">
        <v>5</v>
      </c>
      <c r="E1322">
        <v>396</v>
      </c>
    </row>
    <row r="1323" spans="1:5" x14ac:dyDescent="0.25">
      <c r="A1323">
        <v>1322</v>
      </c>
      <c r="B1323">
        <v>3445534</v>
      </c>
      <c r="C1323" s="1" t="str">
        <f>HYPERLINK("http://stackoverflow.com/users/3445534", "buildAll")</f>
        <v>buildAll</v>
      </c>
      <c r="D1323" t="s">
        <v>37</v>
      </c>
      <c r="E1323">
        <v>396</v>
      </c>
    </row>
    <row r="1324" spans="1:5" x14ac:dyDescent="0.25">
      <c r="A1324">
        <v>1323</v>
      </c>
      <c r="B1324">
        <v>442196</v>
      </c>
      <c r="C1324" s="1" t="str">
        <f>HYPERLINK("http://stackoverflow.com/users/442196", "itea")</f>
        <v>itea</v>
      </c>
      <c r="D1324" t="s">
        <v>4</v>
      </c>
      <c r="E1324">
        <v>396</v>
      </c>
    </row>
    <row r="1325" spans="1:5" x14ac:dyDescent="0.25">
      <c r="A1325">
        <v>1324</v>
      </c>
      <c r="B1325">
        <v>4804659</v>
      </c>
      <c r="C1325" s="1" t="str">
        <f>HYPERLINK("http://stackoverflow.com/users/4804659", "喵喵喵")</f>
        <v>喵喵喵</v>
      </c>
      <c r="D1325" t="s">
        <v>21</v>
      </c>
      <c r="E1325">
        <v>396</v>
      </c>
    </row>
    <row r="1326" spans="1:5" x14ac:dyDescent="0.25">
      <c r="A1326">
        <v>1325</v>
      </c>
      <c r="B1326">
        <v>1537399</v>
      </c>
      <c r="C1326" s="1" t="str">
        <f>HYPERLINK("http://stackoverflow.com/users/1537399", "notXX")</f>
        <v>notXX</v>
      </c>
      <c r="D1326" t="s">
        <v>55</v>
      </c>
      <c r="E1326">
        <v>396</v>
      </c>
    </row>
    <row r="1327" spans="1:5" x14ac:dyDescent="0.25">
      <c r="A1327">
        <v>1326</v>
      </c>
      <c r="B1327">
        <v>1210792</v>
      </c>
      <c r="C1327" s="1" t="str">
        <f>HYPERLINK("http://stackoverflow.com/users/1210792", "sbhhbs")</f>
        <v>sbhhbs</v>
      </c>
      <c r="D1327" t="s">
        <v>4</v>
      </c>
      <c r="E1327">
        <v>395</v>
      </c>
    </row>
    <row r="1328" spans="1:5" x14ac:dyDescent="0.25">
      <c r="A1328">
        <v>1327</v>
      </c>
      <c r="B1328">
        <v>4630640</v>
      </c>
      <c r="C1328" s="1" t="str">
        <f>HYPERLINK("http://stackoverflow.com/users/4630640", "Lanting Guo")</f>
        <v>Lanting Guo</v>
      </c>
      <c r="D1328" t="s">
        <v>17</v>
      </c>
      <c r="E1328">
        <v>395</v>
      </c>
    </row>
    <row r="1329" spans="1:5" x14ac:dyDescent="0.25">
      <c r="A1329">
        <v>1328</v>
      </c>
      <c r="B1329">
        <v>6305831</v>
      </c>
      <c r="C1329" s="1" t="str">
        <f>HYPERLINK("http://stackoverflow.com/users/6305831", "Ryan")</f>
        <v>Ryan</v>
      </c>
      <c r="D1329" t="s">
        <v>4</v>
      </c>
      <c r="E1329">
        <v>395</v>
      </c>
    </row>
    <row r="1330" spans="1:5" x14ac:dyDescent="0.25">
      <c r="A1330">
        <v>1329</v>
      </c>
      <c r="B1330">
        <v>7569316</v>
      </c>
      <c r="C1330" s="1" t="str">
        <f>HYPERLINK("http://stackoverflow.com/users/7569316", "SpkingR")</f>
        <v>SpkingR</v>
      </c>
      <c r="D1330" t="s">
        <v>29</v>
      </c>
      <c r="E1330">
        <v>395</v>
      </c>
    </row>
    <row r="1331" spans="1:5" x14ac:dyDescent="0.25">
      <c r="A1331">
        <v>1330</v>
      </c>
      <c r="B1331">
        <v>4090499</v>
      </c>
      <c r="C1331" s="1" t="str">
        <f>HYPERLINK("http://stackoverflow.com/users/4090499", "gwgyk")</f>
        <v>gwgyk</v>
      </c>
      <c r="D1331" t="s">
        <v>5</v>
      </c>
      <c r="E1331">
        <v>395</v>
      </c>
    </row>
    <row r="1332" spans="1:5" x14ac:dyDescent="0.25">
      <c r="A1332">
        <v>1331</v>
      </c>
      <c r="B1332">
        <v>1491175</v>
      </c>
      <c r="C1332" s="1" t="str">
        <f>HYPERLINK("http://stackoverflow.com/users/1491175", "Sherwood Wang")</f>
        <v>Sherwood Wang</v>
      </c>
      <c r="D1332" t="s">
        <v>4</v>
      </c>
      <c r="E1332">
        <v>393</v>
      </c>
    </row>
    <row r="1333" spans="1:5" x14ac:dyDescent="0.25">
      <c r="A1333">
        <v>1332</v>
      </c>
      <c r="B1333">
        <v>1287790</v>
      </c>
      <c r="C1333" s="1" t="str">
        <f>HYPERLINK("http://stackoverflow.com/users/1287790", "chanjarster")</f>
        <v>chanjarster</v>
      </c>
      <c r="D1333" t="s">
        <v>4</v>
      </c>
      <c r="E1333">
        <v>393</v>
      </c>
    </row>
    <row r="1334" spans="1:5" x14ac:dyDescent="0.25">
      <c r="A1334">
        <v>1333</v>
      </c>
      <c r="B1334">
        <v>1059087</v>
      </c>
      <c r="C1334" s="1" t="str">
        <f>HYPERLINK("http://stackoverflow.com/users/1059087", "Skydiver")</f>
        <v>Skydiver</v>
      </c>
      <c r="D1334" t="s">
        <v>5</v>
      </c>
      <c r="E1334">
        <v>393</v>
      </c>
    </row>
    <row r="1335" spans="1:5" x14ac:dyDescent="0.25">
      <c r="A1335">
        <v>1334</v>
      </c>
      <c r="B1335">
        <v>4708028</v>
      </c>
      <c r="C1335" s="1" t="str">
        <f>HYPERLINK("http://stackoverflow.com/users/4708028", "wow yoo")</f>
        <v>wow yoo</v>
      </c>
      <c r="D1335" t="s">
        <v>5</v>
      </c>
      <c r="E1335">
        <v>393</v>
      </c>
    </row>
    <row r="1336" spans="1:5" x14ac:dyDescent="0.25">
      <c r="A1336">
        <v>1335</v>
      </c>
      <c r="B1336">
        <v>993109</v>
      </c>
      <c r="C1336" s="1" t="str">
        <f>HYPERLINK("http://stackoverflow.com/users/993109", "刘伟科")</f>
        <v>刘伟科</v>
      </c>
      <c r="D1336" t="s">
        <v>18</v>
      </c>
      <c r="E1336">
        <v>392</v>
      </c>
    </row>
    <row r="1337" spans="1:5" x14ac:dyDescent="0.25">
      <c r="A1337">
        <v>1336</v>
      </c>
      <c r="B1337">
        <v>4968927</v>
      </c>
      <c r="C1337" s="1" t="str">
        <f>HYPERLINK("http://stackoverflow.com/users/4968927", "Li Chunlin")</f>
        <v>Li Chunlin</v>
      </c>
      <c r="D1337" t="s">
        <v>5</v>
      </c>
      <c r="E1337">
        <v>392</v>
      </c>
    </row>
    <row r="1338" spans="1:5" x14ac:dyDescent="0.25">
      <c r="A1338">
        <v>1337</v>
      </c>
      <c r="B1338">
        <v>4912403</v>
      </c>
      <c r="C1338" s="1" t="str">
        <f>HYPERLINK("http://stackoverflow.com/users/4912403", "Donghua Li")</f>
        <v>Donghua Li</v>
      </c>
      <c r="D1338" t="s">
        <v>4</v>
      </c>
      <c r="E1338">
        <v>391</v>
      </c>
    </row>
    <row r="1339" spans="1:5" x14ac:dyDescent="0.25">
      <c r="A1339">
        <v>1338</v>
      </c>
      <c r="B1339">
        <v>1347796</v>
      </c>
      <c r="C1339" s="1" t="str">
        <f>HYPERLINK("http://stackoverflow.com/users/1347796", "ningyuwhut")</f>
        <v>ningyuwhut</v>
      </c>
      <c r="D1339" t="s">
        <v>5</v>
      </c>
      <c r="E1339">
        <v>391</v>
      </c>
    </row>
    <row r="1340" spans="1:5" x14ac:dyDescent="0.25">
      <c r="A1340">
        <v>1339</v>
      </c>
      <c r="B1340">
        <v>1831451</v>
      </c>
      <c r="C1340" s="1" t="str">
        <f>HYPERLINK("http://stackoverflow.com/users/1831451", "Dingbao Xie")</f>
        <v>Dingbao Xie</v>
      </c>
      <c r="D1340" t="s">
        <v>37</v>
      </c>
      <c r="E1340">
        <v>391</v>
      </c>
    </row>
    <row r="1341" spans="1:5" x14ac:dyDescent="0.25">
      <c r="A1341">
        <v>1340</v>
      </c>
      <c r="B1341">
        <v>3200765</v>
      </c>
      <c r="C1341" s="1" t="str">
        <f>HYPERLINK("http://stackoverflow.com/users/3200765", "Naren Chejara")</f>
        <v>Naren Chejara</v>
      </c>
      <c r="D1341" t="s">
        <v>4</v>
      </c>
      <c r="E1341">
        <v>390</v>
      </c>
    </row>
    <row r="1342" spans="1:5" x14ac:dyDescent="0.25">
      <c r="A1342">
        <v>1341</v>
      </c>
      <c r="B1342">
        <v>560349</v>
      </c>
      <c r="C1342" s="1" t="str">
        <f>HYPERLINK("http://stackoverflow.com/users/560349", "NGloom")</f>
        <v>NGloom</v>
      </c>
      <c r="D1342" t="s">
        <v>4</v>
      </c>
      <c r="E1342">
        <v>389</v>
      </c>
    </row>
    <row r="1343" spans="1:5" x14ac:dyDescent="0.25">
      <c r="A1343">
        <v>1342</v>
      </c>
      <c r="B1343">
        <v>427443</v>
      </c>
      <c r="C1343" s="1" t="str">
        <f>HYPERLINK("http://stackoverflow.com/users/427443", "nickcheng")</f>
        <v>nickcheng</v>
      </c>
      <c r="D1343" t="s">
        <v>5</v>
      </c>
      <c r="E1343">
        <v>389</v>
      </c>
    </row>
    <row r="1344" spans="1:5" x14ac:dyDescent="0.25">
      <c r="A1344">
        <v>1343</v>
      </c>
      <c r="B1344">
        <v>1343200</v>
      </c>
      <c r="C1344" s="1" t="str">
        <f>HYPERLINK("http://stackoverflow.com/users/1343200", "uspython")</f>
        <v>uspython</v>
      </c>
      <c r="D1344" t="s">
        <v>5</v>
      </c>
      <c r="E1344">
        <v>388</v>
      </c>
    </row>
    <row r="1345" spans="1:5" x14ac:dyDescent="0.25">
      <c r="A1345">
        <v>1344</v>
      </c>
      <c r="B1345">
        <v>1147207</v>
      </c>
      <c r="C1345" s="1" t="str">
        <f>HYPERLINK("http://stackoverflow.com/users/1147207", "Mark Yao")</f>
        <v>Mark Yao</v>
      </c>
      <c r="D1345" t="s">
        <v>16</v>
      </c>
      <c r="E1345">
        <v>388</v>
      </c>
    </row>
    <row r="1346" spans="1:5" x14ac:dyDescent="0.25">
      <c r="A1346">
        <v>1345</v>
      </c>
      <c r="B1346">
        <v>1550961</v>
      </c>
      <c r="C1346" s="1" t="str">
        <f>HYPERLINK("http://stackoverflow.com/users/1550961", "FeichengMaike")</f>
        <v>FeichengMaike</v>
      </c>
      <c r="D1346" t="s">
        <v>5</v>
      </c>
      <c r="E1346">
        <v>388</v>
      </c>
    </row>
    <row r="1347" spans="1:5" x14ac:dyDescent="0.25">
      <c r="A1347">
        <v>1346</v>
      </c>
      <c r="B1347">
        <v>6081286</v>
      </c>
      <c r="C1347" s="1" t="str">
        <f>HYPERLINK("http://stackoverflow.com/users/6081286", "jia hilegass")</f>
        <v>jia hilegass</v>
      </c>
      <c r="D1347" t="s">
        <v>25</v>
      </c>
      <c r="E1347">
        <v>387</v>
      </c>
    </row>
    <row r="1348" spans="1:5" x14ac:dyDescent="0.25">
      <c r="A1348">
        <v>1347</v>
      </c>
      <c r="B1348">
        <v>1246363</v>
      </c>
      <c r="C1348" s="1" t="str">
        <f>HYPERLINK("http://stackoverflow.com/users/1246363", "gary")</f>
        <v>gary</v>
      </c>
      <c r="D1348" t="s">
        <v>4</v>
      </c>
      <c r="E1348">
        <v>387</v>
      </c>
    </row>
    <row r="1349" spans="1:5" x14ac:dyDescent="0.25">
      <c r="A1349">
        <v>1348</v>
      </c>
      <c r="B1349">
        <v>3627686</v>
      </c>
      <c r="C1349" s="1" t="str">
        <f>HYPERLINK("http://stackoverflow.com/users/3627686", "Boyi Li")</f>
        <v>Boyi Li</v>
      </c>
      <c r="D1349" t="s">
        <v>4</v>
      </c>
      <c r="E1349">
        <v>387</v>
      </c>
    </row>
    <row r="1350" spans="1:5" x14ac:dyDescent="0.25">
      <c r="A1350">
        <v>1349</v>
      </c>
      <c r="B1350">
        <v>3640366</v>
      </c>
      <c r="C1350" s="1" t="str">
        <f>HYPERLINK("http://stackoverflow.com/users/3640366", "WoookLiu")</f>
        <v>WoookLiu</v>
      </c>
      <c r="D1350" t="s">
        <v>5</v>
      </c>
      <c r="E1350">
        <v>387</v>
      </c>
    </row>
    <row r="1351" spans="1:5" x14ac:dyDescent="0.25">
      <c r="A1351">
        <v>1350</v>
      </c>
      <c r="B1351">
        <v>1316547</v>
      </c>
      <c r="C1351" s="1" t="str">
        <f>HYPERLINK("http://stackoverflow.com/users/1316547", "Danny Xu")</f>
        <v>Danny Xu</v>
      </c>
      <c r="D1351" t="s">
        <v>4</v>
      </c>
      <c r="E1351">
        <v>386</v>
      </c>
    </row>
    <row r="1352" spans="1:5" x14ac:dyDescent="0.25">
      <c r="A1352">
        <v>1351</v>
      </c>
      <c r="B1352">
        <v>500475</v>
      </c>
      <c r="C1352" s="1" t="str">
        <f>HYPERLINK("http://stackoverflow.com/users/500475", "Chi Zhang")</f>
        <v>Chi Zhang</v>
      </c>
      <c r="D1352" t="s">
        <v>12</v>
      </c>
      <c r="E1352">
        <v>386</v>
      </c>
    </row>
    <row r="1353" spans="1:5" x14ac:dyDescent="0.25">
      <c r="A1353">
        <v>1352</v>
      </c>
      <c r="B1353">
        <v>913751</v>
      </c>
      <c r="C1353" s="1" t="str">
        <f>HYPERLINK("http://stackoverflow.com/users/913751", "Shuge Lee")</f>
        <v>Shuge Lee</v>
      </c>
      <c r="D1353" t="s">
        <v>21</v>
      </c>
      <c r="E1353">
        <v>385</v>
      </c>
    </row>
    <row r="1354" spans="1:5" x14ac:dyDescent="0.25">
      <c r="A1354">
        <v>1353</v>
      </c>
      <c r="B1354">
        <v>235750</v>
      </c>
      <c r="C1354" s="1" t="str">
        <f>HYPERLINK("http://stackoverflow.com/users/235750", "zzzhc")</f>
        <v>zzzhc</v>
      </c>
      <c r="D1354" t="s">
        <v>5</v>
      </c>
      <c r="E1354">
        <v>385</v>
      </c>
    </row>
    <row r="1355" spans="1:5" x14ac:dyDescent="0.25">
      <c r="A1355">
        <v>1354</v>
      </c>
      <c r="B1355">
        <v>1137191</v>
      </c>
      <c r="C1355" s="1" t="str">
        <f>HYPERLINK("http://stackoverflow.com/users/1137191", "ucdream")</f>
        <v>ucdream</v>
      </c>
      <c r="D1355" t="s">
        <v>5</v>
      </c>
      <c r="E1355">
        <v>384</v>
      </c>
    </row>
    <row r="1356" spans="1:5" x14ac:dyDescent="0.25">
      <c r="A1356">
        <v>1355</v>
      </c>
      <c r="B1356">
        <v>1487278</v>
      </c>
      <c r="C1356" s="1" t="str">
        <f>HYPERLINK("http://stackoverflow.com/users/1487278", "Charlesjean")</f>
        <v>Charlesjean</v>
      </c>
      <c r="D1356" t="s">
        <v>12</v>
      </c>
      <c r="E1356">
        <v>384</v>
      </c>
    </row>
    <row r="1357" spans="1:5" x14ac:dyDescent="0.25">
      <c r="A1357">
        <v>1356</v>
      </c>
      <c r="B1357">
        <v>866667</v>
      </c>
      <c r="C1357" s="1" t="str">
        <f>HYPERLINK("http://stackoverflow.com/users/866667", "Alexander King")</f>
        <v>Alexander King</v>
      </c>
      <c r="D1357" t="s">
        <v>37</v>
      </c>
      <c r="E1357">
        <v>384</v>
      </c>
    </row>
    <row r="1358" spans="1:5" x14ac:dyDescent="0.25">
      <c r="A1358">
        <v>1357</v>
      </c>
      <c r="B1358">
        <v>126415</v>
      </c>
      <c r="C1358" s="1" t="str">
        <f>HYPERLINK("http://stackoverflow.com/users/126415", "Forrest")</f>
        <v>Forrest</v>
      </c>
      <c r="D1358" t="s">
        <v>4</v>
      </c>
      <c r="E1358">
        <v>384</v>
      </c>
    </row>
    <row r="1359" spans="1:5" x14ac:dyDescent="0.25">
      <c r="A1359">
        <v>1358</v>
      </c>
      <c r="B1359">
        <v>9399618</v>
      </c>
      <c r="C1359" s="1" t="str">
        <f>HYPERLINK("http://stackoverflow.com/users/9399618", "Meow Cat 2012")</f>
        <v>Meow Cat 2012</v>
      </c>
      <c r="D1359" t="s">
        <v>5</v>
      </c>
      <c r="E1359">
        <v>383</v>
      </c>
    </row>
    <row r="1360" spans="1:5" x14ac:dyDescent="0.25">
      <c r="A1360">
        <v>1359</v>
      </c>
      <c r="B1360">
        <v>3886157</v>
      </c>
      <c r="C1360" s="1" t="str">
        <f>HYPERLINK("http://stackoverflow.com/users/3886157", "feng ce")</f>
        <v>feng ce</v>
      </c>
      <c r="D1360" t="s">
        <v>5</v>
      </c>
      <c r="E1360">
        <v>383</v>
      </c>
    </row>
    <row r="1361" spans="1:5" x14ac:dyDescent="0.25">
      <c r="A1361">
        <v>1360</v>
      </c>
      <c r="B1361">
        <v>214400</v>
      </c>
      <c r="C1361" s="1" t="str">
        <f>HYPERLINK("http://stackoverflow.com/users/214400", "Baoquan Zuo")</f>
        <v>Baoquan Zuo</v>
      </c>
      <c r="D1361" t="s">
        <v>4</v>
      </c>
      <c r="E1361">
        <v>382</v>
      </c>
    </row>
    <row r="1362" spans="1:5" x14ac:dyDescent="0.25">
      <c r="A1362">
        <v>1361</v>
      </c>
      <c r="B1362">
        <v>1349665</v>
      </c>
      <c r="C1362" s="1" t="str">
        <f>HYPERLINK("http://stackoverflow.com/users/1349665", "Zheng Te")</f>
        <v>Zheng Te</v>
      </c>
      <c r="D1362" t="s">
        <v>5</v>
      </c>
      <c r="E1362">
        <v>382</v>
      </c>
    </row>
    <row r="1363" spans="1:5" x14ac:dyDescent="0.25">
      <c r="A1363">
        <v>1362</v>
      </c>
      <c r="B1363">
        <v>689948</v>
      </c>
      <c r="C1363" s="1" t="str">
        <f>HYPERLINK("http://stackoverflow.com/users/689948", "PinkyJie")</f>
        <v>PinkyJie</v>
      </c>
      <c r="D1363" t="s">
        <v>4</v>
      </c>
      <c r="E1363">
        <v>382</v>
      </c>
    </row>
    <row r="1364" spans="1:5" x14ac:dyDescent="0.25">
      <c r="A1364">
        <v>1363</v>
      </c>
      <c r="B1364">
        <v>4390525</v>
      </c>
      <c r="C1364" s="1" t="str">
        <f>HYPERLINK("http://stackoverflow.com/users/4390525", "xuanzhui")</f>
        <v>xuanzhui</v>
      </c>
      <c r="D1364" t="s">
        <v>43</v>
      </c>
      <c r="E1364">
        <v>382</v>
      </c>
    </row>
    <row r="1365" spans="1:5" x14ac:dyDescent="0.25">
      <c r="A1365">
        <v>1364</v>
      </c>
      <c r="B1365">
        <v>255461</v>
      </c>
      <c r="C1365" s="1" t="str">
        <f>HYPERLINK("http://stackoverflow.com/users/255461", "aXqd")</f>
        <v>aXqd</v>
      </c>
      <c r="D1365" t="s">
        <v>22</v>
      </c>
      <c r="E1365">
        <v>381</v>
      </c>
    </row>
    <row r="1366" spans="1:5" x14ac:dyDescent="0.25">
      <c r="A1366">
        <v>1365</v>
      </c>
      <c r="B1366">
        <v>1112787</v>
      </c>
      <c r="C1366" s="1" t="str">
        <f>HYPERLINK("http://stackoverflow.com/users/1112787", "unlimited")</f>
        <v>unlimited</v>
      </c>
      <c r="D1366" t="s">
        <v>116</v>
      </c>
      <c r="E1366">
        <v>381</v>
      </c>
    </row>
    <row r="1367" spans="1:5" x14ac:dyDescent="0.25">
      <c r="A1367">
        <v>1366</v>
      </c>
      <c r="B1367">
        <v>7179594</v>
      </c>
      <c r="C1367" s="1" t="str">
        <f>HYPERLINK("http://stackoverflow.com/users/7179594", "riguang zheng")</f>
        <v>riguang zheng</v>
      </c>
      <c r="D1367" t="s">
        <v>33</v>
      </c>
      <c r="E1367">
        <v>380</v>
      </c>
    </row>
    <row r="1368" spans="1:5" x14ac:dyDescent="0.25">
      <c r="A1368">
        <v>1367</v>
      </c>
      <c r="B1368">
        <v>5932895</v>
      </c>
      <c r="C1368" s="1" t="str">
        <f>HYPERLINK("http://stackoverflow.com/users/5932895", "KongJing")</f>
        <v>KongJing</v>
      </c>
      <c r="D1368" t="s">
        <v>62</v>
      </c>
      <c r="E1368">
        <v>379</v>
      </c>
    </row>
    <row r="1369" spans="1:5" x14ac:dyDescent="0.25">
      <c r="A1369">
        <v>1368</v>
      </c>
      <c r="B1369">
        <v>4787721</v>
      </c>
      <c r="C1369" s="1" t="str">
        <f>HYPERLINK("http://stackoverflow.com/users/4787721", "dukegod")</f>
        <v>dukegod</v>
      </c>
      <c r="D1369" t="s">
        <v>5</v>
      </c>
      <c r="E1369">
        <v>379</v>
      </c>
    </row>
    <row r="1370" spans="1:5" x14ac:dyDescent="0.25">
      <c r="A1370">
        <v>1369</v>
      </c>
      <c r="B1370">
        <v>1004435</v>
      </c>
      <c r="C1370" s="1" t="str">
        <f>HYPERLINK("http://stackoverflow.com/users/1004435", "yxf")</f>
        <v>yxf</v>
      </c>
      <c r="D1370" t="s">
        <v>4</v>
      </c>
      <c r="E1370">
        <v>379</v>
      </c>
    </row>
    <row r="1371" spans="1:5" x14ac:dyDescent="0.25">
      <c r="A1371">
        <v>1370</v>
      </c>
      <c r="B1371">
        <v>5979589</v>
      </c>
      <c r="C1371" s="1" t="str">
        <f>HYPERLINK("http://stackoverflow.com/users/5979589", "zhaochy")</f>
        <v>zhaochy</v>
      </c>
      <c r="D1371" t="s">
        <v>4</v>
      </c>
      <c r="E1371">
        <v>379</v>
      </c>
    </row>
    <row r="1372" spans="1:5" x14ac:dyDescent="0.25">
      <c r="A1372">
        <v>1371</v>
      </c>
      <c r="B1372">
        <v>1177330</v>
      </c>
      <c r="C1372" s="1" t="str">
        <f>HYPERLINK("http://stackoverflow.com/users/1177330", "yukuan")</f>
        <v>yukuan</v>
      </c>
      <c r="D1372" t="s">
        <v>3</v>
      </c>
      <c r="E1372">
        <v>379</v>
      </c>
    </row>
    <row r="1373" spans="1:5" x14ac:dyDescent="0.25">
      <c r="A1373">
        <v>1372</v>
      </c>
      <c r="B1373">
        <v>253798</v>
      </c>
      <c r="C1373" s="1" t="str">
        <f>HYPERLINK("http://stackoverflow.com/users/253798", "evanmeng")</f>
        <v>evanmeng</v>
      </c>
      <c r="D1373" t="s">
        <v>4</v>
      </c>
      <c r="E1373">
        <v>378</v>
      </c>
    </row>
    <row r="1374" spans="1:5" x14ac:dyDescent="0.25">
      <c r="A1374">
        <v>1373</v>
      </c>
      <c r="B1374">
        <v>3601255</v>
      </c>
      <c r="C1374" s="1" t="str">
        <f>HYPERLINK("http://stackoverflow.com/users/3601255", "chriscohen")</f>
        <v>chriscohen</v>
      </c>
      <c r="D1374" t="s">
        <v>22</v>
      </c>
      <c r="E1374">
        <v>378</v>
      </c>
    </row>
    <row r="1375" spans="1:5" x14ac:dyDescent="0.25">
      <c r="A1375">
        <v>1374</v>
      </c>
      <c r="B1375">
        <v>2499934</v>
      </c>
      <c r="C1375" s="1" t="str">
        <f>HYPERLINK("http://stackoverflow.com/users/2499934", "Harper Koo")</f>
        <v>Harper Koo</v>
      </c>
      <c r="D1375" t="s">
        <v>4</v>
      </c>
      <c r="E1375">
        <v>377</v>
      </c>
    </row>
    <row r="1376" spans="1:5" x14ac:dyDescent="0.25">
      <c r="A1376">
        <v>1375</v>
      </c>
      <c r="B1376">
        <v>795969</v>
      </c>
      <c r="C1376" s="1" t="str">
        <f>HYPERLINK("http://stackoverflow.com/users/795969", "peihan")</f>
        <v>peihan</v>
      </c>
      <c r="D1376" t="s">
        <v>5</v>
      </c>
      <c r="E1376">
        <v>377</v>
      </c>
    </row>
    <row r="1377" spans="1:5" x14ac:dyDescent="0.25">
      <c r="A1377">
        <v>1376</v>
      </c>
      <c r="B1377">
        <v>612844</v>
      </c>
      <c r="C1377" s="1" t="str">
        <f>HYPERLINK("http://stackoverflow.com/users/612844", "yafeya")</f>
        <v>yafeya</v>
      </c>
      <c r="D1377" t="s">
        <v>5</v>
      </c>
      <c r="E1377">
        <v>377</v>
      </c>
    </row>
    <row r="1378" spans="1:5" x14ac:dyDescent="0.25">
      <c r="A1378">
        <v>1377</v>
      </c>
      <c r="B1378">
        <v>3035199</v>
      </c>
      <c r="C1378" s="1" t="str">
        <f>HYPERLINK("http://stackoverflow.com/users/3035199", "jackieLin")</f>
        <v>jackieLin</v>
      </c>
      <c r="D1378" t="s">
        <v>21</v>
      </c>
      <c r="E1378">
        <v>377</v>
      </c>
    </row>
    <row r="1379" spans="1:5" x14ac:dyDescent="0.25">
      <c r="A1379">
        <v>1378</v>
      </c>
      <c r="B1379">
        <v>230919</v>
      </c>
      <c r="C1379" s="1" t="str">
        <f>HYPERLINK("http://stackoverflow.com/users/230919", "Juguang")</f>
        <v>Juguang</v>
      </c>
      <c r="D1379" t="s">
        <v>5</v>
      </c>
      <c r="E1379">
        <v>376</v>
      </c>
    </row>
    <row r="1380" spans="1:5" x14ac:dyDescent="0.25">
      <c r="A1380">
        <v>1379</v>
      </c>
      <c r="B1380">
        <v>349595</v>
      </c>
      <c r="C1380" s="1" t="str">
        <f>HYPERLINK("http://stackoverflow.com/users/349595", "Rambo")</f>
        <v>Rambo</v>
      </c>
      <c r="D1380" t="s">
        <v>57</v>
      </c>
      <c r="E1380">
        <v>376</v>
      </c>
    </row>
    <row r="1381" spans="1:5" x14ac:dyDescent="0.25">
      <c r="A1381">
        <v>1380</v>
      </c>
      <c r="B1381">
        <v>3962551</v>
      </c>
      <c r="C1381" s="1" t="str">
        <f>HYPERLINK("http://stackoverflow.com/users/3962551", "Logan Guo")</f>
        <v>Logan Guo</v>
      </c>
      <c r="D1381" t="s">
        <v>5</v>
      </c>
      <c r="E1381">
        <v>375</v>
      </c>
    </row>
    <row r="1382" spans="1:5" x14ac:dyDescent="0.25">
      <c r="A1382">
        <v>1381</v>
      </c>
      <c r="B1382">
        <v>4734558</v>
      </c>
      <c r="C1382" s="1" t="str">
        <f>HYPERLINK("http://stackoverflow.com/users/4734558", "Desmond Yao")</f>
        <v>Desmond Yao</v>
      </c>
      <c r="D1382" t="s">
        <v>4</v>
      </c>
      <c r="E1382">
        <v>375</v>
      </c>
    </row>
    <row r="1383" spans="1:5" x14ac:dyDescent="0.25">
      <c r="A1383">
        <v>1382</v>
      </c>
      <c r="B1383">
        <v>1204882</v>
      </c>
      <c r="C1383" s="1" t="str">
        <f>HYPERLINK("http://stackoverflow.com/users/1204882", "chanjianyi")</f>
        <v>chanjianyi</v>
      </c>
      <c r="D1383" t="s">
        <v>21</v>
      </c>
      <c r="E1383">
        <v>373</v>
      </c>
    </row>
    <row r="1384" spans="1:5" x14ac:dyDescent="0.25">
      <c r="A1384">
        <v>1383</v>
      </c>
      <c r="B1384">
        <v>894848</v>
      </c>
      <c r="C1384" s="1" t="str">
        <f>HYPERLINK("http://stackoverflow.com/users/894848", "Cedric Fung")</f>
        <v>Cedric Fung</v>
      </c>
      <c r="D1384" t="s">
        <v>5</v>
      </c>
      <c r="E1384">
        <v>372</v>
      </c>
    </row>
    <row r="1385" spans="1:5" x14ac:dyDescent="0.25">
      <c r="A1385">
        <v>1384</v>
      </c>
      <c r="B1385">
        <v>888639</v>
      </c>
      <c r="C1385" s="1" t="str">
        <f>HYPERLINK("http://stackoverflow.com/users/888639", "Jim Liu")</f>
        <v>Jim Liu</v>
      </c>
      <c r="D1385" t="s">
        <v>4</v>
      </c>
      <c r="E1385">
        <v>372</v>
      </c>
    </row>
    <row r="1386" spans="1:5" x14ac:dyDescent="0.25">
      <c r="A1386">
        <v>1385</v>
      </c>
      <c r="B1386">
        <v>285538</v>
      </c>
      <c r="C1386" s="1" t="str">
        <f>HYPERLINK("http://stackoverflow.com/users/285538", "sevenever")</f>
        <v>sevenever</v>
      </c>
      <c r="D1386" t="s">
        <v>4</v>
      </c>
      <c r="E1386">
        <v>372</v>
      </c>
    </row>
    <row r="1387" spans="1:5" x14ac:dyDescent="0.25">
      <c r="A1387">
        <v>1386</v>
      </c>
      <c r="B1387">
        <v>781203</v>
      </c>
      <c r="C1387" s="1" t="str">
        <f>HYPERLINK("http://stackoverflow.com/users/781203", "rayking")</f>
        <v>rayking</v>
      </c>
      <c r="D1387" t="s">
        <v>22</v>
      </c>
      <c r="E1387">
        <v>371</v>
      </c>
    </row>
    <row r="1388" spans="1:5" x14ac:dyDescent="0.25">
      <c r="A1388">
        <v>1387</v>
      </c>
      <c r="B1388">
        <v>1770578</v>
      </c>
      <c r="C1388" s="1" t="str">
        <f>HYPERLINK("http://stackoverflow.com/users/1770578", "Goofy")</f>
        <v>Goofy</v>
      </c>
      <c r="D1388" t="s">
        <v>12</v>
      </c>
      <c r="E1388">
        <v>371</v>
      </c>
    </row>
    <row r="1389" spans="1:5" x14ac:dyDescent="0.25">
      <c r="A1389">
        <v>1388</v>
      </c>
      <c r="B1389">
        <v>904651</v>
      </c>
      <c r="C1389" s="1" t="str">
        <f>HYPERLINK("http://stackoverflow.com/users/904651", "sureone")</f>
        <v>sureone</v>
      </c>
      <c r="D1389" t="s">
        <v>37</v>
      </c>
      <c r="E1389">
        <v>371</v>
      </c>
    </row>
    <row r="1390" spans="1:5" x14ac:dyDescent="0.25">
      <c r="A1390">
        <v>1389</v>
      </c>
      <c r="B1390">
        <v>3089505</v>
      </c>
      <c r="C1390" s="1" t="str">
        <f>HYPERLINK("http://stackoverflow.com/users/3089505", "Mindy")</f>
        <v>Mindy</v>
      </c>
      <c r="D1390" t="s">
        <v>5</v>
      </c>
      <c r="E1390">
        <v>371</v>
      </c>
    </row>
    <row r="1391" spans="1:5" x14ac:dyDescent="0.25">
      <c r="A1391">
        <v>1390</v>
      </c>
      <c r="B1391">
        <v>1780798</v>
      </c>
      <c r="C1391" s="1" t="str">
        <f>HYPERLINK("http://stackoverflow.com/users/1780798", "sunhs")</f>
        <v>sunhs</v>
      </c>
      <c r="D1391" t="s">
        <v>21</v>
      </c>
      <c r="E1391">
        <v>371</v>
      </c>
    </row>
    <row r="1392" spans="1:5" x14ac:dyDescent="0.25">
      <c r="A1392">
        <v>1391</v>
      </c>
      <c r="B1392">
        <v>1361234</v>
      </c>
      <c r="C1392" s="1" t="str">
        <f>HYPERLINK("http://stackoverflow.com/users/1361234", "loveisbug")</f>
        <v>loveisbug</v>
      </c>
      <c r="D1392" t="s">
        <v>4</v>
      </c>
      <c r="E1392">
        <v>371</v>
      </c>
    </row>
    <row r="1393" spans="1:5" x14ac:dyDescent="0.25">
      <c r="A1393">
        <v>1392</v>
      </c>
      <c r="B1393">
        <v>553734</v>
      </c>
      <c r="C1393" s="1" t="str">
        <f>HYPERLINK("http://stackoverflow.com/users/553734", "Bob Cromwell")</f>
        <v>Bob Cromwell</v>
      </c>
      <c r="D1393" t="s">
        <v>5</v>
      </c>
      <c r="E1393">
        <v>370</v>
      </c>
    </row>
    <row r="1394" spans="1:5" x14ac:dyDescent="0.25">
      <c r="A1394">
        <v>1393</v>
      </c>
      <c r="B1394">
        <v>1113513</v>
      </c>
      <c r="C1394" s="1" t="str">
        <f>HYPERLINK("http://stackoverflow.com/users/1113513", "TopCaver")</f>
        <v>TopCaver</v>
      </c>
      <c r="D1394" t="s">
        <v>5</v>
      </c>
      <c r="E1394">
        <v>370</v>
      </c>
    </row>
    <row r="1395" spans="1:5" x14ac:dyDescent="0.25">
      <c r="A1395">
        <v>1394</v>
      </c>
      <c r="B1395">
        <v>6868344</v>
      </c>
      <c r="C1395" s="1" t="str">
        <f>HYPERLINK("http://stackoverflow.com/users/6868344", "Forte Zhu")</f>
        <v>Forte Zhu</v>
      </c>
      <c r="D1395" t="s">
        <v>25</v>
      </c>
      <c r="E1395">
        <v>370</v>
      </c>
    </row>
    <row r="1396" spans="1:5" x14ac:dyDescent="0.25">
      <c r="A1396">
        <v>1395</v>
      </c>
      <c r="B1396">
        <v>4134671</v>
      </c>
      <c r="C1396" s="1" t="str">
        <f>HYPERLINK("http://stackoverflow.com/users/4134671", "Frank")</f>
        <v>Frank</v>
      </c>
      <c r="D1396" t="s">
        <v>5</v>
      </c>
      <c r="E1396">
        <v>370</v>
      </c>
    </row>
    <row r="1397" spans="1:5" x14ac:dyDescent="0.25">
      <c r="A1397">
        <v>1396</v>
      </c>
      <c r="B1397">
        <v>2279763</v>
      </c>
      <c r="C1397" s="1" t="str">
        <f>HYPERLINK("http://stackoverflow.com/users/2279763", "shuizhongyuemin")</f>
        <v>shuizhongyuemin</v>
      </c>
      <c r="D1397" t="s">
        <v>5</v>
      </c>
      <c r="E1397">
        <v>370</v>
      </c>
    </row>
    <row r="1398" spans="1:5" x14ac:dyDescent="0.25">
      <c r="A1398">
        <v>1397</v>
      </c>
      <c r="B1398">
        <v>2086007</v>
      </c>
      <c r="C1398" s="1" t="str">
        <f>HYPERLINK("http://stackoverflow.com/users/2086007", "Leo")</f>
        <v>Leo</v>
      </c>
      <c r="D1398" t="s">
        <v>5</v>
      </c>
      <c r="E1398">
        <v>369</v>
      </c>
    </row>
    <row r="1399" spans="1:5" x14ac:dyDescent="0.25">
      <c r="A1399">
        <v>1398</v>
      </c>
      <c r="B1399">
        <v>421688</v>
      </c>
      <c r="C1399" s="1" t="str">
        <f>HYPERLINK("http://stackoverflow.com/users/421688", "Cheng")</f>
        <v>Cheng</v>
      </c>
      <c r="D1399" t="s">
        <v>5</v>
      </c>
      <c r="E1399">
        <v>369</v>
      </c>
    </row>
    <row r="1400" spans="1:5" x14ac:dyDescent="0.25">
      <c r="A1400">
        <v>1399</v>
      </c>
      <c r="B1400">
        <v>5157801</v>
      </c>
      <c r="C1400" s="1" t="str">
        <f>HYPERLINK("http://stackoverflow.com/users/5157801", "Liqang Lau")</f>
        <v>Liqang Lau</v>
      </c>
      <c r="D1400" t="s">
        <v>7</v>
      </c>
      <c r="E1400">
        <v>368</v>
      </c>
    </row>
    <row r="1401" spans="1:5" x14ac:dyDescent="0.25">
      <c r="A1401">
        <v>1400</v>
      </c>
      <c r="B1401">
        <v>1414641</v>
      </c>
      <c r="C1401" s="1" t="str">
        <f>HYPERLINK("http://stackoverflow.com/users/1414641", "D_S_toowhite")</f>
        <v>D_S_toowhite</v>
      </c>
      <c r="D1401" t="s">
        <v>12</v>
      </c>
      <c r="E1401">
        <v>368</v>
      </c>
    </row>
    <row r="1402" spans="1:5" x14ac:dyDescent="0.25">
      <c r="A1402">
        <v>1401</v>
      </c>
      <c r="B1402">
        <v>1378511</v>
      </c>
      <c r="C1402" s="1" t="str">
        <f>HYPERLINK("http://stackoverflow.com/users/1378511", "leiming")</f>
        <v>leiming</v>
      </c>
      <c r="D1402" t="s">
        <v>4</v>
      </c>
      <c r="E1402">
        <v>368</v>
      </c>
    </row>
    <row r="1403" spans="1:5" x14ac:dyDescent="0.25">
      <c r="A1403">
        <v>1402</v>
      </c>
      <c r="B1403">
        <v>479961</v>
      </c>
      <c r="C1403" s="1" t="str">
        <f>HYPERLINK("http://stackoverflow.com/users/479961", "yubaolee")</f>
        <v>yubaolee</v>
      </c>
      <c r="D1403" t="s">
        <v>62</v>
      </c>
      <c r="E1403">
        <v>367</v>
      </c>
    </row>
    <row r="1404" spans="1:5" x14ac:dyDescent="0.25">
      <c r="A1404">
        <v>1403</v>
      </c>
      <c r="B1404">
        <v>2086105</v>
      </c>
      <c r="C1404" s="1" t="str">
        <f>HYPERLINK("http://stackoverflow.com/users/2086105", "南山竹")</f>
        <v>南山竹</v>
      </c>
      <c r="D1404" t="s">
        <v>55</v>
      </c>
      <c r="E1404">
        <v>367</v>
      </c>
    </row>
    <row r="1405" spans="1:5" x14ac:dyDescent="0.25">
      <c r="A1405">
        <v>1404</v>
      </c>
      <c r="B1405">
        <v>2284800</v>
      </c>
      <c r="C1405" s="1" t="str">
        <f>HYPERLINK("http://stackoverflow.com/users/2284800", "citaret")</f>
        <v>citaret</v>
      </c>
      <c r="D1405" t="s">
        <v>5</v>
      </c>
      <c r="E1405">
        <v>366</v>
      </c>
    </row>
    <row r="1406" spans="1:5" x14ac:dyDescent="0.25">
      <c r="A1406">
        <v>1405</v>
      </c>
      <c r="B1406">
        <v>2400640</v>
      </c>
      <c r="C1406" s="1" t="str">
        <f>HYPERLINK("http://stackoverflow.com/users/2400640", "xywang")</f>
        <v>xywang</v>
      </c>
      <c r="D1406" t="s">
        <v>4</v>
      </c>
      <c r="E1406">
        <v>366</v>
      </c>
    </row>
    <row r="1407" spans="1:5" x14ac:dyDescent="0.25">
      <c r="A1407">
        <v>1406</v>
      </c>
      <c r="B1407">
        <v>1570458</v>
      </c>
      <c r="C1407" s="1" t="str">
        <f>HYPERLINK("http://stackoverflow.com/users/1570458", "hongtao")</f>
        <v>hongtao</v>
      </c>
      <c r="D1407" t="s">
        <v>5</v>
      </c>
      <c r="E1407">
        <v>366</v>
      </c>
    </row>
    <row r="1408" spans="1:5" x14ac:dyDescent="0.25">
      <c r="A1408">
        <v>1407</v>
      </c>
      <c r="B1408">
        <v>962275</v>
      </c>
      <c r="C1408" s="1" t="str">
        <f>HYPERLINK("http://stackoverflow.com/users/962275", "Untraceable")</f>
        <v>Untraceable</v>
      </c>
      <c r="D1408" t="s">
        <v>4</v>
      </c>
      <c r="E1408">
        <v>366</v>
      </c>
    </row>
    <row r="1409" spans="1:5" x14ac:dyDescent="0.25">
      <c r="A1409">
        <v>1408</v>
      </c>
      <c r="B1409">
        <v>4958142</v>
      </c>
      <c r="C1409" s="1" t="str">
        <f>HYPERLINK("http://stackoverflow.com/users/4958142", "Jagesh Maharjan")</f>
        <v>Jagesh Maharjan</v>
      </c>
      <c r="D1409" t="s">
        <v>117</v>
      </c>
      <c r="E1409">
        <v>364</v>
      </c>
    </row>
    <row r="1410" spans="1:5" x14ac:dyDescent="0.25">
      <c r="A1410">
        <v>1409</v>
      </c>
      <c r="B1410">
        <v>2356542</v>
      </c>
      <c r="C1410" s="1" t="str">
        <f>HYPERLINK("http://stackoverflow.com/users/2356542", "Zack Yang")</f>
        <v>Zack Yang</v>
      </c>
      <c r="D1410" t="s">
        <v>22</v>
      </c>
      <c r="E1410">
        <v>364</v>
      </c>
    </row>
    <row r="1411" spans="1:5" x14ac:dyDescent="0.25">
      <c r="A1411">
        <v>1410</v>
      </c>
      <c r="B1411">
        <v>1927573</v>
      </c>
      <c r="C1411" s="1" t="str">
        <f>HYPERLINK("http://stackoverflow.com/users/1927573", "Jane")</f>
        <v>Jane</v>
      </c>
      <c r="D1411" t="s">
        <v>4</v>
      </c>
      <c r="E1411">
        <v>364</v>
      </c>
    </row>
    <row r="1412" spans="1:5" x14ac:dyDescent="0.25">
      <c r="A1412">
        <v>1411</v>
      </c>
      <c r="B1412">
        <v>4550530</v>
      </c>
      <c r="C1412" s="1" t="str">
        <f>HYPERLINK("http://stackoverflow.com/users/4550530", "Lollo")</f>
        <v>Lollo</v>
      </c>
      <c r="D1412" t="s">
        <v>12</v>
      </c>
      <c r="E1412">
        <v>363</v>
      </c>
    </row>
    <row r="1413" spans="1:5" x14ac:dyDescent="0.25">
      <c r="A1413">
        <v>1412</v>
      </c>
      <c r="B1413">
        <v>2673443</v>
      </c>
      <c r="C1413" s="1" t="str">
        <f>HYPERLINK("http://stackoverflow.com/users/2673443", "Will Tang")</f>
        <v>Will Tang</v>
      </c>
      <c r="D1413" t="s">
        <v>118</v>
      </c>
      <c r="E1413">
        <v>363</v>
      </c>
    </row>
    <row r="1414" spans="1:5" x14ac:dyDescent="0.25">
      <c r="A1414">
        <v>1413</v>
      </c>
      <c r="B1414">
        <v>4911018</v>
      </c>
      <c r="C1414" s="1" t="str">
        <f>HYPERLINK("http://stackoverflow.com/users/4911018", "tian tong")</f>
        <v>tian tong</v>
      </c>
      <c r="D1414" t="s">
        <v>8</v>
      </c>
      <c r="E1414">
        <v>363</v>
      </c>
    </row>
    <row r="1415" spans="1:5" x14ac:dyDescent="0.25">
      <c r="A1415">
        <v>1414</v>
      </c>
      <c r="B1415">
        <v>4286669</v>
      </c>
      <c r="C1415" s="1" t="str">
        <f>HYPERLINK("http://stackoverflow.com/users/4286669", "Desmond")</f>
        <v>Desmond</v>
      </c>
      <c r="D1415" t="s">
        <v>5</v>
      </c>
      <c r="E1415">
        <v>362</v>
      </c>
    </row>
    <row r="1416" spans="1:5" x14ac:dyDescent="0.25">
      <c r="A1416">
        <v>1415</v>
      </c>
      <c r="B1416">
        <v>1881312</v>
      </c>
      <c r="C1416" s="1" t="str">
        <f>HYPERLINK("http://stackoverflow.com/users/1881312", "junkor")</f>
        <v>junkor</v>
      </c>
      <c r="D1416" t="s">
        <v>5</v>
      </c>
      <c r="E1416">
        <v>362</v>
      </c>
    </row>
    <row r="1417" spans="1:5" x14ac:dyDescent="0.25">
      <c r="A1417">
        <v>1416</v>
      </c>
      <c r="B1417">
        <v>1101397</v>
      </c>
      <c r="C1417" s="1" t="str">
        <f>HYPERLINK("http://stackoverflow.com/users/1101397", "xgwang")</f>
        <v>xgwang</v>
      </c>
      <c r="D1417" t="s">
        <v>12</v>
      </c>
      <c r="E1417">
        <v>362</v>
      </c>
    </row>
    <row r="1418" spans="1:5" x14ac:dyDescent="0.25">
      <c r="A1418">
        <v>1417</v>
      </c>
      <c r="B1418">
        <v>917190</v>
      </c>
      <c r="C1418" s="1" t="str">
        <f>HYPERLINK("http://stackoverflow.com/users/917190", "Iron")</f>
        <v>Iron</v>
      </c>
      <c r="D1418" t="s">
        <v>5</v>
      </c>
      <c r="E1418">
        <v>361</v>
      </c>
    </row>
    <row r="1419" spans="1:5" x14ac:dyDescent="0.25">
      <c r="A1419">
        <v>1418</v>
      </c>
      <c r="B1419">
        <v>285404</v>
      </c>
      <c r="C1419" s="1" t="str">
        <f>HYPERLINK("http://stackoverflow.com/users/285404", "Ben")</f>
        <v>Ben</v>
      </c>
      <c r="D1419" t="s">
        <v>12</v>
      </c>
      <c r="E1419">
        <v>361</v>
      </c>
    </row>
    <row r="1420" spans="1:5" x14ac:dyDescent="0.25">
      <c r="A1420">
        <v>1419</v>
      </c>
      <c r="B1420">
        <v>280345</v>
      </c>
      <c r="C1420" s="1" t="str">
        <f>HYPERLINK("http://stackoverflow.com/users/280345", "binzhang")</f>
        <v>binzhang</v>
      </c>
      <c r="D1420" t="s">
        <v>4</v>
      </c>
      <c r="E1420">
        <v>361</v>
      </c>
    </row>
    <row r="1421" spans="1:5" x14ac:dyDescent="0.25">
      <c r="A1421">
        <v>1420</v>
      </c>
      <c r="B1421">
        <v>2189544</v>
      </c>
      <c r="C1421" s="1" t="str">
        <f>HYPERLINK("http://stackoverflow.com/users/2189544", "fuweichin")</f>
        <v>fuweichin</v>
      </c>
      <c r="D1421" t="s">
        <v>5</v>
      </c>
      <c r="E1421">
        <v>361</v>
      </c>
    </row>
    <row r="1422" spans="1:5" x14ac:dyDescent="0.25">
      <c r="A1422">
        <v>1421</v>
      </c>
      <c r="B1422">
        <v>1659656</v>
      </c>
      <c r="C1422" s="1" t="str">
        <f>HYPERLINK("http://stackoverflow.com/users/1659656", "Rivsen")</f>
        <v>Rivsen</v>
      </c>
      <c r="D1422" t="s">
        <v>4</v>
      </c>
      <c r="E1422">
        <v>361</v>
      </c>
    </row>
    <row r="1423" spans="1:5" x14ac:dyDescent="0.25">
      <c r="A1423">
        <v>1422</v>
      </c>
      <c r="B1423">
        <v>281879</v>
      </c>
      <c r="C1423" s="1" t="str">
        <f>HYPERLINK("http://stackoverflow.com/users/281879", "Rome Li")</f>
        <v>Rome Li</v>
      </c>
      <c r="D1423" t="s">
        <v>4</v>
      </c>
      <c r="E1423">
        <v>361</v>
      </c>
    </row>
    <row r="1424" spans="1:5" x14ac:dyDescent="0.25">
      <c r="A1424">
        <v>1423</v>
      </c>
      <c r="B1424">
        <v>336498</v>
      </c>
      <c r="C1424" s="1" t="str">
        <f>HYPERLINK("http://stackoverflow.com/users/336498", "Xupeng")</f>
        <v>Xupeng</v>
      </c>
      <c r="D1424" t="s">
        <v>5</v>
      </c>
      <c r="E1424">
        <v>361</v>
      </c>
    </row>
    <row r="1425" spans="1:5" x14ac:dyDescent="0.25">
      <c r="A1425">
        <v>1424</v>
      </c>
      <c r="B1425">
        <v>2288673</v>
      </c>
      <c r="C1425" s="1" t="str">
        <f>HYPERLINK("http://stackoverflow.com/users/2288673", "CobraBJ")</f>
        <v>CobraBJ</v>
      </c>
      <c r="D1425" t="s">
        <v>5</v>
      </c>
      <c r="E1425">
        <v>361</v>
      </c>
    </row>
    <row r="1426" spans="1:5" x14ac:dyDescent="0.25">
      <c r="A1426">
        <v>1425</v>
      </c>
      <c r="B1426">
        <v>2124006</v>
      </c>
      <c r="C1426" s="1" t="str">
        <f>HYPERLINK("http://stackoverflow.com/users/2124006", "WangJie")</f>
        <v>WangJie</v>
      </c>
      <c r="D1426" t="s">
        <v>4</v>
      </c>
      <c r="E1426">
        <v>361</v>
      </c>
    </row>
    <row r="1427" spans="1:5" x14ac:dyDescent="0.25">
      <c r="A1427">
        <v>1426</v>
      </c>
      <c r="B1427">
        <v>4732553</v>
      </c>
      <c r="C1427" s="1" t="str">
        <f>HYPERLINK("http://stackoverflow.com/users/4732553", "wcong")</f>
        <v>wcong</v>
      </c>
      <c r="D1427" t="s">
        <v>16</v>
      </c>
      <c r="E1427">
        <v>361</v>
      </c>
    </row>
    <row r="1428" spans="1:5" x14ac:dyDescent="0.25">
      <c r="A1428">
        <v>1427</v>
      </c>
      <c r="B1428">
        <v>1117181</v>
      </c>
      <c r="C1428" s="1" t="str">
        <f>HYPERLINK("http://stackoverflow.com/users/1117181", "JasonMing")</f>
        <v>JasonMing</v>
      </c>
      <c r="D1428" t="s">
        <v>41</v>
      </c>
      <c r="E1428">
        <v>361</v>
      </c>
    </row>
    <row r="1429" spans="1:5" x14ac:dyDescent="0.25">
      <c r="A1429">
        <v>1428</v>
      </c>
      <c r="B1429">
        <v>4255926</v>
      </c>
      <c r="C1429" s="1" t="str">
        <f>HYPERLINK("http://stackoverflow.com/users/4255926", "Shi XiuFeng")</f>
        <v>Shi XiuFeng</v>
      </c>
      <c r="D1429" t="s">
        <v>16</v>
      </c>
      <c r="E1429">
        <v>360</v>
      </c>
    </row>
    <row r="1430" spans="1:5" x14ac:dyDescent="0.25">
      <c r="A1430">
        <v>1429</v>
      </c>
      <c r="B1430">
        <v>3496176</v>
      </c>
      <c r="C1430" s="1" t="str">
        <f>HYPERLINK("http://stackoverflow.com/users/3496176", "zhumengzhu")</f>
        <v>zhumengzhu</v>
      </c>
      <c r="D1430" t="s">
        <v>5</v>
      </c>
      <c r="E1430">
        <v>360</v>
      </c>
    </row>
    <row r="1431" spans="1:5" x14ac:dyDescent="0.25">
      <c r="A1431">
        <v>1430</v>
      </c>
      <c r="B1431">
        <v>4906451</v>
      </c>
      <c r="C1431" s="1" t="str">
        <f>HYPERLINK("http://stackoverflow.com/users/4906451", "MWY")</f>
        <v>MWY</v>
      </c>
      <c r="D1431" t="s">
        <v>4</v>
      </c>
      <c r="E1431">
        <v>360</v>
      </c>
    </row>
    <row r="1432" spans="1:5" x14ac:dyDescent="0.25">
      <c r="A1432">
        <v>1431</v>
      </c>
      <c r="B1432">
        <v>1481565</v>
      </c>
      <c r="C1432" s="1" t="str">
        <f>HYPERLINK("http://stackoverflow.com/users/1481565", "Xu Hong")</f>
        <v>Xu Hong</v>
      </c>
      <c r="D1432" t="s">
        <v>5</v>
      </c>
      <c r="E1432">
        <v>359</v>
      </c>
    </row>
    <row r="1433" spans="1:5" x14ac:dyDescent="0.25">
      <c r="A1433">
        <v>1432</v>
      </c>
      <c r="B1433">
        <v>5258937</v>
      </c>
      <c r="C1433" s="1" t="str">
        <f>HYPERLINK("http://stackoverflow.com/users/5258937", "wandergis")</f>
        <v>wandergis</v>
      </c>
      <c r="D1433" t="s">
        <v>5</v>
      </c>
      <c r="E1433">
        <v>359</v>
      </c>
    </row>
    <row r="1434" spans="1:5" x14ac:dyDescent="0.25">
      <c r="A1434">
        <v>1433</v>
      </c>
      <c r="B1434">
        <v>7833354</v>
      </c>
      <c r="C1434" s="1" t="str">
        <f>HYPERLINK("http://stackoverflow.com/users/7833354", "williezh")</f>
        <v>williezh</v>
      </c>
      <c r="D1434" t="s">
        <v>47</v>
      </c>
      <c r="E1434">
        <v>359</v>
      </c>
    </row>
    <row r="1435" spans="1:5" x14ac:dyDescent="0.25">
      <c r="A1435">
        <v>1434</v>
      </c>
      <c r="B1435">
        <v>789255</v>
      </c>
      <c r="C1435" s="1" t="str">
        <f>HYPERLINK("http://stackoverflow.com/users/789255", "dereck")</f>
        <v>dereck</v>
      </c>
      <c r="D1435" t="s">
        <v>4</v>
      </c>
      <c r="E1435">
        <v>359</v>
      </c>
    </row>
    <row r="1436" spans="1:5" x14ac:dyDescent="0.25">
      <c r="A1436">
        <v>1435</v>
      </c>
      <c r="B1436">
        <v>1602160</v>
      </c>
      <c r="C1436" s="1" t="str">
        <f>HYPERLINK("http://stackoverflow.com/users/1602160", "Shawn")</f>
        <v>Shawn</v>
      </c>
      <c r="D1436" t="s">
        <v>4</v>
      </c>
      <c r="E1436">
        <v>359</v>
      </c>
    </row>
    <row r="1437" spans="1:5" x14ac:dyDescent="0.25">
      <c r="A1437">
        <v>1436</v>
      </c>
      <c r="B1437">
        <v>6027311</v>
      </c>
      <c r="C1437" s="1" t="str">
        <f>HYPERLINK("http://stackoverflow.com/users/6027311", "DonnyTian")</f>
        <v>DonnyTian</v>
      </c>
      <c r="D1437" t="s">
        <v>4</v>
      </c>
      <c r="E1437">
        <v>359</v>
      </c>
    </row>
    <row r="1438" spans="1:5" x14ac:dyDescent="0.25">
      <c r="A1438">
        <v>1437</v>
      </c>
      <c r="B1438">
        <v>838431</v>
      </c>
      <c r="C1438" s="1" t="str">
        <f>HYPERLINK("http://stackoverflow.com/users/838431", "fwu")</f>
        <v>fwu</v>
      </c>
      <c r="D1438" t="s">
        <v>12</v>
      </c>
      <c r="E1438">
        <v>359</v>
      </c>
    </row>
    <row r="1439" spans="1:5" x14ac:dyDescent="0.25">
      <c r="A1439">
        <v>1438</v>
      </c>
      <c r="B1439">
        <v>756996</v>
      </c>
      <c r="C1439" s="1" t="str">
        <f>HYPERLINK("http://stackoverflow.com/users/756996", "Terry Ma")</f>
        <v>Terry Ma</v>
      </c>
      <c r="D1439" t="s">
        <v>4</v>
      </c>
      <c r="E1439">
        <v>359</v>
      </c>
    </row>
    <row r="1440" spans="1:5" x14ac:dyDescent="0.25">
      <c r="A1440">
        <v>1439</v>
      </c>
      <c r="B1440">
        <v>167631</v>
      </c>
      <c r="C1440" s="1" t="str">
        <f>HYPERLINK("http://stackoverflow.com/users/167631", "Hiber")</f>
        <v>Hiber</v>
      </c>
      <c r="D1440" t="s">
        <v>4</v>
      </c>
      <c r="E1440">
        <v>359</v>
      </c>
    </row>
    <row r="1441" spans="1:5" x14ac:dyDescent="0.25">
      <c r="A1441">
        <v>1440</v>
      </c>
      <c r="B1441">
        <v>2500416</v>
      </c>
      <c r="C1441" s="1" t="str">
        <f>HYPERLINK("http://stackoverflow.com/users/2500416", "HMK")</f>
        <v>HMK</v>
      </c>
      <c r="D1441" t="s">
        <v>17</v>
      </c>
      <c r="E1441">
        <v>359</v>
      </c>
    </row>
    <row r="1442" spans="1:5" x14ac:dyDescent="0.25">
      <c r="A1442">
        <v>1441</v>
      </c>
      <c r="B1442">
        <v>1393157</v>
      </c>
      <c r="C1442" s="1" t="str">
        <f>HYPERLINK("http://stackoverflow.com/users/1393157", "miclle")</f>
        <v>miclle</v>
      </c>
      <c r="D1442" t="s">
        <v>4</v>
      </c>
      <c r="E1442">
        <v>359</v>
      </c>
    </row>
    <row r="1443" spans="1:5" x14ac:dyDescent="0.25">
      <c r="A1443">
        <v>1442</v>
      </c>
      <c r="B1443">
        <v>1227329</v>
      </c>
      <c r="C1443" s="1" t="str">
        <f>HYPERLINK("http://stackoverflow.com/users/1227329", "Jianyu")</f>
        <v>Jianyu</v>
      </c>
      <c r="D1443" t="s">
        <v>4</v>
      </c>
      <c r="E1443">
        <v>358</v>
      </c>
    </row>
    <row r="1444" spans="1:5" x14ac:dyDescent="0.25">
      <c r="A1444">
        <v>1443</v>
      </c>
      <c r="B1444">
        <v>3291140</v>
      </c>
      <c r="C1444" s="1" t="str">
        <f>HYPERLINK("http://stackoverflow.com/users/3291140", "Felix.D")</f>
        <v>Felix.D</v>
      </c>
      <c r="D1444" t="s">
        <v>17</v>
      </c>
      <c r="E1444">
        <v>357</v>
      </c>
    </row>
    <row r="1445" spans="1:5" x14ac:dyDescent="0.25">
      <c r="A1445">
        <v>1444</v>
      </c>
      <c r="B1445">
        <v>2563347</v>
      </c>
      <c r="C1445" s="1" t="str">
        <f>HYPERLINK("http://stackoverflow.com/users/2563347", "thomas")</f>
        <v>thomas</v>
      </c>
      <c r="D1445" t="s">
        <v>34</v>
      </c>
      <c r="E1445">
        <v>357</v>
      </c>
    </row>
    <row r="1446" spans="1:5" x14ac:dyDescent="0.25">
      <c r="A1446">
        <v>1445</v>
      </c>
      <c r="B1446">
        <v>5381172</v>
      </c>
      <c r="C1446" s="1" t="str">
        <f>HYPERLINK("http://stackoverflow.com/users/5381172", "209135")</f>
        <v>209135</v>
      </c>
      <c r="D1446" t="s">
        <v>119</v>
      </c>
      <c r="E1446">
        <v>357</v>
      </c>
    </row>
    <row r="1447" spans="1:5" x14ac:dyDescent="0.25">
      <c r="A1447">
        <v>1446</v>
      </c>
      <c r="B1447">
        <v>1774736</v>
      </c>
      <c r="C1447" s="1" t="str">
        <f>HYPERLINK("http://stackoverflow.com/users/1774736", "hyspace")</f>
        <v>hyspace</v>
      </c>
      <c r="D1447" t="s">
        <v>5</v>
      </c>
      <c r="E1447">
        <v>356</v>
      </c>
    </row>
    <row r="1448" spans="1:5" x14ac:dyDescent="0.25">
      <c r="A1448">
        <v>1447</v>
      </c>
      <c r="B1448">
        <v>3092068</v>
      </c>
      <c r="C1448" s="1" t="str">
        <f>HYPERLINK("http://stackoverflow.com/users/3092068", "djh")</f>
        <v>djh</v>
      </c>
      <c r="D1448" t="s">
        <v>37</v>
      </c>
      <c r="E1448">
        <v>356</v>
      </c>
    </row>
    <row r="1449" spans="1:5" x14ac:dyDescent="0.25">
      <c r="A1449">
        <v>1448</v>
      </c>
      <c r="B1449">
        <v>720792</v>
      </c>
      <c r="C1449" s="1" t="str">
        <f>HYPERLINK("http://stackoverflow.com/users/720792", "Lynn")</f>
        <v>Lynn</v>
      </c>
      <c r="D1449" t="s">
        <v>5</v>
      </c>
      <c r="E1449">
        <v>356</v>
      </c>
    </row>
    <row r="1450" spans="1:5" x14ac:dyDescent="0.25">
      <c r="A1450">
        <v>1449</v>
      </c>
      <c r="B1450">
        <v>1534073</v>
      </c>
      <c r="C1450" s="1" t="str">
        <f>HYPERLINK("http://stackoverflow.com/users/1534073", "laomo")</f>
        <v>laomo</v>
      </c>
      <c r="D1450" t="s">
        <v>5</v>
      </c>
      <c r="E1450">
        <v>356</v>
      </c>
    </row>
    <row r="1451" spans="1:5" x14ac:dyDescent="0.25">
      <c r="A1451">
        <v>1450</v>
      </c>
      <c r="B1451">
        <v>1923650</v>
      </c>
      <c r="C1451" s="1" t="str">
        <f>HYPERLINK("http://stackoverflow.com/users/1923650", "BobJiang")</f>
        <v>BobJiang</v>
      </c>
      <c r="D1451" t="s">
        <v>62</v>
      </c>
      <c r="E1451">
        <v>356</v>
      </c>
    </row>
    <row r="1452" spans="1:5" x14ac:dyDescent="0.25">
      <c r="A1452">
        <v>1451</v>
      </c>
      <c r="B1452">
        <v>3137058</v>
      </c>
      <c r="C1452" s="1" t="str">
        <f>HYPERLINK("http://stackoverflow.com/users/3137058", "nooper")</f>
        <v>nooper</v>
      </c>
      <c r="D1452" t="s">
        <v>5</v>
      </c>
      <c r="E1452">
        <v>356</v>
      </c>
    </row>
    <row r="1453" spans="1:5" x14ac:dyDescent="0.25">
      <c r="A1453">
        <v>1452</v>
      </c>
      <c r="B1453">
        <v>1118566</v>
      </c>
      <c r="C1453" s="1" t="str">
        <f>HYPERLINK("http://stackoverflow.com/users/1118566", "CharlieShi")</f>
        <v>CharlieShi</v>
      </c>
      <c r="D1453" t="s">
        <v>5</v>
      </c>
      <c r="E1453">
        <v>356</v>
      </c>
    </row>
    <row r="1454" spans="1:5" x14ac:dyDescent="0.25">
      <c r="A1454">
        <v>1453</v>
      </c>
      <c r="B1454">
        <v>1540277</v>
      </c>
      <c r="C1454" s="1" t="str">
        <f>HYPERLINK("http://stackoverflow.com/users/1540277", "Eddie.Dou")</f>
        <v>Eddie.Dou</v>
      </c>
      <c r="D1454" t="s">
        <v>120</v>
      </c>
      <c r="E1454">
        <v>356</v>
      </c>
    </row>
    <row r="1455" spans="1:5" x14ac:dyDescent="0.25">
      <c r="A1455">
        <v>1454</v>
      </c>
      <c r="B1455">
        <v>2701895</v>
      </c>
      <c r="C1455" s="1" t="str">
        <f>HYPERLINK("http://stackoverflow.com/users/2701895", "MarsOnly")</f>
        <v>MarsOnly</v>
      </c>
      <c r="D1455" t="s">
        <v>5</v>
      </c>
      <c r="E1455">
        <v>355</v>
      </c>
    </row>
    <row r="1456" spans="1:5" x14ac:dyDescent="0.25">
      <c r="A1456">
        <v>1455</v>
      </c>
      <c r="B1456">
        <v>5693453</v>
      </c>
      <c r="C1456" s="1" t="str">
        <f>HYPERLINK("http://stackoverflow.com/users/5693453", "T.Tony")</f>
        <v>T.Tony</v>
      </c>
      <c r="D1456" t="s">
        <v>55</v>
      </c>
      <c r="E1456">
        <v>355</v>
      </c>
    </row>
    <row r="1457" spans="1:5" x14ac:dyDescent="0.25">
      <c r="A1457">
        <v>1456</v>
      </c>
      <c r="B1457">
        <v>1191652</v>
      </c>
      <c r="C1457" s="1" t="str">
        <f>HYPERLINK("http://stackoverflow.com/users/1191652", "Simon. Li")</f>
        <v>Simon. Li</v>
      </c>
      <c r="D1457" t="s">
        <v>5</v>
      </c>
      <c r="E1457">
        <v>355</v>
      </c>
    </row>
    <row r="1458" spans="1:5" x14ac:dyDescent="0.25">
      <c r="A1458">
        <v>1457</v>
      </c>
      <c r="B1458">
        <v>263255</v>
      </c>
      <c r="C1458" s="1" t="str">
        <f>HYPERLINK("http://stackoverflow.com/users/263255", "James Tang")</f>
        <v>James Tang</v>
      </c>
      <c r="D1458" t="s">
        <v>21</v>
      </c>
      <c r="E1458">
        <v>355</v>
      </c>
    </row>
    <row r="1459" spans="1:5" x14ac:dyDescent="0.25">
      <c r="A1459">
        <v>1458</v>
      </c>
      <c r="B1459">
        <v>230945</v>
      </c>
      <c r="C1459" s="1" t="str">
        <f>HYPERLINK("http://stackoverflow.com/users/230945", "Katat")</f>
        <v>Katat</v>
      </c>
      <c r="D1459" t="s">
        <v>17</v>
      </c>
      <c r="E1459">
        <v>354</v>
      </c>
    </row>
    <row r="1460" spans="1:5" x14ac:dyDescent="0.25">
      <c r="A1460">
        <v>1459</v>
      </c>
      <c r="B1460">
        <v>3422711</v>
      </c>
      <c r="C1460" s="1" t="str">
        <f>HYPERLINK("http://stackoverflow.com/users/3422711", "Larry.He")</f>
        <v>Larry.He</v>
      </c>
      <c r="D1460" t="s">
        <v>5</v>
      </c>
      <c r="E1460">
        <v>354</v>
      </c>
    </row>
    <row r="1461" spans="1:5" x14ac:dyDescent="0.25">
      <c r="A1461">
        <v>1460</v>
      </c>
      <c r="B1461">
        <v>1095877</v>
      </c>
      <c r="C1461" s="1" t="str">
        <f>HYPERLINK("http://stackoverflow.com/users/1095877", "Li Song")</f>
        <v>Li Song</v>
      </c>
      <c r="D1461" t="s">
        <v>5</v>
      </c>
      <c r="E1461">
        <v>354</v>
      </c>
    </row>
    <row r="1462" spans="1:5" x14ac:dyDescent="0.25">
      <c r="A1462">
        <v>1461</v>
      </c>
      <c r="B1462">
        <v>987337</v>
      </c>
      <c r="C1462" s="1" t="str">
        <f>HYPERLINK("http://stackoverflow.com/users/987337", "SAPikachu")</f>
        <v>SAPikachu</v>
      </c>
      <c r="D1462" t="s">
        <v>21</v>
      </c>
      <c r="E1462">
        <v>354</v>
      </c>
    </row>
    <row r="1463" spans="1:5" x14ac:dyDescent="0.25">
      <c r="A1463">
        <v>1462</v>
      </c>
      <c r="B1463">
        <v>547797</v>
      </c>
      <c r="C1463" s="1" t="str">
        <f>HYPERLINK("http://stackoverflow.com/users/547797", "will")</f>
        <v>will</v>
      </c>
      <c r="D1463" t="s">
        <v>4</v>
      </c>
      <c r="E1463">
        <v>354</v>
      </c>
    </row>
    <row r="1464" spans="1:5" x14ac:dyDescent="0.25">
      <c r="A1464">
        <v>1463</v>
      </c>
      <c r="B1464">
        <v>1525377</v>
      </c>
      <c r="C1464" s="1" t="str">
        <f>HYPERLINK("http://stackoverflow.com/users/1525377", "goodev")</f>
        <v>goodev</v>
      </c>
      <c r="D1464" t="s">
        <v>5</v>
      </c>
      <c r="E1464">
        <v>354</v>
      </c>
    </row>
    <row r="1465" spans="1:5" x14ac:dyDescent="0.25">
      <c r="A1465">
        <v>1464</v>
      </c>
      <c r="B1465">
        <v>957331</v>
      </c>
      <c r="C1465" s="1" t="str">
        <f>HYPERLINK("http://stackoverflow.com/users/957331", "xlaok")</f>
        <v>xlaok</v>
      </c>
      <c r="D1465" t="s">
        <v>3</v>
      </c>
      <c r="E1465">
        <v>353</v>
      </c>
    </row>
    <row r="1466" spans="1:5" x14ac:dyDescent="0.25">
      <c r="A1466">
        <v>1465</v>
      </c>
      <c r="B1466">
        <v>1434592</v>
      </c>
      <c r="C1466" s="1" t="str">
        <f>HYPERLINK("http://stackoverflow.com/users/1434592", "Richard Chen")</f>
        <v>Richard Chen</v>
      </c>
      <c r="D1466" t="s">
        <v>4</v>
      </c>
      <c r="E1466">
        <v>353</v>
      </c>
    </row>
    <row r="1467" spans="1:5" x14ac:dyDescent="0.25">
      <c r="A1467">
        <v>1466</v>
      </c>
      <c r="B1467">
        <v>2601851</v>
      </c>
      <c r="C1467" s="1" t="str">
        <f>HYPERLINK("http://stackoverflow.com/users/2601851", "OrangeCube")</f>
        <v>OrangeCube</v>
      </c>
      <c r="D1467" t="s">
        <v>4</v>
      </c>
      <c r="E1467">
        <v>353</v>
      </c>
    </row>
    <row r="1468" spans="1:5" x14ac:dyDescent="0.25">
      <c r="A1468">
        <v>1467</v>
      </c>
      <c r="B1468">
        <v>5633255</v>
      </c>
      <c r="C1468" s="1" t="str">
        <f>HYPERLINK("http://stackoverflow.com/users/5633255", "Matiji66")</f>
        <v>Matiji66</v>
      </c>
      <c r="D1468" t="s">
        <v>4</v>
      </c>
      <c r="E1468">
        <v>353</v>
      </c>
    </row>
    <row r="1469" spans="1:5" x14ac:dyDescent="0.25">
      <c r="A1469">
        <v>1468</v>
      </c>
      <c r="B1469">
        <v>676259</v>
      </c>
      <c r="C1469" s="1" t="str">
        <f>HYPERLINK("http://stackoverflow.com/users/676259", "hzm")</f>
        <v>hzm</v>
      </c>
      <c r="D1469" t="s">
        <v>5</v>
      </c>
      <c r="E1469">
        <v>352</v>
      </c>
    </row>
    <row r="1470" spans="1:5" x14ac:dyDescent="0.25">
      <c r="A1470">
        <v>1469</v>
      </c>
      <c r="B1470">
        <v>4172900</v>
      </c>
      <c r="C1470" s="1" t="str">
        <f>HYPERLINK("http://stackoverflow.com/users/4172900", "Catoshi")</f>
        <v>Catoshi</v>
      </c>
      <c r="D1470" t="s">
        <v>5</v>
      </c>
      <c r="E1470">
        <v>352</v>
      </c>
    </row>
    <row r="1471" spans="1:5" x14ac:dyDescent="0.25">
      <c r="A1471">
        <v>1470</v>
      </c>
      <c r="B1471">
        <v>1933845</v>
      </c>
      <c r="C1471" s="1" t="str">
        <f>HYPERLINK("http://stackoverflow.com/users/1933845", "Kai")</f>
        <v>Kai</v>
      </c>
      <c r="D1471" t="s">
        <v>5</v>
      </c>
      <c r="E1471">
        <v>352</v>
      </c>
    </row>
    <row r="1472" spans="1:5" x14ac:dyDescent="0.25">
      <c r="A1472">
        <v>1471</v>
      </c>
      <c r="B1472">
        <v>900767</v>
      </c>
      <c r="C1472" s="1" t="str">
        <f>HYPERLINK("http://stackoverflow.com/users/900767", "shiwenlu518")</f>
        <v>shiwenlu518</v>
      </c>
      <c r="D1472" t="s">
        <v>17</v>
      </c>
      <c r="E1472">
        <v>351</v>
      </c>
    </row>
    <row r="1473" spans="1:5" x14ac:dyDescent="0.25">
      <c r="A1473">
        <v>1472</v>
      </c>
      <c r="B1473">
        <v>2153266</v>
      </c>
      <c r="C1473" s="1" t="str">
        <f>HYPERLINK("http://stackoverflow.com/users/2153266", "miaowhehe")</f>
        <v>miaowhehe</v>
      </c>
      <c r="D1473" t="s">
        <v>121</v>
      </c>
      <c r="E1473">
        <v>351</v>
      </c>
    </row>
    <row r="1474" spans="1:5" x14ac:dyDescent="0.25">
      <c r="A1474">
        <v>1473</v>
      </c>
      <c r="B1474">
        <v>1914450</v>
      </c>
      <c r="C1474" s="1" t="str">
        <f>HYPERLINK("http://stackoverflow.com/users/1914450", "plusmancn")</f>
        <v>plusmancn</v>
      </c>
      <c r="D1474" t="s">
        <v>12</v>
      </c>
      <c r="E1474">
        <v>351</v>
      </c>
    </row>
    <row r="1475" spans="1:5" x14ac:dyDescent="0.25">
      <c r="A1475">
        <v>1474</v>
      </c>
      <c r="B1475">
        <v>1305930</v>
      </c>
      <c r="C1475" s="1" t="str">
        <f>HYPERLINK("http://stackoverflow.com/users/1305930", "vivimice")</f>
        <v>vivimice</v>
      </c>
      <c r="D1475" t="s">
        <v>12</v>
      </c>
      <c r="E1475">
        <v>351</v>
      </c>
    </row>
    <row r="1476" spans="1:5" x14ac:dyDescent="0.25">
      <c r="A1476">
        <v>1475</v>
      </c>
      <c r="B1476">
        <v>967500</v>
      </c>
      <c r="C1476" s="1" t="str">
        <f>HYPERLINK("http://stackoverflow.com/users/967500", "yee")</f>
        <v>yee</v>
      </c>
      <c r="D1476" t="s">
        <v>62</v>
      </c>
      <c r="E1476">
        <v>350</v>
      </c>
    </row>
    <row r="1477" spans="1:5" x14ac:dyDescent="0.25">
      <c r="A1477">
        <v>1476</v>
      </c>
      <c r="B1477">
        <v>3782762</v>
      </c>
      <c r="C1477" s="1" t="str">
        <f>HYPERLINK("http://stackoverflow.com/users/3782762", "Hanton")</f>
        <v>Hanton</v>
      </c>
      <c r="D1477" t="s">
        <v>12</v>
      </c>
      <c r="E1477">
        <v>350</v>
      </c>
    </row>
    <row r="1478" spans="1:5" x14ac:dyDescent="0.25">
      <c r="A1478">
        <v>1477</v>
      </c>
      <c r="B1478">
        <v>428014</v>
      </c>
      <c r="C1478" s="1" t="str">
        <f>HYPERLINK("http://stackoverflow.com/users/428014", "Liu")</f>
        <v>Liu</v>
      </c>
      <c r="D1478" t="s">
        <v>5</v>
      </c>
      <c r="E1478">
        <v>350</v>
      </c>
    </row>
    <row r="1479" spans="1:5" x14ac:dyDescent="0.25">
      <c r="A1479">
        <v>1478</v>
      </c>
      <c r="B1479">
        <v>341212</v>
      </c>
      <c r="C1479" s="1" t="str">
        <f>HYPERLINK("http://stackoverflow.com/users/341212", "Stephen")</f>
        <v>Stephen</v>
      </c>
      <c r="D1479" t="s">
        <v>5</v>
      </c>
      <c r="E1479">
        <v>349</v>
      </c>
    </row>
    <row r="1480" spans="1:5" x14ac:dyDescent="0.25">
      <c r="A1480">
        <v>1479</v>
      </c>
      <c r="B1480">
        <v>1581398</v>
      </c>
      <c r="C1480" s="1" t="str">
        <f>HYPERLINK("http://stackoverflow.com/users/1581398", "gaowhen")</f>
        <v>gaowhen</v>
      </c>
      <c r="D1480" t="s">
        <v>5</v>
      </c>
      <c r="E1480">
        <v>349</v>
      </c>
    </row>
    <row r="1481" spans="1:5" x14ac:dyDescent="0.25">
      <c r="A1481">
        <v>1480</v>
      </c>
      <c r="B1481">
        <v>724872</v>
      </c>
      <c r="C1481" s="1" t="str">
        <f>HYPERLINK("http://stackoverflow.com/users/724872", "cxwangyi")</f>
        <v>cxwangyi</v>
      </c>
      <c r="D1481" t="s">
        <v>5</v>
      </c>
      <c r="E1481">
        <v>349</v>
      </c>
    </row>
    <row r="1482" spans="1:5" x14ac:dyDescent="0.25">
      <c r="A1482">
        <v>1481</v>
      </c>
      <c r="B1482">
        <v>4799498</v>
      </c>
      <c r="C1482" s="1" t="str">
        <f>HYPERLINK("http://stackoverflow.com/users/4799498", "Alfy")</f>
        <v>Alfy</v>
      </c>
      <c r="D1482" t="s">
        <v>12</v>
      </c>
      <c r="E1482">
        <v>349</v>
      </c>
    </row>
    <row r="1483" spans="1:5" x14ac:dyDescent="0.25">
      <c r="A1483">
        <v>1482</v>
      </c>
      <c r="B1483">
        <v>216069</v>
      </c>
      <c r="C1483" s="1" t="str">
        <f>HYPERLINK("http://stackoverflow.com/users/216069", "Shinjikun")</f>
        <v>Shinjikun</v>
      </c>
      <c r="D1483" t="s">
        <v>5</v>
      </c>
      <c r="E1483">
        <v>348</v>
      </c>
    </row>
    <row r="1484" spans="1:5" x14ac:dyDescent="0.25">
      <c r="A1484">
        <v>1483</v>
      </c>
      <c r="B1484">
        <v>1467959</v>
      </c>
      <c r="C1484" s="1" t="str">
        <f>HYPERLINK("http://stackoverflow.com/users/1467959", "lins05")</f>
        <v>lins05</v>
      </c>
      <c r="D1484" t="s">
        <v>5</v>
      </c>
      <c r="E1484">
        <v>348</v>
      </c>
    </row>
    <row r="1485" spans="1:5" x14ac:dyDescent="0.25">
      <c r="A1485">
        <v>1484</v>
      </c>
      <c r="B1485">
        <v>1713372</v>
      </c>
      <c r="C1485" s="1" t="str">
        <f>HYPERLINK("http://stackoverflow.com/users/1713372", "Sylvain")</f>
        <v>Sylvain</v>
      </c>
      <c r="D1485" t="s">
        <v>4</v>
      </c>
      <c r="E1485">
        <v>348</v>
      </c>
    </row>
    <row r="1486" spans="1:5" x14ac:dyDescent="0.25">
      <c r="A1486">
        <v>1485</v>
      </c>
      <c r="B1486">
        <v>6637599</v>
      </c>
      <c r="C1486" s="1" t="str">
        <f>HYPERLINK("http://stackoverflow.com/users/6637599", "Alex Zhang")</f>
        <v>Alex Zhang</v>
      </c>
      <c r="D1486" t="s">
        <v>122</v>
      </c>
      <c r="E1486">
        <v>348</v>
      </c>
    </row>
    <row r="1487" spans="1:5" x14ac:dyDescent="0.25">
      <c r="A1487">
        <v>1486</v>
      </c>
      <c r="B1487">
        <v>286348</v>
      </c>
      <c r="C1487" s="1" t="str">
        <f>HYPERLINK("http://stackoverflow.com/users/286348", "huxia")</f>
        <v>huxia</v>
      </c>
      <c r="D1487" t="s">
        <v>4</v>
      </c>
      <c r="E1487">
        <v>348</v>
      </c>
    </row>
    <row r="1488" spans="1:5" x14ac:dyDescent="0.25">
      <c r="A1488">
        <v>1487</v>
      </c>
      <c r="B1488">
        <v>764205</v>
      </c>
      <c r="C1488" s="1" t="str">
        <f>HYPERLINK("http://stackoverflow.com/users/764205", "Julien Pierre")</f>
        <v>Julien Pierre</v>
      </c>
      <c r="D1488" t="s">
        <v>5</v>
      </c>
      <c r="E1488">
        <v>347</v>
      </c>
    </row>
    <row r="1489" spans="1:5" x14ac:dyDescent="0.25">
      <c r="A1489">
        <v>1488</v>
      </c>
      <c r="B1489">
        <v>1290983</v>
      </c>
      <c r="C1489" s="1" t="str">
        <f>HYPERLINK("http://stackoverflow.com/users/1290983", "chain ro")</f>
        <v>chain ro</v>
      </c>
      <c r="D1489" t="s">
        <v>5</v>
      </c>
      <c r="E1489">
        <v>347</v>
      </c>
    </row>
    <row r="1490" spans="1:5" x14ac:dyDescent="0.25">
      <c r="A1490">
        <v>1489</v>
      </c>
      <c r="B1490">
        <v>2251265</v>
      </c>
      <c r="C1490" s="1" t="str">
        <f>HYPERLINK("http://stackoverflow.com/users/2251265", "Shun Lin")</f>
        <v>Shun Lin</v>
      </c>
      <c r="D1490" t="s">
        <v>38</v>
      </c>
      <c r="E1490">
        <v>346</v>
      </c>
    </row>
    <row r="1491" spans="1:5" x14ac:dyDescent="0.25">
      <c r="A1491">
        <v>1490</v>
      </c>
      <c r="B1491">
        <v>5235106</v>
      </c>
      <c r="C1491" s="1" t="str">
        <f>HYPERLINK("http://stackoverflow.com/users/5235106", "zy.liu")</f>
        <v>zy.liu</v>
      </c>
      <c r="D1491" t="s">
        <v>17</v>
      </c>
      <c r="E1491">
        <v>346</v>
      </c>
    </row>
    <row r="1492" spans="1:5" x14ac:dyDescent="0.25">
      <c r="A1492">
        <v>1491</v>
      </c>
      <c r="B1492">
        <v>6705618</v>
      </c>
      <c r="C1492" s="1" t="str">
        <f>HYPERLINK("http://stackoverflow.com/users/6705618", "peter__barnes")</f>
        <v>peter__barnes</v>
      </c>
      <c r="D1492" t="s">
        <v>25</v>
      </c>
      <c r="E1492">
        <v>346</v>
      </c>
    </row>
    <row r="1493" spans="1:5" x14ac:dyDescent="0.25">
      <c r="A1493">
        <v>1492</v>
      </c>
      <c r="B1493">
        <v>1642872</v>
      </c>
      <c r="C1493" s="1" t="str">
        <f>HYPERLINK("http://stackoverflow.com/users/1642872", "Ambling")</f>
        <v>Ambling</v>
      </c>
      <c r="D1493" t="s">
        <v>12</v>
      </c>
      <c r="E1493">
        <v>346</v>
      </c>
    </row>
    <row r="1494" spans="1:5" x14ac:dyDescent="0.25">
      <c r="A1494">
        <v>1493</v>
      </c>
      <c r="B1494">
        <v>1431884</v>
      </c>
      <c r="C1494" s="1" t="str">
        <f>HYPERLINK("http://stackoverflow.com/users/1431884", "w1100n")</f>
        <v>w1100n</v>
      </c>
      <c r="D1494" t="s">
        <v>123</v>
      </c>
      <c r="E1494">
        <v>346</v>
      </c>
    </row>
    <row r="1495" spans="1:5" x14ac:dyDescent="0.25">
      <c r="A1495">
        <v>1494</v>
      </c>
      <c r="B1495">
        <v>4168299</v>
      </c>
      <c r="C1495" s="1" t="str">
        <f>HYPERLINK("http://stackoverflow.com/users/4168299", "utzcoz")</f>
        <v>utzcoz</v>
      </c>
      <c r="D1495" t="s">
        <v>5</v>
      </c>
      <c r="E1495">
        <v>346</v>
      </c>
    </row>
    <row r="1496" spans="1:5" x14ac:dyDescent="0.25">
      <c r="A1496">
        <v>1495</v>
      </c>
      <c r="B1496">
        <v>3556744</v>
      </c>
      <c r="C1496" s="1" t="str">
        <f>HYPERLINK("http://stackoverflow.com/users/3556744", "D.Fux")</f>
        <v>D.Fux</v>
      </c>
      <c r="D1496" t="s">
        <v>57</v>
      </c>
      <c r="E1496">
        <v>346</v>
      </c>
    </row>
    <row r="1497" spans="1:5" x14ac:dyDescent="0.25">
      <c r="A1497">
        <v>1496</v>
      </c>
      <c r="B1497">
        <v>8191757</v>
      </c>
      <c r="C1497" s="1" t="str">
        <f>HYPERLINK("http://stackoverflow.com/users/8191757", "Shuiping Chen")</f>
        <v>Shuiping Chen</v>
      </c>
      <c r="D1497" t="s">
        <v>5</v>
      </c>
      <c r="E1497">
        <v>346</v>
      </c>
    </row>
    <row r="1498" spans="1:5" x14ac:dyDescent="0.25">
      <c r="A1498">
        <v>1497</v>
      </c>
      <c r="B1498">
        <v>637382</v>
      </c>
      <c r="C1498" s="1" t="str">
        <f>HYPERLINK("http://stackoverflow.com/users/637382", "Jun Guo")</f>
        <v>Jun Guo</v>
      </c>
      <c r="D1498" t="s">
        <v>4</v>
      </c>
      <c r="E1498">
        <v>346</v>
      </c>
    </row>
    <row r="1499" spans="1:5" x14ac:dyDescent="0.25">
      <c r="A1499">
        <v>1498</v>
      </c>
      <c r="B1499">
        <v>1598185</v>
      </c>
      <c r="C1499" s="1" t="str">
        <f>HYPERLINK("http://stackoverflow.com/users/1598185", "Mr.Raindrop")</f>
        <v>Mr.Raindrop</v>
      </c>
      <c r="D1499" t="s">
        <v>5</v>
      </c>
      <c r="E1499">
        <v>346</v>
      </c>
    </row>
    <row r="1500" spans="1:5" x14ac:dyDescent="0.25">
      <c r="A1500">
        <v>1499</v>
      </c>
      <c r="B1500">
        <v>238472</v>
      </c>
      <c r="C1500" s="1" t="str">
        <f>HYPERLINK("http://stackoverflow.com/users/238472", "Answeror")</f>
        <v>Answeror</v>
      </c>
      <c r="D1500" t="s">
        <v>4</v>
      </c>
      <c r="E1500">
        <v>345</v>
      </c>
    </row>
    <row r="1501" spans="1:5" x14ac:dyDescent="0.25">
      <c r="A1501">
        <v>1500</v>
      </c>
      <c r="B1501">
        <v>345691</v>
      </c>
      <c r="C1501" s="1" t="str">
        <f>HYPERLINK("http://stackoverflow.com/users/345691", "imcaptor")</f>
        <v>imcaptor</v>
      </c>
      <c r="D1501" t="s">
        <v>5</v>
      </c>
      <c r="E1501">
        <v>345</v>
      </c>
    </row>
    <row r="1502" spans="1:5" x14ac:dyDescent="0.25">
      <c r="A1502">
        <v>1501</v>
      </c>
      <c r="B1502">
        <v>2745142</v>
      </c>
      <c r="C1502" s="1" t="str">
        <f>HYPERLINK("http://stackoverflow.com/users/2745142", "zwidny")</f>
        <v>zwidny</v>
      </c>
      <c r="D1502" t="s">
        <v>5</v>
      </c>
      <c r="E1502">
        <v>344</v>
      </c>
    </row>
    <row r="1503" spans="1:5" x14ac:dyDescent="0.25">
      <c r="A1503">
        <v>1502</v>
      </c>
      <c r="B1503">
        <v>1755386</v>
      </c>
      <c r="C1503" s="1" t="str">
        <f>HYPERLINK("http://stackoverflow.com/users/1755386", "Jeff.Lu")</f>
        <v>Jeff.Lu</v>
      </c>
      <c r="D1503" t="s">
        <v>22</v>
      </c>
      <c r="E1503">
        <v>344</v>
      </c>
    </row>
    <row r="1504" spans="1:5" x14ac:dyDescent="0.25">
      <c r="A1504">
        <v>1503</v>
      </c>
      <c r="B1504">
        <v>1205939</v>
      </c>
      <c r="C1504" s="1" t="str">
        <f>HYPERLINK("http://stackoverflow.com/users/1205939", "Ariel Zehao Zhang")</f>
        <v>Ariel Zehao Zhang</v>
      </c>
      <c r="D1504" t="s">
        <v>5</v>
      </c>
      <c r="E1504">
        <v>344</v>
      </c>
    </row>
    <row r="1505" spans="1:5" x14ac:dyDescent="0.25">
      <c r="A1505">
        <v>1504</v>
      </c>
      <c r="B1505">
        <v>157612</v>
      </c>
      <c r="C1505" s="1" t="str">
        <f>HYPERLINK("http://stackoverflow.com/users/157612", "Ripley")</f>
        <v>Ripley</v>
      </c>
      <c r="D1505" t="s">
        <v>4</v>
      </c>
      <c r="E1505">
        <v>344</v>
      </c>
    </row>
    <row r="1506" spans="1:5" x14ac:dyDescent="0.25">
      <c r="A1506">
        <v>1505</v>
      </c>
      <c r="B1506">
        <v>892132</v>
      </c>
      <c r="C1506" s="1" t="str">
        <f>HYPERLINK("http://stackoverflow.com/users/892132", "Oscar")</f>
        <v>Oscar</v>
      </c>
      <c r="D1506" t="s">
        <v>4</v>
      </c>
      <c r="E1506">
        <v>344</v>
      </c>
    </row>
    <row r="1507" spans="1:5" x14ac:dyDescent="0.25">
      <c r="A1507">
        <v>1506</v>
      </c>
      <c r="B1507">
        <v>1008437</v>
      </c>
      <c r="C1507" s="1" t="str">
        <f>HYPERLINK("http://stackoverflow.com/users/1008437", "apporc")</f>
        <v>apporc</v>
      </c>
      <c r="D1507" t="s">
        <v>5</v>
      </c>
      <c r="E1507">
        <v>343</v>
      </c>
    </row>
    <row r="1508" spans="1:5" x14ac:dyDescent="0.25">
      <c r="A1508">
        <v>1507</v>
      </c>
      <c r="B1508">
        <v>4780154</v>
      </c>
      <c r="C1508" s="1" t="str">
        <f>HYPERLINK("http://stackoverflow.com/users/4780154", "Jasmonate")</f>
        <v>Jasmonate</v>
      </c>
      <c r="D1508" t="s">
        <v>5</v>
      </c>
      <c r="E1508">
        <v>343</v>
      </c>
    </row>
    <row r="1509" spans="1:5" x14ac:dyDescent="0.25">
      <c r="A1509">
        <v>1508</v>
      </c>
      <c r="B1509">
        <v>4881308</v>
      </c>
      <c r="C1509" s="1" t="str">
        <f>HYPERLINK("http://stackoverflow.com/users/4881308", "iPeta")</f>
        <v>iPeta</v>
      </c>
      <c r="D1509" t="s">
        <v>5</v>
      </c>
      <c r="E1509">
        <v>342</v>
      </c>
    </row>
    <row r="1510" spans="1:5" x14ac:dyDescent="0.25">
      <c r="A1510">
        <v>1509</v>
      </c>
      <c r="B1510">
        <v>965002</v>
      </c>
      <c r="C1510" s="1" t="str">
        <f>HYPERLINK("http://stackoverflow.com/users/965002", "hoozecn")</f>
        <v>hoozecn</v>
      </c>
      <c r="D1510" t="s">
        <v>4</v>
      </c>
      <c r="E1510">
        <v>342</v>
      </c>
    </row>
    <row r="1511" spans="1:5" x14ac:dyDescent="0.25">
      <c r="A1511">
        <v>1510</v>
      </c>
      <c r="B1511">
        <v>986966</v>
      </c>
      <c r="C1511" s="1" t="str">
        <f>HYPERLINK("http://stackoverflow.com/users/986966", "fall")</f>
        <v>fall</v>
      </c>
      <c r="D1511" t="s">
        <v>5</v>
      </c>
      <c r="E1511">
        <v>342</v>
      </c>
    </row>
    <row r="1512" spans="1:5" x14ac:dyDescent="0.25">
      <c r="A1512">
        <v>1511</v>
      </c>
      <c r="B1512">
        <v>8017677</v>
      </c>
      <c r="C1512" s="1" t="str">
        <f>HYPERLINK("http://stackoverflow.com/users/8017677", "ileadall42")</f>
        <v>ileadall42</v>
      </c>
      <c r="D1512" t="s">
        <v>124</v>
      </c>
      <c r="E1512">
        <v>341</v>
      </c>
    </row>
    <row r="1513" spans="1:5" x14ac:dyDescent="0.25">
      <c r="A1513">
        <v>1512</v>
      </c>
      <c r="B1513">
        <v>1759409</v>
      </c>
      <c r="C1513" s="1" t="str">
        <f>HYPERLINK("http://stackoverflow.com/users/1759409", "Music Monkey")</f>
        <v>Music Monkey</v>
      </c>
      <c r="D1513" t="s">
        <v>4</v>
      </c>
      <c r="E1513">
        <v>340</v>
      </c>
    </row>
    <row r="1514" spans="1:5" x14ac:dyDescent="0.25">
      <c r="A1514">
        <v>1513</v>
      </c>
      <c r="B1514">
        <v>3455352</v>
      </c>
      <c r="C1514" s="1" t="str">
        <f>HYPERLINK("http://stackoverflow.com/users/3455352", "gkiwi")</f>
        <v>gkiwi</v>
      </c>
      <c r="D1514" t="s">
        <v>5</v>
      </c>
      <c r="E1514">
        <v>340</v>
      </c>
    </row>
    <row r="1515" spans="1:5" x14ac:dyDescent="0.25">
      <c r="A1515">
        <v>1514</v>
      </c>
      <c r="B1515">
        <v>3015935</v>
      </c>
      <c r="C1515" s="1" t="str">
        <f>HYPERLINK("http://stackoverflow.com/users/3015935", "Bird Eggegg")</f>
        <v>Bird Eggegg</v>
      </c>
      <c r="D1515" t="s">
        <v>12</v>
      </c>
      <c r="E1515">
        <v>339</v>
      </c>
    </row>
    <row r="1516" spans="1:5" x14ac:dyDescent="0.25">
      <c r="A1516">
        <v>1515</v>
      </c>
      <c r="B1516">
        <v>1091214</v>
      </c>
      <c r="C1516" s="1" t="str">
        <f>HYPERLINK("http://stackoverflow.com/users/1091214", "tzwm")</f>
        <v>tzwm</v>
      </c>
      <c r="D1516" t="s">
        <v>4</v>
      </c>
      <c r="E1516">
        <v>339</v>
      </c>
    </row>
    <row r="1517" spans="1:5" x14ac:dyDescent="0.25">
      <c r="A1517">
        <v>1516</v>
      </c>
      <c r="B1517">
        <v>5635243</v>
      </c>
      <c r="C1517" s="1" t="str">
        <f>HYPERLINK("http://stackoverflow.com/users/5635243", "yaochiqkl")</f>
        <v>yaochiqkl</v>
      </c>
      <c r="D1517" t="s">
        <v>22</v>
      </c>
      <c r="E1517">
        <v>339</v>
      </c>
    </row>
    <row r="1518" spans="1:5" x14ac:dyDescent="0.25">
      <c r="A1518">
        <v>1517</v>
      </c>
      <c r="B1518">
        <v>1645289</v>
      </c>
      <c r="C1518" s="1" t="str">
        <f>HYPERLINK("http://stackoverflow.com/users/1645289", "Protoss")</f>
        <v>Protoss</v>
      </c>
      <c r="D1518" t="s">
        <v>4</v>
      </c>
      <c r="E1518">
        <v>339</v>
      </c>
    </row>
    <row r="1519" spans="1:5" x14ac:dyDescent="0.25">
      <c r="A1519">
        <v>1518</v>
      </c>
      <c r="B1519">
        <v>2010259</v>
      </c>
      <c r="C1519" s="1" t="str">
        <f>HYPERLINK("http://stackoverflow.com/users/2010259", "Skywolf")</f>
        <v>Skywolf</v>
      </c>
      <c r="D1519" t="s">
        <v>4</v>
      </c>
      <c r="E1519">
        <v>338</v>
      </c>
    </row>
    <row r="1520" spans="1:5" x14ac:dyDescent="0.25">
      <c r="A1520">
        <v>1519</v>
      </c>
      <c r="B1520">
        <v>1004479</v>
      </c>
      <c r="C1520" s="1" t="str">
        <f>HYPERLINK("http://stackoverflow.com/users/1004479", "Jet Geng")</f>
        <v>Jet Geng</v>
      </c>
      <c r="D1520" t="s">
        <v>5</v>
      </c>
      <c r="E1520">
        <v>337</v>
      </c>
    </row>
    <row r="1521" spans="1:5" x14ac:dyDescent="0.25">
      <c r="A1521">
        <v>1520</v>
      </c>
      <c r="B1521">
        <v>371531</v>
      </c>
      <c r="C1521" s="1" t="str">
        <f>HYPERLINK("http://stackoverflow.com/users/371531", "Liu Yue")</f>
        <v>Liu Yue</v>
      </c>
      <c r="D1521" t="s">
        <v>4</v>
      </c>
      <c r="E1521">
        <v>337</v>
      </c>
    </row>
    <row r="1522" spans="1:5" x14ac:dyDescent="0.25">
      <c r="A1522">
        <v>1521</v>
      </c>
      <c r="B1522">
        <v>1045041</v>
      </c>
      <c r="C1522" s="1" t="str">
        <f>HYPERLINK("http://stackoverflow.com/users/1045041", "viprs")</f>
        <v>viprs</v>
      </c>
      <c r="D1522" t="s">
        <v>17</v>
      </c>
      <c r="E1522">
        <v>337</v>
      </c>
    </row>
    <row r="1523" spans="1:5" x14ac:dyDescent="0.25">
      <c r="A1523">
        <v>1522</v>
      </c>
      <c r="B1523">
        <v>730818</v>
      </c>
      <c r="C1523" s="1" t="str">
        <f>HYPERLINK("http://stackoverflow.com/users/730818", "Zhuo.M")</f>
        <v>Zhuo.M</v>
      </c>
      <c r="D1523" t="s">
        <v>5</v>
      </c>
      <c r="E1523">
        <v>337</v>
      </c>
    </row>
    <row r="1524" spans="1:5" x14ac:dyDescent="0.25">
      <c r="A1524">
        <v>1523</v>
      </c>
      <c r="B1524">
        <v>490794</v>
      </c>
      <c r="C1524" s="1" t="str">
        <f>HYPERLINK("http://stackoverflow.com/users/490794", "Black.Lee")</f>
        <v>Black.Lee</v>
      </c>
      <c r="D1524" t="s">
        <v>12</v>
      </c>
      <c r="E1524">
        <v>336</v>
      </c>
    </row>
    <row r="1525" spans="1:5" x14ac:dyDescent="0.25">
      <c r="A1525">
        <v>1524</v>
      </c>
      <c r="B1525">
        <v>1930023</v>
      </c>
      <c r="C1525" s="1" t="str">
        <f>HYPERLINK("http://stackoverflow.com/users/1930023", "Lihang Li")</f>
        <v>Lihang Li</v>
      </c>
      <c r="D1525" t="s">
        <v>5</v>
      </c>
      <c r="E1525">
        <v>336</v>
      </c>
    </row>
    <row r="1526" spans="1:5" x14ac:dyDescent="0.25">
      <c r="A1526">
        <v>1525</v>
      </c>
      <c r="B1526">
        <v>499829</v>
      </c>
      <c r="C1526" s="1" t="str">
        <f>HYPERLINK("http://stackoverflow.com/users/499829", "Soyokaze")</f>
        <v>Soyokaze</v>
      </c>
      <c r="D1526" t="s">
        <v>4</v>
      </c>
      <c r="E1526">
        <v>336</v>
      </c>
    </row>
    <row r="1527" spans="1:5" x14ac:dyDescent="0.25">
      <c r="A1527">
        <v>1526</v>
      </c>
      <c r="B1527">
        <v>4131719</v>
      </c>
      <c r="C1527" s="1" t="str">
        <f>HYPERLINK("http://stackoverflow.com/users/4131719", "alchemist")</f>
        <v>alchemist</v>
      </c>
      <c r="D1527" t="s">
        <v>12</v>
      </c>
      <c r="E1527">
        <v>336</v>
      </c>
    </row>
    <row r="1528" spans="1:5" x14ac:dyDescent="0.25">
      <c r="A1528">
        <v>1527</v>
      </c>
      <c r="B1528">
        <v>143480</v>
      </c>
      <c r="C1528" s="1" t="str">
        <f>HYPERLINK("http://stackoverflow.com/users/143480", "Frankel")</f>
        <v>Frankel</v>
      </c>
      <c r="D1528" t="s">
        <v>4</v>
      </c>
      <c r="E1528">
        <v>336</v>
      </c>
    </row>
    <row r="1529" spans="1:5" x14ac:dyDescent="0.25">
      <c r="A1529">
        <v>1528</v>
      </c>
      <c r="B1529">
        <v>5985526</v>
      </c>
      <c r="C1529" s="1" t="str">
        <f>HYPERLINK("http://stackoverflow.com/users/5985526", "江南消夏")</f>
        <v>江南消夏</v>
      </c>
      <c r="D1529" t="s">
        <v>7</v>
      </c>
      <c r="E1529">
        <v>335</v>
      </c>
    </row>
    <row r="1530" spans="1:5" x14ac:dyDescent="0.25">
      <c r="A1530">
        <v>1529</v>
      </c>
      <c r="B1530">
        <v>5723841</v>
      </c>
      <c r="C1530" s="1" t="str">
        <f>HYPERLINK("http://stackoverflow.com/users/5723841", "NOZUONOHIGH")</f>
        <v>NOZUONOHIGH</v>
      </c>
      <c r="D1530" t="s">
        <v>28</v>
      </c>
      <c r="E1530">
        <v>333</v>
      </c>
    </row>
    <row r="1531" spans="1:5" x14ac:dyDescent="0.25">
      <c r="A1531">
        <v>1530</v>
      </c>
      <c r="B1531">
        <v>445599</v>
      </c>
      <c r="C1531" s="1" t="str">
        <f>HYPERLINK("http://stackoverflow.com/users/445599", "flycondor")</f>
        <v>flycondor</v>
      </c>
      <c r="D1531" t="s">
        <v>5</v>
      </c>
      <c r="E1531">
        <v>333</v>
      </c>
    </row>
    <row r="1532" spans="1:5" x14ac:dyDescent="0.25">
      <c r="A1532">
        <v>1531</v>
      </c>
      <c r="B1532">
        <v>4410235</v>
      </c>
      <c r="C1532" s="1" t="str">
        <f>HYPERLINK("http://stackoverflow.com/users/4410235", "dd.")</f>
        <v>dd.</v>
      </c>
      <c r="D1532" t="s">
        <v>21</v>
      </c>
      <c r="E1532">
        <v>333</v>
      </c>
    </row>
    <row r="1533" spans="1:5" x14ac:dyDescent="0.25">
      <c r="A1533">
        <v>1532</v>
      </c>
      <c r="B1533">
        <v>5943869</v>
      </c>
      <c r="C1533" s="1" t="str">
        <f>HYPERLINK("http://stackoverflow.com/users/5943869", "zydcom")</f>
        <v>zydcom</v>
      </c>
      <c r="D1533" t="s">
        <v>16</v>
      </c>
      <c r="E1533">
        <v>332</v>
      </c>
    </row>
    <row r="1534" spans="1:5" x14ac:dyDescent="0.25">
      <c r="A1534">
        <v>1533</v>
      </c>
      <c r="B1534">
        <v>2534653</v>
      </c>
      <c r="C1534" s="1" t="str">
        <f>HYPERLINK("http://stackoverflow.com/users/2534653", "leveme")</f>
        <v>leveme</v>
      </c>
      <c r="D1534" t="s">
        <v>4</v>
      </c>
      <c r="E1534">
        <v>331</v>
      </c>
    </row>
    <row r="1535" spans="1:5" x14ac:dyDescent="0.25">
      <c r="A1535">
        <v>1534</v>
      </c>
      <c r="B1535">
        <v>6633084</v>
      </c>
      <c r="C1535" s="1" t="str">
        <f>HYPERLINK("http://stackoverflow.com/users/6633084", "aaronshan")</f>
        <v>aaronshan</v>
      </c>
      <c r="D1535" t="s">
        <v>5</v>
      </c>
      <c r="E1535">
        <v>331</v>
      </c>
    </row>
    <row r="1536" spans="1:5" x14ac:dyDescent="0.25">
      <c r="A1536">
        <v>1535</v>
      </c>
      <c r="B1536">
        <v>3719845</v>
      </c>
      <c r="C1536" s="1" t="str">
        <f>HYPERLINK("http://stackoverflow.com/users/3719845", "ITChap")</f>
        <v>ITChap</v>
      </c>
      <c r="D1536" t="s">
        <v>4</v>
      </c>
      <c r="E1536">
        <v>331</v>
      </c>
    </row>
    <row r="1537" spans="1:5" x14ac:dyDescent="0.25">
      <c r="A1537">
        <v>1536</v>
      </c>
      <c r="B1537">
        <v>3526170</v>
      </c>
      <c r="C1537" s="1" t="str">
        <f>HYPERLINK("http://stackoverflow.com/users/3526170", "Steven")</f>
        <v>Steven</v>
      </c>
      <c r="D1537" t="s">
        <v>5</v>
      </c>
      <c r="E1537">
        <v>331</v>
      </c>
    </row>
    <row r="1538" spans="1:5" x14ac:dyDescent="0.25">
      <c r="A1538">
        <v>1537</v>
      </c>
      <c r="B1538">
        <v>5684667</v>
      </c>
      <c r="C1538" s="1" t="str">
        <f>HYPERLINK("http://stackoverflow.com/users/5684667", "Cai Yongji")</f>
        <v>Cai Yongji</v>
      </c>
      <c r="D1538" t="s">
        <v>4</v>
      </c>
      <c r="E1538">
        <v>331</v>
      </c>
    </row>
    <row r="1539" spans="1:5" x14ac:dyDescent="0.25">
      <c r="A1539">
        <v>1538</v>
      </c>
      <c r="B1539">
        <v>208663</v>
      </c>
      <c r="C1539" s="1" t="str">
        <f>HYPERLINK("http://stackoverflow.com/users/208663", "MaiTiano")</f>
        <v>MaiTiano</v>
      </c>
      <c r="D1539" t="s">
        <v>17</v>
      </c>
      <c r="E1539">
        <v>331</v>
      </c>
    </row>
    <row r="1540" spans="1:5" x14ac:dyDescent="0.25">
      <c r="A1540">
        <v>1539</v>
      </c>
      <c r="B1540">
        <v>3190833</v>
      </c>
      <c r="C1540" s="1" t="str">
        <f>HYPERLINK("http://stackoverflow.com/users/3190833", "Kent Wood")</f>
        <v>Kent Wood</v>
      </c>
      <c r="D1540" t="s">
        <v>22</v>
      </c>
      <c r="E1540">
        <v>331</v>
      </c>
    </row>
    <row r="1541" spans="1:5" x14ac:dyDescent="0.25">
      <c r="A1541">
        <v>1540</v>
      </c>
      <c r="B1541">
        <v>1535199</v>
      </c>
      <c r="C1541" s="1" t="str">
        <f>HYPERLINK("http://stackoverflow.com/users/1535199", "Chris Miller")</f>
        <v>Chris Miller</v>
      </c>
      <c r="D1541" t="s">
        <v>4</v>
      </c>
      <c r="E1541">
        <v>331</v>
      </c>
    </row>
    <row r="1542" spans="1:5" x14ac:dyDescent="0.25">
      <c r="A1542">
        <v>1541</v>
      </c>
      <c r="B1542">
        <v>2386232</v>
      </c>
      <c r="C1542" s="1" t="str">
        <f>HYPERLINK("http://stackoverflow.com/users/2386232", "yaphet")</f>
        <v>yaphet</v>
      </c>
      <c r="D1542" t="s">
        <v>5</v>
      </c>
      <c r="E1542">
        <v>330</v>
      </c>
    </row>
    <row r="1543" spans="1:5" x14ac:dyDescent="0.25">
      <c r="A1543">
        <v>1542</v>
      </c>
      <c r="B1543">
        <v>7034307</v>
      </c>
      <c r="C1543" s="1" t="str">
        <f>HYPERLINK("http://stackoverflow.com/users/7034307", "Gabriel Cheung")</f>
        <v>Gabriel Cheung</v>
      </c>
      <c r="D1543" t="s">
        <v>25</v>
      </c>
      <c r="E1543">
        <v>330</v>
      </c>
    </row>
    <row r="1544" spans="1:5" x14ac:dyDescent="0.25">
      <c r="A1544">
        <v>1543</v>
      </c>
      <c r="B1544">
        <v>4602592</v>
      </c>
      <c r="C1544" s="1" t="str">
        <f>HYPERLINK("http://stackoverflow.com/users/4602592", "navigaid")</f>
        <v>navigaid</v>
      </c>
      <c r="D1544" t="s">
        <v>125</v>
      </c>
      <c r="E1544">
        <v>330</v>
      </c>
    </row>
    <row r="1545" spans="1:5" x14ac:dyDescent="0.25">
      <c r="A1545">
        <v>1544</v>
      </c>
      <c r="B1545">
        <v>2380603</v>
      </c>
      <c r="C1545" s="1" t="str">
        <f>HYPERLINK("http://stackoverflow.com/users/2380603", "Yudu Ban")</f>
        <v>Yudu Ban</v>
      </c>
      <c r="D1545" t="s">
        <v>5</v>
      </c>
      <c r="E1545">
        <v>330</v>
      </c>
    </row>
    <row r="1546" spans="1:5" x14ac:dyDescent="0.25">
      <c r="A1546">
        <v>1545</v>
      </c>
      <c r="B1546">
        <v>4476501</v>
      </c>
      <c r="C1546" s="1" t="str">
        <f>HYPERLINK("http://stackoverflow.com/users/4476501", "Summer Sun")</f>
        <v>Summer Sun</v>
      </c>
      <c r="D1546" t="s">
        <v>16</v>
      </c>
      <c r="E1546">
        <v>330</v>
      </c>
    </row>
    <row r="1547" spans="1:5" x14ac:dyDescent="0.25">
      <c r="A1547">
        <v>1546</v>
      </c>
      <c r="B1547">
        <v>1475320</v>
      </c>
      <c r="C1547" s="1" t="str">
        <f>HYPERLINK("http://stackoverflow.com/users/1475320", "Codinfox")</f>
        <v>Codinfox</v>
      </c>
      <c r="D1547" t="s">
        <v>4</v>
      </c>
      <c r="E1547">
        <v>330</v>
      </c>
    </row>
    <row r="1548" spans="1:5" x14ac:dyDescent="0.25">
      <c r="A1548">
        <v>1547</v>
      </c>
      <c r="B1548">
        <v>901671</v>
      </c>
      <c r="C1548" s="1" t="str">
        <f>HYPERLINK("http://stackoverflow.com/users/901671", "Charles Hu")</f>
        <v>Charles Hu</v>
      </c>
      <c r="D1548" t="s">
        <v>5</v>
      </c>
      <c r="E1548">
        <v>329</v>
      </c>
    </row>
    <row r="1549" spans="1:5" x14ac:dyDescent="0.25">
      <c r="A1549">
        <v>1548</v>
      </c>
      <c r="B1549">
        <v>4481170</v>
      </c>
      <c r="C1549" s="1" t="str">
        <f>HYPERLINK("http://stackoverflow.com/users/4481170", "Vincent Zhang")</f>
        <v>Vincent Zhang</v>
      </c>
      <c r="D1549" t="s">
        <v>4</v>
      </c>
      <c r="E1549">
        <v>329</v>
      </c>
    </row>
    <row r="1550" spans="1:5" x14ac:dyDescent="0.25">
      <c r="A1550">
        <v>1549</v>
      </c>
      <c r="B1550">
        <v>4224914</v>
      </c>
      <c r="C1550" s="1" t="str">
        <f>HYPERLINK("http://stackoverflow.com/users/4224914", "legendecas")</f>
        <v>legendecas</v>
      </c>
      <c r="D1550" t="s">
        <v>12</v>
      </c>
      <c r="E1550">
        <v>329</v>
      </c>
    </row>
    <row r="1551" spans="1:5" x14ac:dyDescent="0.25">
      <c r="A1551">
        <v>1550</v>
      </c>
      <c r="B1551">
        <v>2646069</v>
      </c>
      <c r="C1551" s="1" t="str">
        <f>HYPERLINK("http://stackoverflow.com/users/2646069", "Jamesits")</f>
        <v>Jamesits</v>
      </c>
      <c r="D1551" t="s">
        <v>16</v>
      </c>
      <c r="E1551">
        <v>328</v>
      </c>
    </row>
    <row r="1552" spans="1:5" x14ac:dyDescent="0.25">
      <c r="A1552">
        <v>1551</v>
      </c>
      <c r="B1552">
        <v>2493073</v>
      </c>
      <c r="C1552" s="1" t="str">
        <f>HYPERLINK("http://stackoverflow.com/users/2493073", "Fernando Mata")</f>
        <v>Fernando Mata</v>
      </c>
      <c r="D1552" t="s">
        <v>126</v>
      </c>
      <c r="E1552">
        <v>328</v>
      </c>
    </row>
    <row r="1553" spans="1:5" x14ac:dyDescent="0.25">
      <c r="A1553">
        <v>1552</v>
      </c>
      <c r="B1553">
        <v>1367683</v>
      </c>
      <c r="C1553" s="1" t="str">
        <f>HYPERLINK("http://stackoverflow.com/users/1367683", "Akagi201")</f>
        <v>Akagi201</v>
      </c>
      <c r="D1553" t="s">
        <v>12</v>
      </c>
      <c r="E1553">
        <v>328</v>
      </c>
    </row>
    <row r="1554" spans="1:5" x14ac:dyDescent="0.25">
      <c r="A1554">
        <v>1553</v>
      </c>
      <c r="B1554">
        <v>4165621</v>
      </c>
      <c r="C1554" s="1" t="str">
        <f>HYPERLINK("http://stackoverflow.com/users/4165621", "Damien Polegato")</f>
        <v>Damien Polegato</v>
      </c>
      <c r="D1554" t="s">
        <v>4</v>
      </c>
      <c r="E1554">
        <v>328</v>
      </c>
    </row>
    <row r="1555" spans="1:5" x14ac:dyDescent="0.25">
      <c r="A1555">
        <v>1554</v>
      </c>
      <c r="B1555">
        <v>3284570</v>
      </c>
      <c r="C1555" s="1" t="str">
        <f>HYPERLINK("http://stackoverflow.com/users/3284570", "John Wong")</f>
        <v>John Wong</v>
      </c>
      <c r="D1555" t="s">
        <v>12</v>
      </c>
      <c r="E1555">
        <v>327</v>
      </c>
    </row>
    <row r="1556" spans="1:5" x14ac:dyDescent="0.25">
      <c r="A1556">
        <v>1555</v>
      </c>
      <c r="B1556">
        <v>6243726</v>
      </c>
      <c r="C1556" s="1" t="str">
        <f>HYPERLINK("http://stackoverflow.com/users/6243726", "francis")</f>
        <v>francis</v>
      </c>
      <c r="D1556" t="s">
        <v>4</v>
      </c>
      <c r="E1556">
        <v>327</v>
      </c>
    </row>
    <row r="1557" spans="1:5" x14ac:dyDescent="0.25">
      <c r="A1557">
        <v>1556</v>
      </c>
      <c r="B1557">
        <v>1879210</v>
      </c>
      <c r="C1557" s="1" t="str">
        <f>HYPERLINK("http://stackoverflow.com/users/1879210", "Joe Wu")</f>
        <v>Joe Wu</v>
      </c>
      <c r="D1557" t="s">
        <v>4</v>
      </c>
      <c r="E1557">
        <v>327</v>
      </c>
    </row>
    <row r="1558" spans="1:5" x14ac:dyDescent="0.25">
      <c r="A1558">
        <v>1557</v>
      </c>
      <c r="B1558">
        <v>1771056</v>
      </c>
      <c r="C1558" s="1" t="str">
        <f>HYPERLINK("http://stackoverflow.com/users/1771056", "Ponyets")</f>
        <v>Ponyets</v>
      </c>
      <c r="D1558" t="s">
        <v>5</v>
      </c>
      <c r="E1558">
        <v>326</v>
      </c>
    </row>
    <row r="1559" spans="1:5" x14ac:dyDescent="0.25">
      <c r="A1559">
        <v>1558</v>
      </c>
      <c r="B1559">
        <v>3218630</v>
      </c>
      <c r="C1559" s="1" t="str">
        <f>HYPERLINK("http://stackoverflow.com/users/3218630", "Dean Song")</f>
        <v>Dean Song</v>
      </c>
      <c r="D1559" t="s">
        <v>4</v>
      </c>
      <c r="E1559">
        <v>326</v>
      </c>
    </row>
    <row r="1560" spans="1:5" x14ac:dyDescent="0.25">
      <c r="A1560">
        <v>1559</v>
      </c>
      <c r="B1560">
        <v>1499434</v>
      </c>
      <c r="C1560" s="1" t="str">
        <f>HYPERLINK("http://stackoverflow.com/users/1499434", "dexjq23")</f>
        <v>dexjq23</v>
      </c>
      <c r="D1560" t="s">
        <v>4</v>
      </c>
      <c r="E1560">
        <v>326</v>
      </c>
    </row>
    <row r="1561" spans="1:5" x14ac:dyDescent="0.25">
      <c r="A1561">
        <v>1560</v>
      </c>
      <c r="B1561">
        <v>1036981</v>
      </c>
      <c r="C1561" s="1" t="str">
        <f>HYPERLINK("http://stackoverflow.com/users/1036981", "cox")</f>
        <v>cox</v>
      </c>
      <c r="D1561" t="s">
        <v>5</v>
      </c>
      <c r="E1561">
        <v>326</v>
      </c>
    </row>
    <row r="1562" spans="1:5" x14ac:dyDescent="0.25">
      <c r="A1562">
        <v>1561</v>
      </c>
      <c r="B1562">
        <v>2568593</v>
      </c>
      <c r="C1562" s="1" t="str">
        <f>HYPERLINK("http://stackoverflow.com/users/2568593", "Anthony Cooper")</f>
        <v>Anthony Cooper</v>
      </c>
      <c r="D1562" t="s">
        <v>5</v>
      </c>
      <c r="E1562">
        <v>325</v>
      </c>
    </row>
    <row r="1563" spans="1:5" x14ac:dyDescent="0.25">
      <c r="A1563">
        <v>1562</v>
      </c>
      <c r="B1563">
        <v>191071</v>
      </c>
      <c r="C1563" s="1" t="str">
        <f>HYPERLINK("http://stackoverflow.com/users/191071", "WisdomFusion")</f>
        <v>WisdomFusion</v>
      </c>
      <c r="D1563" t="s">
        <v>5</v>
      </c>
      <c r="E1563">
        <v>325</v>
      </c>
    </row>
    <row r="1564" spans="1:5" x14ac:dyDescent="0.25">
      <c r="A1564">
        <v>1563</v>
      </c>
      <c r="B1564">
        <v>5357584</v>
      </c>
      <c r="C1564" s="1" t="str">
        <f>HYPERLINK("http://stackoverflow.com/users/5357584", "MervynYang")</f>
        <v>MervynYang</v>
      </c>
      <c r="D1564" t="s">
        <v>17</v>
      </c>
      <c r="E1564">
        <v>325</v>
      </c>
    </row>
    <row r="1565" spans="1:5" x14ac:dyDescent="0.25">
      <c r="A1565">
        <v>1564</v>
      </c>
      <c r="B1565">
        <v>262810</v>
      </c>
      <c r="C1565" s="1" t="str">
        <f>HYPERLINK("http://stackoverflow.com/users/262810", "Pengfei.X")</f>
        <v>Pengfei.X</v>
      </c>
      <c r="D1565" t="s">
        <v>5</v>
      </c>
      <c r="E1565">
        <v>324</v>
      </c>
    </row>
    <row r="1566" spans="1:5" x14ac:dyDescent="0.25">
      <c r="A1566">
        <v>1565</v>
      </c>
      <c r="B1566">
        <v>1056433</v>
      </c>
      <c r="C1566" s="1" t="str">
        <f>HYPERLINK("http://stackoverflow.com/users/1056433", "Kaibin")</f>
        <v>Kaibin</v>
      </c>
      <c r="D1566" t="s">
        <v>21</v>
      </c>
      <c r="E1566">
        <v>324</v>
      </c>
    </row>
    <row r="1567" spans="1:5" x14ac:dyDescent="0.25">
      <c r="A1567">
        <v>1566</v>
      </c>
      <c r="B1567">
        <v>2541318</v>
      </c>
      <c r="C1567" s="1" t="str">
        <f>HYPERLINK("http://stackoverflow.com/users/2541318", "Clxy")</f>
        <v>Clxy</v>
      </c>
      <c r="D1567" t="s">
        <v>3</v>
      </c>
      <c r="E1567">
        <v>324</v>
      </c>
    </row>
    <row r="1568" spans="1:5" x14ac:dyDescent="0.25">
      <c r="A1568">
        <v>1567</v>
      </c>
      <c r="B1568">
        <v>2610836</v>
      </c>
      <c r="C1568" s="1" t="str">
        <f>HYPERLINK("http://stackoverflow.com/users/2610836", "procr")</f>
        <v>procr</v>
      </c>
      <c r="D1568" t="s">
        <v>4</v>
      </c>
      <c r="E1568">
        <v>324</v>
      </c>
    </row>
    <row r="1569" spans="1:5" x14ac:dyDescent="0.25">
      <c r="A1569">
        <v>1568</v>
      </c>
      <c r="B1569">
        <v>5064780</v>
      </c>
      <c r="C1569" s="1" t="str">
        <f>HYPERLINK("http://stackoverflow.com/users/5064780", "binbjz")</f>
        <v>binbjz</v>
      </c>
      <c r="D1569" t="s">
        <v>5</v>
      </c>
      <c r="E1569">
        <v>323</v>
      </c>
    </row>
    <row r="1570" spans="1:5" x14ac:dyDescent="0.25">
      <c r="A1570">
        <v>1569</v>
      </c>
      <c r="B1570">
        <v>522810</v>
      </c>
      <c r="C1570" s="1" t="str">
        <f>HYPERLINK("http://stackoverflow.com/users/522810", "Yu Jianrong")</f>
        <v>Yu Jianrong</v>
      </c>
      <c r="D1570" t="s">
        <v>4</v>
      </c>
      <c r="E1570">
        <v>323</v>
      </c>
    </row>
    <row r="1571" spans="1:5" x14ac:dyDescent="0.25">
      <c r="A1571">
        <v>1570</v>
      </c>
      <c r="B1571">
        <v>523002</v>
      </c>
      <c r="C1571" s="1" t="str">
        <f>HYPERLINK("http://stackoverflow.com/users/523002", "Lewisou")</f>
        <v>Lewisou</v>
      </c>
      <c r="D1571" t="s">
        <v>4</v>
      </c>
      <c r="E1571">
        <v>323</v>
      </c>
    </row>
    <row r="1572" spans="1:5" x14ac:dyDescent="0.25">
      <c r="A1572">
        <v>1571</v>
      </c>
      <c r="B1572">
        <v>5352625</v>
      </c>
      <c r="C1572" s="1" t="str">
        <f>HYPERLINK("http://stackoverflow.com/users/5352625", "Zhongyuan Zhou")</f>
        <v>Zhongyuan Zhou</v>
      </c>
      <c r="D1572" t="s">
        <v>4</v>
      </c>
      <c r="E1572">
        <v>323</v>
      </c>
    </row>
    <row r="1573" spans="1:5" x14ac:dyDescent="0.25">
      <c r="A1573">
        <v>1572</v>
      </c>
      <c r="B1573">
        <v>3353857</v>
      </c>
      <c r="C1573" s="1" t="str">
        <f>HYPERLINK("http://stackoverflow.com/users/3353857", "caoanan")</f>
        <v>caoanan</v>
      </c>
      <c r="D1573" t="s">
        <v>4</v>
      </c>
      <c r="E1573">
        <v>323</v>
      </c>
    </row>
    <row r="1574" spans="1:5" x14ac:dyDescent="0.25">
      <c r="A1574">
        <v>1573</v>
      </c>
      <c r="B1574">
        <v>1276879</v>
      </c>
      <c r="C1574" s="1" t="str">
        <f>HYPERLINK("http://stackoverflow.com/users/1276879", "Cheng Lian")</f>
        <v>Cheng Lian</v>
      </c>
      <c r="D1574" t="s">
        <v>5</v>
      </c>
      <c r="E1574">
        <v>323</v>
      </c>
    </row>
    <row r="1575" spans="1:5" x14ac:dyDescent="0.25">
      <c r="A1575">
        <v>1574</v>
      </c>
      <c r="B1575">
        <v>720333</v>
      </c>
      <c r="C1575" s="1" t="str">
        <f>HYPERLINK("http://stackoverflow.com/users/720333", "yeer")</f>
        <v>yeer</v>
      </c>
      <c r="D1575" t="s">
        <v>7</v>
      </c>
      <c r="E1575">
        <v>322</v>
      </c>
    </row>
    <row r="1576" spans="1:5" x14ac:dyDescent="0.25">
      <c r="A1576">
        <v>1575</v>
      </c>
      <c r="B1576">
        <v>3191309</v>
      </c>
      <c r="C1576" s="1" t="str">
        <f>HYPERLINK("http://stackoverflow.com/users/3191309", "mmarkman")</f>
        <v>mmarkman</v>
      </c>
      <c r="D1576" t="s">
        <v>4</v>
      </c>
      <c r="E1576">
        <v>322</v>
      </c>
    </row>
    <row r="1577" spans="1:5" x14ac:dyDescent="0.25">
      <c r="A1577">
        <v>1576</v>
      </c>
      <c r="B1577">
        <v>791756</v>
      </c>
      <c r="C1577" s="1" t="str">
        <f>HYPERLINK("http://stackoverflow.com/users/791756", "unionx")</f>
        <v>unionx</v>
      </c>
      <c r="D1577" t="s">
        <v>78</v>
      </c>
      <c r="E1577">
        <v>322</v>
      </c>
    </row>
    <row r="1578" spans="1:5" x14ac:dyDescent="0.25">
      <c r="A1578">
        <v>1577</v>
      </c>
      <c r="B1578">
        <v>2745493</v>
      </c>
      <c r="C1578" s="1" t="str">
        <f>HYPERLINK("http://stackoverflow.com/users/2745493", "CobbLiu")</f>
        <v>CobbLiu</v>
      </c>
      <c r="D1578" t="s">
        <v>5</v>
      </c>
      <c r="E1578">
        <v>322</v>
      </c>
    </row>
    <row r="1579" spans="1:5" x14ac:dyDescent="0.25">
      <c r="A1579">
        <v>1578</v>
      </c>
      <c r="B1579">
        <v>5184758</v>
      </c>
      <c r="C1579" s="1" t="str">
        <f>HYPERLINK("http://stackoverflow.com/users/5184758", "Alan Wang")</f>
        <v>Alan Wang</v>
      </c>
      <c r="D1579" t="s">
        <v>5</v>
      </c>
      <c r="E1579">
        <v>322</v>
      </c>
    </row>
    <row r="1580" spans="1:5" x14ac:dyDescent="0.25">
      <c r="A1580">
        <v>1579</v>
      </c>
      <c r="B1580">
        <v>1773006</v>
      </c>
      <c r="C1580" s="1" t="str">
        <f>HYPERLINK("http://stackoverflow.com/users/1773006", "Liber")</f>
        <v>Liber</v>
      </c>
      <c r="D1580" t="s">
        <v>4</v>
      </c>
      <c r="E1580">
        <v>322</v>
      </c>
    </row>
    <row r="1581" spans="1:5" x14ac:dyDescent="0.25">
      <c r="A1581">
        <v>1580</v>
      </c>
      <c r="B1581">
        <v>1345889</v>
      </c>
      <c r="C1581" s="1" t="str">
        <f>HYPERLINK("http://stackoverflow.com/users/1345889", "brian_wang")</f>
        <v>brian_wang</v>
      </c>
      <c r="D1581" t="s">
        <v>4</v>
      </c>
      <c r="E1581">
        <v>322</v>
      </c>
    </row>
    <row r="1582" spans="1:5" x14ac:dyDescent="0.25">
      <c r="A1582">
        <v>1581</v>
      </c>
      <c r="B1582">
        <v>1878589</v>
      </c>
      <c r="C1582" s="1" t="str">
        <f>HYPERLINK("http://stackoverflow.com/users/1878589", "Eric")</f>
        <v>Eric</v>
      </c>
      <c r="D1582" t="s">
        <v>17</v>
      </c>
      <c r="E1582">
        <v>322</v>
      </c>
    </row>
    <row r="1583" spans="1:5" x14ac:dyDescent="0.25">
      <c r="A1583">
        <v>1582</v>
      </c>
      <c r="B1583">
        <v>328779</v>
      </c>
      <c r="C1583" s="1" t="str">
        <f>HYPERLINK("http://stackoverflow.com/users/328779", "yuting_lv")</f>
        <v>yuting_lv</v>
      </c>
      <c r="D1583" t="s">
        <v>4</v>
      </c>
      <c r="E1583">
        <v>321</v>
      </c>
    </row>
    <row r="1584" spans="1:5" x14ac:dyDescent="0.25">
      <c r="A1584">
        <v>1583</v>
      </c>
      <c r="B1584">
        <v>3796062</v>
      </c>
      <c r="C1584" s="1" t="str">
        <f>HYPERLINK("http://stackoverflow.com/users/3796062", "BertLi")</f>
        <v>BertLi</v>
      </c>
      <c r="D1584" t="s">
        <v>4</v>
      </c>
      <c r="E1584">
        <v>321</v>
      </c>
    </row>
    <row r="1585" spans="1:5" x14ac:dyDescent="0.25">
      <c r="A1585">
        <v>1584</v>
      </c>
      <c r="B1585">
        <v>1879111</v>
      </c>
      <c r="C1585" s="1" t="str">
        <f>HYPERLINK("http://stackoverflow.com/users/1879111", "yongfa365")</f>
        <v>yongfa365</v>
      </c>
      <c r="D1585" t="s">
        <v>17</v>
      </c>
      <c r="E1585">
        <v>321</v>
      </c>
    </row>
    <row r="1586" spans="1:5" x14ac:dyDescent="0.25">
      <c r="A1586">
        <v>1585</v>
      </c>
      <c r="B1586">
        <v>605278</v>
      </c>
      <c r="C1586" s="1" t="str">
        <f>HYPERLINK("http://stackoverflow.com/users/605278", "bata")</f>
        <v>bata</v>
      </c>
      <c r="D1586" t="s">
        <v>12</v>
      </c>
      <c r="E1586">
        <v>320</v>
      </c>
    </row>
    <row r="1587" spans="1:5" x14ac:dyDescent="0.25">
      <c r="A1587">
        <v>1586</v>
      </c>
      <c r="B1587">
        <v>7352307</v>
      </c>
      <c r="C1587" s="1" t="str">
        <f>HYPERLINK("http://stackoverflow.com/users/7352307", "melvyn dev")</f>
        <v>melvyn dev</v>
      </c>
      <c r="D1587" t="s">
        <v>7</v>
      </c>
      <c r="E1587">
        <v>319</v>
      </c>
    </row>
    <row r="1588" spans="1:5" x14ac:dyDescent="0.25">
      <c r="A1588">
        <v>1587</v>
      </c>
      <c r="B1588">
        <v>5735201</v>
      </c>
      <c r="C1588" s="1" t="str">
        <f>HYPERLINK("http://stackoverflow.com/users/5735201", "DDoSolitary")</f>
        <v>DDoSolitary</v>
      </c>
      <c r="D1588" t="s">
        <v>127</v>
      </c>
      <c r="E1588">
        <v>319</v>
      </c>
    </row>
    <row r="1589" spans="1:5" x14ac:dyDescent="0.25">
      <c r="A1589">
        <v>1588</v>
      </c>
      <c r="B1589">
        <v>1597698</v>
      </c>
      <c r="C1589" s="1" t="str">
        <f>HYPERLINK("http://stackoverflow.com/users/1597698", "silentsongs")</f>
        <v>silentsongs</v>
      </c>
      <c r="D1589" t="s">
        <v>5</v>
      </c>
      <c r="E1589">
        <v>319</v>
      </c>
    </row>
    <row r="1590" spans="1:5" x14ac:dyDescent="0.25">
      <c r="A1590">
        <v>1589</v>
      </c>
      <c r="B1590">
        <v>1227597</v>
      </c>
      <c r="C1590" s="1" t="str">
        <f>HYPERLINK("http://stackoverflow.com/users/1227597", "Zagfai")</f>
        <v>Zagfai</v>
      </c>
      <c r="D1590" t="s">
        <v>41</v>
      </c>
      <c r="E1590">
        <v>319</v>
      </c>
    </row>
    <row r="1591" spans="1:5" x14ac:dyDescent="0.25">
      <c r="A1591">
        <v>1590</v>
      </c>
      <c r="B1591">
        <v>1817042</v>
      </c>
      <c r="C1591" s="1" t="str">
        <f>HYPERLINK("http://stackoverflow.com/users/1817042", "Jijie Chen")</f>
        <v>Jijie Chen</v>
      </c>
      <c r="D1591" t="s">
        <v>5</v>
      </c>
      <c r="E1591">
        <v>319</v>
      </c>
    </row>
    <row r="1592" spans="1:5" x14ac:dyDescent="0.25">
      <c r="A1592">
        <v>1591</v>
      </c>
      <c r="B1592">
        <v>2409400</v>
      </c>
      <c r="C1592" s="1" t="str">
        <f>HYPERLINK("http://stackoverflow.com/users/2409400", "York")</f>
        <v>York</v>
      </c>
      <c r="D1592" t="s">
        <v>16</v>
      </c>
      <c r="E1592">
        <v>319</v>
      </c>
    </row>
    <row r="1593" spans="1:5" x14ac:dyDescent="0.25">
      <c r="A1593">
        <v>1592</v>
      </c>
      <c r="B1593">
        <v>420711</v>
      </c>
      <c r="C1593" s="1" t="str">
        <f>HYPERLINK("http://stackoverflow.com/users/420711", "Will Wu")</f>
        <v>Will Wu</v>
      </c>
      <c r="D1593" t="s">
        <v>5</v>
      </c>
      <c r="E1593">
        <v>318</v>
      </c>
    </row>
    <row r="1594" spans="1:5" x14ac:dyDescent="0.25">
      <c r="A1594">
        <v>1593</v>
      </c>
      <c r="B1594">
        <v>3833858</v>
      </c>
      <c r="C1594" s="1" t="str">
        <f>HYPERLINK("http://stackoverflow.com/users/3833858", "boris1993")</f>
        <v>boris1993</v>
      </c>
      <c r="D1594" t="s">
        <v>4</v>
      </c>
      <c r="E1594">
        <v>318</v>
      </c>
    </row>
    <row r="1595" spans="1:5" x14ac:dyDescent="0.25">
      <c r="A1595">
        <v>1594</v>
      </c>
      <c r="B1595">
        <v>6818209</v>
      </c>
      <c r="C1595" s="1" t="str">
        <f>HYPERLINK("http://stackoverflow.com/users/6818209", "X. Wang")</f>
        <v>X. Wang</v>
      </c>
      <c r="D1595" t="s">
        <v>5</v>
      </c>
      <c r="E1595">
        <v>318</v>
      </c>
    </row>
    <row r="1596" spans="1:5" x14ac:dyDescent="0.25">
      <c r="A1596">
        <v>1595</v>
      </c>
      <c r="B1596">
        <v>2775327</v>
      </c>
      <c r="C1596" s="1" t="str">
        <f>HYPERLINK("http://stackoverflow.com/users/2775327", "kagb")</f>
        <v>kagb</v>
      </c>
      <c r="D1596" t="s">
        <v>5</v>
      </c>
      <c r="E1596">
        <v>317</v>
      </c>
    </row>
    <row r="1597" spans="1:5" x14ac:dyDescent="0.25">
      <c r="A1597">
        <v>1596</v>
      </c>
      <c r="B1597">
        <v>1737132</v>
      </c>
      <c r="C1597" s="1" t="str">
        <f>HYPERLINK("http://stackoverflow.com/users/1737132", "FaceBro")</f>
        <v>FaceBro</v>
      </c>
      <c r="D1597" t="s">
        <v>4</v>
      </c>
      <c r="E1597">
        <v>317</v>
      </c>
    </row>
    <row r="1598" spans="1:5" x14ac:dyDescent="0.25">
      <c r="A1598">
        <v>1597</v>
      </c>
      <c r="B1598">
        <v>1947362</v>
      </c>
      <c r="C1598" s="1" t="str">
        <f>HYPERLINK("http://stackoverflow.com/users/1947362", "Zero Zhang")</f>
        <v>Zero Zhang</v>
      </c>
      <c r="D1598" t="s">
        <v>4</v>
      </c>
      <c r="E1598">
        <v>317</v>
      </c>
    </row>
    <row r="1599" spans="1:5" x14ac:dyDescent="0.25">
      <c r="A1599">
        <v>1598</v>
      </c>
      <c r="B1599">
        <v>8041054</v>
      </c>
      <c r="C1599" s="1" t="str">
        <f>HYPERLINK("http://stackoverflow.com/users/8041054", "Nianyi Wang")</f>
        <v>Nianyi Wang</v>
      </c>
      <c r="D1599" t="s">
        <v>128</v>
      </c>
      <c r="E1599">
        <v>317</v>
      </c>
    </row>
    <row r="1600" spans="1:5" x14ac:dyDescent="0.25">
      <c r="A1600">
        <v>1599</v>
      </c>
      <c r="B1600">
        <v>1875630</v>
      </c>
      <c r="C1600" s="1" t="str">
        <f>HYPERLINK("http://stackoverflow.com/users/1875630", "tuan long")</f>
        <v>tuan long</v>
      </c>
      <c r="D1600" t="s">
        <v>7</v>
      </c>
      <c r="E1600">
        <v>317</v>
      </c>
    </row>
    <row r="1601" spans="1:5" x14ac:dyDescent="0.25">
      <c r="A1601">
        <v>1600</v>
      </c>
      <c r="B1601">
        <v>478344</v>
      </c>
      <c r="C1601" s="1" t="str">
        <f>HYPERLINK("http://stackoverflow.com/users/478344", "苏妍倩")</f>
        <v>苏妍倩</v>
      </c>
      <c r="D1601" t="s">
        <v>54</v>
      </c>
      <c r="E1601">
        <v>316</v>
      </c>
    </row>
    <row r="1602" spans="1:5" x14ac:dyDescent="0.25">
      <c r="A1602">
        <v>1601</v>
      </c>
      <c r="B1602">
        <v>2649866</v>
      </c>
      <c r="C1602" s="1" t="str">
        <f>HYPERLINK("http://stackoverflow.com/users/2649866", "JUO")</f>
        <v>JUO</v>
      </c>
      <c r="D1602" t="s">
        <v>5</v>
      </c>
      <c r="E1602">
        <v>316</v>
      </c>
    </row>
    <row r="1603" spans="1:5" x14ac:dyDescent="0.25">
      <c r="A1603">
        <v>1602</v>
      </c>
      <c r="B1603">
        <v>2563967</v>
      </c>
      <c r="C1603" s="1" t="str">
        <f>HYPERLINK("http://stackoverflow.com/users/2563967", "kun tang")</f>
        <v>kun tang</v>
      </c>
      <c r="D1603" t="s">
        <v>5</v>
      </c>
      <c r="E1603">
        <v>316</v>
      </c>
    </row>
    <row r="1604" spans="1:5" x14ac:dyDescent="0.25">
      <c r="A1604">
        <v>1603</v>
      </c>
      <c r="B1604">
        <v>2464168</v>
      </c>
      <c r="C1604" s="1" t="str">
        <f>HYPERLINK("http://stackoverflow.com/users/2464168", "史京迪")</f>
        <v>史京迪</v>
      </c>
      <c r="D1604" t="s">
        <v>5</v>
      </c>
      <c r="E1604">
        <v>316</v>
      </c>
    </row>
    <row r="1605" spans="1:5" x14ac:dyDescent="0.25">
      <c r="A1605">
        <v>1604</v>
      </c>
      <c r="B1605">
        <v>1686602</v>
      </c>
      <c r="C1605" s="1" t="str">
        <f>HYPERLINK("http://stackoverflow.com/users/1686602", "Jeff Liu")</f>
        <v>Jeff Liu</v>
      </c>
      <c r="D1605" t="s">
        <v>5</v>
      </c>
      <c r="E1605">
        <v>316</v>
      </c>
    </row>
    <row r="1606" spans="1:5" x14ac:dyDescent="0.25">
      <c r="A1606">
        <v>1605</v>
      </c>
      <c r="B1606">
        <v>1197529</v>
      </c>
      <c r="C1606" s="1" t="str">
        <f>HYPERLINK("http://stackoverflow.com/users/1197529", "zhongguoa")</f>
        <v>zhongguoa</v>
      </c>
      <c r="D1606" t="s">
        <v>21</v>
      </c>
      <c r="E1606">
        <v>316</v>
      </c>
    </row>
    <row r="1607" spans="1:5" x14ac:dyDescent="0.25">
      <c r="A1607">
        <v>1606</v>
      </c>
      <c r="B1607">
        <v>652742</v>
      </c>
      <c r="C1607" s="1" t="str">
        <f>HYPERLINK("http://stackoverflow.com/users/652742", "Gran")</f>
        <v>Gran</v>
      </c>
      <c r="D1607" t="s">
        <v>22</v>
      </c>
      <c r="E1607">
        <v>316</v>
      </c>
    </row>
    <row r="1608" spans="1:5" x14ac:dyDescent="0.25">
      <c r="A1608">
        <v>1607</v>
      </c>
      <c r="B1608">
        <v>1357943</v>
      </c>
      <c r="C1608" s="1" t="str">
        <f>HYPERLINK("http://stackoverflow.com/users/1357943", "Yadli")</f>
        <v>Yadli</v>
      </c>
      <c r="D1608" t="s">
        <v>5</v>
      </c>
      <c r="E1608">
        <v>316</v>
      </c>
    </row>
    <row r="1609" spans="1:5" x14ac:dyDescent="0.25">
      <c r="A1609">
        <v>1608</v>
      </c>
      <c r="B1609">
        <v>1316557</v>
      </c>
      <c r="C1609" s="1" t="str">
        <f>HYPERLINK("http://stackoverflow.com/users/1316557", "Ben Boral")</f>
        <v>Ben Boral</v>
      </c>
      <c r="D1609" t="s">
        <v>22</v>
      </c>
      <c r="E1609">
        <v>315</v>
      </c>
    </row>
    <row r="1610" spans="1:5" x14ac:dyDescent="0.25">
      <c r="A1610">
        <v>1609</v>
      </c>
      <c r="B1610">
        <v>646733</v>
      </c>
      <c r="C1610" s="1" t="str">
        <f>HYPERLINK("http://stackoverflow.com/users/646733", "Djvu")</f>
        <v>Djvu</v>
      </c>
      <c r="D1610" t="s">
        <v>5</v>
      </c>
      <c r="E1610">
        <v>315</v>
      </c>
    </row>
    <row r="1611" spans="1:5" x14ac:dyDescent="0.25">
      <c r="A1611">
        <v>1610</v>
      </c>
      <c r="B1611">
        <v>909068</v>
      </c>
      <c r="C1611" s="1" t="str">
        <f>HYPERLINK("http://stackoverflow.com/users/909068", "zyunchen")</f>
        <v>zyunchen</v>
      </c>
      <c r="D1611" t="s">
        <v>21</v>
      </c>
      <c r="E1611">
        <v>314</v>
      </c>
    </row>
    <row r="1612" spans="1:5" x14ac:dyDescent="0.25">
      <c r="A1612">
        <v>1611</v>
      </c>
      <c r="B1612">
        <v>2430404</v>
      </c>
      <c r="C1612" s="1" t="str">
        <f>HYPERLINK("http://stackoverflow.com/users/2430404", "just some guy")</f>
        <v>just some guy</v>
      </c>
      <c r="D1612" t="s">
        <v>129</v>
      </c>
      <c r="E1612">
        <v>313</v>
      </c>
    </row>
    <row r="1613" spans="1:5" x14ac:dyDescent="0.25">
      <c r="A1613">
        <v>1612</v>
      </c>
      <c r="B1613">
        <v>1755660</v>
      </c>
      <c r="C1613" s="1" t="str">
        <f>HYPERLINK("http://stackoverflow.com/users/1755660", "YuDenzel")</f>
        <v>YuDenzel</v>
      </c>
      <c r="D1613" t="s">
        <v>28</v>
      </c>
      <c r="E1613">
        <v>313</v>
      </c>
    </row>
    <row r="1614" spans="1:5" x14ac:dyDescent="0.25">
      <c r="A1614">
        <v>1613</v>
      </c>
      <c r="B1614">
        <v>297110</v>
      </c>
      <c r="C1614" s="1" t="str">
        <f>HYPERLINK("http://stackoverflow.com/users/297110", "Gentle Yang")</f>
        <v>Gentle Yang</v>
      </c>
      <c r="D1614" t="s">
        <v>17</v>
      </c>
      <c r="E1614">
        <v>313</v>
      </c>
    </row>
    <row r="1615" spans="1:5" x14ac:dyDescent="0.25">
      <c r="A1615">
        <v>1614</v>
      </c>
      <c r="B1615">
        <v>192261</v>
      </c>
      <c r="C1615" s="1" t="str">
        <f>HYPERLINK("http://stackoverflow.com/users/192261", "leomayleomay")</f>
        <v>leomayleomay</v>
      </c>
      <c r="D1615" t="s">
        <v>5</v>
      </c>
      <c r="E1615">
        <v>313</v>
      </c>
    </row>
    <row r="1616" spans="1:5" x14ac:dyDescent="0.25">
      <c r="A1616">
        <v>1615</v>
      </c>
      <c r="B1616">
        <v>9753241</v>
      </c>
      <c r="C1616" s="1" t="str">
        <f>HYPERLINK("http://stackoverflow.com/users/9753241", "Louise L.")</f>
        <v>Louise L.</v>
      </c>
      <c r="D1616" t="s">
        <v>4</v>
      </c>
      <c r="E1616">
        <v>312</v>
      </c>
    </row>
    <row r="1617" spans="1:5" x14ac:dyDescent="0.25">
      <c r="A1617">
        <v>1616</v>
      </c>
      <c r="B1617">
        <v>4947594</v>
      </c>
      <c r="C1617" s="1" t="str">
        <f>HYPERLINK("http://stackoverflow.com/users/4947594", "wherby")</f>
        <v>wherby</v>
      </c>
      <c r="D1617" t="s">
        <v>4</v>
      </c>
      <c r="E1617">
        <v>312</v>
      </c>
    </row>
    <row r="1618" spans="1:5" x14ac:dyDescent="0.25">
      <c r="A1618">
        <v>1617</v>
      </c>
      <c r="B1618">
        <v>1807935</v>
      </c>
      <c r="C1618" s="1" t="str">
        <f>HYPERLINK("http://stackoverflow.com/users/1807935", "zxholy")</f>
        <v>zxholy</v>
      </c>
      <c r="D1618" t="s">
        <v>5</v>
      </c>
      <c r="E1618">
        <v>312</v>
      </c>
    </row>
    <row r="1619" spans="1:5" x14ac:dyDescent="0.25">
      <c r="A1619">
        <v>1618</v>
      </c>
      <c r="B1619">
        <v>1335348</v>
      </c>
      <c r="C1619" s="1" t="str">
        <f>HYPERLINK("http://stackoverflow.com/users/1335348", "jazibobs")</f>
        <v>jazibobs</v>
      </c>
      <c r="D1619" t="s">
        <v>43</v>
      </c>
      <c r="E1619">
        <v>312</v>
      </c>
    </row>
    <row r="1620" spans="1:5" x14ac:dyDescent="0.25">
      <c r="A1620">
        <v>1619</v>
      </c>
      <c r="B1620">
        <v>2575201</v>
      </c>
      <c r="C1620" s="1" t="str">
        <f>HYPERLINK("http://stackoverflow.com/users/2575201", "ihsan.gaozp")</f>
        <v>ihsan.gaozp</v>
      </c>
      <c r="D1620" t="s">
        <v>5</v>
      </c>
      <c r="E1620">
        <v>312</v>
      </c>
    </row>
    <row r="1621" spans="1:5" x14ac:dyDescent="0.25">
      <c r="A1621">
        <v>1620</v>
      </c>
      <c r="B1621">
        <v>5001634</v>
      </c>
      <c r="C1621" s="1" t="str">
        <f>HYPERLINK("http://stackoverflow.com/users/5001634", "Yuanhui")</f>
        <v>Yuanhui</v>
      </c>
      <c r="D1621" t="s">
        <v>5</v>
      </c>
      <c r="E1621">
        <v>312</v>
      </c>
    </row>
    <row r="1622" spans="1:5" x14ac:dyDescent="0.25">
      <c r="A1622">
        <v>1621</v>
      </c>
      <c r="B1622">
        <v>1280688</v>
      </c>
      <c r="C1622" s="1" t="str">
        <f>HYPERLINK("http://stackoverflow.com/users/1280688", "fabregaszy")</f>
        <v>fabregaszy</v>
      </c>
      <c r="D1622" t="s">
        <v>3</v>
      </c>
      <c r="E1622">
        <v>311</v>
      </c>
    </row>
    <row r="1623" spans="1:5" x14ac:dyDescent="0.25">
      <c r="A1623">
        <v>1622</v>
      </c>
      <c r="B1623">
        <v>1369022</v>
      </c>
      <c r="C1623" s="1" t="str">
        <f>HYPERLINK("http://stackoverflow.com/users/1369022", "weiheng")</f>
        <v>weiheng</v>
      </c>
      <c r="D1623" t="s">
        <v>5</v>
      </c>
      <c r="E1623">
        <v>311</v>
      </c>
    </row>
    <row r="1624" spans="1:5" x14ac:dyDescent="0.25">
      <c r="A1624">
        <v>1623</v>
      </c>
      <c r="B1624">
        <v>1506351</v>
      </c>
      <c r="C1624" s="1" t="str">
        <f>HYPERLINK("http://stackoverflow.com/users/1506351", "Andy Chen")</f>
        <v>Andy Chen</v>
      </c>
      <c r="D1624" t="s">
        <v>5</v>
      </c>
      <c r="E1624">
        <v>311</v>
      </c>
    </row>
    <row r="1625" spans="1:5" x14ac:dyDescent="0.25">
      <c r="A1625">
        <v>1624</v>
      </c>
      <c r="B1625">
        <v>4850084</v>
      </c>
      <c r="C1625" s="1" t="str">
        <f>HYPERLINK("http://stackoverflow.com/users/4850084", "alpine")</f>
        <v>alpine</v>
      </c>
      <c r="D1625" t="s">
        <v>5</v>
      </c>
      <c r="E1625">
        <v>311</v>
      </c>
    </row>
    <row r="1626" spans="1:5" x14ac:dyDescent="0.25">
      <c r="A1626">
        <v>1625</v>
      </c>
      <c r="B1626">
        <v>5958289</v>
      </c>
      <c r="C1626" s="1" t="str">
        <f>HYPERLINK("http://stackoverflow.com/users/5958289", "System Error")</f>
        <v>System Error</v>
      </c>
      <c r="D1626" t="s">
        <v>7</v>
      </c>
      <c r="E1626">
        <v>311</v>
      </c>
    </row>
    <row r="1627" spans="1:5" x14ac:dyDescent="0.25">
      <c r="A1627">
        <v>1626</v>
      </c>
      <c r="B1627">
        <v>521921</v>
      </c>
      <c r="C1627" s="1" t="str">
        <f>HYPERLINK("http://stackoverflow.com/users/521921", "samuel")</f>
        <v>samuel</v>
      </c>
      <c r="D1627" t="s">
        <v>37</v>
      </c>
      <c r="E1627">
        <v>311</v>
      </c>
    </row>
    <row r="1628" spans="1:5" x14ac:dyDescent="0.25">
      <c r="A1628">
        <v>1627</v>
      </c>
      <c r="B1628">
        <v>348064</v>
      </c>
      <c r="C1628" s="1" t="str">
        <f>HYPERLINK("http://stackoverflow.com/users/348064", "laifukang")</f>
        <v>laifukang</v>
      </c>
      <c r="D1628" t="s">
        <v>4</v>
      </c>
      <c r="E1628">
        <v>311</v>
      </c>
    </row>
    <row r="1629" spans="1:5" x14ac:dyDescent="0.25">
      <c r="A1629">
        <v>1628</v>
      </c>
      <c r="B1629">
        <v>1152323</v>
      </c>
      <c r="C1629" s="1" t="str">
        <f>HYPERLINK("http://stackoverflow.com/users/1152323", "satishgoda")</f>
        <v>satishgoda</v>
      </c>
      <c r="D1629" t="s">
        <v>4</v>
      </c>
      <c r="E1629">
        <v>310</v>
      </c>
    </row>
    <row r="1630" spans="1:5" x14ac:dyDescent="0.25">
      <c r="A1630">
        <v>1629</v>
      </c>
      <c r="B1630">
        <v>854408</v>
      </c>
      <c r="C1630" s="1" t="str">
        <f>HYPERLINK("http://stackoverflow.com/users/854408", "ruisin")</f>
        <v>ruisin</v>
      </c>
      <c r="D1630" t="s">
        <v>12</v>
      </c>
      <c r="E1630">
        <v>310</v>
      </c>
    </row>
    <row r="1631" spans="1:5" x14ac:dyDescent="0.25">
      <c r="A1631">
        <v>1630</v>
      </c>
      <c r="B1631">
        <v>1129480</v>
      </c>
      <c r="C1631" s="1" t="str">
        <f>HYPERLINK("http://stackoverflow.com/users/1129480", "hongtium")</f>
        <v>hongtium</v>
      </c>
      <c r="D1631" t="s">
        <v>5</v>
      </c>
      <c r="E1631">
        <v>310</v>
      </c>
    </row>
    <row r="1632" spans="1:5" x14ac:dyDescent="0.25">
      <c r="A1632">
        <v>1631</v>
      </c>
      <c r="B1632">
        <v>2804101</v>
      </c>
      <c r="C1632" s="1" t="str">
        <f>HYPERLINK("http://stackoverflow.com/users/2804101", "Andy Ma")</f>
        <v>Andy Ma</v>
      </c>
      <c r="D1632" t="s">
        <v>48</v>
      </c>
      <c r="E1632">
        <v>310</v>
      </c>
    </row>
    <row r="1633" spans="1:5" x14ac:dyDescent="0.25">
      <c r="A1633">
        <v>1632</v>
      </c>
      <c r="B1633">
        <v>2753420</v>
      </c>
      <c r="C1633" s="1" t="str">
        <f>HYPERLINK("http://stackoverflow.com/users/2753420", "tuder")</f>
        <v>tuder</v>
      </c>
      <c r="D1633" t="s">
        <v>22</v>
      </c>
      <c r="E1633">
        <v>309</v>
      </c>
    </row>
    <row r="1634" spans="1:5" x14ac:dyDescent="0.25">
      <c r="A1634">
        <v>1633</v>
      </c>
      <c r="B1634">
        <v>10838506</v>
      </c>
      <c r="C1634" s="1" t="str">
        <f>HYPERLINK("http://stackoverflow.com/users/10838506", "艾瑪艾瑪艾瑪")</f>
        <v>艾瑪艾瑪艾瑪</v>
      </c>
      <c r="D1634" t="s">
        <v>5</v>
      </c>
      <c r="E1634">
        <v>309</v>
      </c>
    </row>
    <row r="1635" spans="1:5" x14ac:dyDescent="0.25">
      <c r="A1635">
        <v>1634</v>
      </c>
      <c r="B1635">
        <v>565197</v>
      </c>
      <c r="C1635" s="1" t="str">
        <f>HYPERLINK("http://stackoverflow.com/users/565197", "Ramon")</f>
        <v>Ramon</v>
      </c>
      <c r="D1635" t="s">
        <v>17</v>
      </c>
      <c r="E1635">
        <v>309</v>
      </c>
    </row>
    <row r="1636" spans="1:5" x14ac:dyDescent="0.25">
      <c r="A1636">
        <v>1635</v>
      </c>
      <c r="B1636">
        <v>4168837</v>
      </c>
      <c r="C1636" s="1" t="str">
        <f>HYPERLINK("http://stackoverflow.com/users/4168837", "Jesse Chen")</f>
        <v>Jesse Chen</v>
      </c>
      <c r="D1636" t="s">
        <v>4</v>
      </c>
      <c r="E1636">
        <v>309</v>
      </c>
    </row>
    <row r="1637" spans="1:5" x14ac:dyDescent="0.25">
      <c r="A1637">
        <v>1636</v>
      </c>
      <c r="B1637">
        <v>649808</v>
      </c>
      <c r="C1637" s="1" t="str">
        <f>HYPERLINK("http://stackoverflow.com/users/649808", "Y.Z")</f>
        <v>Y.Z</v>
      </c>
      <c r="D1637" t="s">
        <v>4</v>
      </c>
      <c r="E1637">
        <v>309</v>
      </c>
    </row>
    <row r="1638" spans="1:5" x14ac:dyDescent="0.25">
      <c r="A1638">
        <v>1637</v>
      </c>
      <c r="B1638">
        <v>332918</v>
      </c>
      <c r="C1638" s="1" t="str">
        <f>HYPERLINK("http://stackoverflow.com/users/332918", "Tony Qu")</f>
        <v>Tony Qu</v>
      </c>
      <c r="D1638" t="s">
        <v>4</v>
      </c>
      <c r="E1638">
        <v>309</v>
      </c>
    </row>
    <row r="1639" spans="1:5" x14ac:dyDescent="0.25">
      <c r="A1639">
        <v>1638</v>
      </c>
      <c r="B1639">
        <v>511822</v>
      </c>
      <c r="C1639" s="1" t="str">
        <f>HYPERLINK("http://stackoverflow.com/users/511822", "welsonla")</f>
        <v>welsonla</v>
      </c>
      <c r="D1639" t="s">
        <v>5</v>
      </c>
      <c r="E1639">
        <v>308</v>
      </c>
    </row>
    <row r="1640" spans="1:5" x14ac:dyDescent="0.25">
      <c r="A1640">
        <v>1639</v>
      </c>
      <c r="B1640">
        <v>2205911</v>
      </c>
      <c r="C1640" s="1" t="str">
        <f>HYPERLINK("http://stackoverflow.com/users/2205911", "Leo Lee")</f>
        <v>Leo Lee</v>
      </c>
      <c r="D1640" t="s">
        <v>130</v>
      </c>
      <c r="E1640">
        <v>308</v>
      </c>
    </row>
    <row r="1641" spans="1:5" x14ac:dyDescent="0.25">
      <c r="A1641">
        <v>1640</v>
      </c>
      <c r="B1641">
        <v>6858150</v>
      </c>
      <c r="C1641" s="1" t="str">
        <f>HYPERLINK("http://stackoverflow.com/users/6858150", "David Zhang")</f>
        <v>David Zhang</v>
      </c>
      <c r="D1641" t="s">
        <v>5</v>
      </c>
      <c r="E1641">
        <v>308</v>
      </c>
    </row>
    <row r="1642" spans="1:5" x14ac:dyDescent="0.25">
      <c r="A1642">
        <v>1641</v>
      </c>
      <c r="B1642">
        <v>188184</v>
      </c>
      <c r="C1642" s="1" t="str">
        <f>HYPERLINK("http://stackoverflow.com/users/188184", "meta")</f>
        <v>meta</v>
      </c>
      <c r="D1642" t="s">
        <v>4</v>
      </c>
      <c r="E1642">
        <v>308</v>
      </c>
    </row>
    <row r="1643" spans="1:5" x14ac:dyDescent="0.25">
      <c r="A1643">
        <v>1642</v>
      </c>
      <c r="B1643">
        <v>5188608</v>
      </c>
      <c r="C1643" s="1" t="str">
        <f>HYPERLINK("http://stackoverflow.com/users/5188608", "R.hui")</f>
        <v>R.hui</v>
      </c>
      <c r="D1643" t="s">
        <v>5</v>
      </c>
      <c r="E1643">
        <v>308</v>
      </c>
    </row>
    <row r="1644" spans="1:5" x14ac:dyDescent="0.25">
      <c r="A1644">
        <v>1643</v>
      </c>
      <c r="B1644">
        <v>180123</v>
      </c>
      <c r="C1644" s="1" t="str">
        <f>HYPERLINK("http://stackoverflow.com/users/180123", "kaka2008")</f>
        <v>kaka2008</v>
      </c>
      <c r="D1644" t="s">
        <v>5</v>
      </c>
      <c r="E1644">
        <v>308</v>
      </c>
    </row>
    <row r="1645" spans="1:5" x14ac:dyDescent="0.25">
      <c r="A1645">
        <v>1644</v>
      </c>
      <c r="B1645">
        <v>1844537</v>
      </c>
      <c r="C1645" s="1" t="str">
        <f>HYPERLINK("http://stackoverflow.com/users/1844537", "caopeng")</f>
        <v>caopeng</v>
      </c>
      <c r="D1645" t="s">
        <v>131</v>
      </c>
      <c r="E1645">
        <v>306</v>
      </c>
    </row>
    <row r="1646" spans="1:5" x14ac:dyDescent="0.25">
      <c r="A1646">
        <v>1645</v>
      </c>
      <c r="B1646">
        <v>2424786</v>
      </c>
      <c r="C1646" s="1" t="str">
        <f>HYPERLINK("http://stackoverflow.com/users/2424786", "Shu Ding")</f>
        <v>Shu Ding</v>
      </c>
      <c r="D1646" t="s">
        <v>4</v>
      </c>
      <c r="E1646">
        <v>306</v>
      </c>
    </row>
    <row r="1647" spans="1:5" x14ac:dyDescent="0.25">
      <c r="A1647">
        <v>1646</v>
      </c>
      <c r="B1647">
        <v>855998</v>
      </c>
      <c r="C1647" s="1" t="str">
        <f>HYPERLINK("http://stackoverflow.com/users/855998", "Zac")</f>
        <v>Zac</v>
      </c>
      <c r="D1647" t="s">
        <v>5</v>
      </c>
      <c r="E1647">
        <v>306</v>
      </c>
    </row>
    <row r="1648" spans="1:5" x14ac:dyDescent="0.25">
      <c r="A1648">
        <v>1647</v>
      </c>
      <c r="B1648">
        <v>1179760</v>
      </c>
      <c r="C1648" s="1" t="str">
        <f>HYPERLINK("http://stackoverflow.com/users/1179760", "hankbao")</f>
        <v>hankbao</v>
      </c>
      <c r="D1648" t="s">
        <v>4</v>
      </c>
      <c r="E1648">
        <v>306</v>
      </c>
    </row>
    <row r="1649" spans="1:5" x14ac:dyDescent="0.25">
      <c r="A1649">
        <v>1648</v>
      </c>
      <c r="B1649">
        <v>666918</v>
      </c>
      <c r="C1649" s="1" t="str">
        <f>HYPERLINK("http://stackoverflow.com/users/666918", "machinarium")</f>
        <v>machinarium</v>
      </c>
      <c r="D1649" t="s">
        <v>132</v>
      </c>
      <c r="E1649">
        <v>306</v>
      </c>
    </row>
    <row r="1650" spans="1:5" x14ac:dyDescent="0.25">
      <c r="A1650">
        <v>1649</v>
      </c>
      <c r="B1650">
        <v>893104</v>
      </c>
      <c r="C1650" s="1" t="str">
        <f>HYPERLINK("http://stackoverflow.com/users/893104", "arnkore")</f>
        <v>arnkore</v>
      </c>
      <c r="D1650" t="s">
        <v>4</v>
      </c>
      <c r="E1650">
        <v>305</v>
      </c>
    </row>
    <row r="1651" spans="1:5" x14ac:dyDescent="0.25">
      <c r="A1651">
        <v>1650</v>
      </c>
      <c r="B1651">
        <v>4123424</v>
      </c>
      <c r="C1651" s="1" t="str">
        <f>HYPERLINK("http://stackoverflow.com/users/4123424", "cpd")</f>
        <v>cpd</v>
      </c>
      <c r="D1651" t="s">
        <v>4</v>
      </c>
      <c r="E1651">
        <v>305</v>
      </c>
    </row>
    <row r="1652" spans="1:5" x14ac:dyDescent="0.25">
      <c r="A1652">
        <v>1651</v>
      </c>
      <c r="B1652">
        <v>978314</v>
      </c>
      <c r="C1652" s="1" t="str">
        <f>HYPERLINK("http://stackoverflow.com/users/978314", "Ben Wu")</f>
        <v>Ben Wu</v>
      </c>
      <c r="D1652" t="s">
        <v>5</v>
      </c>
      <c r="E1652">
        <v>305</v>
      </c>
    </row>
    <row r="1653" spans="1:5" x14ac:dyDescent="0.25">
      <c r="A1653">
        <v>1652</v>
      </c>
      <c r="B1653">
        <v>1602285</v>
      </c>
      <c r="C1653" s="1" t="str">
        <f>HYPERLINK("http://stackoverflow.com/users/1602285", "Bill Xia")</f>
        <v>Bill Xia</v>
      </c>
      <c r="D1653" t="s">
        <v>12</v>
      </c>
      <c r="E1653">
        <v>305</v>
      </c>
    </row>
    <row r="1654" spans="1:5" x14ac:dyDescent="0.25">
      <c r="A1654">
        <v>1653</v>
      </c>
      <c r="B1654">
        <v>7097781</v>
      </c>
      <c r="C1654" s="1" t="str">
        <f>HYPERLINK("http://stackoverflow.com/users/7097781", "Zhao Lin")</f>
        <v>Zhao Lin</v>
      </c>
      <c r="D1654" t="s">
        <v>133</v>
      </c>
      <c r="E1654">
        <v>304</v>
      </c>
    </row>
    <row r="1655" spans="1:5" x14ac:dyDescent="0.25">
      <c r="A1655">
        <v>1654</v>
      </c>
      <c r="B1655">
        <v>6183926</v>
      </c>
      <c r="C1655" s="1" t="str">
        <f>HYPERLINK("http://stackoverflow.com/users/6183926", "lee huang")</f>
        <v>lee huang</v>
      </c>
      <c r="D1655" t="s">
        <v>97</v>
      </c>
      <c r="E1655">
        <v>304</v>
      </c>
    </row>
    <row r="1656" spans="1:5" x14ac:dyDescent="0.25">
      <c r="A1656">
        <v>1655</v>
      </c>
      <c r="B1656">
        <v>979718</v>
      </c>
      <c r="C1656" s="1" t="str">
        <f>HYPERLINK("http://stackoverflow.com/users/979718", "Yang Wenhao")</f>
        <v>Yang Wenhao</v>
      </c>
      <c r="D1656" t="s">
        <v>59</v>
      </c>
      <c r="E1656">
        <v>304</v>
      </c>
    </row>
    <row r="1657" spans="1:5" x14ac:dyDescent="0.25">
      <c r="A1657">
        <v>1656</v>
      </c>
      <c r="B1657">
        <v>5737155</v>
      </c>
      <c r="C1657" s="1" t="str">
        <f>HYPERLINK("http://stackoverflow.com/users/5737155", "hunter")</f>
        <v>hunter</v>
      </c>
      <c r="D1657" t="s">
        <v>134</v>
      </c>
      <c r="E1657">
        <v>304</v>
      </c>
    </row>
    <row r="1658" spans="1:5" x14ac:dyDescent="0.25">
      <c r="A1658">
        <v>1657</v>
      </c>
      <c r="B1658">
        <v>3726607</v>
      </c>
      <c r="C1658" s="1" t="str">
        <f>HYPERLINK("http://stackoverflow.com/users/3726607", "tianzhi0549")</f>
        <v>tianzhi0549</v>
      </c>
      <c r="D1658" t="s">
        <v>22</v>
      </c>
      <c r="E1658">
        <v>304</v>
      </c>
    </row>
    <row r="1659" spans="1:5" x14ac:dyDescent="0.25">
      <c r="A1659">
        <v>1658</v>
      </c>
      <c r="B1659">
        <v>4033979</v>
      </c>
      <c r="C1659" s="1" t="str">
        <f>HYPERLINK("http://stackoverflow.com/users/4033979", "Ron")</f>
        <v>Ron</v>
      </c>
      <c r="D1659" t="s">
        <v>4</v>
      </c>
      <c r="E1659">
        <v>303</v>
      </c>
    </row>
    <row r="1660" spans="1:5" x14ac:dyDescent="0.25">
      <c r="A1660">
        <v>1659</v>
      </c>
      <c r="B1660">
        <v>2499463</v>
      </c>
      <c r="C1660" s="1" t="str">
        <f>HYPERLINK("http://stackoverflow.com/users/2499463", "MYLOGOS")</f>
        <v>MYLOGOS</v>
      </c>
      <c r="D1660" t="s">
        <v>4</v>
      </c>
      <c r="E1660">
        <v>303</v>
      </c>
    </row>
    <row r="1661" spans="1:5" x14ac:dyDescent="0.25">
      <c r="A1661">
        <v>1660</v>
      </c>
      <c r="B1661">
        <v>235732</v>
      </c>
      <c r="C1661" s="1" t="str">
        <f>HYPERLINK("http://stackoverflow.com/users/235732", "atiking")</f>
        <v>atiking</v>
      </c>
      <c r="D1661" t="s">
        <v>4</v>
      </c>
      <c r="E1661">
        <v>303</v>
      </c>
    </row>
    <row r="1662" spans="1:5" x14ac:dyDescent="0.25">
      <c r="A1662">
        <v>1661</v>
      </c>
      <c r="B1662">
        <v>2996361</v>
      </c>
      <c r="C1662" s="1" t="str">
        <f>HYPERLINK("http://stackoverflow.com/users/2996361", "qduyang")</f>
        <v>qduyang</v>
      </c>
      <c r="D1662" t="s">
        <v>4</v>
      </c>
      <c r="E1662">
        <v>303</v>
      </c>
    </row>
    <row r="1663" spans="1:5" x14ac:dyDescent="0.25">
      <c r="A1663">
        <v>1662</v>
      </c>
      <c r="B1663">
        <v>3927143</v>
      </c>
      <c r="C1663" s="1" t="str">
        <f>HYPERLINK("http://stackoverflow.com/users/3927143", "eaglewu")</f>
        <v>eaglewu</v>
      </c>
      <c r="D1663" t="s">
        <v>4</v>
      </c>
      <c r="E1663">
        <v>303</v>
      </c>
    </row>
    <row r="1664" spans="1:5" x14ac:dyDescent="0.25">
      <c r="A1664">
        <v>1663</v>
      </c>
      <c r="B1664">
        <v>3410836</v>
      </c>
      <c r="C1664" s="1" t="str">
        <f>HYPERLINK("http://stackoverflow.com/users/3410836", "lujjjh")</f>
        <v>lujjjh</v>
      </c>
      <c r="D1664" t="s">
        <v>4</v>
      </c>
      <c r="E1664">
        <v>303</v>
      </c>
    </row>
    <row r="1665" spans="1:5" x14ac:dyDescent="0.25">
      <c r="A1665">
        <v>1664</v>
      </c>
      <c r="B1665">
        <v>486116</v>
      </c>
      <c r="C1665" s="1" t="str">
        <f>HYPERLINK("http://stackoverflow.com/users/486116", "Daniel")</f>
        <v>Daniel</v>
      </c>
      <c r="D1665" t="s">
        <v>5</v>
      </c>
      <c r="E1665">
        <v>303</v>
      </c>
    </row>
    <row r="1666" spans="1:5" x14ac:dyDescent="0.25">
      <c r="A1666">
        <v>1665</v>
      </c>
      <c r="B1666">
        <v>1461312</v>
      </c>
      <c r="C1666" s="1" t="str">
        <f>HYPERLINK("http://stackoverflow.com/users/1461312", "Haifeng Li")</f>
        <v>Haifeng Li</v>
      </c>
      <c r="D1666" t="s">
        <v>4</v>
      </c>
      <c r="E1666">
        <v>302</v>
      </c>
    </row>
    <row r="1667" spans="1:5" x14ac:dyDescent="0.25">
      <c r="A1667">
        <v>1666</v>
      </c>
      <c r="B1667">
        <v>2286648</v>
      </c>
      <c r="C1667" s="1" t="str">
        <f>HYPERLINK("http://stackoverflow.com/users/2286648", "Yanzhe Chen")</f>
        <v>Yanzhe Chen</v>
      </c>
      <c r="D1667" t="s">
        <v>4</v>
      </c>
      <c r="E1667">
        <v>302</v>
      </c>
    </row>
    <row r="1668" spans="1:5" x14ac:dyDescent="0.25">
      <c r="A1668">
        <v>1667</v>
      </c>
      <c r="B1668">
        <v>1143748</v>
      </c>
      <c r="C1668" s="1" t="str">
        <f>HYPERLINK("http://stackoverflow.com/users/1143748", "cedricliang")</f>
        <v>cedricliang</v>
      </c>
      <c r="D1668" t="s">
        <v>4</v>
      </c>
      <c r="E1668">
        <v>302</v>
      </c>
    </row>
    <row r="1669" spans="1:5" x14ac:dyDescent="0.25">
      <c r="A1669">
        <v>1668</v>
      </c>
      <c r="B1669">
        <v>4357087</v>
      </c>
      <c r="C1669" s="1" t="str">
        <f>HYPERLINK("http://stackoverflow.com/users/4357087", "Ivan Huang")</f>
        <v>Ivan Huang</v>
      </c>
      <c r="D1669" t="s">
        <v>7</v>
      </c>
      <c r="E1669">
        <v>302</v>
      </c>
    </row>
    <row r="1670" spans="1:5" x14ac:dyDescent="0.25">
      <c r="A1670">
        <v>1669</v>
      </c>
      <c r="B1670">
        <v>1076922</v>
      </c>
      <c r="C1670" s="1" t="str">
        <f>HYPERLINK("http://stackoverflow.com/users/1076922", "zqhxuyuan")</f>
        <v>zqhxuyuan</v>
      </c>
      <c r="D1670" t="s">
        <v>24</v>
      </c>
      <c r="E1670">
        <v>301</v>
      </c>
    </row>
    <row r="1671" spans="1:5" x14ac:dyDescent="0.25">
      <c r="A1671">
        <v>1670</v>
      </c>
      <c r="B1671">
        <v>1244510</v>
      </c>
      <c r="C1671" s="1" t="str">
        <f>HYPERLINK("http://stackoverflow.com/users/1244510", "Everett")</f>
        <v>Everett</v>
      </c>
      <c r="D1671" t="s">
        <v>3</v>
      </c>
      <c r="E1671">
        <v>301</v>
      </c>
    </row>
    <row r="1672" spans="1:5" x14ac:dyDescent="0.25">
      <c r="A1672">
        <v>1671</v>
      </c>
      <c r="B1672">
        <v>2583885</v>
      </c>
      <c r="C1672" s="1" t="str">
        <f>HYPERLINK("http://stackoverflow.com/users/2583885", "Jess")</f>
        <v>Jess</v>
      </c>
      <c r="D1672" t="s">
        <v>5</v>
      </c>
      <c r="E1672">
        <v>301</v>
      </c>
    </row>
    <row r="1673" spans="1:5" x14ac:dyDescent="0.25">
      <c r="A1673">
        <v>1672</v>
      </c>
      <c r="B1673">
        <v>1694499</v>
      </c>
      <c r="C1673" s="1" t="str">
        <f>HYPERLINK("http://stackoverflow.com/users/1694499", "NULL")</f>
        <v>NULL</v>
      </c>
      <c r="D1673" t="s">
        <v>3</v>
      </c>
      <c r="E1673">
        <v>301</v>
      </c>
    </row>
    <row r="1674" spans="1:5" x14ac:dyDescent="0.25">
      <c r="A1674">
        <v>1673</v>
      </c>
      <c r="B1674">
        <v>9163473</v>
      </c>
      <c r="C1674" s="1" t="str">
        <f>HYPERLINK("http://stackoverflow.com/users/9163473", "rchau")</f>
        <v>rchau</v>
      </c>
      <c r="D1674" t="s">
        <v>4</v>
      </c>
      <c r="E1674">
        <v>300</v>
      </c>
    </row>
    <row r="1675" spans="1:5" x14ac:dyDescent="0.25">
      <c r="A1675">
        <v>1674</v>
      </c>
      <c r="B1675">
        <v>4941544</v>
      </c>
      <c r="C1675" s="1" t="str">
        <f>HYPERLINK("http://stackoverflow.com/users/4941544", "dotslash")</f>
        <v>dotslash</v>
      </c>
      <c r="D1675" t="s">
        <v>7</v>
      </c>
      <c r="E1675">
        <v>300</v>
      </c>
    </row>
    <row r="1676" spans="1:5" x14ac:dyDescent="0.25">
      <c r="A1676">
        <v>1675</v>
      </c>
      <c r="B1676">
        <v>240951</v>
      </c>
      <c r="C1676" s="1" t="str">
        <f>HYPERLINK("http://stackoverflow.com/users/240951", "Jerry Liu")</f>
        <v>Jerry Liu</v>
      </c>
      <c r="D1676" t="s">
        <v>4</v>
      </c>
      <c r="E1676">
        <v>300</v>
      </c>
    </row>
    <row r="1677" spans="1:5" x14ac:dyDescent="0.25">
      <c r="A1677">
        <v>1676</v>
      </c>
      <c r="B1677">
        <v>2022911</v>
      </c>
      <c r="C1677" s="1" t="str">
        <f>HYPERLINK("http://stackoverflow.com/users/2022911", "vectorijk")</f>
        <v>vectorijk</v>
      </c>
      <c r="D1677" t="s">
        <v>37</v>
      </c>
      <c r="E1677">
        <v>299</v>
      </c>
    </row>
    <row r="1678" spans="1:5" x14ac:dyDescent="0.25">
      <c r="A1678">
        <v>1677</v>
      </c>
      <c r="B1678">
        <v>2756438</v>
      </c>
      <c r="C1678" s="1" t="str">
        <f>HYPERLINK("http://stackoverflow.com/users/2756438", "RaymondChou")</f>
        <v>RaymondChou</v>
      </c>
      <c r="D1678" t="s">
        <v>37</v>
      </c>
      <c r="E1678">
        <v>299</v>
      </c>
    </row>
    <row r="1679" spans="1:5" x14ac:dyDescent="0.25">
      <c r="A1679">
        <v>1678</v>
      </c>
      <c r="B1679">
        <v>195144</v>
      </c>
      <c r="C1679" s="1" t="str">
        <f>HYPERLINK("http://stackoverflow.com/users/195144", "Brodie")</f>
        <v>Brodie</v>
      </c>
      <c r="D1679" t="s">
        <v>5</v>
      </c>
      <c r="E1679">
        <v>298</v>
      </c>
    </row>
    <row r="1680" spans="1:5" x14ac:dyDescent="0.25">
      <c r="A1680">
        <v>1679</v>
      </c>
      <c r="B1680">
        <v>1049537</v>
      </c>
      <c r="C1680" s="1" t="str">
        <f>HYPERLINK("http://stackoverflow.com/users/1049537", "Rollen Holt")</f>
        <v>Rollen Holt</v>
      </c>
      <c r="D1680" t="s">
        <v>5</v>
      </c>
      <c r="E1680">
        <v>296</v>
      </c>
    </row>
    <row r="1681" spans="1:5" x14ac:dyDescent="0.25">
      <c r="A1681">
        <v>1680</v>
      </c>
      <c r="B1681">
        <v>521230</v>
      </c>
      <c r="C1681" s="1" t="str">
        <f>HYPERLINK("http://stackoverflow.com/users/521230", "A117")</f>
        <v>A117</v>
      </c>
      <c r="D1681" t="s">
        <v>5</v>
      </c>
      <c r="E1681">
        <v>296</v>
      </c>
    </row>
    <row r="1682" spans="1:5" x14ac:dyDescent="0.25">
      <c r="A1682">
        <v>1681</v>
      </c>
      <c r="B1682">
        <v>216787</v>
      </c>
      <c r="C1682" s="1" t="str">
        <f>HYPERLINK("http://stackoverflow.com/users/216787", "Stinky Tofu")</f>
        <v>Stinky Tofu</v>
      </c>
      <c r="D1682" t="s">
        <v>5</v>
      </c>
      <c r="E1682">
        <v>295</v>
      </c>
    </row>
    <row r="1683" spans="1:5" x14ac:dyDescent="0.25">
      <c r="A1683">
        <v>1682</v>
      </c>
      <c r="B1683">
        <v>4311450</v>
      </c>
      <c r="C1683" s="1" t="str">
        <f>HYPERLINK("http://stackoverflow.com/users/4311450", "Evan")</f>
        <v>Evan</v>
      </c>
      <c r="D1683" t="s">
        <v>4</v>
      </c>
      <c r="E1683">
        <v>294</v>
      </c>
    </row>
    <row r="1684" spans="1:5" x14ac:dyDescent="0.25">
      <c r="A1684">
        <v>1683</v>
      </c>
      <c r="B1684">
        <v>1838783</v>
      </c>
      <c r="C1684" s="1" t="str">
        <f>HYPERLINK("http://stackoverflow.com/users/1838783", "CodeAlien")</f>
        <v>CodeAlien</v>
      </c>
      <c r="D1684" t="s">
        <v>16</v>
      </c>
      <c r="E1684">
        <v>294</v>
      </c>
    </row>
    <row r="1685" spans="1:5" x14ac:dyDescent="0.25">
      <c r="A1685">
        <v>1684</v>
      </c>
      <c r="B1685">
        <v>1749863</v>
      </c>
      <c r="C1685" s="1" t="str">
        <f>HYPERLINK("http://stackoverflow.com/users/1749863", "zetsin")</f>
        <v>zetsin</v>
      </c>
      <c r="D1685" t="s">
        <v>29</v>
      </c>
      <c r="E1685">
        <v>293</v>
      </c>
    </row>
    <row r="1686" spans="1:5" x14ac:dyDescent="0.25">
      <c r="A1686">
        <v>1685</v>
      </c>
      <c r="B1686">
        <v>1865091</v>
      </c>
      <c r="C1686" s="1" t="str">
        <f>HYPERLINK("http://stackoverflow.com/users/1865091", "Max Wong")</f>
        <v>Max Wong</v>
      </c>
      <c r="D1686" t="s">
        <v>5</v>
      </c>
      <c r="E1686">
        <v>291</v>
      </c>
    </row>
    <row r="1687" spans="1:5" x14ac:dyDescent="0.25">
      <c r="A1687">
        <v>1686</v>
      </c>
      <c r="B1687">
        <v>2207323</v>
      </c>
      <c r="C1687" s="1" t="str">
        <f>HYPERLINK("http://stackoverflow.com/users/2207323", "York Chen")</f>
        <v>York Chen</v>
      </c>
      <c r="D1687" t="s">
        <v>4</v>
      </c>
      <c r="E1687">
        <v>291</v>
      </c>
    </row>
    <row r="1688" spans="1:5" x14ac:dyDescent="0.25">
      <c r="A1688">
        <v>1687</v>
      </c>
      <c r="B1688">
        <v>1438744</v>
      </c>
      <c r="C1688" s="1" t="str">
        <f>HYPERLINK("http://stackoverflow.com/users/1438744", "t-gao")</f>
        <v>t-gao</v>
      </c>
      <c r="D1688" t="s">
        <v>5</v>
      </c>
      <c r="E1688">
        <v>291</v>
      </c>
    </row>
    <row r="1689" spans="1:5" x14ac:dyDescent="0.25">
      <c r="A1689">
        <v>1688</v>
      </c>
      <c r="B1689">
        <v>728985</v>
      </c>
      <c r="C1689" s="1" t="str">
        <f>HYPERLINK("http://stackoverflow.com/users/728985", "Eric Jiang")</f>
        <v>Eric Jiang</v>
      </c>
      <c r="D1689" t="s">
        <v>4</v>
      </c>
      <c r="E1689">
        <v>290</v>
      </c>
    </row>
    <row r="1690" spans="1:5" x14ac:dyDescent="0.25">
      <c r="A1690">
        <v>1689</v>
      </c>
      <c r="B1690">
        <v>935879</v>
      </c>
      <c r="C1690" s="1" t="str">
        <f>HYPERLINK("http://stackoverflow.com/users/935879", "Silvia")</f>
        <v>Silvia</v>
      </c>
      <c r="D1690" t="s">
        <v>17</v>
      </c>
      <c r="E1690">
        <v>290</v>
      </c>
    </row>
    <row r="1691" spans="1:5" x14ac:dyDescent="0.25">
      <c r="A1691">
        <v>1690</v>
      </c>
      <c r="B1691">
        <v>81259</v>
      </c>
      <c r="C1691" s="1" t="str">
        <f>HYPERLINK("http://stackoverflow.com/users/81259", "dragonfly")</f>
        <v>dragonfly</v>
      </c>
      <c r="D1691" t="s">
        <v>135</v>
      </c>
      <c r="E1691">
        <v>288</v>
      </c>
    </row>
    <row r="1692" spans="1:5" x14ac:dyDescent="0.25">
      <c r="A1692">
        <v>1691</v>
      </c>
      <c r="B1692">
        <v>79401</v>
      </c>
      <c r="C1692" s="1" t="str">
        <f>HYPERLINK("http://stackoverflow.com/users/79401", "Xavier Young")</f>
        <v>Xavier Young</v>
      </c>
      <c r="D1692" t="s">
        <v>5</v>
      </c>
      <c r="E1692">
        <v>288</v>
      </c>
    </row>
    <row r="1693" spans="1:5" x14ac:dyDescent="0.25">
      <c r="A1693">
        <v>1692</v>
      </c>
      <c r="B1693">
        <v>1490895</v>
      </c>
      <c r="C1693" s="1" t="str">
        <f>HYPERLINK("http://stackoverflow.com/users/1490895", "linzuojian")</f>
        <v>linzuojian</v>
      </c>
      <c r="D1693" t="s">
        <v>21</v>
      </c>
      <c r="E1693">
        <v>286</v>
      </c>
    </row>
    <row r="1694" spans="1:5" x14ac:dyDescent="0.25">
      <c r="A1694">
        <v>1693</v>
      </c>
      <c r="B1694">
        <v>1947864</v>
      </c>
      <c r="C1694" s="1" t="str">
        <f>HYPERLINK("http://stackoverflow.com/users/1947864", "jinhua liao")</f>
        <v>jinhua liao</v>
      </c>
      <c r="D1694" t="s">
        <v>5</v>
      </c>
      <c r="E1694">
        <v>286</v>
      </c>
    </row>
    <row r="1695" spans="1:5" x14ac:dyDescent="0.25">
      <c r="A1695">
        <v>1694</v>
      </c>
      <c r="B1695">
        <v>2687876</v>
      </c>
      <c r="C1695" s="1" t="str">
        <f>HYPERLINK("http://stackoverflow.com/users/2687876", "james")</f>
        <v>james</v>
      </c>
      <c r="D1695" t="s">
        <v>136</v>
      </c>
      <c r="E1695">
        <v>285</v>
      </c>
    </row>
    <row r="1696" spans="1:5" x14ac:dyDescent="0.25">
      <c r="A1696">
        <v>1695</v>
      </c>
      <c r="B1696">
        <v>4330946</v>
      </c>
      <c r="C1696" s="1" t="str">
        <f>HYPERLINK("http://stackoverflow.com/users/4330946", "Yohn")</f>
        <v>Yohn</v>
      </c>
      <c r="D1696" t="s">
        <v>12</v>
      </c>
      <c r="E1696">
        <v>285</v>
      </c>
    </row>
    <row r="1697" spans="1:5" x14ac:dyDescent="0.25">
      <c r="A1697">
        <v>1696</v>
      </c>
      <c r="B1697">
        <v>1273536</v>
      </c>
      <c r="C1697" s="1" t="str">
        <f>HYPERLINK("http://stackoverflow.com/users/1273536", "Hang")</f>
        <v>Hang</v>
      </c>
      <c r="D1697" t="s">
        <v>5</v>
      </c>
      <c r="E1697">
        <v>284</v>
      </c>
    </row>
    <row r="1698" spans="1:5" x14ac:dyDescent="0.25">
      <c r="A1698">
        <v>1697</v>
      </c>
      <c r="B1698">
        <v>1053362</v>
      </c>
      <c r="C1698" s="1" t="str">
        <f>HYPERLINK("http://stackoverflow.com/users/1053362", "toinetoine")</f>
        <v>toinetoine</v>
      </c>
      <c r="D1698" t="s">
        <v>7</v>
      </c>
      <c r="E1698">
        <v>284</v>
      </c>
    </row>
    <row r="1699" spans="1:5" x14ac:dyDescent="0.25">
      <c r="A1699">
        <v>1698</v>
      </c>
      <c r="B1699">
        <v>5616993</v>
      </c>
      <c r="C1699" s="1" t="str">
        <f>HYPERLINK("http://stackoverflow.com/users/5616993", "dev_shanghai")</f>
        <v>dev_shanghai</v>
      </c>
      <c r="D1699" t="s">
        <v>137</v>
      </c>
      <c r="E1699">
        <v>283</v>
      </c>
    </row>
    <row r="1700" spans="1:5" x14ac:dyDescent="0.25">
      <c r="A1700">
        <v>1699</v>
      </c>
      <c r="B1700">
        <v>557346</v>
      </c>
      <c r="C1700" s="1" t="str">
        <f>HYPERLINK("http://stackoverflow.com/users/557346", "Zealot Ke")</f>
        <v>Zealot Ke</v>
      </c>
      <c r="D1700" t="s">
        <v>5</v>
      </c>
      <c r="E1700">
        <v>283</v>
      </c>
    </row>
    <row r="1701" spans="1:5" x14ac:dyDescent="0.25">
      <c r="A1701">
        <v>1700</v>
      </c>
      <c r="B1701">
        <v>509138</v>
      </c>
      <c r="C1701" s="1" t="str">
        <f>HYPERLINK("http://stackoverflow.com/users/509138", "outcast")</f>
        <v>outcast</v>
      </c>
      <c r="D1701" t="s">
        <v>4</v>
      </c>
      <c r="E1701">
        <v>283</v>
      </c>
    </row>
    <row r="1702" spans="1:5" x14ac:dyDescent="0.25">
      <c r="A1702">
        <v>1701</v>
      </c>
      <c r="B1702">
        <v>1146864</v>
      </c>
      <c r="C1702" s="1" t="str">
        <f>HYPERLINK("http://stackoverflow.com/users/1146864", "doyoe")</f>
        <v>doyoe</v>
      </c>
      <c r="D1702" t="s">
        <v>138</v>
      </c>
      <c r="E1702">
        <v>282</v>
      </c>
    </row>
    <row r="1703" spans="1:5" x14ac:dyDescent="0.25">
      <c r="A1703">
        <v>1702</v>
      </c>
      <c r="B1703">
        <v>1087294</v>
      </c>
      <c r="C1703" s="1" t="str">
        <f>HYPERLINK("http://stackoverflow.com/users/1087294", "Cruis")</f>
        <v>Cruis</v>
      </c>
      <c r="D1703" t="s">
        <v>5</v>
      </c>
      <c r="E1703">
        <v>281</v>
      </c>
    </row>
    <row r="1704" spans="1:5" x14ac:dyDescent="0.25">
      <c r="A1704">
        <v>1703</v>
      </c>
      <c r="B1704">
        <v>764436</v>
      </c>
      <c r="C1704" s="1" t="str">
        <f>HYPERLINK("http://stackoverflow.com/users/764436", "nosam")</f>
        <v>nosam</v>
      </c>
      <c r="D1704" t="s">
        <v>5</v>
      </c>
      <c r="E1704">
        <v>281</v>
      </c>
    </row>
    <row r="1705" spans="1:5" x14ac:dyDescent="0.25">
      <c r="A1705">
        <v>1704</v>
      </c>
      <c r="B1705">
        <v>678594</v>
      </c>
      <c r="C1705" s="1" t="str">
        <f>HYPERLINK("http://stackoverflow.com/users/678594", "babygreat")</f>
        <v>babygreat</v>
      </c>
      <c r="D1705" t="s">
        <v>5</v>
      </c>
      <c r="E1705">
        <v>281</v>
      </c>
    </row>
    <row r="1706" spans="1:5" x14ac:dyDescent="0.25">
      <c r="A1706">
        <v>1705</v>
      </c>
      <c r="B1706">
        <v>891987</v>
      </c>
      <c r="C1706" s="1" t="str">
        <f>HYPERLINK("http://stackoverflow.com/users/891987", "Jason Kuang")</f>
        <v>Jason Kuang</v>
      </c>
      <c r="D1706" t="s">
        <v>17</v>
      </c>
      <c r="E1706">
        <v>281</v>
      </c>
    </row>
    <row r="1707" spans="1:5" x14ac:dyDescent="0.25">
      <c r="A1707">
        <v>1706</v>
      </c>
      <c r="B1707">
        <v>6298166</v>
      </c>
      <c r="C1707" s="1" t="str">
        <f>HYPERLINK("http://stackoverflow.com/users/6298166", "Rust Fisher")</f>
        <v>Rust Fisher</v>
      </c>
      <c r="D1707" t="s">
        <v>7</v>
      </c>
      <c r="E1707">
        <v>281</v>
      </c>
    </row>
    <row r="1708" spans="1:5" x14ac:dyDescent="0.25">
      <c r="A1708">
        <v>1707</v>
      </c>
      <c r="B1708">
        <v>5835014</v>
      </c>
      <c r="C1708" s="1" t="str">
        <f>HYPERLINK("http://stackoverflow.com/users/5835014", "TonnyL")</f>
        <v>TonnyL</v>
      </c>
      <c r="D1708" t="s">
        <v>5</v>
      </c>
      <c r="E1708">
        <v>278</v>
      </c>
    </row>
    <row r="1709" spans="1:5" x14ac:dyDescent="0.25">
      <c r="A1709">
        <v>1708</v>
      </c>
      <c r="B1709">
        <v>1122441</v>
      </c>
      <c r="C1709" s="1" t="str">
        <f>HYPERLINK("http://stackoverflow.com/users/1122441", "Guan Yuxin")</f>
        <v>Guan Yuxin</v>
      </c>
      <c r="D1709" t="s">
        <v>5</v>
      </c>
      <c r="E1709">
        <v>277</v>
      </c>
    </row>
    <row r="1710" spans="1:5" x14ac:dyDescent="0.25">
      <c r="A1710">
        <v>1709</v>
      </c>
      <c r="B1710">
        <v>2609463</v>
      </c>
      <c r="C1710" s="1" t="str">
        <f>HYPERLINK("http://stackoverflow.com/users/2609463", "timothy lau")</f>
        <v>timothy lau</v>
      </c>
      <c r="D1710" t="s">
        <v>4</v>
      </c>
      <c r="E1710">
        <v>276</v>
      </c>
    </row>
    <row r="1711" spans="1:5" x14ac:dyDescent="0.25">
      <c r="A1711">
        <v>1710</v>
      </c>
      <c r="B1711">
        <v>5207993</v>
      </c>
      <c r="C1711" s="1" t="str">
        <f>HYPERLINK("http://stackoverflow.com/users/5207993", "chad chen")</f>
        <v>chad chen</v>
      </c>
      <c r="D1711" t="s">
        <v>55</v>
      </c>
      <c r="E1711">
        <v>276</v>
      </c>
    </row>
    <row r="1712" spans="1:5" x14ac:dyDescent="0.25">
      <c r="A1712">
        <v>1711</v>
      </c>
      <c r="B1712">
        <v>542767</v>
      </c>
      <c r="C1712" s="1" t="str">
        <f>HYPERLINK("http://stackoverflow.com/users/542767", "lychi")</f>
        <v>lychi</v>
      </c>
      <c r="D1712" t="s">
        <v>12</v>
      </c>
      <c r="E1712">
        <v>276</v>
      </c>
    </row>
    <row r="1713" spans="1:5" x14ac:dyDescent="0.25">
      <c r="A1713">
        <v>1712</v>
      </c>
      <c r="B1713">
        <v>4365310</v>
      </c>
      <c r="C1713" s="1" t="str">
        <f>HYPERLINK("http://stackoverflow.com/users/4365310", "Oliver Zhang")</f>
        <v>Oliver Zhang</v>
      </c>
      <c r="D1713" t="s">
        <v>5</v>
      </c>
      <c r="E1713">
        <v>276</v>
      </c>
    </row>
    <row r="1714" spans="1:5" x14ac:dyDescent="0.25">
      <c r="A1714">
        <v>1713</v>
      </c>
      <c r="B1714">
        <v>1154029</v>
      </c>
      <c r="C1714" s="1" t="str">
        <f>HYPERLINK("http://stackoverflow.com/users/1154029", "DennisZhong")</f>
        <v>DennisZhong</v>
      </c>
      <c r="D1714" t="s">
        <v>4</v>
      </c>
      <c r="E1714">
        <v>275</v>
      </c>
    </row>
    <row r="1715" spans="1:5" x14ac:dyDescent="0.25">
      <c r="A1715">
        <v>1714</v>
      </c>
      <c r="B1715">
        <v>1172971</v>
      </c>
      <c r="C1715" s="1" t="str">
        <f>HYPERLINK("http://stackoverflow.com/users/1172971", "hechen0")</f>
        <v>hechen0</v>
      </c>
      <c r="D1715" t="s">
        <v>5</v>
      </c>
      <c r="E1715">
        <v>273</v>
      </c>
    </row>
    <row r="1716" spans="1:5" x14ac:dyDescent="0.25">
      <c r="A1716">
        <v>1715</v>
      </c>
      <c r="B1716">
        <v>3273579</v>
      </c>
      <c r="C1716" s="1" t="str">
        <f>HYPERLINK("http://stackoverflow.com/users/3273579", "Copy_Paste")</f>
        <v>Copy_Paste</v>
      </c>
      <c r="D1716" t="s">
        <v>8</v>
      </c>
      <c r="E1716">
        <v>271</v>
      </c>
    </row>
    <row r="1717" spans="1:5" x14ac:dyDescent="0.25">
      <c r="A1717">
        <v>1716</v>
      </c>
      <c r="B1717">
        <v>2467642</v>
      </c>
      <c r="C1717" s="1" t="str">
        <f>HYPERLINK("http://stackoverflow.com/users/2467642", "yjmade")</f>
        <v>yjmade</v>
      </c>
      <c r="D1717" t="s">
        <v>43</v>
      </c>
      <c r="E1717">
        <v>271</v>
      </c>
    </row>
    <row r="1718" spans="1:5" x14ac:dyDescent="0.25">
      <c r="A1718">
        <v>1717</v>
      </c>
      <c r="B1718">
        <v>343194</v>
      </c>
      <c r="C1718" s="1" t="str">
        <f>HYPERLINK("http://stackoverflow.com/users/343194", "justjavac")</f>
        <v>justjavac</v>
      </c>
      <c r="D1718" t="s">
        <v>57</v>
      </c>
      <c r="E1718">
        <v>270</v>
      </c>
    </row>
    <row r="1719" spans="1:5" x14ac:dyDescent="0.25">
      <c r="A1719">
        <v>1718</v>
      </c>
      <c r="B1719">
        <v>849431</v>
      </c>
      <c r="C1719" s="1" t="str">
        <f>HYPERLINK("http://stackoverflow.com/users/849431", "scott")</f>
        <v>scott</v>
      </c>
      <c r="D1719" t="s">
        <v>3</v>
      </c>
      <c r="E1719">
        <v>270</v>
      </c>
    </row>
    <row r="1720" spans="1:5" x14ac:dyDescent="0.25">
      <c r="A1720">
        <v>1719</v>
      </c>
      <c r="B1720">
        <v>962201</v>
      </c>
      <c r="C1720" s="1" t="str">
        <f>HYPERLINK("http://stackoverflow.com/users/962201", "RoFF")</f>
        <v>RoFF</v>
      </c>
      <c r="D1720" t="s">
        <v>5</v>
      </c>
      <c r="E1720">
        <v>269</v>
      </c>
    </row>
    <row r="1721" spans="1:5" x14ac:dyDescent="0.25">
      <c r="A1721">
        <v>1720</v>
      </c>
      <c r="B1721">
        <v>4300810</v>
      </c>
      <c r="C1721" s="1" t="str">
        <f>HYPERLINK("http://stackoverflow.com/users/4300810", "xring")</f>
        <v>xring</v>
      </c>
      <c r="D1721" t="s">
        <v>5</v>
      </c>
      <c r="E1721">
        <v>268</v>
      </c>
    </row>
    <row r="1722" spans="1:5" x14ac:dyDescent="0.25">
      <c r="A1722">
        <v>1721</v>
      </c>
      <c r="B1722">
        <v>4522227</v>
      </c>
      <c r="C1722" s="1" t="str">
        <f>HYPERLINK("http://stackoverflow.com/users/4522227", "wossoneri")</f>
        <v>wossoneri</v>
      </c>
      <c r="D1722" t="s">
        <v>4</v>
      </c>
      <c r="E1722">
        <v>268</v>
      </c>
    </row>
    <row r="1723" spans="1:5" x14ac:dyDescent="0.25">
      <c r="A1723">
        <v>1722</v>
      </c>
      <c r="B1723">
        <v>5557350</v>
      </c>
      <c r="C1723" s="1" t="str">
        <f>HYPERLINK("http://stackoverflow.com/users/5557350", "Song Yongtao")</f>
        <v>Song Yongtao</v>
      </c>
      <c r="D1723" t="s">
        <v>5</v>
      </c>
      <c r="E1723">
        <v>268</v>
      </c>
    </row>
    <row r="1724" spans="1:5" x14ac:dyDescent="0.25">
      <c r="A1724">
        <v>1723</v>
      </c>
      <c r="B1724">
        <v>87498</v>
      </c>
      <c r="C1724" s="1" t="str">
        <f>HYPERLINK("http://stackoverflow.com/users/87498", "fallhunter")</f>
        <v>fallhunter</v>
      </c>
      <c r="D1724" t="s">
        <v>5</v>
      </c>
      <c r="E1724">
        <v>268</v>
      </c>
    </row>
    <row r="1725" spans="1:5" x14ac:dyDescent="0.25">
      <c r="A1725">
        <v>1724</v>
      </c>
      <c r="B1725">
        <v>960334</v>
      </c>
      <c r="C1725" s="1" t="str">
        <f>HYPERLINK("http://stackoverflow.com/users/960334", "szpapas")</f>
        <v>szpapas</v>
      </c>
      <c r="D1725" t="s">
        <v>139</v>
      </c>
      <c r="E1725">
        <v>267</v>
      </c>
    </row>
    <row r="1726" spans="1:5" x14ac:dyDescent="0.25">
      <c r="A1726">
        <v>1725</v>
      </c>
      <c r="B1726">
        <v>6323129</v>
      </c>
      <c r="C1726" s="1" t="str">
        <f>HYPERLINK("http://stackoverflow.com/users/6323129", "EricXuan")</f>
        <v>EricXuan</v>
      </c>
      <c r="D1726" t="s">
        <v>43</v>
      </c>
      <c r="E1726">
        <v>267</v>
      </c>
    </row>
    <row r="1727" spans="1:5" x14ac:dyDescent="0.25">
      <c r="A1727">
        <v>1726</v>
      </c>
      <c r="B1727">
        <v>4123833</v>
      </c>
      <c r="C1727" s="1" t="str">
        <f>HYPERLINK("http://stackoverflow.com/users/4123833", "aspark")</f>
        <v>aspark</v>
      </c>
      <c r="D1727" t="s">
        <v>17</v>
      </c>
      <c r="E1727">
        <v>267</v>
      </c>
    </row>
    <row r="1728" spans="1:5" x14ac:dyDescent="0.25">
      <c r="A1728">
        <v>1727</v>
      </c>
      <c r="B1728">
        <v>3759377</v>
      </c>
      <c r="C1728" s="1" t="str">
        <f>HYPERLINK("http://stackoverflow.com/users/3759377", "partida")</f>
        <v>partida</v>
      </c>
      <c r="D1728" t="s">
        <v>118</v>
      </c>
      <c r="E1728">
        <v>267</v>
      </c>
    </row>
    <row r="1729" spans="1:5" x14ac:dyDescent="0.25">
      <c r="A1729">
        <v>1728</v>
      </c>
      <c r="B1729">
        <v>481658</v>
      </c>
      <c r="C1729" s="1" t="str">
        <f>HYPERLINK("http://stackoverflow.com/users/481658", "Tealc Wu")</f>
        <v>Tealc Wu</v>
      </c>
      <c r="D1729" t="s">
        <v>5</v>
      </c>
      <c r="E1729">
        <v>266</v>
      </c>
    </row>
    <row r="1730" spans="1:5" x14ac:dyDescent="0.25">
      <c r="A1730">
        <v>1729</v>
      </c>
      <c r="B1730">
        <v>1543634</v>
      </c>
      <c r="C1730" s="1" t="str">
        <f>HYPERLINK("http://stackoverflow.com/users/1543634", "simmone")</f>
        <v>simmone</v>
      </c>
      <c r="D1730" t="s">
        <v>61</v>
      </c>
      <c r="E1730">
        <v>266</v>
      </c>
    </row>
    <row r="1731" spans="1:5" x14ac:dyDescent="0.25">
      <c r="A1731">
        <v>1730</v>
      </c>
      <c r="B1731">
        <v>1925949</v>
      </c>
      <c r="C1731" s="1" t="str">
        <f>HYPERLINK("http://stackoverflow.com/users/1925949", "yanyabo111")</f>
        <v>yanyabo111</v>
      </c>
      <c r="D1731" t="s">
        <v>4</v>
      </c>
      <c r="E1731">
        <v>265</v>
      </c>
    </row>
    <row r="1732" spans="1:5" x14ac:dyDescent="0.25">
      <c r="A1732">
        <v>1731</v>
      </c>
      <c r="B1732">
        <v>2814365</v>
      </c>
      <c r="C1732" s="1" t="str">
        <f>HYPERLINK("http://stackoverflow.com/users/2814365", "fengsp")</f>
        <v>fengsp</v>
      </c>
      <c r="D1732" t="s">
        <v>5</v>
      </c>
      <c r="E1732">
        <v>265</v>
      </c>
    </row>
    <row r="1733" spans="1:5" x14ac:dyDescent="0.25">
      <c r="A1733">
        <v>1732</v>
      </c>
      <c r="B1733">
        <v>844747</v>
      </c>
      <c r="C1733" s="1" t="str">
        <f>HYPERLINK("http://stackoverflow.com/users/844747", "RamboWang")</f>
        <v>RamboWang</v>
      </c>
      <c r="D1733" t="s">
        <v>37</v>
      </c>
      <c r="E1733">
        <v>262</v>
      </c>
    </row>
    <row r="1734" spans="1:5" x14ac:dyDescent="0.25">
      <c r="A1734">
        <v>1733</v>
      </c>
      <c r="B1734">
        <v>2376140</v>
      </c>
      <c r="C1734" s="1" t="str">
        <f>HYPERLINK("http://stackoverflow.com/users/2376140", "daozhao")</f>
        <v>daozhao</v>
      </c>
      <c r="D1734" t="s">
        <v>21</v>
      </c>
      <c r="E1734">
        <v>262</v>
      </c>
    </row>
    <row r="1735" spans="1:5" x14ac:dyDescent="0.25">
      <c r="A1735">
        <v>1734</v>
      </c>
      <c r="B1735">
        <v>349838</v>
      </c>
      <c r="C1735" s="1" t="str">
        <f>HYPERLINK("http://stackoverflow.com/users/349838", "Steve Cotner")</f>
        <v>Steve Cotner</v>
      </c>
      <c r="D1735" t="s">
        <v>6</v>
      </c>
      <c r="E1735">
        <v>261</v>
      </c>
    </row>
    <row r="1736" spans="1:5" x14ac:dyDescent="0.25">
      <c r="A1736">
        <v>1735</v>
      </c>
      <c r="B1736">
        <v>802544</v>
      </c>
      <c r="C1736" s="1" t="str">
        <f>HYPERLINK("http://stackoverflow.com/users/802544", "Jony")</f>
        <v>Jony</v>
      </c>
      <c r="D1736" t="s">
        <v>4</v>
      </c>
      <c r="E1736">
        <v>261</v>
      </c>
    </row>
    <row r="1737" spans="1:5" x14ac:dyDescent="0.25">
      <c r="A1737">
        <v>1736</v>
      </c>
      <c r="B1737">
        <v>1705298</v>
      </c>
      <c r="C1737" s="1" t="str">
        <f>HYPERLINK("http://stackoverflow.com/users/1705298", "Robert Guo")</f>
        <v>Robert Guo</v>
      </c>
      <c r="D1737" t="s">
        <v>5</v>
      </c>
      <c r="E1737">
        <v>259</v>
      </c>
    </row>
    <row r="1738" spans="1:5" x14ac:dyDescent="0.25">
      <c r="A1738">
        <v>1737</v>
      </c>
      <c r="B1738">
        <v>2763408</v>
      </c>
      <c r="C1738" s="1" t="str">
        <f>HYPERLINK("http://stackoverflow.com/users/2763408", "haitao_wu")</f>
        <v>haitao_wu</v>
      </c>
      <c r="D1738" t="s">
        <v>8</v>
      </c>
      <c r="E1738">
        <v>258</v>
      </c>
    </row>
    <row r="1739" spans="1:5" x14ac:dyDescent="0.25">
      <c r="A1739">
        <v>1738</v>
      </c>
      <c r="B1739">
        <v>2990297</v>
      </c>
      <c r="C1739" s="1" t="str">
        <f>HYPERLINK("http://stackoverflow.com/users/2990297", "uncutstone")</f>
        <v>uncutstone</v>
      </c>
      <c r="D1739" t="s">
        <v>5</v>
      </c>
      <c r="E1739">
        <v>258</v>
      </c>
    </row>
    <row r="1740" spans="1:5" x14ac:dyDescent="0.25">
      <c r="A1740">
        <v>1739</v>
      </c>
      <c r="B1740">
        <v>3119084</v>
      </c>
      <c r="C1740" s="1" t="str">
        <f>HYPERLINK("http://stackoverflow.com/users/3119084", "PhoenixYip")</f>
        <v>PhoenixYip</v>
      </c>
      <c r="D1740" t="s">
        <v>140</v>
      </c>
      <c r="E1740">
        <v>258</v>
      </c>
    </row>
    <row r="1741" spans="1:5" x14ac:dyDescent="0.25">
      <c r="A1741">
        <v>1740</v>
      </c>
      <c r="B1741">
        <v>3559845</v>
      </c>
      <c r="C1741" s="1" t="str">
        <f>HYPERLINK("http://stackoverflow.com/users/3559845", "Xing Fei")</f>
        <v>Xing Fei</v>
      </c>
      <c r="D1741" t="s">
        <v>5</v>
      </c>
      <c r="E1741">
        <v>257</v>
      </c>
    </row>
    <row r="1742" spans="1:5" x14ac:dyDescent="0.25">
      <c r="A1742">
        <v>1741</v>
      </c>
      <c r="B1742">
        <v>7213053</v>
      </c>
      <c r="C1742" s="1" t="str">
        <f>HYPERLINK("http://stackoverflow.com/users/7213053", "weiyixie")</f>
        <v>weiyixie</v>
      </c>
      <c r="D1742" t="s">
        <v>16</v>
      </c>
      <c r="E1742">
        <v>257</v>
      </c>
    </row>
    <row r="1743" spans="1:5" x14ac:dyDescent="0.25">
      <c r="A1743">
        <v>1742</v>
      </c>
      <c r="B1743">
        <v>1578338</v>
      </c>
      <c r="C1743" s="1" t="str">
        <f>HYPERLINK("http://stackoverflow.com/users/1578338", "Marx Yu")</f>
        <v>Marx Yu</v>
      </c>
      <c r="D1743" t="s">
        <v>5</v>
      </c>
      <c r="E1743">
        <v>256</v>
      </c>
    </row>
    <row r="1744" spans="1:5" x14ac:dyDescent="0.25">
      <c r="A1744">
        <v>1743</v>
      </c>
      <c r="B1744">
        <v>1334096</v>
      </c>
      <c r="C1744" s="1" t="str">
        <f>HYPERLINK("http://stackoverflow.com/users/1334096", "i-chou")</f>
        <v>i-chou</v>
      </c>
      <c r="D1744" t="s">
        <v>5</v>
      </c>
      <c r="E1744">
        <v>251</v>
      </c>
    </row>
    <row r="1745" spans="1:5" x14ac:dyDescent="0.25">
      <c r="A1745">
        <v>1744</v>
      </c>
      <c r="B1745">
        <v>5313080</v>
      </c>
      <c r="C1745" s="1" t="str">
        <f>HYPERLINK("http://stackoverflow.com/users/5313080", "Yong")</f>
        <v>Yong</v>
      </c>
      <c r="D1745" t="s">
        <v>5</v>
      </c>
      <c r="E1745">
        <v>251</v>
      </c>
    </row>
    <row r="1746" spans="1:5" x14ac:dyDescent="0.25">
      <c r="A1746">
        <v>1745</v>
      </c>
      <c r="B1746">
        <v>10222825</v>
      </c>
      <c r="C1746" s="1" t="str">
        <f>HYPERLINK("http://stackoverflow.com/users/10222825", "Eshaka")</f>
        <v>Eshaka</v>
      </c>
      <c r="D1746" t="s">
        <v>4</v>
      </c>
      <c r="E1746">
        <v>250</v>
      </c>
    </row>
    <row r="1747" spans="1:5" x14ac:dyDescent="0.25">
      <c r="A1747">
        <v>1746</v>
      </c>
      <c r="B1747">
        <v>2392712</v>
      </c>
      <c r="C1747" s="1" t="str">
        <f>HYPERLINK("http://stackoverflow.com/users/2392712", "JudeFeng")</f>
        <v>JudeFeng</v>
      </c>
      <c r="D1747" t="s">
        <v>136</v>
      </c>
      <c r="E1747">
        <v>249</v>
      </c>
    </row>
    <row r="1748" spans="1:5" x14ac:dyDescent="0.25">
      <c r="A1748">
        <v>1747</v>
      </c>
      <c r="B1748">
        <v>115259</v>
      </c>
      <c r="C1748" s="1" t="str">
        <f>HYPERLINK("http://stackoverflow.com/users/115259", "Ian Yang")</f>
        <v>Ian Yang</v>
      </c>
      <c r="D1748" t="s">
        <v>4</v>
      </c>
      <c r="E1748">
        <v>249</v>
      </c>
    </row>
    <row r="1749" spans="1:5" x14ac:dyDescent="0.25">
      <c r="A1749">
        <v>1748</v>
      </c>
      <c r="B1749">
        <v>1184405</v>
      </c>
      <c r="C1749" s="1" t="str">
        <f>HYPERLINK("http://stackoverflow.com/users/1184405", "Wang Wei")</f>
        <v>Wang Wei</v>
      </c>
      <c r="D1749" t="s">
        <v>12</v>
      </c>
      <c r="E1749">
        <v>248</v>
      </c>
    </row>
    <row r="1750" spans="1:5" x14ac:dyDescent="0.25">
      <c r="A1750">
        <v>1749</v>
      </c>
      <c r="B1750">
        <v>720090</v>
      </c>
      <c r="C1750" s="1" t="str">
        <f>HYPERLINK("http://stackoverflow.com/users/720090", "ssnau")</f>
        <v>ssnau</v>
      </c>
      <c r="D1750" t="s">
        <v>12</v>
      </c>
      <c r="E1750">
        <v>247</v>
      </c>
    </row>
    <row r="1751" spans="1:5" x14ac:dyDescent="0.25">
      <c r="A1751">
        <v>1750</v>
      </c>
      <c r="B1751">
        <v>2574869</v>
      </c>
      <c r="C1751" s="1" t="str">
        <f>HYPERLINK("http://stackoverflow.com/users/2574869", "suibber")</f>
        <v>suibber</v>
      </c>
      <c r="D1751" t="s">
        <v>5</v>
      </c>
      <c r="E1751">
        <v>247</v>
      </c>
    </row>
    <row r="1752" spans="1:5" x14ac:dyDescent="0.25">
      <c r="A1752">
        <v>1751</v>
      </c>
      <c r="B1752">
        <v>2517574</v>
      </c>
      <c r="C1752" s="1" t="str">
        <f>HYPERLINK("http://stackoverflow.com/users/2517574", "Cong Wang")</f>
        <v>Cong Wang</v>
      </c>
      <c r="D1752" t="s">
        <v>28</v>
      </c>
      <c r="E1752">
        <v>247</v>
      </c>
    </row>
    <row r="1753" spans="1:5" x14ac:dyDescent="0.25">
      <c r="A1753">
        <v>1752</v>
      </c>
      <c r="B1753">
        <v>1176142</v>
      </c>
      <c r="C1753" s="1" t="str">
        <f>HYPERLINK("http://stackoverflow.com/users/1176142", "Archer")</f>
        <v>Archer</v>
      </c>
      <c r="D1753" t="s">
        <v>21</v>
      </c>
      <c r="E1753">
        <v>246</v>
      </c>
    </row>
    <row r="1754" spans="1:5" x14ac:dyDescent="0.25">
      <c r="A1754">
        <v>1753</v>
      </c>
      <c r="B1754">
        <v>2319206</v>
      </c>
      <c r="C1754" s="1" t="str">
        <f>HYPERLINK("http://stackoverflow.com/users/2319206", "Joe Ding")</f>
        <v>Joe Ding</v>
      </c>
      <c r="D1754" t="s">
        <v>5</v>
      </c>
      <c r="E1754">
        <v>246</v>
      </c>
    </row>
    <row r="1755" spans="1:5" x14ac:dyDescent="0.25">
      <c r="A1755">
        <v>1754</v>
      </c>
      <c r="B1755">
        <v>2629778</v>
      </c>
      <c r="C1755" s="1" t="str">
        <f>HYPERLINK("http://stackoverflow.com/users/2629778", "xiaojieaa")</f>
        <v>xiaojieaa</v>
      </c>
      <c r="D1755" t="s">
        <v>12</v>
      </c>
      <c r="E1755">
        <v>246</v>
      </c>
    </row>
    <row r="1756" spans="1:5" x14ac:dyDescent="0.25">
      <c r="A1756">
        <v>1755</v>
      </c>
      <c r="B1756">
        <v>4128746</v>
      </c>
      <c r="C1756" s="1" t="str">
        <f>HYPERLINK("http://stackoverflow.com/users/4128746", "Natumsol")</f>
        <v>Natumsol</v>
      </c>
      <c r="D1756" t="s">
        <v>8</v>
      </c>
      <c r="E1756">
        <v>244</v>
      </c>
    </row>
    <row r="1757" spans="1:5" x14ac:dyDescent="0.25">
      <c r="A1757">
        <v>1756</v>
      </c>
      <c r="B1757">
        <v>2552268</v>
      </c>
      <c r="C1757" s="1" t="str">
        <f>HYPERLINK("http://stackoverflow.com/users/2552268", "drukaman")</f>
        <v>drukaman</v>
      </c>
      <c r="D1757" t="s">
        <v>5</v>
      </c>
      <c r="E1757">
        <v>243</v>
      </c>
    </row>
    <row r="1758" spans="1:5" x14ac:dyDescent="0.25">
      <c r="A1758">
        <v>1757</v>
      </c>
      <c r="B1758">
        <v>797431</v>
      </c>
      <c r="C1758" s="1" t="str">
        <f>HYPERLINK("http://stackoverflow.com/users/797431", "Southeast")</f>
        <v>Southeast</v>
      </c>
      <c r="D1758" t="s">
        <v>5</v>
      </c>
      <c r="E1758">
        <v>242</v>
      </c>
    </row>
    <row r="1759" spans="1:5" x14ac:dyDescent="0.25">
      <c r="A1759">
        <v>1758</v>
      </c>
      <c r="B1759">
        <v>2202847</v>
      </c>
      <c r="C1759" s="1" t="str">
        <f>HYPERLINK("http://stackoverflow.com/users/2202847", "Barry Zhong")</f>
        <v>Barry Zhong</v>
      </c>
      <c r="D1759" t="s">
        <v>5</v>
      </c>
      <c r="E1759">
        <v>242</v>
      </c>
    </row>
    <row r="1760" spans="1:5" x14ac:dyDescent="0.25">
      <c r="A1760">
        <v>1759</v>
      </c>
      <c r="B1760">
        <v>1583616</v>
      </c>
      <c r="C1760" s="1" t="str">
        <f>HYPERLINK("http://stackoverflow.com/users/1583616", "wodong")</f>
        <v>wodong</v>
      </c>
      <c r="D1760" t="s">
        <v>5</v>
      </c>
      <c r="E1760">
        <v>242</v>
      </c>
    </row>
    <row r="1761" spans="1:5" x14ac:dyDescent="0.25">
      <c r="A1761">
        <v>1760</v>
      </c>
      <c r="B1761">
        <v>1495319</v>
      </c>
      <c r="C1761" s="1" t="str">
        <f>HYPERLINK("http://stackoverflow.com/users/1495319", "Nightmare")</f>
        <v>Nightmare</v>
      </c>
      <c r="D1761" t="s">
        <v>5</v>
      </c>
      <c r="E1761">
        <v>241</v>
      </c>
    </row>
    <row r="1762" spans="1:5" x14ac:dyDescent="0.25">
      <c r="A1762">
        <v>1761</v>
      </c>
      <c r="B1762">
        <v>1017886</v>
      </c>
      <c r="C1762" s="1" t="str">
        <f>HYPERLINK("http://stackoverflow.com/users/1017886", "Daniel")</f>
        <v>Daniel</v>
      </c>
      <c r="D1762" t="s">
        <v>4</v>
      </c>
      <c r="E1762">
        <v>241</v>
      </c>
    </row>
    <row r="1763" spans="1:5" x14ac:dyDescent="0.25">
      <c r="A1763">
        <v>1762</v>
      </c>
      <c r="B1763">
        <v>2866016</v>
      </c>
      <c r="C1763" s="1" t="str">
        <f>HYPERLINK("http://stackoverflow.com/users/2866016", "stef_huayue")</f>
        <v>stef_huayue</v>
      </c>
      <c r="D1763" t="s">
        <v>38</v>
      </c>
      <c r="E1763">
        <v>241</v>
      </c>
    </row>
    <row r="1764" spans="1:5" x14ac:dyDescent="0.25">
      <c r="A1764">
        <v>1763</v>
      </c>
      <c r="B1764">
        <v>2565956</v>
      </c>
      <c r="C1764" s="1" t="str">
        <f>HYPERLINK("http://stackoverflow.com/users/2565956", "Maikeximu")</f>
        <v>Maikeximu</v>
      </c>
      <c r="D1764" t="s">
        <v>141</v>
      </c>
      <c r="E1764">
        <v>239</v>
      </c>
    </row>
    <row r="1765" spans="1:5" x14ac:dyDescent="0.25">
      <c r="A1765">
        <v>1764</v>
      </c>
      <c r="B1765">
        <v>3571865</v>
      </c>
      <c r="C1765" s="1" t="str">
        <f>HYPERLINK("http://stackoverflow.com/users/3571865", "napoleonjk")</f>
        <v>napoleonjk</v>
      </c>
      <c r="D1765" t="s">
        <v>4</v>
      </c>
      <c r="E1765">
        <v>239</v>
      </c>
    </row>
    <row r="1766" spans="1:5" x14ac:dyDescent="0.25">
      <c r="A1766">
        <v>1765</v>
      </c>
      <c r="B1766">
        <v>1475214</v>
      </c>
      <c r="C1766" s="1" t="str">
        <f>HYPERLINK("http://stackoverflow.com/users/1475214", "Huang Minghe")</f>
        <v>Huang Minghe</v>
      </c>
      <c r="D1766" t="s">
        <v>4</v>
      </c>
      <c r="E1766">
        <v>237</v>
      </c>
    </row>
    <row r="1767" spans="1:5" x14ac:dyDescent="0.25">
      <c r="A1767">
        <v>1766</v>
      </c>
      <c r="B1767">
        <v>1879103</v>
      </c>
      <c r="C1767" s="1" t="str">
        <f>HYPERLINK("http://stackoverflow.com/users/1879103", "Guo Song")</f>
        <v>Guo Song</v>
      </c>
      <c r="D1767" t="s">
        <v>5</v>
      </c>
      <c r="E1767">
        <v>237</v>
      </c>
    </row>
    <row r="1768" spans="1:5" x14ac:dyDescent="0.25">
      <c r="A1768">
        <v>1767</v>
      </c>
      <c r="B1768">
        <v>5319952</v>
      </c>
      <c r="C1768" s="1" t="str">
        <f>HYPERLINK("http://stackoverflow.com/users/5319952", "Chao Jiang")</f>
        <v>Chao Jiang</v>
      </c>
      <c r="D1768" t="s">
        <v>4</v>
      </c>
      <c r="E1768">
        <v>235</v>
      </c>
    </row>
    <row r="1769" spans="1:5" x14ac:dyDescent="0.25">
      <c r="A1769">
        <v>1768</v>
      </c>
      <c r="B1769">
        <v>694044</v>
      </c>
      <c r="C1769" s="1" t="str">
        <f>HYPERLINK("http://stackoverflow.com/users/694044", "hopliu")</f>
        <v>hopliu</v>
      </c>
      <c r="D1769" t="s">
        <v>5</v>
      </c>
      <c r="E1769">
        <v>234</v>
      </c>
    </row>
    <row r="1770" spans="1:5" x14ac:dyDescent="0.25">
      <c r="A1770">
        <v>1769</v>
      </c>
      <c r="B1770">
        <v>3985857</v>
      </c>
      <c r="C1770" s="1" t="str">
        <f>HYPERLINK("http://stackoverflow.com/users/3985857", "covernal")</f>
        <v>covernal</v>
      </c>
      <c r="D1770" t="s">
        <v>33</v>
      </c>
      <c r="E1770">
        <v>234</v>
      </c>
    </row>
    <row r="1771" spans="1:5" x14ac:dyDescent="0.25">
      <c r="A1771">
        <v>1770</v>
      </c>
      <c r="B1771">
        <v>7299097</v>
      </c>
      <c r="C1771" s="1" t="str">
        <f>HYPERLINK("http://stackoverflow.com/users/7299097", "jackxujh")</f>
        <v>jackxujh</v>
      </c>
      <c r="D1771" t="s">
        <v>28</v>
      </c>
      <c r="E1771">
        <v>234</v>
      </c>
    </row>
    <row r="1772" spans="1:5" x14ac:dyDescent="0.25">
      <c r="A1772">
        <v>1771</v>
      </c>
      <c r="B1772">
        <v>1017629</v>
      </c>
      <c r="C1772" s="1" t="str">
        <f>HYPERLINK("http://stackoverflow.com/users/1017629", "hyongbai")</f>
        <v>hyongbai</v>
      </c>
      <c r="D1772" t="s">
        <v>5</v>
      </c>
      <c r="E1772">
        <v>234</v>
      </c>
    </row>
    <row r="1773" spans="1:5" x14ac:dyDescent="0.25">
      <c r="A1773">
        <v>1772</v>
      </c>
      <c r="B1773">
        <v>1769859</v>
      </c>
      <c r="C1773" s="1" t="str">
        <f>HYPERLINK("http://stackoverflow.com/users/1769859", "qianlei")</f>
        <v>qianlei</v>
      </c>
      <c r="D1773" t="s">
        <v>7</v>
      </c>
      <c r="E1773">
        <v>234</v>
      </c>
    </row>
    <row r="1774" spans="1:5" x14ac:dyDescent="0.25">
      <c r="A1774">
        <v>1773</v>
      </c>
      <c r="B1774">
        <v>6638080</v>
      </c>
      <c r="C1774" s="1" t="str">
        <f>HYPERLINK("http://stackoverflow.com/users/6638080", "LU Cai")</f>
        <v>LU Cai</v>
      </c>
      <c r="D1774" t="s">
        <v>5</v>
      </c>
      <c r="E1774">
        <v>234</v>
      </c>
    </row>
    <row r="1775" spans="1:5" x14ac:dyDescent="0.25">
      <c r="A1775">
        <v>1774</v>
      </c>
      <c r="B1775">
        <v>1206034</v>
      </c>
      <c r="C1775" s="1" t="str">
        <f>HYPERLINK("http://stackoverflow.com/users/1206034", "sezina")</f>
        <v>sezina</v>
      </c>
      <c r="D1775" t="s">
        <v>21</v>
      </c>
      <c r="E1775">
        <v>232</v>
      </c>
    </row>
    <row r="1776" spans="1:5" x14ac:dyDescent="0.25">
      <c r="A1776">
        <v>1775</v>
      </c>
      <c r="B1776">
        <v>899725</v>
      </c>
      <c r="C1776" s="1" t="str">
        <f>HYPERLINK("http://stackoverflow.com/users/899725", "Yong Li")</f>
        <v>Yong Li</v>
      </c>
      <c r="D1776" t="s">
        <v>5</v>
      </c>
      <c r="E1776">
        <v>231</v>
      </c>
    </row>
    <row r="1777" spans="1:5" x14ac:dyDescent="0.25">
      <c r="A1777">
        <v>1776</v>
      </c>
      <c r="B1777">
        <v>5663012</v>
      </c>
      <c r="C1777" s="1" t="str">
        <f>HYPERLINK("http://stackoverflow.com/users/5663012", "MikeZhang")</f>
        <v>MikeZhang</v>
      </c>
      <c r="D1777" t="s">
        <v>5</v>
      </c>
      <c r="E1777">
        <v>231</v>
      </c>
    </row>
    <row r="1778" spans="1:5" x14ac:dyDescent="0.25">
      <c r="A1778">
        <v>1777</v>
      </c>
      <c r="B1778">
        <v>945810</v>
      </c>
      <c r="C1778" s="1" t="str">
        <f>HYPERLINK("http://stackoverflow.com/users/945810", "sniperbat")</f>
        <v>sniperbat</v>
      </c>
      <c r="D1778" t="s">
        <v>12</v>
      </c>
      <c r="E1778">
        <v>231</v>
      </c>
    </row>
    <row r="1779" spans="1:5" x14ac:dyDescent="0.25">
      <c r="A1779">
        <v>1778</v>
      </c>
      <c r="B1779">
        <v>2757342</v>
      </c>
      <c r="C1779" s="1" t="str">
        <f>HYPERLINK("http://stackoverflow.com/users/2757342", "NovemberEleven")</f>
        <v>NovemberEleven</v>
      </c>
      <c r="D1779" t="s">
        <v>7</v>
      </c>
      <c r="E1779">
        <v>230</v>
      </c>
    </row>
    <row r="1780" spans="1:5" x14ac:dyDescent="0.25">
      <c r="A1780">
        <v>1779</v>
      </c>
      <c r="B1780">
        <v>3675021</v>
      </c>
      <c r="C1780" s="1" t="str">
        <f>HYPERLINK("http://stackoverflow.com/users/3675021", "LFF")</f>
        <v>LFF</v>
      </c>
      <c r="D1780" t="s">
        <v>4</v>
      </c>
      <c r="E1780">
        <v>230</v>
      </c>
    </row>
    <row r="1781" spans="1:5" x14ac:dyDescent="0.25">
      <c r="A1781">
        <v>1780</v>
      </c>
      <c r="B1781">
        <v>4234563</v>
      </c>
      <c r="C1781" s="1" t="str">
        <f>HYPERLINK("http://stackoverflow.com/users/4234563", "Shane chen")</f>
        <v>Shane chen</v>
      </c>
      <c r="D1781" t="s">
        <v>22</v>
      </c>
      <c r="E1781">
        <v>230</v>
      </c>
    </row>
    <row r="1782" spans="1:5" x14ac:dyDescent="0.25">
      <c r="A1782">
        <v>1781</v>
      </c>
      <c r="B1782">
        <v>2567264</v>
      </c>
      <c r="C1782" s="1" t="str">
        <f>HYPERLINK("http://stackoverflow.com/users/2567264", "JavaBeta")</f>
        <v>JavaBeta</v>
      </c>
      <c r="D1782" t="s">
        <v>5</v>
      </c>
      <c r="E1782">
        <v>230</v>
      </c>
    </row>
    <row r="1783" spans="1:5" x14ac:dyDescent="0.25">
      <c r="A1783">
        <v>1782</v>
      </c>
      <c r="B1783">
        <v>2875283</v>
      </c>
      <c r="C1783" s="1" t="str">
        <f>HYPERLINK("http://stackoverflow.com/users/2875283", "ohmygirl")</f>
        <v>ohmygirl</v>
      </c>
      <c r="D1783" t="s">
        <v>5</v>
      </c>
      <c r="E1783">
        <v>229</v>
      </c>
    </row>
    <row r="1784" spans="1:5" x14ac:dyDescent="0.25">
      <c r="A1784">
        <v>1783</v>
      </c>
      <c r="B1784">
        <v>3656172</v>
      </c>
      <c r="C1784" s="1" t="str">
        <f>HYPERLINK("http://stackoverflow.com/users/3656172", "Simon")</f>
        <v>Simon</v>
      </c>
      <c r="D1784" t="s">
        <v>22</v>
      </c>
      <c r="E1784">
        <v>229</v>
      </c>
    </row>
    <row r="1785" spans="1:5" x14ac:dyDescent="0.25">
      <c r="A1785">
        <v>1784</v>
      </c>
      <c r="B1785">
        <v>5443510</v>
      </c>
      <c r="C1785" s="1" t="str">
        <f>HYPERLINK("http://stackoverflow.com/users/5443510", "Jimmy Yin")</f>
        <v>Jimmy Yin</v>
      </c>
      <c r="D1785" t="s">
        <v>78</v>
      </c>
      <c r="E1785">
        <v>227</v>
      </c>
    </row>
    <row r="1786" spans="1:5" x14ac:dyDescent="0.25">
      <c r="A1786">
        <v>1785</v>
      </c>
      <c r="B1786">
        <v>1865739</v>
      </c>
      <c r="C1786" s="1" t="str">
        <f>HYPERLINK("http://stackoverflow.com/users/1865739", "asmista")</f>
        <v>asmista</v>
      </c>
      <c r="D1786" t="s">
        <v>142</v>
      </c>
      <c r="E1786">
        <v>226</v>
      </c>
    </row>
    <row r="1787" spans="1:5" x14ac:dyDescent="0.25">
      <c r="A1787">
        <v>1786</v>
      </c>
      <c r="B1787">
        <v>2666624</v>
      </c>
      <c r="C1787" s="1" t="str">
        <f>HYPERLINK("http://stackoverflow.com/users/2666624", "Icyblade")</f>
        <v>Icyblade</v>
      </c>
      <c r="D1787" t="s">
        <v>5</v>
      </c>
      <c r="E1787">
        <v>226</v>
      </c>
    </row>
    <row r="1788" spans="1:5" x14ac:dyDescent="0.25">
      <c r="A1788">
        <v>1787</v>
      </c>
      <c r="B1788">
        <v>4226317</v>
      </c>
      <c r="C1788" s="1" t="str">
        <f>HYPERLINK("http://stackoverflow.com/users/4226317", "legend80s")</f>
        <v>legend80s</v>
      </c>
      <c r="D1788" t="s">
        <v>5</v>
      </c>
      <c r="E1788">
        <v>226</v>
      </c>
    </row>
    <row r="1789" spans="1:5" x14ac:dyDescent="0.25">
      <c r="A1789">
        <v>1788</v>
      </c>
      <c r="B1789">
        <v>3718065</v>
      </c>
      <c r="C1789" s="1" t="str">
        <f>HYPERLINK("http://stackoverflow.com/users/3718065", "sfz")</f>
        <v>sfz</v>
      </c>
      <c r="D1789" t="s">
        <v>4</v>
      </c>
      <c r="E1789">
        <v>225</v>
      </c>
    </row>
    <row r="1790" spans="1:5" x14ac:dyDescent="0.25">
      <c r="A1790">
        <v>1789</v>
      </c>
      <c r="B1790">
        <v>2985751</v>
      </c>
      <c r="C1790" s="1" t="str">
        <f>HYPERLINK("http://stackoverflow.com/users/2985751", "BruceDu")</f>
        <v>BruceDu</v>
      </c>
      <c r="D1790" t="s">
        <v>17</v>
      </c>
      <c r="E1790">
        <v>225</v>
      </c>
    </row>
    <row r="1791" spans="1:5" x14ac:dyDescent="0.25">
      <c r="A1791">
        <v>1790</v>
      </c>
      <c r="B1791">
        <v>2185364</v>
      </c>
      <c r="C1791" s="1" t="str">
        <f>HYPERLINK("http://stackoverflow.com/users/2185364", "Paul Z.")</f>
        <v>Paul Z.</v>
      </c>
      <c r="D1791" t="s">
        <v>74</v>
      </c>
      <c r="E1791">
        <v>225</v>
      </c>
    </row>
    <row r="1792" spans="1:5" x14ac:dyDescent="0.25">
      <c r="A1792">
        <v>1791</v>
      </c>
      <c r="B1792">
        <v>1560858</v>
      </c>
      <c r="C1792" s="1" t="str">
        <f>HYPERLINK("http://stackoverflow.com/users/1560858", "liangdong from baidu")</f>
        <v>liangdong from baidu</v>
      </c>
      <c r="D1792" t="s">
        <v>5</v>
      </c>
      <c r="E1792">
        <v>223</v>
      </c>
    </row>
    <row r="1793" spans="1:5" x14ac:dyDescent="0.25">
      <c r="A1793">
        <v>1792</v>
      </c>
      <c r="B1793">
        <v>1746580</v>
      </c>
      <c r="C1793" s="1" t="str">
        <f>HYPERLINK("http://stackoverflow.com/users/1746580", "Kevin")</f>
        <v>Kevin</v>
      </c>
      <c r="D1793" t="s">
        <v>5</v>
      </c>
      <c r="E1793">
        <v>223</v>
      </c>
    </row>
    <row r="1794" spans="1:5" x14ac:dyDescent="0.25">
      <c r="A1794">
        <v>1793</v>
      </c>
      <c r="B1794">
        <v>1161775</v>
      </c>
      <c r="C1794" s="1" t="str">
        <f>HYPERLINK("http://stackoverflow.com/users/1161775", "47dev47null")</f>
        <v>47dev47null</v>
      </c>
      <c r="D1794" t="s">
        <v>4</v>
      </c>
      <c r="E1794">
        <v>222</v>
      </c>
    </row>
    <row r="1795" spans="1:5" x14ac:dyDescent="0.25">
      <c r="A1795">
        <v>1794</v>
      </c>
      <c r="B1795">
        <v>3044595</v>
      </c>
      <c r="C1795" s="1" t="str">
        <f>HYPERLINK("http://stackoverflow.com/users/3044595", "韩陈俊雪")</f>
        <v>韩陈俊雪</v>
      </c>
      <c r="D1795" t="s">
        <v>143</v>
      </c>
      <c r="E1795">
        <v>221</v>
      </c>
    </row>
    <row r="1796" spans="1:5" x14ac:dyDescent="0.25">
      <c r="A1796">
        <v>1795</v>
      </c>
      <c r="B1796">
        <v>4087579</v>
      </c>
      <c r="C1796" s="1" t="str">
        <f>HYPERLINK("http://stackoverflow.com/users/4087579", "bruceczk")</f>
        <v>bruceczk</v>
      </c>
      <c r="D1796" t="s">
        <v>12</v>
      </c>
      <c r="E1796">
        <v>221</v>
      </c>
    </row>
    <row r="1797" spans="1:5" x14ac:dyDescent="0.25">
      <c r="A1797">
        <v>1796</v>
      </c>
      <c r="B1797">
        <v>5341129</v>
      </c>
      <c r="C1797" s="1" t="str">
        <f>HYPERLINK("http://stackoverflow.com/users/5341129", "PaniniGelato")</f>
        <v>PaniniGelato</v>
      </c>
      <c r="D1797" t="s">
        <v>21</v>
      </c>
      <c r="E1797">
        <v>220</v>
      </c>
    </row>
    <row r="1798" spans="1:5" x14ac:dyDescent="0.25">
      <c r="A1798">
        <v>1797</v>
      </c>
      <c r="B1798">
        <v>2955095</v>
      </c>
      <c r="C1798" s="1" t="str">
        <f>HYPERLINK("http://stackoverflow.com/users/2955095", "Thomas Weise")</f>
        <v>Thomas Weise</v>
      </c>
      <c r="D1798" t="s">
        <v>144</v>
      </c>
      <c r="E1798">
        <v>219</v>
      </c>
    </row>
    <row r="1799" spans="1:5" x14ac:dyDescent="0.25">
      <c r="A1799">
        <v>1798</v>
      </c>
      <c r="B1799">
        <v>4003160</v>
      </c>
      <c r="C1799" s="1" t="str">
        <f>HYPERLINK("http://stackoverflow.com/users/4003160", "Stanley Shi")</f>
        <v>Stanley Shi</v>
      </c>
      <c r="D1799" t="s">
        <v>4</v>
      </c>
      <c r="E1799">
        <v>219</v>
      </c>
    </row>
    <row r="1800" spans="1:5" x14ac:dyDescent="0.25">
      <c r="A1800">
        <v>1799</v>
      </c>
      <c r="B1800">
        <v>7408781</v>
      </c>
      <c r="C1800" s="1" t="str">
        <f>HYPERLINK("http://stackoverflow.com/users/7408781", "Jared")</f>
        <v>Jared</v>
      </c>
      <c r="D1800" t="s">
        <v>91</v>
      </c>
      <c r="E1800">
        <v>217</v>
      </c>
    </row>
    <row r="1801" spans="1:5" x14ac:dyDescent="0.25">
      <c r="A1801">
        <v>1800</v>
      </c>
      <c r="B1801">
        <v>2939840</v>
      </c>
      <c r="C1801" s="1" t="str">
        <f>HYPERLINK("http://stackoverflow.com/users/2939840", "Jun Ge")</f>
        <v>Jun Ge</v>
      </c>
      <c r="D1801" t="s">
        <v>4</v>
      </c>
      <c r="E1801">
        <v>216</v>
      </c>
    </row>
    <row r="1802" spans="1:5" x14ac:dyDescent="0.25">
      <c r="A1802">
        <v>1801</v>
      </c>
      <c r="B1802">
        <v>476693</v>
      </c>
      <c r="C1802" s="1" t="str">
        <f>HYPERLINK("http://stackoverflow.com/users/476693", "eagleboost")</f>
        <v>eagleboost</v>
      </c>
      <c r="D1802" t="s">
        <v>4</v>
      </c>
      <c r="E1802">
        <v>216</v>
      </c>
    </row>
    <row r="1803" spans="1:5" x14ac:dyDescent="0.25">
      <c r="A1803">
        <v>1802</v>
      </c>
      <c r="B1803">
        <v>6863654</v>
      </c>
      <c r="C1803" s="1" t="str">
        <f>HYPERLINK("http://stackoverflow.com/users/6863654", "beiping96")</f>
        <v>beiping96</v>
      </c>
      <c r="D1803" t="s">
        <v>4</v>
      </c>
      <c r="E1803">
        <v>214</v>
      </c>
    </row>
    <row r="1804" spans="1:5" x14ac:dyDescent="0.25">
      <c r="A1804">
        <v>1803</v>
      </c>
      <c r="B1804">
        <v>712999</v>
      </c>
      <c r="C1804" s="1" t="str">
        <f>HYPERLINK("http://stackoverflow.com/users/712999", "jiguang")</f>
        <v>jiguang</v>
      </c>
      <c r="D1804" t="s">
        <v>17</v>
      </c>
      <c r="E1804">
        <v>214</v>
      </c>
    </row>
    <row r="1805" spans="1:5" x14ac:dyDescent="0.25">
      <c r="A1805">
        <v>1804</v>
      </c>
      <c r="B1805">
        <v>2254431</v>
      </c>
      <c r="C1805" s="1" t="str">
        <f>HYPERLINK("http://stackoverflow.com/users/2254431", "ioilala")</f>
        <v>ioilala</v>
      </c>
      <c r="D1805" t="s">
        <v>8</v>
      </c>
      <c r="E1805">
        <v>214</v>
      </c>
    </row>
    <row r="1806" spans="1:5" x14ac:dyDescent="0.25">
      <c r="A1806">
        <v>1805</v>
      </c>
      <c r="B1806">
        <v>307430</v>
      </c>
      <c r="C1806" s="1" t="str">
        <f>HYPERLINK("http://stackoverflow.com/users/307430", "Thomas")</f>
        <v>Thomas</v>
      </c>
      <c r="D1806" t="s">
        <v>5</v>
      </c>
      <c r="E1806">
        <v>212</v>
      </c>
    </row>
    <row r="1807" spans="1:5" x14ac:dyDescent="0.25">
      <c r="A1807">
        <v>1806</v>
      </c>
      <c r="B1807">
        <v>6494418</v>
      </c>
      <c r="C1807" s="1" t="str">
        <f>HYPERLINK("http://stackoverflow.com/users/6494418", "Colin Wang")</f>
        <v>Colin Wang</v>
      </c>
      <c r="D1807" t="s">
        <v>62</v>
      </c>
      <c r="E1807">
        <v>211</v>
      </c>
    </row>
    <row r="1808" spans="1:5" x14ac:dyDescent="0.25">
      <c r="A1808">
        <v>1807</v>
      </c>
      <c r="B1808">
        <v>3321680</v>
      </c>
      <c r="C1808" s="1" t="str">
        <f>HYPERLINK("http://stackoverflow.com/users/3321680", "Roy Zhang")</f>
        <v>Roy Zhang</v>
      </c>
      <c r="D1808" t="s">
        <v>5</v>
      </c>
      <c r="E1808">
        <v>211</v>
      </c>
    </row>
    <row r="1809" spans="1:5" x14ac:dyDescent="0.25">
      <c r="A1809">
        <v>1808</v>
      </c>
      <c r="B1809">
        <v>2223654</v>
      </c>
      <c r="C1809" s="1" t="str">
        <f>HYPERLINK("http://stackoverflow.com/users/2223654", "Chance Door")</f>
        <v>Chance Door</v>
      </c>
      <c r="D1809" t="s">
        <v>4</v>
      </c>
      <c r="E1809">
        <v>211</v>
      </c>
    </row>
    <row r="1810" spans="1:5" x14ac:dyDescent="0.25">
      <c r="A1810">
        <v>1809</v>
      </c>
      <c r="B1810">
        <v>3409417</v>
      </c>
      <c r="C1810" s="1" t="str">
        <f>HYPERLINK("http://stackoverflow.com/users/3409417", "litao")</f>
        <v>litao</v>
      </c>
      <c r="D1810" t="s">
        <v>5</v>
      </c>
      <c r="E1810">
        <v>211</v>
      </c>
    </row>
    <row r="1811" spans="1:5" x14ac:dyDescent="0.25">
      <c r="A1811">
        <v>1810</v>
      </c>
      <c r="B1811">
        <v>4545419</v>
      </c>
      <c r="C1811" s="1" t="str">
        <f>HYPERLINK("http://stackoverflow.com/users/4545419", "Bob Bai")</f>
        <v>Bob Bai</v>
      </c>
      <c r="D1811" t="s">
        <v>37</v>
      </c>
      <c r="E1811">
        <v>210</v>
      </c>
    </row>
    <row r="1812" spans="1:5" x14ac:dyDescent="0.25">
      <c r="A1812">
        <v>1811</v>
      </c>
      <c r="B1812">
        <v>2165667</v>
      </c>
      <c r="C1812" s="1" t="str">
        <f>HYPERLINK("http://stackoverflow.com/users/2165667", "crazyjune")</f>
        <v>crazyjune</v>
      </c>
      <c r="D1812" t="s">
        <v>5</v>
      </c>
      <c r="E1812">
        <v>209</v>
      </c>
    </row>
    <row r="1813" spans="1:5" x14ac:dyDescent="0.25">
      <c r="A1813">
        <v>1812</v>
      </c>
      <c r="B1813">
        <v>6112213</v>
      </c>
      <c r="C1813" s="1" t="str">
        <f>HYPERLINK("http://stackoverflow.com/users/6112213", "HeadwindFly")</f>
        <v>HeadwindFly</v>
      </c>
      <c r="D1813" t="s">
        <v>145</v>
      </c>
      <c r="E1813">
        <v>209</v>
      </c>
    </row>
    <row r="1814" spans="1:5" x14ac:dyDescent="0.25">
      <c r="A1814">
        <v>1813</v>
      </c>
      <c r="B1814">
        <v>4204663</v>
      </c>
      <c r="C1814" s="1" t="str">
        <f>HYPERLINK("http://stackoverflow.com/users/4204663", "ZhiLI")</f>
        <v>ZhiLI</v>
      </c>
      <c r="D1814" t="s">
        <v>12</v>
      </c>
      <c r="E1814">
        <v>209</v>
      </c>
    </row>
    <row r="1815" spans="1:5" x14ac:dyDescent="0.25">
      <c r="A1815">
        <v>1814</v>
      </c>
      <c r="B1815">
        <v>1700490</v>
      </c>
      <c r="C1815" s="1" t="str">
        <f>HYPERLINK("http://stackoverflow.com/users/1700490", "niklaus")</f>
        <v>niklaus</v>
      </c>
      <c r="D1815" t="s">
        <v>4</v>
      </c>
      <c r="E1815">
        <v>209</v>
      </c>
    </row>
    <row r="1816" spans="1:5" x14ac:dyDescent="0.25">
      <c r="A1816">
        <v>1815</v>
      </c>
      <c r="B1816">
        <v>3906747</v>
      </c>
      <c r="C1816" s="1" t="str">
        <f>HYPERLINK("http://stackoverflow.com/users/3906747", "coco_")</f>
        <v>coco_</v>
      </c>
      <c r="D1816" t="s">
        <v>37</v>
      </c>
      <c r="E1816">
        <v>208</v>
      </c>
    </row>
    <row r="1817" spans="1:5" x14ac:dyDescent="0.25">
      <c r="A1817">
        <v>1816</v>
      </c>
      <c r="B1817">
        <v>1947419</v>
      </c>
      <c r="C1817" s="1" t="str">
        <f>HYPERLINK("http://stackoverflow.com/users/1947419", "christian")</f>
        <v>christian</v>
      </c>
      <c r="D1817" t="s">
        <v>5</v>
      </c>
      <c r="E1817">
        <v>208</v>
      </c>
    </row>
    <row r="1818" spans="1:5" x14ac:dyDescent="0.25">
      <c r="A1818">
        <v>1817</v>
      </c>
      <c r="B1818">
        <v>5921194</v>
      </c>
      <c r="C1818" s="1" t="str">
        <f>HYPERLINK("http://stackoverflow.com/users/5921194", "Bennyhuo")</f>
        <v>Bennyhuo</v>
      </c>
      <c r="D1818" t="s">
        <v>5</v>
      </c>
      <c r="E1818">
        <v>207</v>
      </c>
    </row>
    <row r="1819" spans="1:5" x14ac:dyDescent="0.25">
      <c r="A1819">
        <v>1818</v>
      </c>
      <c r="B1819">
        <v>1142593</v>
      </c>
      <c r="C1819" s="1" t="str">
        <f>HYPERLINK("http://stackoverflow.com/users/1142593", "chestnut")</f>
        <v>chestnut</v>
      </c>
      <c r="D1819" t="s">
        <v>4</v>
      </c>
      <c r="E1819">
        <v>207</v>
      </c>
    </row>
    <row r="1820" spans="1:5" x14ac:dyDescent="0.25">
      <c r="A1820">
        <v>1819</v>
      </c>
      <c r="B1820">
        <v>5356282</v>
      </c>
      <c r="C1820" s="1" t="str">
        <f>HYPERLINK("http://stackoverflow.com/users/5356282", "mengying.ye")</f>
        <v>mengying.ye</v>
      </c>
      <c r="D1820" t="s">
        <v>4</v>
      </c>
      <c r="E1820">
        <v>207</v>
      </c>
    </row>
    <row r="1821" spans="1:5" x14ac:dyDescent="0.25">
      <c r="A1821">
        <v>1820</v>
      </c>
      <c r="B1821">
        <v>1421473</v>
      </c>
      <c r="C1821" s="1" t="str">
        <f>HYPERLINK("http://stackoverflow.com/users/1421473", "Wang Xiao")</f>
        <v>Wang Xiao</v>
      </c>
      <c r="D1821" t="s">
        <v>17</v>
      </c>
      <c r="E1821">
        <v>205</v>
      </c>
    </row>
    <row r="1822" spans="1:5" x14ac:dyDescent="0.25">
      <c r="A1822">
        <v>1821</v>
      </c>
      <c r="B1822">
        <v>2631558</v>
      </c>
      <c r="C1822" s="1" t="str">
        <f>HYPERLINK("http://stackoverflow.com/users/2631558", "CPT")</f>
        <v>CPT</v>
      </c>
      <c r="D1822" t="s">
        <v>5</v>
      </c>
      <c r="E1822">
        <v>205</v>
      </c>
    </row>
    <row r="1823" spans="1:5" x14ac:dyDescent="0.25">
      <c r="A1823">
        <v>1822</v>
      </c>
      <c r="B1823">
        <v>5184187</v>
      </c>
      <c r="C1823" s="1" t="str">
        <f>HYPERLINK("http://stackoverflow.com/users/5184187", "zywj")</f>
        <v>zywj</v>
      </c>
      <c r="D1823" t="s">
        <v>48</v>
      </c>
      <c r="E1823">
        <v>204</v>
      </c>
    </row>
    <row r="1824" spans="1:5" x14ac:dyDescent="0.25">
      <c r="A1824">
        <v>1823</v>
      </c>
      <c r="B1824">
        <v>2488520</v>
      </c>
      <c r="C1824" s="1" t="str">
        <f>HYPERLINK("http://stackoverflow.com/users/2488520", "Leon")</f>
        <v>Leon</v>
      </c>
      <c r="D1824" t="s">
        <v>5</v>
      </c>
      <c r="E1824">
        <v>203</v>
      </c>
    </row>
    <row r="1825" spans="1:5" x14ac:dyDescent="0.25">
      <c r="A1825">
        <v>1824</v>
      </c>
      <c r="B1825">
        <v>7452933</v>
      </c>
      <c r="C1825" s="1" t="str">
        <f>HYPERLINK("http://stackoverflow.com/users/7452933", "Sucy")</f>
        <v>Sucy</v>
      </c>
      <c r="D1825" t="s">
        <v>43</v>
      </c>
      <c r="E1825">
        <v>203</v>
      </c>
    </row>
    <row r="1826" spans="1:5" x14ac:dyDescent="0.25">
      <c r="A1826">
        <v>1825</v>
      </c>
      <c r="B1826">
        <v>3893949</v>
      </c>
      <c r="C1826" s="1" t="str">
        <f>HYPERLINK("http://stackoverflow.com/users/3893949", "Zero.D.Saber")</f>
        <v>Zero.D.Saber</v>
      </c>
      <c r="D1826" t="s">
        <v>5</v>
      </c>
      <c r="E1826">
        <v>201</v>
      </c>
    </row>
    <row r="1827" spans="1:5" x14ac:dyDescent="0.25">
      <c r="A1827">
        <v>1826</v>
      </c>
      <c r="B1827">
        <v>2094227</v>
      </c>
      <c r="C1827" s="1" t="str">
        <f>HYPERLINK("http://stackoverflow.com/users/2094227", "willandlily")</f>
        <v>willandlily</v>
      </c>
      <c r="D1827" t="s">
        <v>22</v>
      </c>
      <c r="E1827">
        <v>201</v>
      </c>
    </row>
    <row r="1828" spans="1:5" x14ac:dyDescent="0.25">
      <c r="A1828">
        <v>1827</v>
      </c>
      <c r="B1828">
        <v>3251508</v>
      </c>
      <c r="C1828" s="1" t="str">
        <f>HYPERLINK("http://stackoverflow.com/users/3251508", "Kay Wu")</f>
        <v>Kay Wu</v>
      </c>
      <c r="D1828" t="s">
        <v>4</v>
      </c>
      <c r="E1828">
        <v>201</v>
      </c>
    </row>
    <row r="1829" spans="1:5" x14ac:dyDescent="0.25">
      <c r="A1829">
        <v>1828</v>
      </c>
      <c r="B1829">
        <v>5532169</v>
      </c>
      <c r="C1829" s="1" t="str">
        <f>HYPERLINK("http://stackoverflow.com/users/5532169", "zypA13510")</f>
        <v>zypA13510</v>
      </c>
      <c r="D1829" t="s">
        <v>25</v>
      </c>
      <c r="E1829">
        <v>201</v>
      </c>
    </row>
    <row r="1830" spans="1:5" x14ac:dyDescent="0.25">
      <c r="A1830">
        <v>1829</v>
      </c>
      <c r="B1830">
        <v>8459774</v>
      </c>
      <c r="C1830" s="1" t="str">
        <f>HYPERLINK("http://stackoverflow.com/users/8459774", "MinimalistYing")</f>
        <v>MinimalistYing</v>
      </c>
      <c r="D1830" t="s">
        <v>16</v>
      </c>
      <c r="E1830">
        <v>201</v>
      </c>
    </row>
    <row r="1831" spans="1:5" x14ac:dyDescent="0.25">
      <c r="A1831">
        <v>1830</v>
      </c>
      <c r="B1831">
        <v>3775049</v>
      </c>
      <c r="C1831" s="1" t="str">
        <f>HYPERLINK("http://stackoverflow.com/users/3775049", "edwardramsey")</f>
        <v>edwardramsey</v>
      </c>
      <c r="D1831" t="s">
        <v>12</v>
      </c>
      <c r="E1831">
        <v>201</v>
      </c>
    </row>
    <row r="1832" spans="1:5" x14ac:dyDescent="0.25">
      <c r="A1832">
        <v>1831</v>
      </c>
      <c r="B1832">
        <v>1371341</v>
      </c>
      <c r="C1832" s="1" t="str">
        <f>HYPERLINK("http://stackoverflow.com/users/1371341", "aptx4869")</f>
        <v>aptx4869</v>
      </c>
      <c r="D1832" t="s">
        <v>17</v>
      </c>
      <c r="E1832">
        <v>200</v>
      </c>
    </row>
    <row r="1833" spans="1:5" x14ac:dyDescent="0.25">
      <c r="A1833">
        <v>1832</v>
      </c>
      <c r="B1833">
        <v>3230384</v>
      </c>
      <c r="C1833" s="1" t="str">
        <f>HYPERLINK("http://stackoverflow.com/users/3230384", "Jichao Wu")</f>
        <v>Jichao Wu</v>
      </c>
      <c r="D1833" t="s">
        <v>12</v>
      </c>
      <c r="E1833">
        <v>200</v>
      </c>
    </row>
    <row r="1834" spans="1:5" x14ac:dyDescent="0.25">
      <c r="A1834">
        <v>1833</v>
      </c>
      <c r="B1834">
        <v>5034890</v>
      </c>
      <c r="C1834" s="1" t="str">
        <f>HYPERLINK("http://stackoverflow.com/users/5034890", "chen Jacky")</f>
        <v>chen Jacky</v>
      </c>
      <c r="D1834" t="s">
        <v>7</v>
      </c>
      <c r="E1834">
        <v>199</v>
      </c>
    </row>
    <row r="1835" spans="1:5" x14ac:dyDescent="0.25">
      <c r="A1835">
        <v>1834</v>
      </c>
      <c r="B1835">
        <v>4626956</v>
      </c>
      <c r="C1835" s="1" t="str">
        <f>HYPERLINK("http://stackoverflow.com/users/4626956", "Leo")</f>
        <v>Leo</v>
      </c>
      <c r="D1835" t="s">
        <v>5</v>
      </c>
      <c r="E1835">
        <v>199</v>
      </c>
    </row>
    <row r="1836" spans="1:5" x14ac:dyDescent="0.25">
      <c r="A1836">
        <v>1835</v>
      </c>
      <c r="B1836">
        <v>4382863</v>
      </c>
      <c r="C1836" s="1" t="str">
        <f>HYPERLINK("http://stackoverflow.com/users/4382863", "PHPJungle")</f>
        <v>PHPJungle</v>
      </c>
      <c r="D1836" t="s">
        <v>8</v>
      </c>
      <c r="E1836">
        <v>199</v>
      </c>
    </row>
    <row r="1837" spans="1:5" x14ac:dyDescent="0.25">
      <c r="A1837">
        <v>1836</v>
      </c>
      <c r="B1837">
        <v>2457941</v>
      </c>
      <c r="C1837" s="1" t="str">
        <f>HYPERLINK("http://stackoverflow.com/users/2457941", "Zhaoping Lu")</f>
        <v>Zhaoping Lu</v>
      </c>
      <c r="D1837" t="s">
        <v>5</v>
      </c>
      <c r="E1837">
        <v>199</v>
      </c>
    </row>
    <row r="1838" spans="1:5" x14ac:dyDescent="0.25">
      <c r="A1838">
        <v>1837</v>
      </c>
      <c r="B1838">
        <v>2724110</v>
      </c>
      <c r="C1838" s="1" t="str">
        <f>HYPERLINK("http://stackoverflow.com/users/2724110", "Dawei Yang")</f>
        <v>Dawei Yang</v>
      </c>
      <c r="D1838" t="s">
        <v>5</v>
      </c>
      <c r="E1838">
        <v>198</v>
      </c>
    </row>
    <row r="1839" spans="1:5" x14ac:dyDescent="0.25">
      <c r="A1839">
        <v>1838</v>
      </c>
      <c r="B1839">
        <v>1355505</v>
      </c>
      <c r="C1839" s="1" t="str">
        <f>HYPERLINK("http://stackoverflow.com/users/1355505", "generalzyq")</f>
        <v>generalzyq</v>
      </c>
      <c r="D1839" t="s">
        <v>5</v>
      </c>
      <c r="E1839">
        <v>198</v>
      </c>
    </row>
    <row r="1840" spans="1:5" x14ac:dyDescent="0.25">
      <c r="A1840">
        <v>1839</v>
      </c>
      <c r="B1840">
        <v>5010058</v>
      </c>
      <c r="C1840" s="1" t="str">
        <f>HYPERLINK("http://stackoverflow.com/users/5010058", "Wenbin Zhang")</f>
        <v>Wenbin Zhang</v>
      </c>
      <c r="D1840" t="s">
        <v>22</v>
      </c>
      <c r="E1840">
        <v>198</v>
      </c>
    </row>
    <row r="1841" spans="1:5" x14ac:dyDescent="0.25">
      <c r="A1841">
        <v>1840</v>
      </c>
      <c r="B1841">
        <v>2290191</v>
      </c>
      <c r="C1841" s="1" t="str">
        <f>HYPERLINK("http://stackoverflow.com/users/2290191", "Ryan  Hoo")</f>
        <v>Ryan  Hoo</v>
      </c>
      <c r="D1841" t="s">
        <v>4</v>
      </c>
      <c r="E1841">
        <v>198</v>
      </c>
    </row>
    <row r="1842" spans="1:5" x14ac:dyDescent="0.25">
      <c r="A1842">
        <v>1841</v>
      </c>
      <c r="B1842">
        <v>196136</v>
      </c>
      <c r="C1842" s="1" t="str">
        <f>HYPERLINK("http://stackoverflow.com/users/196136", "lht")</f>
        <v>lht</v>
      </c>
      <c r="D1842" t="s">
        <v>4</v>
      </c>
      <c r="E1842">
        <v>198</v>
      </c>
    </row>
    <row r="1843" spans="1:5" x14ac:dyDescent="0.25">
      <c r="A1843">
        <v>1842</v>
      </c>
      <c r="B1843">
        <v>84430</v>
      </c>
      <c r="C1843" s="1" t="str">
        <f>HYPERLINK("http://stackoverflow.com/users/84430", "hws")</f>
        <v>hws</v>
      </c>
      <c r="D1843" t="s">
        <v>146</v>
      </c>
      <c r="E1843">
        <v>198</v>
      </c>
    </row>
    <row r="1844" spans="1:5" x14ac:dyDescent="0.25">
      <c r="A1844">
        <v>1843</v>
      </c>
      <c r="B1844">
        <v>4112049</v>
      </c>
      <c r="C1844" s="1" t="str">
        <f>HYPERLINK("http://stackoverflow.com/users/4112049", "Perqin")</f>
        <v>Perqin</v>
      </c>
      <c r="D1844" t="s">
        <v>21</v>
      </c>
      <c r="E1844">
        <v>198</v>
      </c>
    </row>
    <row r="1845" spans="1:5" x14ac:dyDescent="0.25">
      <c r="A1845">
        <v>1844</v>
      </c>
      <c r="B1845">
        <v>746038</v>
      </c>
      <c r="C1845" s="1" t="str">
        <f>HYPERLINK("http://stackoverflow.com/users/746038", "Haiyuan Li")</f>
        <v>Haiyuan Li</v>
      </c>
      <c r="D1845" t="s">
        <v>4</v>
      </c>
      <c r="E1845">
        <v>197</v>
      </c>
    </row>
    <row r="1846" spans="1:5" x14ac:dyDescent="0.25">
      <c r="A1846">
        <v>1845</v>
      </c>
      <c r="B1846">
        <v>8449528</v>
      </c>
      <c r="C1846" s="1" t="str">
        <f>HYPERLINK("http://stackoverflow.com/users/8449528", "ninjadev1030")</f>
        <v>ninjadev1030</v>
      </c>
      <c r="D1846" t="s">
        <v>74</v>
      </c>
      <c r="E1846">
        <v>197</v>
      </c>
    </row>
    <row r="1847" spans="1:5" x14ac:dyDescent="0.25">
      <c r="A1847">
        <v>1846</v>
      </c>
      <c r="B1847">
        <v>1528211</v>
      </c>
      <c r="C1847" s="1" t="str">
        <f>HYPERLINK("http://stackoverflow.com/users/1528211", "tobeyouth")</f>
        <v>tobeyouth</v>
      </c>
      <c r="D1847" t="s">
        <v>5</v>
      </c>
      <c r="E1847">
        <v>197</v>
      </c>
    </row>
    <row r="1848" spans="1:5" x14ac:dyDescent="0.25">
      <c r="A1848">
        <v>1847</v>
      </c>
      <c r="B1848">
        <v>2203674</v>
      </c>
      <c r="C1848" s="1" t="str">
        <f>HYPERLINK("http://stackoverflow.com/users/2203674", "X Zhang")</f>
        <v>X Zhang</v>
      </c>
      <c r="D1848" t="s">
        <v>5</v>
      </c>
      <c r="E1848">
        <v>197</v>
      </c>
    </row>
    <row r="1849" spans="1:5" x14ac:dyDescent="0.25">
      <c r="A1849">
        <v>1848</v>
      </c>
      <c r="B1849">
        <v>8856228</v>
      </c>
      <c r="C1849" s="1" t="str">
        <f>HYPERLINK("http://stackoverflow.com/users/8856228", "Atom")</f>
        <v>Atom</v>
      </c>
      <c r="D1849" t="s">
        <v>4</v>
      </c>
      <c r="E1849">
        <v>197</v>
      </c>
    </row>
    <row r="1850" spans="1:5" x14ac:dyDescent="0.25">
      <c r="A1850">
        <v>1849</v>
      </c>
      <c r="B1850">
        <v>1764208</v>
      </c>
      <c r="C1850" s="1" t="str">
        <f>HYPERLINK("http://stackoverflow.com/users/1764208", "Alex Cube")</f>
        <v>Alex Cube</v>
      </c>
      <c r="D1850" t="s">
        <v>4</v>
      </c>
      <c r="E1850">
        <v>197</v>
      </c>
    </row>
    <row r="1851" spans="1:5" x14ac:dyDescent="0.25">
      <c r="A1851">
        <v>1850</v>
      </c>
      <c r="B1851">
        <v>2745857</v>
      </c>
      <c r="C1851" s="1" t="str">
        <f>HYPERLINK("http://stackoverflow.com/users/2745857", "Carl")</f>
        <v>Carl</v>
      </c>
      <c r="D1851" t="s">
        <v>4</v>
      </c>
      <c r="E1851">
        <v>197</v>
      </c>
    </row>
    <row r="1852" spans="1:5" x14ac:dyDescent="0.25">
      <c r="A1852">
        <v>1851</v>
      </c>
      <c r="B1852">
        <v>4890538</v>
      </c>
      <c r="C1852" s="1" t="str">
        <f>HYPERLINK("http://stackoverflow.com/users/4890538", "Etienne C")</f>
        <v>Etienne C</v>
      </c>
      <c r="D1852" t="s">
        <v>4</v>
      </c>
      <c r="E1852">
        <v>196</v>
      </c>
    </row>
    <row r="1853" spans="1:5" x14ac:dyDescent="0.25">
      <c r="A1853">
        <v>1852</v>
      </c>
      <c r="B1853">
        <v>1764620</v>
      </c>
      <c r="C1853" s="1" t="str">
        <f>HYPERLINK("http://stackoverflow.com/users/1764620", "ldehai")</f>
        <v>ldehai</v>
      </c>
      <c r="D1853" t="s">
        <v>37</v>
      </c>
      <c r="E1853">
        <v>196</v>
      </c>
    </row>
    <row r="1854" spans="1:5" x14ac:dyDescent="0.25">
      <c r="A1854">
        <v>1853</v>
      </c>
      <c r="B1854">
        <v>4666395</v>
      </c>
      <c r="C1854" s="1" t="str">
        <f>HYPERLINK("http://stackoverflow.com/users/4666395", "Wenli He")</f>
        <v>Wenli He</v>
      </c>
      <c r="D1854" t="s">
        <v>36</v>
      </c>
      <c r="E1854">
        <v>196</v>
      </c>
    </row>
    <row r="1855" spans="1:5" x14ac:dyDescent="0.25">
      <c r="A1855">
        <v>1854</v>
      </c>
      <c r="B1855">
        <v>1654077</v>
      </c>
      <c r="C1855" s="1" t="str">
        <f>HYPERLINK("http://stackoverflow.com/users/1654077", "bpceee")</f>
        <v>bpceee</v>
      </c>
      <c r="D1855" t="s">
        <v>4</v>
      </c>
      <c r="E1855">
        <v>196</v>
      </c>
    </row>
    <row r="1856" spans="1:5" x14ac:dyDescent="0.25">
      <c r="A1856">
        <v>1855</v>
      </c>
      <c r="B1856">
        <v>281041</v>
      </c>
      <c r="C1856" s="1" t="str">
        <f>HYPERLINK("http://stackoverflow.com/users/281041", "stcatz")</f>
        <v>stcatz</v>
      </c>
      <c r="D1856" t="s">
        <v>132</v>
      </c>
      <c r="E1856">
        <v>196</v>
      </c>
    </row>
    <row r="1857" spans="1:5" x14ac:dyDescent="0.25">
      <c r="A1857">
        <v>1856</v>
      </c>
      <c r="B1857">
        <v>9298681</v>
      </c>
      <c r="C1857" s="1" t="str">
        <f>HYPERLINK("http://stackoverflow.com/users/9298681", "AsirXing")</f>
        <v>AsirXing</v>
      </c>
      <c r="D1857" t="s">
        <v>5</v>
      </c>
      <c r="E1857">
        <v>196</v>
      </c>
    </row>
    <row r="1858" spans="1:5" x14ac:dyDescent="0.25">
      <c r="A1858">
        <v>1857</v>
      </c>
      <c r="B1858">
        <v>1929144</v>
      </c>
      <c r="C1858" s="1" t="str">
        <f>HYPERLINK("http://stackoverflow.com/users/1929144", "Zhiming Yuan - Microsoft")</f>
        <v>Zhiming Yuan - Microsoft</v>
      </c>
      <c r="D1858" t="s">
        <v>4</v>
      </c>
      <c r="E1858">
        <v>196</v>
      </c>
    </row>
    <row r="1859" spans="1:5" x14ac:dyDescent="0.25">
      <c r="A1859">
        <v>1858</v>
      </c>
      <c r="B1859">
        <v>609597</v>
      </c>
      <c r="C1859" s="1" t="str">
        <f>HYPERLINK("http://stackoverflow.com/users/609597", "softwarevamp")</f>
        <v>softwarevamp</v>
      </c>
      <c r="D1859" t="s">
        <v>4</v>
      </c>
      <c r="E1859">
        <v>196</v>
      </c>
    </row>
    <row r="1860" spans="1:5" x14ac:dyDescent="0.25">
      <c r="A1860">
        <v>1859</v>
      </c>
      <c r="B1860">
        <v>1063091</v>
      </c>
      <c r="C1860" s="1" t="str">
        <f>HYPERLINK("http://stackoverflow.com/users/1063091", "Brook")</f>
        <v>Brook</v>
      </c>
      <c r="D1860" t="s">
        <v>17</v>
      </c>
      <c r="E1860">
        <v>196</v>
      </c>
    </row>
    <row r="1861" spans="1:5" x14ac:dyDescent="0.25">
      <c r="A1861">
        <v>1860</v>
      </c>
      <c r="B1861">
        <v>1536735</v>
      </c>
      <c r="C1861" s="1" t="str">
        <f>HYPERLINK("http://stackoverflow.com/users/1536735", "chenzhiwei")</f>
        <v>chenzhiwei</v>
      </c>
      <c r="D1861" t="s">
        <v>5</v>
      </c>
      <c r="E1861">
        <v>196</v>
      </c>
    </row>
    <row r="1862" spans="1:5" x14ac:dyDescent="0.25">
      <c r="A1862">
        <v>1861</v>
      </c>
      <c r="B1862">
        <v>2199283</v>
      </c>
      <c r="C1862" s="1" t="str">
        <f>HYPERLINK("http://stackoverflow.com/users/2199283", "User007")</f>
        <v>User007</v>
      </c>
      <c r="D1862" t="s">
        <v>5</v>
      </c>
      <c r="E1862">
        <v>196</v>
      </c>
    </row>
    <row r="1863" spans="1:5" x14ac:dyDescent="0.25">
      <c r="A1863">
        <v>1862</v>
      </c>
      <c r="B1863">
        <v>4399027</v>
      </c>
      <c r="C1863" s="1" t="str">
        <f>HYPERLINK("http://stackoverflow.com/users/4399027", "seedante")</f>
        <v>seedante</v>
      </c>
      <c r="D1863" t="s">
        <v>4</v>
      </c>
      <c r="E1863">
        <v>195</v>
      </c>
    </row>
    <row r="1864" spans="1:5" x14ac:dyDescent="0.25">
      <c r="A1864">
        <v>1863</v>
      </c>
      <c r="B1864">
        <v>419192</v>
      </c>
      <c r="C1864" s="1" t="str">
        <f>HYPERLINK("http://stackoverflow.com/users/419192", "Kushal Ashok")</f>
        <v>Kushal Ashok</v>
      </c>
      <c r="D1864" t="s">
        <v>4</v>
      </c>
      <c r="E1864">
        <v>195</v>
      </c>
    </row>
    <row r="1865" spans="1:5" x14ac:dyDescent="0.25">
      <c r="A1865">
        <v>1864</v>
      </c>
      <c r="B1865">
        <v>1066826</v>
      </c>
      <c r="C1865" s="1" t="str">
        <f>HYPERLINK("http://stackoverflow.com/users/1066826", "Lien")</f>
        <v>Lien</v>
      </c>
      <c r="D1865" t="s">
        <v>4</v>
      </c>
      <c r="E1865">
        <v>195</v>
      </c>
    </row>
    <row r="1866" spans="1:5" x14ac:dyDescent="0.25">
      <c r="A1866">
        <v>1865</v>
      </c>
      <c r="B1866">
        <v>626018</v>
      </c>
      <c r="C1866" s="1" t="str">
        <f>HYPERLINK("http://stackoverflow.com/users/626018", "xuesong")</f>
        <v>xuesong</v>
      </c>
      <c r="D1866" t="s">
        <v>4</v>
      </c>
      <c r="E1866">
        <v>195</v>
      </c>
    </row>
    <row r="1867" spans="1:5" x14ac:dyDescent="0.25">
      <c r="A1867">
        <v>1866</v>
      </c>
      <c r="B1867">
        <v>764060</v>
      </c>
      <c r="C1867" s="1" t="str">
        <f>HYPERLINK("http://stackoverflow.com/users/764060", "Jason")</f>
        <v>Jason</v>
      </c>
      <c r="D1867" t="s">
        <v>22</v>
      </c>
      <c r="E1867">
        <v>195</v>
      </c>
    </row>
    <row r="1868" spans="1:5" x14ac:dyDescent="0.25">
      <c r="A1868">
        <v>1867</v>
      </c>
      <c r="B1868">
        <v>1918831</v>
      </c>
      <c r="C1868" s="1" t="str">
        <f>HYPERLINK("http://stackoverflow.com/users/1918831", "isayme")</f>
        <v>isayme</v>
      </c>
      <c r="D1868" t="s">
        <v>37</v>
      </c>
      <c r="E1868">
        <v>194</v>
      </c>
    </row>
    <row r="1869" spans="1:5" x14ac:dyDescent="0.25">
      <c r="A1869">
        <v>1868</v>
      </c>
      <c r="B1869">
        <v>2173347</v>
      </c>
      <c r="C1869" s="1" t="str">
        <f>HYPERLINK("http://stackoverflow.com/users/2173347", "Jack Wang")</f>
        <v>Jack Wang</v>
      </c>
      <c r="D1869" t="s">
        <v>4</v>
      </c>
      <c r="E1869">
        <v>194</v>
      </c>
    </row>
    <row r="1870" spans="1:5" x14ac:dyDescent="0.25">
      <c r="A1870">
        <v>1869</v>
      </c>
      <c r="B1870">
        <v>1970012</v>
      </c>
      <c r="C1870" s="1" t="str">
        <f>HYPERLINK("http://stackoverflow.com/users/1970012", "Alex")</f>
        <v>Alex</v>
      </c>
      <c r="D1870" t="s">
        <v>5</v>
      </c>
      <c r="E1870">
        <v>193</v>
      </c>
    </row>
    <row r="1871" spans="1:5" x14ac:dyDescent="0.25">
      <c r="A1871">
        <v>1870</v>
      </c>
      <c r="B1871">
        <v>5637606</v>
      </c>
      <c r="C1871" s="1" t="str">
        <f>HYPERLINK("http://stackoverflow.com/users/5637606", "ssynhtn")</f>
        <v>ssynhtn</v>
      </c>
      <c r="D1871" t="s">
        <v>16</v>
      </c>
      <c r="E1871">
        <v>193</v>
      </c>
    </row>
    <row r="1872" spans="1:5" x14ac:dyDescent="0.25">
      <c r="A1872">
        <v>1871</v>
      </c>
      <c r="B1872">
        <v>2900276</v>
      </c>
      <c r="C1872" s="1" t="str">
        <f>HYPERLINK("http://stackoverflow.com/users/2900276", "Nodal")</f>
        <v>Nodal</v>
      </c>
      <c r="D1872" t="s">
        <v>5</v>
      </c>
      <c r="E1872">
        <v>193</v>
      </c>
    </row>
    <row r="1873" spans="1:5" x14ac:dyDescent="0.25">
      <c r="A1873">
        <v>1872</v>
      </c>
      <c r="B1873">
        <v>4553602</v>
      </c>
      <c r="C1873" s="1" t="str">
        <f>HYPERLINK("http://stackoverflow.com/users/4553602", "Tao Li")</f>
        <v>Tao Li</v>
      </c>
      <c r="D1873" t="s">
        <v>5</v>
      </c>
      <c r="E1873">
        <v>193</v>
      </c>
    </row>
    <row r="1874" spans="1:5" x14ac:dyDescent="0.25">
      <c r="A1874">
        <v>1873</v>
      </c>
      <c r="B1874">
        <v>1356189</v>
      </c>
      <c r="C1874" s="1" t="str">
        <f>HYPERLINK("http://stackoverflow.com/users/1356189", "NJUHOBBY")</f>
        <v>NJUHOBBY</v>
      </c>
      <c r="D1874" t="s">
        <v>3</v>
      </c>
      <c r="E1874">
        <v>193</v>
      </c>
    </row>
    <row r="1875" spans="1:5" x14ac:dyDescent="0.25">
      <c r="A1875">
        <v>1874</v>
      </c>
      <c r="B1875">
        <v>4170358</v>
      </c>
      <c r="C1875" s="1" t="str">
        <f>HYPERLINK("http://stackoverflow.com/users/4170358", "BananaWanted")</f>
        <v>BananaWanted</v>
      </c>
      <c r="D1875" t="s">
        <v>5</v>
      </c>
      <c r="E1875">
        <v>193</v>
      </c>
    </row>
    <row r="1876" spans="1:5" x14ac:dyDescent="0.25">
      <c r="A1876">
        <v>1875</v>
      </c>
      <c r="B1876">
        <v>2947904</v>
      </c>
      <c r="C1876" s="1" t="str">
        <f>HYPERLINK("http://stackoverflow.com/users/2947904", "bruin")</f>
        <v>bruin</v>
      </c>
      <c r="D1876" t="s">
        <v>5</v>
      </c>
      <c r="E1876">
        <v>192</v>
      </c>
    </row>
    <row r="1877" spans="1:5" x14ac:dyDescent="0.25">
      <c r="A1877">
        <v>1876</v>
      </c>
      <c r="B1877">
        <v>1517227</v>
      </c>
      <c r="C1877" s="1" t="str">
        <f>HYPERLINK("http://stackoverflow.com/users/1517227", "hello all")</f>
        <v>hello all</v>
      </c>
      <c r="D1877" t="s">
        <v>4</v>
      </c>
      <c r="E1877">
        <v>192</v>
      </c>
    </row>
    <row r="1878" spans="1:5" x14ac:dyDescent="0.25">
      <c r="A1878">
        <v>1877</v>
      </c>
      <c r="B1878">
        <v>95253</v>
      </c>
      <c r="C1878" s="1" t="str">
        <f>HYPERLINK("http://stackoverflow.com/users/95253", "NullPointer")</f>
        <v>NullPointer</v>
      </c>
      <c r="D1878" t="s">
        <v>5</v>
      </c>
      <c r="E1878">
        <v>192</v>
      </c>
    </row>
    <row r="1879" spans="1:5" x14ac:dyDescent="0.25">
      <c r="A1879">
        <v>1878</v>
      </c>
      <c r="B1879">
        <v>3167589</v>
      </c>
      <c r="C1879" s="1" t="str">
        <f>HYPERLINK("http://stackoverflow.com/users/3167589", "peak")</f>
        <v>peak</v>
      </c>
      <c r="D1879" t="s">
        <v>12</v>
      </c>
      <c r="E1879">
        <v>191</v>
      </c>
    </row>
    <row r="1880" spans="1:5" x14ac:dyDescent="0.25">
      <c r="A1880">
        <v>1879</v>
      </c>
      <c r="B1880">
        <v>5571166</v>
      </c>
      <c r="C1880" s="1" t="str">
        <f>HYPERLINK("http://stackoverflow.com/users/5571166", "jinzhaoyu")</f>
        <v>jinzhaoyu</v>
      </c>
      <c r="D1880" t="s">
        <v>12</v>
      </c>
      <c r="E1880">
        <v>191</v>
      </c>
    </row>
    <row r="1881" spans="1:5" x14ac:dyDescent="0.25">
      <c r="A1881">
        <v>1880</v>
      </c>
      <c r="B1881">
        <v>7724841</v>
      </c>
      <c r="C1881" s="1" t="str">
        <f>HYPERLINK("http://stackoverflow.com/users/7724841", "rayworks")</f>
        <v>rayworks</v>
      </c>
      <c r="D1881" t="s">
        <v>4</v>
      </c>
      <c r="E1881">
        <v>191</v>
      </c>
    </row>
    <row r="1882" spans="1:5" x14ac:dyDescent="0.25">
      <c r="A1882">
        <v>1881</v>
      </c>
      <c r="B1882">
        <v>5560904</v>
      </c>
      <c r="C1882" s="1" t="str">
        <f>HYPERLINK("http://stackoverflow.com/users/5560904", "Yat3s")</f>
        <v>Yat3s</v>
      </c>
      <c r="D1882" t="s">
        <v>5</v>
      </c>
      <c r="E1882">
        <v>190</v>
      </c>
    </row>
    <row r="1883" spans="1:5" x14ac:dyDescent="0.25">
      <c r="A1883">
        <v>1882</v>
      </c>
      <c r="B1883">
        <v>2700626</v>
      </c>
      <c r="C1883" s="1" t="str">
        <f>HYPERLINK("http://stackoverflow.com/users/2700626", "hugleecool")</f>
        <v>hugleecool</v>
      </c>
      <c r="D1883" t="s">
        <v>8</v>
      </c>
      <c r="E1883">
        <v>190</v>
      </c>
    </row>
    <row r="1884" spans="1:5" x14ac:dyDescent="0.25">
      <c r="A1884">
        <v>1883</v>
      </c>
      <c r="B1884">
        <v>232976</v>
      </c>
      <c r="C1884" s="1" t="str">
        <f>HYPERLINK("http://stackoverflow.com/users/232976", "Luke")</f>
        <v>Luke</v>
      </c>
      <c r="D1884" t="s">
        <v>12</v>
      </c>
      <c r="E1884">
        <v>190</v>
      </c>
    </row>
    <row r="1885" spans="1:5" x14ac:dyDescent="0.25">
      <c r="A1885">
        <v>1884</v>
      </c>
      <c r="B1885">
        <v>2659406</v>
      </c>
      <c r="C1885" s="1" t="str">
        <f>HYPERLINK("http://stackoverflow.com/users/2659406", "Dharmaraja.k")</f>
        <v>Dharmaraja.k</v>
      </c>
      <c r="D1885" t="s">
        <v>7</v>
      </c>
      <c r="E1885">
        <v>190</v>
      </c>
    </row>
    <row r="1886" spans="1:5" x14ac:dyDescent="0.25">
      <c r="A1886">
        <v>1885</v>
      </c>
      <c r="B1886">
        <v>559265</v>
      </c>
      <c r="C1886" s="1" t="str">
        <f>HYPERLINK("http://stackoverflow.com/users/559265", "LetBulletFlies")</f>
        <v>LetBulletFlies</v>
      </c>
      <c r="D1886" t="s">
        <v>5</v>
      </c>
      <c r="E1886">
        <v>190</v>
      </c>
    </row>
    <row r="1887" spans="1:5" x14ac:dyDescent="0.25">
      <c r="A1887">
        <v>1886</v>
      </c>
      <c r="B1887">
        <v>1966269</v>
      </c>
      <c r="C1887" s="1" t="str">
        <f>HYPERLINK("http://stackoverflow.com/users/1966269", "skyred")</f>
        <v>skyred</v>
      </c>
      <c r="D1887" t="s">
        <v>4</v>
      </c>
      <c r="E1887">
        <v>190</v>
      </c>
    </row>
    <row r="1888" spans="1:5" x14ac:dyDescent="0.25">
      <c r="A1888">
        <v>1887</v>
      </c>
      <c r="B1888">
        <v>5026611</v>
      </c>
      <c r="C1888" s="1" t="str">
        <f>HYPERLINK("http://stackoverflow.com/users/5026611", "martian")</f>
        <v>martian</v>
      </c>
      <c r="D1888" t="s">
        <v>16</v>
      </c>
      <c r="E1888">
        <v>190</v>
      </c>
    </row>
    <row r="1889" spans="1:5" x14ac:dyDescent="0.25">
      <c r="A1889">
        <v>1888</v>
      </c>
      <c r="B1889">
        <v>377727</v>
      </c>
      <c r="C1889" s="1" t="str">
        <f>HYPERLINK("http://stackoverflow.com/users/377727", "heavenwing")</f>
        <v>heavenwing</v>
      </c>
      <c r="D1889" t="s">
        <v>22</v>
      </c>
      <c r="E1889">
        <v>190</v>
      </c>
    </row>
    <row r="1890" spans="1:5" x14ac:dyDescent="0.25">
      <c r="A1890">
        <v>1889</v>
      </c>
      <c r="B1890">
        <v>479034</v>
      </c>
      <c r="C1890" s="1" t="str">
        <f>HYPERLINK("http://stackoverflow.com/users/479034", "BOYPT")</f>
        <v>BOYPT</v>
      </c>
      <c r="D1890" t="s">
        <v>21</v>
      </c>
      <c r="E1890">
        <v>190</v>
      </c>
    </row>
    <row r="1891" spans="1:5" x14ac:dyDescent="0.25">
      <c r="A1891">
        <v>1890</v>
      </c>
      <c r="B1891">
        <v>790219</v>
      </c>
      <c r="C1891" s="1" t="str">
        <f>HYPERLINK("http://stackoverflow.com/users/790219", "Jeffrey")</f>
        <v>Jeffrey</v>
      </c>
      <c r="D1891" t="s">
        <v>5</v>
      </c>
      <c r="E1891">
        <v>189</v>
      </c>
    </row>
    <row r="1892" spans="1:5" x14ac:dyDescent="0.25">
      <c r="A1892">
        <v>1891</v>
      </c>
      <c r="B1892">
        <v>601804</v>
      </c>
      <c r="C1892" s="1" t="str">
        <f>HYPERLINK("http://stackoverflow.com/users/601804", "Yang")</f>
        <v>Yang</v>
      </c>
      <c r="D1892" t="s">
        <v>67</v>
      </c>
      <c r="E1892">
        <v>189</v>
      </c>
    </row>
    <row r="1893" spans="1:5" x14ac:dyDescent="0.25">
      <c r="A1893">
        <v>1892</v>
      </c>
      <c r="B1893">
        <v>1020457</v>
      </c>
      <c r="C1893" s="1" t="str">
        <f>HYPERLINK("http://stackoverflow.com/users/1020457", "stream")</f>
        <v>stream</v>
      </c>
      <c r="D1893" t="s">
        <v>5</v>
      </c>
      <c r="E1893">
        <v>189</v>
      </c>
    </row>
    <row r="1894" spans="1:5" x14ac:dyDescent="0.25">
      <c r="A1894">
        <v>1893</v>
      </c>
      <c r="B1894">
        <v>5648228</v>
      </c>
      <c r="C1894" s="1" t="str">
        <f>HYPERLINK("http://stackoverflow.com/users/5648228", "shiguiyou")</f>
        <v>shiguiyou</v>
      </c>
      <c r="D1894" t="s">
        <v>55</v>
      </c>
      <c r="E1894">
        <v>189</v>
      </c>
    </row>
    <row r="1895" spans="1:5" x14ac:dyDescent="0.25">
      <c r="A1895">
        <v>1894</v>
      </c>
      <c r="B1895">
        <v>5634636</v>
      </c>
      <c r="C1895" s="1" t="str">
        <f>HYPERLINK("http://stackoverflow.com/users/5634636", "Huang Yuheng")</f>
        <v>Huang Yuheng</v>
      </c>
      <c r="D1895" t="s">
        <v>5</v>
      </c>
      <c r="E1895">
        <v>188</v>
      </c>
    </row>
    <row r="1896" spans="1:5" x14ac:dyDescent="0.25">
      <c r="A1896">
        <v>1895</v>
      </c>
      <c r="B1896">
        <v>1467876</v>
      </c>
      <c r="C1896" s="1" t="str">
        <f>HYPERLINK("http://stackoverflow.com/users/1467876", "thegalah")</f>
        <v>thegalah</v>
      </c>
      <c r="D1896" t="s">
        <v>7</v>
      </c>
      <c r="E1896">
        <v>188</v>
      </c>
    </row>
    <row r="1897" spans="1:5" x14ac:dyDescent="0.25">
      <c r="A1897">
        <v>1896</v>
      </c>
      <c r="B1897">
        <v>3022044</v>
      </c>
      <c r="C1897" s="1" t="str">
        <f>HYPERLINK("http://stackoverflow.com/users/3022044", "herokingsley")</f>
        <v>herokingsley</v>
      </c>
      <c r="D1897" t="s">
        <v>21</v>
      </c>
      <c r="E1897">
        <v>188</v>
      </c>
    </row>
    <row r="1898" spans="1:5" x14ac:dyDescent="0.25">
      <c r="A1898">
        <v>1897</v>
      </c>
      <c r="B1898">
        <v>689791</v>
      </c>
      <c r="C1898" s="1" t="str">
        <f>HYPERLINK("http://stackoverflow.com/users/689791", "JohnHanr")</f>
        <v>JohnHanr</v>
      </c>
      <c r="D1898" t="s">
        <v>147</v>
      </c>
      <c r="E1898">
        <v>188</v>
      </c>
    </row>
    <row r="1899" spans="1:5" x14ac:dyDescent="0.25">
      <c r="A1899">
        <v>1898</v>
      </c>
      <c r="B1899">
        <v>417331</v>
      </c>
      <c r="C1899" s="1" t="str">
        <f>HYPERLINK("http://stackoverflow.com/users/417331", "Yuanzhong Deng")</f>
        <v>Yuanzhong Deng</v>
      </c>
      <c r="D1899" t="s">
        <v>22</v>
      </c>
      <c r="E1899">
        <v>188</v>
      </c>
    </row>
    <row r="1900" spans="1:5" x14ac:dyDescent="0.25">
      <c r="A1900">
        <v>1899</v>
      </c>
      <c r="B1900">
        <v>7267991</v>
      </c>
      <c r="C1900" s="1" t="str">
        <f>HYPERLINK("http://stackoverflow.com/users/7267991", "Jimmy")</f>
        <v>Jimmy</v>
      </c>
      <c r="D1900" t="s">
        <v>148</v>
      </c>
      <c r="E1900">
        <v>188</v>
      </c>
    </row>
    <row r="1901" spans="1:5" x14ac:dyDescent="0.25">
      <c r="A1901">
        <v>1900</v>
      </c>
      <c r="B1901">
        <v>1418828</v>
      </c>
      <c r="C1901" s="1" t="str">
        <f>HYPERLINK("http://stackoverflow.com/users/1418828", "xiaobing")</f>
        <v>xiaobing</v>
      </c>
      <c r="D1901" t="s">
        <v>13</v>
      </c>
      <c r="E1901">
        <v>188</v>
      </c>
    </row>
    <row r="1902" spans="1:5" x14ac:dyDescent="0.25">
      <c r="A1902">
        <v>1901</v>
      </c>
      <c r="B1902">
        <v>1755035</v>
      </c>
      <c r="C1902" s="1" t="str">
        <f>HYPERLINK("http://stackoverflow.com/users/1755035", "Leemax")</f>
        <v>Leemax</v>
      </c>
      <c r="D1902" t="s">
        <v>5</v>
      </c>
      <c r="E1902">
        <v>188</v>
      </c>
    </row>
    <row r="1903" spans="1:5" x14ac:dyDescent="0.25">
      <c r="A1903">
        <v>1902</v>
      </c>
      <c r="B1903">
        <v>4517170</v>
      </c>
      <c r="C1903" s="1" t="str">
        <f>HYPERLINK("http://stackoverflow.com/users/4517170", "wti")</f>
        <v>wti</v>
      </c>
      <c r="D1903" t="s">
        <v>4</v>
      </c>
      <c r="E1903">
        <v>188</v>
      </c>
    </row>
    <row r="1904" spans="1:5" x14ac:dyDescent="0.25">
      <c r="A1904">
        <v>1903</v>
      </c>
      <c r="B1904">
        <v>238634</v>
      </c>
      <c r="C1904" s="1" t="str">
        <f>HYPERLINK("http://stackoverflow.com/users/238634", "Tony Wang")</f>
        <v>Tony Wang</v>
      </c>
      <c r="D1904" t="s">
        <v>5</v>
      </c>
      <c r="E1904">
        <v>188</v>
      </c>
    </row>
    <row r="1905" spans="1:5" x14ac:dyDescent="0.25">
      <c r="A1905">
        <v>1904</v>
      </c>
      <c r="B1905">
        <v>6379504</v>
      </c>
      <c r="C1905" s="1" t="str">
        <f>HYPERLINK("http://stackoverflow.com/users/6379504", "Neal.Marlin")</f>
        <v>Neal.Marlin</v>
      </c>
      <c r="D1905" t="s">
        <v>5</v>
      </c>
      <c r="E1905">
        <v>188</v>
      </c>
    </row>
    <row r="1906" spans="1:5" x14ac:dyDescent="0.25">
      <c r="A1906">
        <v>1905</v>
      </c>
      <c r="B1906">
        <v>7080155</v>
      </c>
      <c r="C1906" s="1" t="str">
        <f>HYPERLINK("http://stackoverflow.com/users/7080155", "Alan haha")</f>
        <v>Alan haha</v>
      </c>
      <c r="D1906" t="s">
        <v>4</v>
      </c>
      <c r="E1906">
        <v>188</v>
      </c>
    </row>
    <row r="1907" spans="1:5" x14ac:dyDescent="0.25">
      <c r="A1907">
        <v>1906</v>
      </c>
      <c r="B1907">
        <v>1602539</v>
      </c>
      <c r="C1907" s="1" t="str">
        <f>HYPERLINK("http://stackoverflow.com/users/1602539", "kedebug")</f>
        <v>kedebug</v>
      </c>
      <c r="D1907" t="s">
        <v>4</v>
      </c>
      <c r="E1907">
        <v>187</v>
      </c>
    </row>
    <row r="1908" spans="1:5" x14ac:dyDescent="0.25">
      <c r="A1908">
        <v>1907</v>
      </c>
      <c r="B1908">
        <v>1147097</v>
      </c>
      <c r="C1908" s="1" t="str">
        <f>HYPERLINK("http://stackoverflow.com/users/1147097", "mk_")</f>
        <v>mk_</v>
      </c>
      <c r="D1908" t="s">
        <v>4</v>
      </c>
      <c r="E1908">
        <v>187</v>
      </c>
    </row>
    <row r="1909" spans="1:5" x14ac:dyDescent="0.25">
      <c r="A1909">
        <v>1908</v>
      </c>
      <c r="B1909">
        <v>1737009</v>
      </c>
      <c r="C1909" s="1" t="str">
        <f>HYPERLINK("http://stackoverflow.com/users/1737009", "bbg")</f>
        <v>bbg</v>
      </c>
      <c r="D1909" t="s">
        <v>54</v>
      </c>
      <c r="E1909">
        <v>186</v>
      </c>
    </row>
    <row r="1910" spans="1:5" x14ac:dyDescent="0.25">
      <c r="A1910">
        <v>1909</v>
      </c>
      <c r="B1910">
        <v>907513</v>
      </c>
      <c r="C1910" s="1" t="str">
        <f>HYPERLINK("http://stackoverflow.com/users/907513", "vagase")</f>
        <v>vagase</v>
      </c>
      <c r="D1910" t="s">
        <v>4</v>
      </c>
      <c r="E1910">
        <v>186</v>
      </c>
    </row>
    <row r="1911" spans="1:5" x14ac:dyDescent="0.25">
      <c r="A1911">
        <v>1910</v>
      </c>
      <c r="B1911">
        <v>877813</v>
      </c>
      <c r="C1911" s="1" t="str">
        <f>HYPERLINK("http://stackoverflow.com/users/877813", "Raven")</f>
        <v>Raven</v>
      </c>
      <c r="D1911" t="s">
        <v>5</v>
      </c>
      <c r="E1911">
        <v>186</v>
      </c>
    </row>
    <row r="1912" spans="1:5" x14ac:dyDescent="0.25">
      <c r="A1912">
        <v>1911</v>
      </c>
      <c r="B1912">
        <v>160615</v>
      </c>
      <c r="C1912" s="1" t="str">
        <f>HYPERLINK("http://stackoverflow.com/users/160615", "chiesa")</f>
        <v>chiesa</v>
      </c>
      <c r="D1912" t="s">
        <v>4</v>
      </c>
      <c r="E1912">
        <v>186</v>
      </c>
    </row>
    <row r="1913" spans="1:5" x14ac:dyDescent="0.25">
      <c r="A1913">
        <v>1912</v>
      </c>
      <c r="B1913">
        <v>2098560</v>
      </c>
      <c r="C1913" s="1" t="str">
        <f>HYPERLINK("http://stackoverflow.com/users/2098560", "ed9er")</f>
        <v>ed9er</v>
      </c>
      <c r="D1913" t="s">
        <v>5</v>
      </c>
      <c r="E1913">
        <v>186</v>
      </c>
    </row>
    <row r="1914" spans="1:5" x14ac:dyDescent="0.25">
      <c r="A1914">
        <v>1913</v>
      </c>
      <c r="B1914">
        <v>2403920</v>
      </c>
      <c r="C1914" s="1" t="str">
        <f>HYPERLINK("http://stackoverflow.com/users/2403920", "Jules")</f>
        <v>Jules</v>
      </c>
      <c r="D1914" t="s">
        <v>17</v>
      </c>
      <c r="E1914">
        <v>186</v>
      </c>
    </row>
    <row r="1915" spans="1:5" x14ac:dyDescent="0.25">
      <c r="A1915">
        <v>1914</v>
      </c>
      <c r="B1915">
        <v>1557245</v>
      </c>
      <c r="C1915" s="1" t="str">
        <f>HYPERLINK("http://stackoverflow.com/users/1557245", "Allen Heavey")</f>
        <v>Allen Heavey</v>
      </c>
      <c r="D1915" t="s">
        <v>5</v>
      </c>
      <c r="E1915">
        <v>185</v>
      </c>
    </row>
    <row r="1916" spans="1:5" x14ac:dyDescent="0.25">
      <c r="A1916">
        <v>1915</v>
      </c>
      <c r="B1916">
        <v>1586541</v>
      </c>
      <c r="C1916" s="1" t="str">
        <f>HYPERLINK("http://stackoverflow.com/users/1586541", "inix")</f>
        <v>inix</v>
      </c>
      <c r="D1916" t="s">
        <v>5</v>
      </c>
      <c r="E1916">
        <v>185</v>
      </c>
    </row>
    <row r="1917" spans="1:5" x14ac:dyDescent="0.25">
      <c r="A1917">
        <v>1916</v>
      </c>
      <c r="B1917">
        <v>825954</v>
      </c>
      <c r="C1917" s="1" t="str">
        <f>HYPERLINK("http://stackoverflow.com/users/825954", "cuihao")</f>
        <v>cuihao</v>
      </c>
      <c r="D1917" t="s">
        <v>63</v>
      </c>
      <c r="E1917">
        <v>185</v>
      </c>
    </row>
    <row r="1918" spans="1:5" x14ac:dyDescent="0.25">
      <c r="A1918">
        <v>1917</v>
      </c>
      <c r="B1918">
        <v>1038953</v>
      </c>
      <c r="C1918" s="1" t="str">
        <f>HYPERLINK("http://stackoverflow.com/users/1038953", "jmuok")</f>
        <v>jmuok</v>
      </c>
      <c r="D1918" t="s">
        <v>37</v>
      </c>
      <c r="E1918">
        <v>185</v>
      </c>
    </row>
    <row r="1919" spans="1:5" x14ac:dyDescent="0.25">
      <c r="A1919">
        <v>1918</v>
      </c>
      <c r="B1919">
        <v>536068</v>
      </c>
      <c r="C1919" s="1" t="str">
        <f>HYPERLINK("http://stackoverflow.com/users/536068", "hpyhacking")</f>
        <v>hpyhacking</v>
      </c>
      <c r="D1919" t="s">
        <v>5</v>
      </c>
      <c r="E1919">
        <v>185</v>
      </c>
    </row>
    <row r="1920" spans="1:5" x14ac:dyDescent="0.25">
      <c r="A1920">
        <v>1919</v>
      </c>
      <c r="B1920">
        <v>747887</v>
      </c>
      <c r="C1920" s="1" t="str">
        <f>HYPERLINK("http://stackoverflow.com/users/747887", "imapollo")</f>
        <v>imapollo</v>
      </c>
      <c r="D1920" t="s">
        <v>4</v>
      </c>
      <c r="E1920">
        <v>184</v>
      </c>
    </row>
    <row r="1921" spans="1:5" x14ac:dyDescent="0.25">
      <c r="A1921">
        <v>1920</v>
      </c>
      <c r="B1921">
        <v>1045168</v>
      </c>
      <c r="C1921" s="1" t="str">
        <f>HYPERLINK("http://stackoverflow.com/users/1045168", "Rehtron")</f>
        <v>Rehtron</v>
      </c>
      <c r="D1921" t="s">
        <v>4</v>
      </c>
      <c r="E1921">
        <v>184</v>
      </c>
    </row>
    <row r="1922" spans="1:5" x14ac:dyDescent="0.25">
      <c r="A1922">
        <v>1921</v>
      </c>
      <c r="B1922">
        <v>1350657</v>
      </c>
      <c r="C1922" s="1" t="str">
        <f>HYPERLINK("http://stackoverflow.com/users/1350657", "hajimuz")</f>
        <v>hajimuz</v>
      </c>
      <c r="D1922" t="s">
        <v>52</v>
      </c>
      <c r="E1922">
        <v>184</v>
      </c>
    </row>
    <row r="1923" spans="1:5" x14ac:dyDescent="0.25">
      <c r="A1923">
        <v>1922</v>
      </c>
      <c r="B1923">
        <v>4432999</v>
      </c>
      <c r="C1923" s="1" t="str">
        <f>HYPERLINK("http://stackoverflow.com/users/4432999", "xina1i")</f>
        <v>xina1i</v>
      </c>
      <c r="D1923" t="s">
        <v>4</v>
      </c>
      <c r="E1923">
        <v>183</v>
      </c>
    </row>
    <row r="1924" spans="1:5" x14ac:dyDescent="0.25">
      <c r="A1924">
        <v>1923</v>
      </c>
      <c r="B1924">
        <v>1890745</v>
      </c>
      <c r="C1924" s="1" t="str">
        <f>HYPERLINK("http://stackoverflow.com/users/1890745", "xiepan")</f>
        <v>xiepan</v>
      </c>
      <c r="D1924" t="s">
        <v>5</v>
      </c>
      <c r="E1924">
        <v>183</v>
      </c>
    </row>
    <row r="1925" spans="1:5" x14ac:dyDescent="0.25">
      <c r="A1925">
        <v>1924</v>
      </c>
      <c r="B1925">
        <v>6247147</v>
      </c>
      <c r="C1925" s="1" t="str">
        <f>HYPERLINK("http://stackoverflow.com/users/6247147", "kubrick G")</f>
        <v>kubrick G</v>
      </c>
      <c r="D1925" t="s">
        <v>25</v>
      </c>
      <c r="E1925">
        <v>182</v>
      </c>
    </row>
    <row r="1926" spans="1:5" x14ac:dyDescent="0.25">
      <c r="A1926">
        <v>1925</v>
      </c>
      <c r="B1926">
        <v>190293</v>
      </c>
      <c r="C1926" s="1" t="str">
        <f>HYPERLINK("http://stackoverflow.com/users/190293", "Yi Ling")</f>
        <v>Yi Ling</v>
      </c>
      <c r="D1926" t="s">
        <v>5</v>
      </c>
      <c r="E1926">
        <v>182</v>
      </c>
    </row>
    <row r="1927" spans="1:5" x14ac:dyDescent="0.25">
      <c r="A1927">
        <v>1926</v>
      </c>
      <c r="B1927">
        <v>569534</v>
      </c>
      <c r="C1927" s="1" t="str">
        <f>HYPERLINK("http://stackoverflow.com/users/569534", "Tairan")</f>
        <v>Tairan</v>
      </c>
      <c r="D1927" t="s">
        <v>4</v>
      </c>
      <c r="E1927">
        <v>182</v>
      </c>
    </row>
    <row r="1928" spans="1:5" x14ac:dyDescent="0.25">
      <c r="A1928">
        <v>1927</v>
      </c>
      <c r="B1928">
        <v>1155758</v>
      </c>
      <c r="C1928" s="1" t="str">
        <f>HYPERLINK("http://stackoverflow.com/users/1155758", "Manish")</f>
        <v>Manish</v>
      </c>
      <c r="D1928" t="s">
        <v>25</v>
      </c>
      <c r="E1928">
        <v>181</v>
      </c>
    </row>
    <row r="1929" spans="1:5" x14ac:dyDescent="0.25">
      <c r="A1929">
        <v>1928</v>
      </c>
      <c r="B1929">
        <v>5588463</v>
      </c>
      <c r="C1929" s="1" t="str">
        <f>HYPERLINK("http://stackoverflow.com/users/5588463", "Yan QiDong")</f>
        <v>Yan QiDong</v>
      </c>
      <c r="D1929" t="s">
        <v>16</v>
      </c>
      <c r="E1929">
        <v>181</v>
      </c>
    </row>
    <row r="1930" spans="1:5" x14ac:dyDescent="0.25">
      <c r="A1930">
        <v>1929</v>
      </c>
      <c r="B1930">
        <v>319077</v>
      </c>
      <c r="C1930" s="1" t="str">
        <f>HYPERLINK("http://stackoverflow.com/users/319077", "Da Ma")</f>
        <v>Da Ma</v>
      </c>
      <c r="D1930" t="s">
        <v>5</v>
      </c>
      <c r="E1930">
        <v>181</v>
      </c>
    </row>
    <row r="1931" spans="1:5" x14ac:dyDescent="0.25">
      <c r="A1931">
        <v>1930</v>
      </c>
      <c r="B1931">
        <v>486038</v>
      </c>
      <c r="C1931" s="1" t="str">
        <f>HYPERLINK("http://stackoverflow.com/users/486038", "Flier Lu")</f>
        <v>Flier Lu</v>
      </c>
      <c r="D1931" t="s">
        <v>5</v>
      </c>
      <c r="E1931">
        <v>181</v>
      </c>
    </row>
    <row r="1932" spans="1:5" x14ac:dyDescent="0.25">
      <c r="A1932">
        <v>1931</v>
      </c>
      <c r="B1932">
        <v>1033388</v>
      </c>
      <c r="C1932" s="1" t="str">
        <f>HYPERLINK("http://stackoverflow.com/users/1033388", "Ethan")</f>
        <v>Ethan</v>
      </c>
      <c r="D1932" t="s">
        <v>12</v>
      </c>
      <c r="E1932">
        <v>181</v>
      </c>
    </row>
    <row r="1933" spans="1:5" x14ac:dyDescent="0.25">
      <c r="A1933">
        <v>1932</v>
      </c>
      <c r="B1933">
        <v>2988194</v>
      </c>
      <c r="C1933" s="1" t="str">
        <f>HYPERLINK("http://stackoverflow.com/users/2988194", "onebraveman")</f>
        <v>onebraveman</v>
      </c>
      <c r="D1933" t="s">
        <v>5</v>
      </c>
      <c r="E1933">
        <v>181</v>
      </c>
    </row>
    <row r="1934" spans="1:5" x14ac:dyDescent="0.25">
      <c r="A1934">
        <v>1933</v>
      </c>
      <c r="B1934">
        <v>3328520</v>
      </c>
      <c r="C1934" s="1" t="str">
        <f>HYPERLINK("http://stackoverflow.com/users/3328520", "linfaxin")</f>
        <v>linfaxin</v>
      </c>
      <c r="D1934" t="s">
        <v>4</v>
      </c>
      <c r="E1934">
        <v>181</v>
      </c>
    </row>
    <row r="1935" spans="1:5" x14ac:dyDescent="0.25">
      <c r="A1935">
        <v>1934</v>
      </c>
      <c r="B1935">
        <v>934525</v>
      </c>
      <c r="C1935" s="1" t="str">
        <f>HYPERLINK("http://stackoverflow.com/users/934525", "EricOops")</f>
        <v>EricOops</v>
      </c>
      <c r="D1935" t="s">
        <v>149</v>
      </c>
      <c r="E1935">
        <v>181</v>
      </c>
    </row>
    <row r="1936" spans="1:5" x14ac:dyDescent="0.25">
      <c r="A1936">
        <v>1935</v>
      </c>
      <c r="B1936">
        <v>1413216</v>
      </c>
      <c r="C1936" s="1" t="str">
        <f>HYPERLINK("http://stackoverflow.com/users/1413216", "Kimia Zhu")</f>
        <v>Kimia Zhu</v>
      </c>
      <c r="D1936" t="s">
        <v>17</v>
      </c>
      <c r="E1936">
        <v>181</v>
      </c>
    </row>
    <row r="1937" spans="1:5" x14ac:dyDescent="0.25">
      <c r="A1937">
        <v>1936</v>
      </c>
      <c r="B1937">
        <v>61923</v>
      </c>
      <c r="C1937" s="1" t="str">
        <f>HYPERLINK("http://stackoverflow.com/users/61923", "bigturtle")</f>
        <v>bigturtle</v>
      </c>
      <c r="D1937" t="s">
        <v>150</v>
      </c>
      <c r="E1937">
        <v>181</v>
      </c>
    </row>
    <row r="1938" spans="1:5" x14ac:dyDescent="0.25">
      <c r="A1938">
        <v>1937</v>
      </c>
      <c r="B1938">
        <v>4318783</v>
      </c>
      <c r="C1938" s="1" t="str">
        <f>HYPERLINK("http://stackoverflow.com/users/4318783", "Sam Xu")</f>
        <v>Sam Xu</v>
      </c>
      <c r="D1938" t="s">
        <v>5</v>
      </c>
      <c r="E1938">
        <v>181</v>
      </c>
    </row>
    <row r="1939" spans="1:5" x14ac:dyDescent="0.25">
      <c r="A1939">
        <v>1938</v>
      </c>
      <c r="B1939">
        <v>8986056</v>
      </c>
      <c r="C1939" s="1" t="str">
        <f>HYPERLINK("http://stackoverflow.com/users/8986056", "Jin Lin")</f>
        <v>Jin Lin</v>
      </c>
      <c r="D1939" t="s">
        <v>33</v>
      </c>
      <c r="E1939">
        <v>181</v>
      </c>
    </row>
    <row r="1940" spans="1:5" x14ac:dyDescent="0.25">
      <c r="A1940">
        <v>1939</v>
      </c>
      <c r="B1940">
        <v>5684853</v>
      </c>
      <c r="C1940" s="1" t="str">
        <f>HYPERLINK("http://stackoverflow.com/users/5684853", "shengshan zhang")</f>
        <v>shengshan zhang</v>
      </c>
      <c r="D1940" t="s">
        <v>16</v>
      </c>
      <c r="E1940">
        <v>180</v>
      </c>
    </row>
    <row r="1941" spans="1:5" x14ac:dyDescent="0.25">
      <c r="A1941">
        <v>1940</v>
      </c>
      <c r="B1941">
        <v>3113626</v>
      </c>
      <c r="C1941" s="1" t="str">
        <f>HYPERLINK("http://stackoverflow.com/users/3113626", "user3113626")</f>
        <v>user3113626</v>
      </c>
      <c r="D1941" t="s">
        <v>24</v>
      </c>
      <c r="E1941">
        <v>179</v>
      </c>
    </row>
    <row r="1942" spans="1:5" x14ac:dyDescent="0.25">
      <c r="A1942">
        <v>1941</v>
      </c>
      <c r="B1942">
        <v>1338884</v>
      </c>
      <c r="C1942" s="1" t="str">
        <f>HYPERLINK("http://stackoverflow.com/users/1338884", "Ooops")</f>
        <v>Ooops</v>
      </c>
      <c r="D1942" t="s">
        <v>5</v>
      </c>
      <c r="E1942">
        <v>179</v>
      </c>
    </row>
    <row r="1943" spans="1:5" x14ac:dyDescent="0.25">
      <c r="A1943">
        <v>1942</v>
      </c>
      <c r="B1943">
        <v>4998702</v>
      </c>
      <c r="C1943" s="1" t="str">
        <f>HYPERLINK("http://stackoverflow.com/users/4998702", "Kassadin")</f>
        <v>Kassadin</v>
      </c>
      <c r="D1943" t="s">
        <v>5</v>
      </c>
      <c r="E1943">
        <v>179</v>
      </c>
    </row>
    <row r="1944" spans="1:5" x14ac:dyDescent="0.25">
      <c r="A1944">
        <v>1943</v>
      </c>
      <c r="B1944">
        <v>534508</v>
      </c>
      <c r="C1944" s="1" t="str">
        <f>HYPERLINK("http://stackoverflow.com/users/534508", "Alexey")</f>
        <v>Alexey</v>
      </c>
      <c r="D1944" t="s">
        <v>4</v>
      </c>
      <c r="E1944">
        <v>179</v>
      </c>
    </row>
    <row r="1945" spans="1:5" x14ac:dyDescent="0.25">
      <c r="A1945">
        <v>1944</v>
      </c>
      <c r="B1945">
        <v>3978491</v>
      </c>
      <c r="C1945" s="1" t="str">
        <f>HYPERLINK("http://stackoverflow.com/users/3978491", "zebo zhuang")</f>
        <v>zebo zhuang</v>
      </c>
      <c r="D1945" t="s">
        <v>7</v>
      </c>
      <c r="E1945">
        <v>179</v>
      </c>
    </row>
    <row r="1946" spans="1:5" x14ac:dyDescent="0.25">
      <c r="A1946">
        <v>1945</v>
      </c>
      <c r="B1946">
        <v>5792949</v>
      </c>
      <c r="C1946" s="1" t="str">
        <f>HYPERLINK("http://stackoverflow.com/users/5792949", "Ernest")</f>
        <v>Ernest</v>
      </c>
      <c r="D1946" t="s">
        <v>17</v>
      </c>
      <c r="E1946">
        <v>179</v>
      </c>
    </row>
    <row r="1947" spans="1:5" x14ac:dyDescent="0.25">
      <c r="A1947">
        <v>1946</v>
      </c>
      <c r="B1947">
        <v>1584396</v>
      </c>
      <c r="C1947" s="1" t="str">
        <f>HYPERLINK("http://stackoverflow.com/users/1584396", "bean")</f>
        <v>bean</v>
      </c>
      <c r="D1947" t="s">
        <v>15</v>
      </c>
      <c r="E1947">
        <v>179</v>
      </c>
    </row>
    <row r="1948" spans="1:5" x14ac:dyDescent="0.25">
      <c r="A1948">
        <v>1947</v>
      </c>
      <c r="B1948">
        <v>1194307</v>
      </c>
      <c r="C1948" s="1" t="str">
        <f>HYPERLINK("http://stackoverflow.com/users/1194307", "lonecat")</f>
        <v>lonecat</v>
      </c>
      <c r="D1948" t="s">
        <v>5</v>
      </c>
      <c r="E1948">
        <v>179</v>
      </c>
    </row>
    <row r="1949" spans="1:5" x14ac:dyDescent="0.25">
      <c r="A1949">
        <v>1948</v>
      </c>
      <c r="B1949">
        <v>3323526</v>
      </c>
      <c r="C1949" s="1" t="str">
        <f>HYPERLINK("http://stackoverflow.com/users/3323526", "Columbia Rover")</f>
        <v>Columbia Rover</v>
      </c>
      <c r="D1949" t="s">
        <v>37</v>
      </c>
      <c r="E1949">
        <v>179</v>
      </c>
    </row>
    <row r="1950" spans="1:5" x14ac:dyDescent="0.25">
      <c r="A1950">
        <v>1949</v>
      </c>
      <c r="B1950">
        <v>4212603</v>
      </c>
      <c r="C1950" s="1" t="str">
        <f>HYPERLINK("http://stackoverflow.com/users/4212603", "Bing")</f>
        <v>Bing</v>
      </c>
      <c r="D1950" t="s">
        <v>5</v>
      </c>
      <c r="E1950">
        <v>178</v>
      </c>
    </row>
    <row r="1951" spans="1:5" x14ac:dyDescent="0.25">
      <c r="A1951">
        <v>1950</v>
      </c>
      <c r="B1951">
        <v>1132161</v>
      </c>
      <c r="C1951" s="1" t="str">
        <f>HYPERLINK("http://stackoverflow.com/users/1132161", "Garnett")</f>
        <v>Garnett</v>
      </c>
      <c r="D1951" t="s">
        <v>12</v>
      </c>
      <c r="E1951">
        <v>178</v>
      </c>
    </row>
    <row r="1952" spans="1:5" x14ac:dyDescent="0.25">
      <c r="A1952">
        <v>1951</v>
      </c>
      <c r="B1952">
        <v>818520</v>
      </c>
      <c r="C1952" s="1" t="str">
        <f>HYPERLINK("http://stackoverflow.com/users/818520", "Yuan")</f>
        <v>Yuan</v>
      </c>
      <c r="D1952" t="s">
        <v>17</v>
      </c>
      <c r="E1952">
        <v>178</v>
      </c>
    </row>
    <row r="1953" spans="1:5" x14ac:dyDescent="0.25">
      <c r="A1953">
        <v>1952</v>
      </c>
      <c r="B1953">
        <v>2741596</v>
      </c>
      <c r="C1953" s="1" t="str">
        <f>HYPERLINK("http://stackoverflow.com/users/2741596", "Jared Chen")</f>
        <v>Jared Chen</v>
      </c>
      <c r="D1953" t="s">
        <v>4</v>
      </c>
      <c r="E1953">
        <v>178</v>
      </c>
    </row>
    <row r="1954" spans="1:5" x14ac:dyDescent="0.25">
      <c r="A1954">
        <v>1953</v>
      </c>
      <c r="B1954">
        <v>1265727</v>
      </c>
      <c r="C1954" s="1" t="str">
        <f>HYPERLINK("http://stackoverflow.com/users/1265727", "xavierskip")</f>
        <v>xavierskip</v>
      </c>
      <c r="D1954" t="s">
        <v>8</v>
      </c>
      <c r="E1954">
        <v>178</v>
      </c>
    </row>
    <row r="1955" spans="1:5" x14ac:dyDescent="0.25">
      <c r="A1955">
        <v>1954</v>
      </c>
      <c r="B1955">
        <v>507192</v>
      </c>
      <c r="C1955" s="1" t="str">
        <f>HYPERLINK("http://stackoverflow.com/users/507192", "wqking")</f>
        <v>wqking</v>
      </c>
      <c r="D1955" t="s">
        <v>5</v>
      </c>
      <c r="E1955">
        <v>178</v>
      </c>
    </row>
    <row r="1956" spans="1:5" x14ac:dyDescent="0.25">
      <c r="A1956">
        <v>1955</v>
      </c>
      <c r="B1956">
        <v>406483</v>
      </c>
      <c r="C1956" s="1" t="str">
        <f>HYPERLINK("http://stackoverflow.com/users/406483", "Rui Teng")</f>
        <v>Rui Teng</v>
      </c>
      <c r="D1956" t="s">
        <v>4</v>
      </c>
      <c r="E1956">
        <v>178</v>
      </c>
    </row>
    <row r="1957" spans="1:5" x14ac:dyDescent="0.25">
      <c r="A1957">
        <v>1956</v>
      </c>
      <c r="B1957">
        <v>1314077</v>
      </c>
      <c r="C1957" s="1" t="str">
        <f>HYPERLINK("http://stackoverflow.com/users/1314077", "inferno")</f>
        <v>inferno</v>
      </c>
      <c r="D1957" t="s">
        <v>16</v>
      </c>
      <c r="E1957">
        <v>178</v>
      </c>
    </row>
    <row r="1958" spans="1:5" x14ac:dyDescent="0.25">
      <c r="A1958">
        <v>1957</v>
      </c>
      <c r="B1958">
        <v>2309850</v>
      </c>
      <c r="C1958" s="1" t="str">
        <f>HYPERLINK("http://stackoverflow.com/users/2309850", "Wyntau")</f>
        <v>Wyntau</v>
      </c>
      <c r="D1958" t="s">
        <v>5</v>
      </c>
      <c r="E1958">
        <v>178</v>
      </c>
    </row>
    <row r="1959" spans="1:5" x14ac:dyDescent="0.25">
      <c r="A1959">
        <v>1958</v>
      </c>
      <c r="B1959">
        <v>3083491</v>
      </c>
      <c r="C1959" s="1" t="str">
        <f>HYPERLINK("http://stackoverflow.com/users/3083491", "yufree")</f>
        <v>yufree</v>
      </c>
      <c r="D1959" t="s">
        <v>5</v>
      </c>
      <c r="E1959">
        <v>178</v>
      </c>
    </row>
    <row r="1960" spans="1:5" x14ac:dyDescent="0.25">
      <c r="A1960">
        <v>1959</v>
      </c>
      <c r="B1960">
        <v>1122976</v>
      </c>
      <c r="C1960" s="1" t="str">
        <f>HYPERLINK("http://stackoverflow.com/users/1122976", "hutusi")</f>
        <v>hutusi</v>
      </c>
      <c r="D1960" t="s">
        <v>4</v>
      </c>
      <c r="E1960">
        <v>177</v>
      </c>
    </row>
    <row r="1961" spans="1:5" x14ac:dyDescent="0.25">
      <c r="A1961">
        <v>1960</v>
      </c>
      <c r="B1961">
        <v>3889933</v>
      </c>
      <c r="C1961" s="1" t="str">
        <f>HYPERLINK("http://stackoverflow.com/users/3889933", "Marvin Wang")</f>
        <v>Marvin Wang</v>
      </c>
      <c r="D1961" t="s">
        <v>4</v>
      </c>
      <c r="E1961">
        <v>177</v>
      </c>
    </row>
    <row r="1962" spans="1:5" x14ac:dyDescent="0.25">
      <c r="A1962">
        <v>1961</v>
      </c>
      <c r="B1962">
        <v>2467712</v>
      </c>
      <c r="C1962" s="1" t="str">
        <f>HYPERLINK("http://stackoverflow.com/users/2467712", "Marks")</f>
        <v>Marks</v>
      </c>
      <c r="D1962" t="s">
        <v>21</v>
      </c>
      <c r="E1962">
        <v>177</v>
      </c>
    </row>
    <row r="1963" spans="1:5" x14ac:dyDescent="0.25">
      <c r="A1963">
        <v>1962</v>
      </c>
      <c r="B1963">
        <v>1564653</v>
      </c>
      <c r="C1963" s="1" t="str">
        <f>HYPERLINK("http://stackoverflow.com/users/1564653", "hudidit")</f>
        <v>hudidit</v>
      </c>
      <c r="D1963" t="s">
        <v>12</v>
      </c>
      <c r="E1963">
        <v>177</v>
      </c>
    </row>
    <row r="1964" spans="1:5" x14ac:dyDescent="0.25">
      <c r="A1964">
        <v>1963</v>
      </c>
      <c r="B1964">
        <v>2918210</v>
      </c>
      <c r="C1964" s="1" t="str">
        <f>HYPERLINK("http://stackoverflow.com/users/2918210", "veslam")</f>
        <v>veslam</v>
      </c>
      <c r="D1964" t="s">
        <v>5</v>
      </c>
      <c r="E1964">
        <v>177</v>
      </c>
    </row>
    <row r="1965" spans="1:5" x14ac:dyDescent="0.25">
      <c r="A1965">
        <v>1964</v>
      </c>
      <c r="B1965">
        <v>776977</v>
      </c>
      <c r="C1965" s="1" t="str">
        <f>HYPERLINK("http://stackoverflow.com/users/776977", "vikingmute")</f>
        <v>vikingmute</v>
      </c>
      <c r="D1965" t="s">
        <v>5</v>
      </c>
      <c r="E1965">
        <v>177</v>
      </c>
    </row>
    <row r="1966" spans="1:5" x14ac:dyDescent="0.25">
      <c r="A1966">
        <v>1965</v>
      </c>
      <c r="B1966">
        <v>655259</v>
      </c>
      <c r="C1966" s="1" t="str">
        <f>HYPERLINK("http://stackoverflow.com/users/655259", "bentz")</f>
        <v>bentz</v>
      </c>
      <c r="D1966" t="s">
        <v>5</v>
      </c>
      <c r="E1966">
        <v>177</v>
      </c>
    </row>
    <row r="1967" spans="1:5" x14ac:dyDescent="0.25">
      <c r="A1967">
        <v>1966</v>
      </c>
      <c r="B1967">
        <v>2021882</v>
      </c>
      <c r="C1967" s="1" t="str">
        <f>HYPERLINK("http://stackoverflow.com/users/2021882", "Praise Song")</f>
        <v>Praise Song</v>
      </c>
      <c r="D1967" t="s">
        <v>12</v>
      </c>
      <c r="E1967">
        <v>177</v>
      </c>
    </row>
    <row r="1968" spans="1:5" x14ac:dyDescent="0.25">
      <c r="A1968">
        <v>1967</v>
      </c>
      <c r="B1968">
        <v>674382</v>
      </c>
      <c r="C1968" s="1" t="str">
        <f>HYPERLINK("http://stackoverflow.com/users/674382", "MangMang")</f>
        <v>MangMang</v>
      </c>
      <c r="D1968" t="s">
        <v>5</v>
      </c>
      <c r="E1968">
        <v>177</v>
      </c>
    </row>
    <row r="1969" spans="1:5" x14ac:dyDescent="0.25">
      <c r="A1969">
        <v>1968</v>
      </c>
      <c r="B1969">
        <v>6643406</v>
      </c>
      <c r="C1969" s="1" t="str">
        <f>HYPERLINK("http://stackoverflow.com/users/6643406", "ReturnHttp402")</f>
        <v>ReturnHttp402</v>
      </c>
      <c r="D1969" t="s">
        <v>4</v>
      </c>
      <c r="E1969">
        <v>177</v>
      </c>
    </row>
    <row r="1970" spans="1:5" x14ac:dyDescent="0.25">
      <c r="A1970">
        <v>1969</v>
      </c>
      <c r="B1970">
        <v>9782506</v>
      </c>
      <c r="C1970" s="1" t="str">
        <f>HYPERLINK("http://stackoverflow.com/users/9782506", "yusher")</f>
        <v>yusher</v>
      </c>
      <c r="D1970" t="s">
        <v>58</v>
      </c>
      <c r="E1970">
        <v>176</v>
      </c>
    </row>
    <row r="1971" spans="1:5" x14ac:dyDescent="0.25">
      <c r="A1971">
        <v>1970</v>
      </c>
      <c r="B1971">
        <v>3898650</v>
      </c>
      <c r="C1971" s="1" t="str">
        <f>HYPERLINK("http://stackoverflow.com/users/3898650", "cheezer")</f>
        <v>cheezer</v>
      </c>
      <c r="D1971" t="s">
        <v>4</v>
      </c>
      <c r="E1971">
        <v>176</v>
      </c>
    </row>
    <row r="1972" spans="1:5" x14ac:dyDescent="0.25">
      <c r="A1972">
        <v>1971</v>
      </c>
      <c r="B1972">
        <v>4758906</v>
      </c>
      <c r="C1972" s="1" t="str">
        <f>HYPERLINK("http://stackoverflow.com/users/4758906", "huangming")</f>
        <v>huangming</v>
      </c>
      <c r="D1972" t="s">
        <v>17</v>
      </c>
      <c r="E1972">
        <v>176</v>
      </c>
    </row>
    <row r="1973" spans="1:5" x14ac:dyDescent="0.25">
      <c r="A1973">
        <v>1972</v>
      </c>
      <c r="B1973">
        <v>2369039</v>
      </c>
      <c r="C1973" s="1" t="str">
        <f>HYPERLINK("http://stackoverflow.com/users/2369039", "Loong_T")</f>
        <v>Loong_T</v>
      </c>
      <c r="D1973" t="s">
        <v>4</v>
      </c>
      <c r="E1973">
        <v>176</v>
      </c>
    </row>
    <row r="1974" spans="1:5" x14ac:dyDescent="0.25">
      <c r="A1974">
        <v>1973</v>
      </c>
      <c r="B1974">
        <v>698027</v>
      </c>
      <c r="C1974" s="1" t="str">
        <f>HYPERLINK("http://stackoverflow.com/users/698027", "Pu Gong")</f>
        <v>Pu Gong</v>
      </c>
      <c r="D1974" t="s">
        <v>5</v>
      </c>
      <c r="E1974">
        <v>176</v>
      </c>
    </row>
    <row r="1975" spans="1:5" x14ac:dyDescent="0.25">
      <c r="A1975">
        <v>1974</v>
      </c>
      <c r="B1975">
        <v>3153079</v>
      </c>
      <c r="C1975" s="1" t="str">
        <f>HYPERLINK("http://stackoverflow.com/users/3153079", "Tiger.Xing")</f>
        <v>Tiger.Xing</v>
      </c>
      <c r="D1975" t="s">
        <v>5</v>
      </c>
      <c r="E1975">
        <v>176</v>
      </c>
    </row>
    <row r="1976" spans="1:5" x14ac:dyDescent="0.25">
      <c r="A1976">
        <v>1975</v>
      </c>
      <c r="B1976">
        <v>5741944</v>
      </c>
      <c r="C1976" s="1" t="str">
        <f>HYPERLINK("http://stackoverflow.com/users/5741944", "SeraZheng")</f>
        <v>SeraZheng</v>
      </c>
      <c r="D1976" t="s">
        <v>151</v>
      </c>
      <c r="E1976">
        <v>176</v>
      </c>
    </row>
    <row r="1977" spans="1:5" x14ac:dyDescent="0.25">
      <c r="A1977">
        <v>1976</v>
      </c>
      <c r="B1977">
        <v>748124</v>
      </c>
      <c r="C1977" s="1" t="str">
        <f>HYPERLINK("http://stackoverflow.com/users/748124", "outsiders")</f>
        <v>outsiders</v>
      </c>
      <c r="D1977" t="s">
        <v>12</v>
      </c>
      <c r="E1977">
        <v>176</v>
      </c>
    </row>
    <row r="1978" spans="1:5" x14ac:dyDescent="0.25">
      <c r="A1978">
        <v>1977</v>
      </c>
      <c r="B1978">
        <v>390669</v>
      </c>
      <c r="C1978" s="1" t="str">
        <f>HYPERLINK("http://stackoverflow.com/users/390669", "Dave Wilding")</f>
        <v>Dave Wilding</v>
      </c>
      <c r="D1978" t="s">
        <v>5</v>
      </c>
      <c r="E1978">
        <v>176</v>
      </c>
    </row>
    <row r="1979" spans="1:5" x14ac:dyDescent="0.25">
      <c r="A1979">
        <v>1978</v>
      </c>
      <c r="B1979">
        <v>5188839</v>
      </c>
      <c r="C1979" s="1" t="str">
        <f>HYPERLINK("http://stackoverflow.com/users/5188839", "Hee")</f>
        <v>Hee</v>
      </c>
      <c r="D1979" t="s">
        <v>7</v>
      </c>
      <c r="E1979">
        <v>175</v>
      </c>
    </row>
    <row r="1980" spans="1:5" x14ac:dyDescent="0.25">
      <c r="A1980">
        <v>1979</v>
      </c>
      <c r="B1980">
        <v>3986569</v>
      </c>
      <c r="C1980" s="1" t="str">
        <f>HYPERLINK("http://stackoverflow.com/users/3986569", "Dino Liu")</f>
        <v>Dino Liu</v>
      </c>
      <c r="D1980" t="s">
        <v>3</v>
      </c>
      <c r="E1980">
        <v>175</v>
      </c>
    </row>
    <row r="1981" spans="1:5" x14ac:dyDescent="0.25">
      <c r="A1981">
        <v>1980</v>
      </c>
      <c r="B1981">
        <v>4613924</v>
      </c>
      <c r="C1981" s="1" t="str">
        <f>HYPERLINK("http://stackoverflow.com/users/4613924", "samm")</f>
        <v>samm</v>
      </c>
      <c r="D1981" t="s">
        <v>4</v>
      </c>
      <c r="E1981">
        <v>175</v>
      </c>
    </row>
    <row r="1982" spans="1:5" x14ac:dyDescent="0.25">
      <c r="A1982">
        <v>1981</v>
      </c>
      <c r="B1982">
        <v>2698763</v>
      </c>
      <c r="C1982" s="1" t="str">
        <f>HYPERLINK("http://stackoverflow.com/users/2698763", "ijustyce")</f>
        <v>ijustyce</v>
      </c>
      <c r="D1982" t="s">
        <v>16</v>
      </c>
      <c r="E1982">
        <v>175</v>
      </c>
    </row>
    <row r="1983" spans="1:5" x14ac:dyDescent="0.25">
      <c r="A1983">
        <v>1982</v>
      </c>
      <c r="B1983">
        <v>1065373</v>
      </c>
      <c r="C1983" s="1" t="str">
        <f>HYPERLINK("http://stackoverflow.com/users/1065373", "morphinewan")</f>
        <v>morphinewan</v>
      </c>
      <c r="D1983" t="s">
        <v>4</v>
      </c>
      <c r="E1983">
        <v>175</v>
      </c>
    </row>
    <row r="1984" spans="1:5" x14ac:dyDescent="0.25">
      <c r="A1984">
        <v>1983</v>
      </c>
      <c r="B1984">
        <v>2409014</v>
      </c>
      <c r="C1984" s="1" t="str">
        <f>HYPERLINK("http://stackoverflow.com/users/2409014", "hippo_san")</f>
        <v>hippo_san</v>
      </c>
      <c r="D1984" t="s">
        <v>5</v>
      </c>
      <c r="E1984">
        <v>174</v>
      </c>
    </row>
    <row r="1985" spans="1:5" x14ac:dyDescent="0.25">
      <c r="A1985">
        <v>1984</v>
      </c>
      <c r="B1985">
        <v>2684494</v>
      </c>
      <c r="C1985" s="1" t="str">
        <f>HYPERLINK("http://stackoverflow.com/users/2684494", "Su  Zhenpeng")</f>
        <v>Su  Zhenpeng</v>
      </c>
      <c r="D1985" t="s">
        <v>4</v>
      </c>
      <c r="E1985">
        <v>174</v>
      </c>
    </row>
    <row r="1986" spans="1:5" x14ac:dyDescent="0.25">
      <c r="A1986">
        <v>1985</v>
      </c>
      <c r="B1986">
        <v>3395456</v>
      </c>
      <c r="C1986" s="1" t="str">
        <f>HYPERLINK("http://stackoverflow.com/users/3395456", "Laohyx")</f>
        <v>Laohyx</v>
      </c>
      <c r="D1986" t="s">
        <v>4</v>
      </c>
      <c r="E1986">
        <v>173</v>
      </c>
    </row>
    <row r="1987" spans="1:5" x14ac:dyDescent="0.25">
      <c r="A1987">
        <v>1986</v>
      </c>
      <c r="B1987">
        <v>2562827</v>
      </c>
      <c r="C1987" s="1" t="str">
        <f>HYPERLINK("http://stackoverflow.com/users/2562827", "BinGoBinBin")</f>
        <v>BinGoBinBin</v>
      </c>
      <c r="D1987" t="s">
        <v>152</v>
      </c>
      <c r="E1987">
        <v>173</v>
      </c>
    </row>
    <row r="1988" spans="1:5" x14ac:dyDescent="0.25">
      <c r="A1988">
        <v>1987</v>
      </c>
      <c r="B1988">
        <v>746881</v>
      </c>
      <c r="C1988" s="1" t="str">
        <f>HYPERLINK("http://stackoverflow.com/users/746881", "Kewin")</f>
        <v>Kewin</v>
      </c>
      <c r="D1988" t="s">
        <v>5</v>
      </c>
      <c r="E1988">
        <v>173</v>
      </c>
    </row>
    <row r="1989" spans="1:5" x14ac:dyDescent="0.25">
      <c r="A1989">
        <v>1988</v>
      </c>
      <c r="B1989">
        <v>2150528</v>
      </c>
      <c r="C1989" s="1" t="str">
        <f>HYPERLINK("http://stackoverflow.com/users/2150528", "Chenxiao")</f>
        <v>Chenxiao</v>
      </c>
      <c r="D1989" t="s">
        <v>5</v>
      </c>
      <c r="E1989">
        <v>173</v>
      </c>
    </row>
    <row r="1990" spans="1:5" x14ac:dyDescent="0.25">
      <c r="A1990">
        <v>1989</v>
      </c>
      <c r="B1990">
        <v>3136752</v>
      </c>
      <c r="C1990" s="1" t="str">
        <f>HYPERLINK("http://stackoverflow.com/users/3136752", "waterd")</f>
        <v>waterd</v>
      </c>
      <c r="D1990" t="s">
        <v>25</v>
      </c>
      <c r="E1990">
        <v>172</v>
      </c>
    </row>
    <row r="1991" spans="1:5" x14ac:dyDescent="0.25">
      <c r="A1991">
        <v>1990</v>
      </c>
      <c r="B1991">
        <v>1247680</v>
      </c>
      <c r="C1991" s="1" t="str">
        <f>HYPERLINK("http://stackoverflow.com/users/1247680", "gnemoug")</f>
        <v>gnemoug</v>
      </c>
      <c r="D1991" t="s">
        <v>153</v>
      </c>
      <c r="E1991">
        <v>172</v>
      </c>
    </row>
    <row r="1992" spans="1:5" x14ac:dyDescent="0.25">
      <c r="A1992">
        <v>1991</v>
      </c>
      <c r="B1992">
        <v>882766</v>
      </c>
      <c r="C1992" s="1" t="str">
        <f>HYPERLINK("http://stackoverflow.com/users/882766", "bychance")</f>
        <v>bychance</v>
      </c>
      <c r="D1992" t="s">
        <v>5</v>
      </c>
      <c r="E1992">
        <v>172</v>
      </c>
    </row>
    <row r="1993" spans="1:5" x14ac:dyDescent="0.25">
      <c r="A1993">
        <v>1992</v>
      </c>
      <c r="B1993">
        <v>179620</v>
      </c>
      <c r="C1993" s="1" t="str">
        <f>HYPERLINK("http://stackoverflow.com/users/179620", "EthanZ6174")</f>
        <v>EthanZ6174</v>
      </c>
      <c r="D1993" t="s">
        <v>57</v>
      </c>
      <c r="E1993">
        <v>172</v>
      </c>
    </row>
    <row r="1994" spans="1:5" x14ac:dyDescent="0.25">
      <c r="A1994">
        <v>1993</v>
      </c>
      <c r="B1994">
        <v>4404369</v>
      </c>
      <c r="C1994" s="1" t="str">
        <f>HYPERLINK("http://stackoverflow.com/users/4404369", "Terence Hang")</f>
        <v>Terence Hang</v>
      </c>
      <c r="D1994" t="s">
        <v>5</v>
      </c>
      <c r="E1994">
        <v>172</v>
      </c>
    </row>
    <row r="1995" spans="1:5" x14ac:dyDescent="0.25">
      <c r="A1995">
        <v>1994</v>
      </c>
      <c r="B1995">
        <v>767221</v>
      </c>
      <c r="C1995" s="1" t="str">
        <f>HYPERLINK("http://stackoverflow.com/users/767221", "Song")</f>
        <v>Song</v>
      </c>
      <c r="D1995" t="s">
        <v>4</v>
      </c>
      <c r="E1995">
        <v>172</v>
      </c>
    </row>
    <row r="1996" spans="1:5" x14ac:dyDescent="0.25">
      <c r="A1996">
        <v>1995</v>
      </c>
      <c r="B1996">
        <v>1251269</v>
      </c>
      <c r="C1996" s="1" t="str">
        <f>HYPERLINK("http://stackoverflow.com/users/1251269", "lmatt")</f>
        <v>lmatt</v>
      </c>
      <c r="D1996" t="s">
        <v>5</v>
      </c>
      <c r="E1996">
        <v>172</v>
      </c>
    </row>
    <row r="1997" spans="1:5" x14ac:dyDescent="0.25">
      <c r="A1997">
        <v>1996</v>
      </c>
      <c r="B1997">
        <v>3858559</v>
      </c>
      <c r="C1997" s="1" t="str">
        <f>HYPERLINK("http://stackoverflow.com/users/3858559", "nightlybuilt")</f>
        <v>nightlybuilt</v>
      </c>
      <c r="D1997" t="s">
        <v>74</v>
      </c>
      <c r="E1997">
        <v>172</v>
      </c>
    </row>
    <row r="1998" spans="1:5" x14ac:dyDescent="0.25">
      <c r="A1998">
        <v>1997</v>
      </c>
      <c r="B1998">
        <v>9805293</v>
      </c>
      <c r="C1998" s="1" t="str">
        <f>HYPERLINK("http://stackoverflow.com/users/9805293", "D.Jiang")</f>
        <v>D.Jiang</v>
      </c>
      <c r="D1998" t="s">
        <v>4</v>
      </c>
      <c r="E1998">
        <v>171</v>
      </c>
    </row>
    <row r="1999" spans="1:5" x14ac:dyDescent="0.25">
      <c r="A1999">
        <v>1998</v>
      </c>
      <c r="B1999">
        <v>1137195</v>
      </c>
      <c r="C1999" s="1" t="str">
        <f>HYPERLINK("http://stackoverflow.com/users/1137195", "Kwan")</f>
        <v>Kwan</v>
      </c>
      <c r="D1999" t="s">
        <v>21</v>
      </c>
      <c r="E1999">
        <v>171</v>
      </c>
    </row>
    <row r="2000" spans="1:5" x14ac:dyDescent="0.25">
      <c r="A2000">
        <v>1999</v>
      </c>
      <c r="B2000">
        <v>1131713</v>
      </c>
      <c r="C2000" s="1" t="str">
        <f>HYPERLINK("http://stackoverflow.com/users/1131713", "ThemeZ")</f>
        <v>ThemeZ</v>
      </c>
      <c r="D2000" t="s">
        <v>4</v>
      </c>
      <c r="E2000">
        <v>171</v>
      </c>
    </row>
    <row r="2001" spans="1:5" x14ac:dyDescent="0.25">
      <c r="A2001">
        <v>2000</v>
      </c>
      <c r="B2001">
        <v>6396527</v>
      </c>
      <c r="C2001" s="1" t="str">
        <f>HYPERLINK("http://stackoverflow.com/users/6396527", "JieLiang Ma")</f>
        <v>JieLiang Ma</v>
      </c>
      <c r="D2001" t="s">
        <v>5</v>
      </c>
      <c r="E2001">
        <v>171</v>
      </c>
    </row>
    <row r="2002" spans="1:5" x14ac:dyDescent="0.25">
      <c r="A2002">
        <v>2001</v>
      </c>
      <c r="B2002">
        <v>2317991</v>
      </c>
      <c r="C2002" s="1" t="str">
        <f>HYPERLINK("http://stackoverflow.com/users/2317991", "Cross")</f>
        <v>Cross</v>
      </c>
      <c r="D2002" t="s">
        <v>5</v>
      </c>
      <c r="E2002">
        <v>171</v>
      </c>
    </row>
    <row r="2003" spans="1:5" x14ac:dyDescent="0.25">
      <c r="A2003">
        <v>2002</v>
      </c>
      <c r="B2003">
        <v>5714136</v>
      </c>
      <c r="C2003" s="1" t="str">
        <f>HYPERLINK("http://stackoverflow.com/users/5714136", "galian")</f>
        <v>galian</v>
      </c>
      <c r="D2003" t="s">
        <v>5</v>
      </c>
      <c r="E2003">
        <v>171</v>
      </c>
    </row>
    <row r="2004" spans="1:5" x14ac:dyDescent="0.25">
      <c r="A2004">
        <v>2003</v>
      </c>
      <c r="B2004">
        <v>2969224</v>
      </c>
      <c r="C2004" s="1" t="str">
        <f>HYPERLINK("http://stackoverflow.com/users/2969224", "UnixAgain")</f>
        <v>UnixAgain</v>
      </c>
      <c r="D2004" t="s">
        <v>5</v>
      </c>
      <c r="E2004">
        <v>171</v>
      </c>
    </row>
    <row r="2005" spans="1:5" x14ac:dyDescent="0.25">
      <c r="A2005">
        <v>2004</v>
      </c>
      <c r="B2005">
        <v>814928</v>
      </c>
      <c r="C2005" s="1" t="str">
        <f>HYPERLINK("http://stackoverflow.com/users/814928", "Kengo TODA")</f>
        <v>Kengo TODA</v>
      </c>
      <c r="D2005" t="s">
        <v>4</v>
      </c>
      <c r="E2005">
        <v>171</v>
      </c>
    </row>
    <row r="2006" spans="1:5" x14ac:dyDescent="0.25">
      <c r="A2006">
        <v>2005</v>
      </c>
      <c r="B2006">
        <v>7189286</v>
      </c>
      <c r="C2006" s="1" t="str">
        <f>HYPERLINK("http://stackoverflow.com/users/7189286", "Ernie Cheng")</f>
        <v>Ernie Cheng</v>
      </c>
      <c r="D2006" t="s">
        <v>16</v>
      </c>
      <c r="E2006">
        <v>171</v>
      </c>
    </row>
    <row r="2007" spans="1:5" x14ac:dyDescent="0.25">
      <c r="A2007">
        <v>2006</v>
      </c>
      <c r="B2007">
        <v>5553959</v>
      </c>
      <c r="C2007" s="1" t="str">
        <f>HYPERLINK("http://stackoverflow.com/users/5553959", "Ben")</f>
        <v>Ben</v>
      </c>
      <c r="D2007" t="s">
        <v>8</v>
      </c>
      <c r="E2007">
        <v>171</v>
      </c>
    </row>
    <row r="2008" spans="1:5" x14ac:dyDescent="0.25">
      <c r="A2008">
        <v>2007</v>
      </c>
      <c r="B2008">
        <v>4761946</v>
      </c>
      <c r="C2008" s="1" t="str">
        <f>HYPERLINK("http://stackoverflow.com/users/4761946", "Zhiwei Ma")</f>
        <v>Zhiwei Ma</v>
      </c>
      <c r="D2008" t="s">
        <v>16</v>
      </c>
      <c r="E2008">
        <v>171</v>
      </c>
    </row>
    <row r="2009" spans="1:5" x14ac:dyDescent="0.25">
      <c r="A2009">
        <v>2008</v>
      </c>
      <c r="B2009">
        <v>2897870</v>
      </c>
      <c r="C2009" s="1" t="str">
        <f>HYPERLINK("http://stackoverflow.com/users/2897870", "Guiyanakuang")</f>
        <v>Guiyanakuang</v>
      </c>
      <c r="D2009" t="s">
        <v>25</v>
      </c>
      <c r="E2009">
        <v>171</v>
      </c>
    </row>
    <row r="2010" spans="1:5" x14ac:dyDescent="0.25">
      <c r="A2010">
        <v>2009</v>
      </c>
      <c r="B2010">
        <v>1468013</v>
      </c>
      <c r="C2010" s="1" t="str">
        <f>HYPERLINK("http://stackoverflow.com/users/1468013", "sailing")</f>
        <v>sailing</v>
      </c>
      <c r="D2010" t="s">
        <v>91</v>
      </c>
      <c r="E2010">
        <v>171</v>
      </c>
    </row>
    <row r="2011" spans="1:5" x14ac:dyDescent="0.25">
      <c r="A2011">
        <v>2010</v>
      </c>
      <c r="B2011">
        <v>1817234</v>
      </c>
      <c r="C2011" s="1" t="str">
        <f>HYPERLINK("http://stackoverflow.com/users/1817234", "Javen.Yang")</f>
        <v>Javen.Yang</v>
      </c>
      <c r="D2011" t="s">
        <v>5</v>
      </c>
      <c r="E2011">
        <v>171</v>
      </c>
    </row>
    <row r="2012" spans="1:5" x14ac:dyDescent="0.25">
      <c r="A2012">
        <v>2011</v>
      </c>
      <c r="B2012">
        <v>2975621</v>
      </c>
      <c r="C2012" s="1" t="str">
        <f>HYPERLINK("http://stackoverflow.com/users/2975621", "Leon.Wray")</f>
        <v>Leon.Wray</v>
      </c>
      <c r="D2012" t="s">
        <v>91</v>
      </c>
      <c r="E2012">
        <v>171</v>
      </c>
    </row>
    <row r="2013" spans="1:5" x14ac:dyDescent="0.25">
      <c r="A2013">
        <v>2012</v>
      </c>
      <c r="B2013">
        <v>5956372</v>
      </c>
      <c r="C2013" s="1" t="str">
        <f>HYPERLINK("http://stackoverflow.com/users/5956372", "Wanming Zhang")</f>
        <v>Wanming Zhang</v>
      </c>
      <c r="D2013" t="s">
        <v>28</v>
      </c>
      <c r="E2013">
        <v>170</v>
      </c>
    </row>
    <row r="2014" spans="1:5" x14ac:dyDescent="0.25">
      <c r="A2014">
        <v>2013</v>
      </c>
      <c r="B2014">
        <v>437840</v>
      </c>
      <c r="C2014" s="1" t="str">
        <f>HYPERLINK("http://stackoverflow.com/users/437840", "Guixing Bai")</f>
        <v>Guixing Bai</v>
      </c>
      <c r="D2014" t="s">
        <v>5</v>
      </c>
      <c r="E2014">
        <v>170</v>
      </c>
    </row>
    <row r="2015" spans="1:5" x14ac:dyDescent="0.25">
      <c r="A2015">
        <v>2014</v>
      </c>
      <c r="B2015">
        <v>2620975</v>
      </c>
      <c r="C2015" s="1" t="str">
        <f>HYPERLINK("http://stackoverflow.com/users/2620975", "Xin Wang")</f>
        <v>Xin Wang</v>
      </c>
      <c r="D2015" t="s">
        <v>5</v>
      </c>
      <c r="E2015">
        <v>170</v>
      </c>
    </row>
    <row r="2016" spans="1:5" x14ac:dyDescent="0.25">
      <c r="A2016">
        <v>2015</v>
      </c>
      <c r="B2016">
        <v>339286</v>
      </c>
      <c r="C2016" s="1" t="str">
        <f>HYPERLINK("http://stackoverflow.com/users/339286", "Nick")</f>
        <v>Nick</v>
      </c>
      <c r="D2016" t="s">
        <v>4</v>
      </c>
      <c r="E2016">
        <v>169</v>
      </c>
    </row>
    <row r="2017" spans="1:5" x14ac:dyDescent="0.25">
      <c r="A2017">
        <v>2016</v>
      </c>
      <c r="B2017">
        <v>4129819</v>
      </c>
      <c r="C2017" s="1" t="str">
        <f>HYPERLINK("http://stackoverflow.com/users/4129819", "Tobias Nickel")</f>
        <v>Tobias Nickel</v>
      </c>
      <c r="D2017" t="s">
        <v>4</v>
      </c>
      <c r="E2017">
        <v>169</v>
      </c>
    </row>
    <row r="2018" spans="1:5" x14ac:dyDescent="0.25">
      <c r="A2018">
        <v>2017</v>
      </c>
      <c r="B2018">
        <v>6119149</v>
      </c>
      <c r="C2018" s="1" t="str">
        <f>HYPERLINK("http://stackoverflow.com/users/6119149", "Desgard_Duan")</f>
        <v>Desgard_Duan</v>
      </c>
      <c r="D2018" t="s">
        <v>28</v>
      </c>
      <c r="E2018">
        <v>169</v>
      </c>
    </row>
    <row r="2019" spans="1:5" x14ac:dyDescent="0.25">
      <c r="A2019">
        <v>2018</v>
      </c>
      <c r="B2019">
        <v>254681</v>
      </c>
      <c r="C2019" s="1" t="str">
        <f>HYPERLINK("http://stackoverflow.com/users/254681", "frank28_nfls")</f>
        <v>frank28_nfls</v>
      </c>
      <c r="D2019" t="s">
        <v>17</v>
      </c>
      <c r="E2019">
        <v>169</v>
      </c>
    </row>
    <row r="2020" spans="1:5" x14ac:dyDescent="0.25">
      <c r="A2020">
        <v>2019</v>
      </c>
      <c r="B2020">
        <v>5484988</v>
      </c>
      <c r="C2020" s="1" t="str">
        <f>HYPERLINK("http://stackoverflow.com/users/5484988", "Li Jinyao")</f>
        <v>Li Jinyao</v>
      </c>
      <c r="D2020" t="s">
        <v>5</v>
      </c>
      <c r="E2020">
        <v>169</v>
      </c>
    </row>
    <row r="2021" spans="1:5" x14ac:dyDescent="0.25">
      <c r="A2021">
        <v>2020</v>
      </c>
      <c r="B2021">
        <v>2401553</v>
      </c>
      <c r="C2021" s="1" t="str">
        <f>HYPERLINK("http://stackoverflow.com/users/2401553", "Mitoxys")</f>
        <v>Mitoxys</v>
      </c>
      <c r="D2021" t="s">
        <v>4</v>
      </c>
      <c r="E2021">
        <v>169</v>
      </c>
    </row>
    <row r="2022" spans="1:5" x14ac:dyDescent="0.25">
      <c r="A2022">
        <v>2021</v>
      </c>
      <c r="B2022">
        <v>4226605</v>
      </c>
      <c r="C2022" s="1" t="str">
        <f>HYPERLINK("http://stackoverflow.com/users/4226605", "刘新宇")</f>
        <v>刘新宇</v>
      </c>
      <c r="D2022" t="s">
        <v>5</v>
      </c>
      <c r="E2022">
        <v>169</v>
      </c>
    </row>
    <row r="2023" spans="1:5" x14ac:dyDescent="0.25">
      <c r="A2023">
        <v>2022</v>
      </c>
      <c r="B2023">
        <v>4947600</v>
      </c>
      <c r="C2023" s="1" t="str">
        <f>HYPERLINK("http://stackoverflow.com/users/4947600", "XuChu LIU")</f>
        <v>XuChu LIU</v>
      </c>
      <c r="D2023" t="s">
        <v>4</v>
      </c>
      <c r="E2023">
        <v>168</v>
      </c>
    </row>
    <row r="2024" spans="1:5" x14ac:dyDescent="0.25">
      <c r="A2024">
        <v>2023</v>
      </c>
      <c r="B2024">
        <v>1651161</v>
      </c>
      <c r="C2024" s="1" t="str">
        <f>HYPERLINK("http://stackoverflow.com/users/1651161", "Taotao")</f>
        <v>Taotao</v>
      </c>
      <c r="D2024" t="s">
        <v>12</v>
      </c>
      <c r="E2024">
        <v>168</v>
      </c>
    </row>
    <row r="2025" spans="1:5" x14ac:dyDescent="0.25">
      <c r="A2025">
        <v>2024</v>
      </c>
      <c r="B2025">
        <v>3889829</v>
      </c>
      <c r="C2025" s="1" t="str">
        <f>HYPERLINK("http://stackoverflow.com/users/3889829", "Ziqi")</f>
        <v>Ziqi</v>
      </c>
      <c r="D2025" t="s">
        <v>12</v>
      </c>
      <c r="E2025">
        <v>168</v>
      </c>
    </row>
    <row r="2026" spans="1:5" x14ac:dyDescent="0.25">
      <c r="A2026">
        <v>2025</v>
      </c>
      <c r="B2026">
        <v>734203</v>
      </c>
      <c r="C2026" s="1" t="str">
        <f>HYPERLINK("http://stackoverflow.com/users/734203", "Learning")</f>
        <v>Learning</v>
      </c>
      <c r="D2026" t="s">
        <v>5</v>
      </c>
      <c r="E2026">
        <v>168</v>
      </c>
    </row>
    <row r="2027" spans="1:5" x14ac:dyDescent="0.25">
      <c r="A2027">
        <v>2026</v>
      </c>
      <c r="B2027">
        <v>495644</v>
      </c>
      <c r="C2027" s="1" t="str">
        <f>HYPERLINK("http://stackoverflow.com/users/495644", "Kebot")</f>
        <v>Kebot</v>
      </c>
      <c r="D2027" t="s">
        <v>12</v>
      </c>
      <c r="E2027">
        <v>168</v>
      </c>
    </row>
    <row r="2028" spans="1:5" x14ac:dyDescent="0.25">
      <c r="A2028">
        <v>2027</v>
      </c>
      <c r="B2028">
        <v>1755078</v>
      </c>
      <c r="C2028" s="1" t="str">
        <f>HYPERLINK("http://stackoverflow.com/users/1755078", "undoZen")</f>
        <v>undoZen</v>
      </c>
      <c r="D2028" t="s">
        <v>5</v>
      </c>
      <c r="E2028">
        <v>168</v>
      </c>
    </row>
    <row r="2029" spans="1:5" x14ac:dyDescent="0.25">
      <c r="A2029">
        <v>2028</v>
      </c>
      <c r="B2029">
        <v>1147852</v>
      </c>
      <c r="C2029" s="1" t="str">
        <f>HYPERLINK("http://stackoverflow.com/users/1147852", "Torrence")</f>
        <v>Torrence</v>
      </c>
      <c r="D2029" t="s">
        <v>12</v>
      </c>
      <c r="E2029">
        <v>168</v>
      </c>
    </row>
    <row r="2030" spans="1:5" x14ac:dyDescent="0.25">
      <c r="A2030">
        <v>2029</v>
      </c>
      <c r="B2030">
        <v>2079867</v>
      </c>
      <c r="C2030" s="1" t="str">
        <f>HYPERLINK("http://stackoverflow.com/users/2079867", "Tonix")</f>
        <v>Tonix</v>
      </c>
      <c r="D2030" t="s">
        <v>4</v>
      </c>
      <c r="E2030">
        <v>168</v>
      </c>
    </row>
    <row r="2031" spans="1:5" x14ac:dyDescent="0.25">
      <c r="A2031">
        <v>2030</v>
      </c>
      <c r="B2031">
        <v>6042295</v>
      </c>
      <c r="C2031" s="1" t="str">
        <f>HYPERLINK("http://stackoverflow.com/users/6042295", "Lizhen Hu")</f>
        <v>Lizhen Hu</v>
      </c>
      <c r="D2031" t="s">
        <v>52</v>
      </c>
      <c r="E2031">
        <v>167</v>
      </c>
    </row>
    <row r="2032" spans="1:5" x14ac:dyDescent="0.25">
      <c r="A2032">
        <v>2031</v>
      </c>
      <c r="B2032">
        <v>1256137</v>
      </c>
      <c r="C2032" s="1" t="str">
        <f>HYPERLINK("http://stackoverflow.com/users/1256137", "camelcc")</f>
        <v>camelcc</v>
      </c>
      <c r="D2032" t="s">
        <v>22</v>
      </c>
      <c r="E2032">
        <v>167</v>
      </c>
    </row>
    <row r="2033" spans="1:5" x14ac:dyDescent="0.25">
      <c r="A2033">
        <v>2032</v>
      </c>
      <c r="B2033">
        <v>3315462</v>
      </c>
      <c r="C2033" s="1" t="str">
        <f>HYPERLINK("http://stackoverflow.com/users/3315462", "tinyproxy")</f>
        <v>tinyproxy</v>
      </c>
      <c r="D2033" t="s">
        <v>5</v>
      </c>
      <c r="E2033">
        <v>167</v>
      </c>
    </row>
    <row r="2034" spans="1:5" x14ac:dyDescent="0.25">
      <c r="A2034">
        <v>2033</v>
      </c>
      <c r="B2034">
        <v>1131882</v>
      </c>
      <c r="C2034" s="1" t="str">
        <f>HYPERLINK("http://stackoverflow.com/users/1131882", "springuper")</f>
        <v>springuper</v>
      </c>
      <c r="D2034" t="s">
        <v>5</v>
      </c>
      <c r="E2034">
        <v>167</v>
      </c>
    </row>
    <row r="2035" spans="1:5" x14ac:dyDescent="0.25">
      <c r="A2035">
        <v>2034</v>
      </c>
      <c r="B2035">
        <v>5471377</v>
      </c>
      <c r="C2035" s="1" t="str">
        <f>HYPERLINK("http://stackoverflow.com/users/5471377", "arrfu")</f>
        <v>arrfu</v>
      </c>
      <c r="D2035" t="s">
        <v>17</v>
      </c>
      <c r="E2035">
        <v>167</v>
      </c>
    </row>
    <row r="2036" spans="1:5" x14ac:dyDescent="0.25">
      <c r="A2036">
        <v>2035</v>
      </c>
      <c r="B2036">
        <v>5055702</v>
      </c>
      <c r="C2036" s="1" t="str">
        <f>HYPERLINK("http://stackoverflow.com/users/5055702", "Sweder Schellens")</f>
        <v>Sweder Schellens</v>
      </c>
      <c r="D2036" t="s">
        <v>5</v>
      </c>
      <c r="E2036">
        <v>167</v>
      </c>
    </row>
    <row r="2037" spans="1:5" x14ac:dyDescent="0.25">
      <c r="A2037">
        <v>2036</v>
      </c>
      <c r="B2037">
        <v>4596642</v>
      </c>
      <c r="C2037" s="1" t="str">
        <f>HYPERLINK("http://stackoverflow.com/users/4596642", "美丽美丽花")</f>
        <v>美丽美丽花</v>
      </c>
      <c r="D2037" t="s">
        <v>33</v>
      </c>
      <c r="E2037">
        <v>166</v>
      </c>
    </row>
    <row r="2038" spans="1:5" x14ac:dyDescent="0.25">
      <c r="A2038">
        <v>2037</v>
      </c>
      <c r="B2038">
        <v>473996</v>
      </c>
      <c r="C2038" s="1" t="str">
        <f>HYPERLINK("http://stackoverflow.com/users/473996", "leo")</f>
        <v>leo</v>
      </c>
      <c r="D2038" t="s">
        <v>5</v>
      </c>
      <c r="E2038">
        <v>166</v>
      </c>
    </row>
    <row r="2039" spans="1:5" x14ac:dyDescent="0.25">
      <c r="A2039">
        <v>2038</v>
      </c>
      <c r="B2039">
        <v>4604140</v>
      </c>
      <c r="C2039" s="1" t="str">
        <f>HYPERLINK("http://stackoverflow.com/users/4604140", "rose")</f>
        <v>rose</v>
      </c>
      <c r="D2039" t="s">
        <v>4</v>
      </c>
      <c r="E2039">
        <v>166</v>
      </c>
    </row>
    <row r="2040" spans="1:5" x14ac:dyDescent="0.25">
      <c r="A2040">
        <v>2039</v>
      </c>
      <c r="B2040">
        <v>3048810</v>
      </c>
      <c r="C2040" s="1" t="str">
        <f>HYPERLINK("http://stackoverflow.com/users/3048810", "Peter")</f>
        <v>Peter</v>
      </c>
      <c r="D2040" t="s">
        <v>4</v>
      </c>
      <c r="E2040">
        <v>166</v>
      </c>
    </row>
    <row r="2041" spans="1:5" x14ac:dyDescent="0.25">
      <c r="A2041">
        <v>2040</v>
      </c>
      <c r="B2041">
        <v>1079182</v>
      </c>
      <c r="C2041" s="1" t="str">
        <f>HYPERLINK("http://stackoverflow.com/users/1079182", "Googol")</f>
        <v>Googol</v>
      </c>
      <c r="D2041" t="s">
        <v>5</v>
      </c>
      <c r="E2041">
        <v>166</v>
      </c>
    </row>
    <row r="2042" spans="1:5" x14ac:dyDescent="0.25">
      <c r="A2042">
        <v>2041</v>
      </c>
      <c r="B2042">
        <v>793640</v>
      </c>
      <c r="C2042" s="1" t="str">
        <f>HYPERLINK("http://stackoverflow.com/users/793640", "Steel.Liao")</f>
        <v>Steel.Liao</v>
      </c>
      <c r="D2042" t="s">
        <v>16</v>
      </c>
      <c r="E2042">
        <v>166</v>
      </c>
    </row>
    <row r="2043" spans="1:5" x14ac:dyDescent="0.25">
      <c r="A2043">
        <v>2042</v>
      </c>
      <c r="B2043">
        <v>3150639</v>
      </c>
      <c r="C2043" s="1" t="str">
        <f>HYPERLINK("http://stackoverflow.com/users/3150639", "Hailong Cao")</f>
        <v>Hailong Cao</v>
      </c>
      <c r="D2043" t="s">
        <v>4</v>
      </c>
      <c r="E2043">
        <v>166</v>
      </c>
    </row>
    <row r="2044" spans="1:5" x14ac:dyDescent="0.25">
      <c r="A2044">
        <v>2043</v>
      </c>
      <c r="B2044">
        <v>5443261</v>
      </c>
      <c r="C2044" s="1" t="str">
        <f>HYPERLINK("http://stackoverflow.com/users/5443261", "chenxinlong")</f>
        <v>chenxinlong</v>
      </c>
      <c r="D2044" t="s">
        <v>15</v>
      </c>
      <c r="E2044">
        <v>166</v>
      </c>
    </row>
    <row r="2045" spans="1:5" x14ac:dyDescent="0.25">
      <c r="A2045">
        <v>2044</v>
      </c>
      <c r="B2045">
        <v>1637550</v>
      </c>
      <c r="C2045" s="1" t="str">
        <f>HYPERLINK("http://stackoverflow.com/users/1637550", "treemanz")</f>
        <v>treemanz</v>
      </c>
      <c r="D2045" t="s">
        <v>21</v>
      </c>
      <c r="E2045">
        <v>166</v>
      </c>
    </row>
    <row r="2046" spans="1:5" x14ac:dyDescent="0.25">
      <c r="A2046">
        <v>2045</v>
      </c>
      <c r="B2046">
        <v>1089900</v>
      </c>
      <c r="C2046" s="1" t="str">
        <f>HYPERLINK("http://stackoverflow.com/users/1089900", "Yun Zhao")</f>
        <v>Yun Zhao</v>
      </c>
      <c r="D2046" t="s">
        <v>4</v>
      </c>
      <c r="E2046">
        <v>166</v>
      </c>
    </row>
    <row r="2047" spans="1:5" x14ac:dyDescent="0.25">
      <c r="A2047">
        <v>2046</v>
      </c>
      <c r="B2047">
        <v>620953</v>
      </c>
      <c r="C2047" s="1" t="str">
        <f>HYPERLINK("http://stackoverflow.com/users/620953", "iamsk")</f>
        <v>iamsk</v>
      </c>
      <c r="D2047" t="s">
        <v>5</v>
      </c>
      <c r="E2047">
        <v>165</v>
      </c>
    </row>
    <row r="2048" spans="1:5" x14ac:dyDescent="0.25">
      <c r="A2048">
        <v>2047</v>
      </c>
      <c r="B2048">
        <v>2749981</v>
      </c>
      <c r="C2048" s="1" t="str">
        <f>HYPERLINK("http://stackoverflow.com/users/2749981", "Alix Dong")</f>
        <v>Alix Dong</v>
      </c>
      <c r="D2048" t="s">
        <v>5</v>
      </c>
      <c r="E2048">
        <v>165</v>
      </c>
    </row>
    <row r="2049" spans="1:5" x14ac:dyDescent="0.25">
      <c r="A2049">
        <v>2048</v>
      </c>
      <c r="B2049">
        <v>530473</v>
      </c>
      <c r="C2049" s="1" t="str">
        <f>HYPERLINK("http://stackoverflow.com/users/530473", "rubyu2")</f>
        <v>rubyu2</v>
      </c>
      <c r="D2049" t="s">
        <v>12</v>
      </c>
      <c r="E2049">
        <v>165</v>
      </c>
    </row>
    <row r="2050" spans="1:5" x14ac:dyDescent="0.25">
      <c r="A2050">
        <v>2049</v>
      </c>
      <c r="B2050">
        <v>379642</v>
      </c>
      <c r="C2050" s="1" t="str">
        <f>HYPERLINK("http://stackoverflow.com/users/379642", "zhaojing")</f>
        <v>zhaojing</v>
      </c>
      <c r="D2050" t="s">
        <v>5</v>
      </c>
      <c r="E2050">
        <v>165</v>
      </c>
    </row>
    <row r="2051" spans="1:5" x14ac:dyDescent="0.25">
      <c r="A2051">
        <v>2050</v>
      </c>
      <c r="B2051">
        <v>1934159</v>
      </c>
      <c r="C2051" s="1" t="str">
        <f>HYPERLINK("http://stackoverflow.com/users/1934159", "lxg")</f>
        <v>lxg</v>
      </c>
      <c r="D2051" t="s">
        <v>5</v>
      </c>
      <c r="E2051">
        <v>165</v>
      </c>
    </row>
    <row r="2052" spans="1:5" x14ac:dyDescent="0.25">
      <c r="A2052">
        <v>2051</v>
      </c>
      <c r="B2052">
        <v>4782509</v>
      </c>
      <c r="C2052" s="1" t="str">
        <f>HYPERLINK("http://stackoverflow.com/users/4782509", "Frank Wang")</f>
        <v>Frank Wang</v>
      </c>
      <c r="D2052" t="s">
        <v>5</v>
      </c>
      <c r="E2052">
        <v>164</v>
      </c>
    </row>
    <row r="2053" spans="1:5" x14ac:dyDescent="0.25">
      <c r="A2053">
        <v>2052</v>
      </c>
      <c r="B2053">
        <v>351035</v>
      </c>
      <c r="C2053" s="1" t="str">
        <f>HYPERLINK("http://stackoverflow.com/users/351035", "mbo")</f>
        <v>mbo</v>
      </c>
      <c r="D2053" t="s">
        <v>5</v>
      </c>
      <c r="E2053">
        <v>164</v>
      </c>
    </row>
    <row r="2054" spans="1:5" x14ac:dyDescent="0.25">
      <c r="A2054">
        <v>2053</v>
      </c>
      <c r="B2054">
        <v>6929141</v>
      </c>
      <c r="C2054" s="1" t="str">
        <f>HYPERLINK("http://stackoverflow.com/users/6929141", "KFZ")</f>
        <v>KFZ</v>
      </c>
      <c r="D2054" t="s">
        <v>5</v>
      </c>
      <c r="E2054">
        <v>164</v>
      </c>
    </row>
    <row r="2055" spans="1:5" x14ac:dyDescent="0.25">
      <c r="A2055">
        <v>2054</v>
      </c>
      <c r="B2055">
        <v>5402084</v>
      </c>
      <c r="C2055" s="1" t="str">
        <f>HYPERLINK("http://stackoverflow.com/users/5402084", "ZyusAn")</f>
        <v>ZyusAn</v>
      </c>
      <c r="D2055" t="s">
        <v>154</v>
      </c>
      <c r="E2055">
        <v>164</v>
      </c>
    </row>
    <row r="2056" spans="1:5" x14ac:dyDescent="0.25">
      <c r="A2056">
        <v>2055</v>
      </c>
      <c r="B2056">
        <v>666257</v>
      </c>
      <c r="C2056" s="1" t="str">
        <f>HYPERLINK("http://stackoverflow.com/users/666257", "koogua")</f>
        <v>koogua</v>
      </c>
      <c r="D2056" t="s">
        <v>17</v>
      </c>
      <c r="E2056">
        <v>164</v>
      </c>
    </row>
    <row r="2057" spans="1:5" x14ac:dyDescent="0.25">
      <c r="A2057">
        <v>2056</v>
      </c>
      <c r="B2057">
        <v>369933</v>
      </c>
      <c r="C2057" s="1" t="str">
        <f>HYPERLINK("http://stackoverflow.com/users/369933", "lishali")</f>
        <v>lishali</v>
      </c>
      <c r="D2057" t="s">
        <v>5</v>
      </c>
      <c r="E2057">
        <v>164</v>
      </c>
    </row>
    <row r="2058" spans="1:5" x14ac:dyDescent="0.25">
      <c r="A2058">
        <v>2057</v>
      </c>
      <c r="B2058">
        <v>4179776</v>
      </c>
      <c r="C2058" s="1" t="str">
        <f>HYPERLINK("http://stackoverflow.com/users/4179776", "Vonfry")</f>
        <v>Vonfry</v>
      </c>
      <c r="D2058" t="s">
        <v>4</v>
      </c>
      <c r="E2058">
        <v>164</v>
      </c>
    </row>
    <row r="2059" spans="1:5" x14ac:dyDescent="0.25">
      <c r="A2059">
        <v>2058</v>
      </c>
      <c r="B2059">
        <v>1623160</v>
      </c>
      <c r="C2059" s="1" t="str">
        <f>HYPERLINK("http://stackoverflow.com/users/1623160", "dark_chenshifei")</f>
        <v>dark_chenshifei</v>
      </c>
      <c r="D2059" t="s">
        <v>4</v>
      </c>
      <c r="E2059">
        <v>163</v>
      </c>
    </row>
    <row r="2060" spans="1:5" x14ac:dyDescent="0.25">
      <c r="A2060">
        <v>2059</v>
      </c>
      <c r="B2060">
        <v>1564579</v>
      </c>
      <c r="C2060" s="1" t="str">
        <f>HYPERLINK("http://stackoverflow.com/users/1564579", "jziwenchen")</f>
        <v>jziwenchen</v>
      </c>
      <c r="D2060" t="s">
        <v>4</v>
      </c>
      <c r="E2060">
        <v>163</v>
      </c>
    </row>
    <row r="2061" spans="1:5" x14ac:dyDescent="0.25">
      <c r="A2061">
        <v>2060</v>
      </c>
      <c r="B2061">
        <v>1999174</v>
      </c>
      <c r="C2061" s="1" t="str">
        <f>HYPERLINK("http://stackoverflow.com/users/1999174", "whyisyoung")</f>
        <v>whyisyoung</v>
      </c>
      <c r="D2061" t="s">
        <v>4</v>
      </c>
      <c r="E2061">
        <v>163</v>
      </c>
    </row>
    <row r="2062" spans="1:5" x14ac:dyDescent="0.25">
      <c r="A2062">
        <v>2061</v>
      </c>
      <c r="B2062">
        <v>1093149</v>
      </c>
      <c r="C2062" s="1" t="str">
        <f>HYPERLINK("http://stackoverflow.com/users/1093149", "William Bao")</f>
        <v>William Bao</v>
      </c>
      <c r="D2062" t="s">
        <v>5</v>
      </c>
      <c r="E2062">
        <v>163</v>
      </c>
    </row>
    <row r="2063" spans="1:5" x14ac:dyDescent="0.25">
      <c r="A2063">
        <v>2062</v>
      </c>
      <c r="B2063">
        <v>8374919</v>
      </c>
      <c r="C2063" s="1" t="str">
        <f>HYPERLINK("http://stackoverflow.com/users/8374919", "Vincent")</f>
        <v>Vincent</v>
      </c>
      <c r="D2063" t="s">
        <v>57</v>
      </c>
      <c r="E2063">
        <v>163</v>
      </c>
    </row>
    <row r="2064" spans="1:5" x14ac:dyDescent="0.25">
      <c r="A2064">
        <v>2063</v>
      </c>
      <c r="B2064">
        <v>2130786</v>
      </c>
      <c r="C2064" s="1" t="str">
        <f>HYPERLINK("http://stackoverflow.com/users/2130786", "Narcotics")</f>
        <v>Narcotics</v>
      </c>
      <c r="D2064" t="s">
        <v>4</v>
      </c>
      <c r="E2064">
        <v>163</v>
      </c>
    </row>
    <row r="2065" spans="1:5" x14ac:dyDescent="0.25">
      <c r="A2065">
        <v>2064</v>
      </c>
      <c r="B2065">
        <v>617061</v>
      </c>
      <c r="C2065" s="1" t="str">
        <f>HYPERLINK("http://stackoverflow.com/users/617061", "wxl24life")</f>
        <v>wxl24life</v>
      </c>
      <c r="D2065" t="s">
        <v>5</v>
      </c>
      <c r="E2065">
        <v>163</v>
      </c>
    </row>
    <row r="2066" spans="1:5" x14ac:dyDescent="0.25">
      <c r="A2066">
        <v>2065</v>
      </c>
      <c r="B2066">
        <v>4915811</v>
      </c>
      <c r="C2066" s="1" t="str">
        <f>HYPERLINK("http://stackoverflow.com/users/4915811", "gwecho huang")</f>
        <v>gwecho huang</v>
      </c>
      <c r="D2066" t="s">
        <v>5</v>
      </c>
      <c r="E2066">
        <v>163</v>
      </c>
    </row>
    <row r="2067" spans="1:5" x14ac:dyDescent="0.25">
      <c r="A2067">
        <v>2066</v>
      </c>
      <c r="B2067">
        <v>2211104</v>
      </c>
      <c r="C2067" s="1" t="str">
        <f>HYPERLINK("http://stackoverflow.com/users/2211104", "bennyrice")</f>
        <v>bennyrice</v>
      </c>
      <c r="D2067" t="s">
        <v>4</v>
      </c>
      <c r="E2067">
        <v>163</v>
      </c>
    </row>
    <row r="2068" spans="1:5" x14ac:dyDescent="0.25">
      <c r="A2068">
        <v>2067</v>
      </c>
      <c r="B2068">
        <v>1186886</v>
      </c>
      <c r="C2068" s="1" t="str">
        <f>HYPERLINK("http://stackoverflow.com/users/1186886", "Zhe Yang")</f>
        <v>Zhe Yang</v>
      </c>
      <c r="D2068" t="s">
        <v>5</v>
      </c>
      <c r="E2068">
        <v>162</v>
      </c>
    </row>
    <row r="2069" spans="1:5" x14ac:dyDescent="0.25">
      <c r="A2069">
        <v>2068</v>
      </c>
      <c r="B2069">
        <v>6776821</v>
      </c>
      <c r="C2069" s="1" t="str">
        <f>HYPERLINK("http://stackoverflow.com/users/6776821", "Dong Li")</f>
        <v>Dong Li</v>
      </c>
      <c r="D2069" t="s">
        <v>5</v>
      </c>
      <c r="E2069">
        <v>162</v>
      </c>
    </row>
    <row r="2070" spans="1:5" x14ac:dyDescent="0.25">
      <c r="A2070">
        <v>2069</v>
      </c>
      <c r="B2070">
        <v>135376</v>
      </c>
      <c r="C2070" s="1" t="str">
        <f>HYPERLINK("http://stackoverflow.com/users/135376", "Roc Ho")</f>
        <v>Roc Ho</v>
      </c>
      <c r="D2070" t="s">
        <v>4</v>
      </c>
      <c r="E2070">
        <v>162</v>
      </c>
    </row>
    <row r="2071" spans="1:5" x14ac:dyDescent="0.25">
      <c r="A2071">
        <v>2070</v>
      </c>
      <c r="B2071">
        <v>1448267</v>
      </c>
      <c r="C2071" s="1" t="str">
        <f>HYPERLINK("http://stackoverflow.com/users/1448267", "JuliaLi")</f>
        <v>JuliaLi</v>
      </c>
      <c r="D2071" t="s">
        <v>5</v>
      </c>
      <c r="E2071">
        <v>162</v>
      </c>
    </row>
    <row r="2072" spans="1:5" x14ac:dyDescent="0.25">
      <c r="A2072">
        <v>2071</v>
      </c>
      <c r="B2072">
        <v>194672</v>
      </c>
      <c r="C2072" s="1" t="str">
        <f>HYPERLINK("http://stackoverflow.com/users/194672", "Parker Wang")</f>
        <v>Parker Wang</v>
      </c>
      <c r="D2072" t="s">
        <v>21</v>
      </c>
      <c r="E2072">
        <v>162</v>
      </c>
    </row>
    <row r="2073" spans="1:5" x14ac:dyDescent="0.25">
      <c r="A2073">
        <v>2072</v>
      </c>
      <c r="B2073">
        <v>644418</v>
      </c>
      <c r="C2073" s="1" t="str">
        <f>HYPERLINK("http://stackoverflow.com/users/644418", "Shen Yang")</f>
        <v>Shen Yang</v>
      </c>
      <c r="D2073" t="s">
        <v>12</v>
      </c>
      <c r="E2073">
        <v>162</v>
      </c>
    </row>
    <row r="2074" spans="1:5" x14ac:dyDescent="0.25">
      <c r="A2074">
        <v>2073</v>
      </c>
      <c r="B2074">
        <v>1420791</v>
      </c>
      <c r="C2074" s="1" t="str">
        <f>HYPERLINK("http://stackoverflow.com/users/1420791", "ruohanc")</f>
        <v>ruohanc</v>
      </c>
      <c r="D2074" t="s">
        <v>12</v>
      </c>
      <c r="E2074">
        <v>162</v>
      </c>
    </row>
    <row r="2075" spans="1:5" x14ac:dyDescent="0.25">
      <c r="A2075">
        <v>2074</v>
      </c>
      <c r="B2075">
        <v>5204864</v>
      </c>
      <c r="C2075" s="1" t="str">
        <f>HYPERLINK("http://stackoverflow.com/users/5204864", "Caesar")</f>
        <v>Caesar</v>
      </c>
      <c r="D2075" t="s">
        <v>21</v>
      </c>
      <c r="E2075">
        <v>162</v>
      </c>
    </row>
    <row r="2076" spans="1:5" x14ac:dyDescent="0.25">
      <c r="A2076">
        <v>2075</v>
      </c>
      <c r="B2076">
        <v>3436272</v>
      </c>
      <c r="C2076" s="1" t="str">
        <f>HYPERLINK("http://stackoverflow.com/users/3436272", "ryaneof")</f>
        <v>ryaneof</v>
      </c>
      <c r="D2076" t="s">
        <v>4</v>
      </c>
      <c r="E2076">
        <v>161</v>
      </c>
    </row>
    <row r="2077" spans="1:5" x14ac:dyDescent="0.25">
      <c r="A2077">
        <v>2076</v>
      </c>
      <c r="B2077">
        <v>1653498</v>
      </c>
      <c r="C2077" s="1" t="str">
        <f>HYPERLINK("http://stackoverflow.com/users/1653498", "Jasonyi")</f>
        <v>Jasonyi</v>
      </c>
      <c r="D2077" t="s">
        <v>4</v>
      </c>
      <c r="E2077">
        <v>161</v>
      </c>
    </row>
    <row r="2078" spans="1:5" x14ac:dyDescent="0.25">
      <c r="A2078">
        <v>2077</v>
      </c>
      <c r="B2078">
        <v>1124024</v>
      </c>
      <c r="C2078" s="1" t="str">
        <f>HYPERLINK("http://stackoverflow.com/users/1124024", "fvwmer")</f>
        <v>fvwmer</v>
      </c>
      <c r="D2078" t="s">
        <v>12</v>
      </c>
      <c r="E2078">
        <v>161</v>
      </c>
    </row>
    <row r="2079" spans="1:5" x14ac:dyDescent="0.25">
      <c r="A2079">
        <v>2078</v>
      </c>
      <c r="B2079">
        <v>379814</v>
      </c>
      <c r="C2079" s="1" t="str">
        <f>HYPERLINK("http://stackoverflow.com/users/379814", "hejiaming007")</f>
        <v>hejiaming007</v>
      </c>
      <c r="D2079" t="s">
        <v>21</v>
      </c>
      <c r="E2079">
        <v>161</v>
      </c>
    </row>
    <row r="2080" spans="1:5" x14ac:dyDescent="0.25">
      <c r="A2080">
        <v>2079</v>
      </c>
      <c r="B2080">
        <v>6191533</v>
      </c>
      <c r="C2080" s="1" t="str">
        <f>HYPERLINK("http://stackoverflow.com/users/6191533", "Wenzhong")</f>
        <v>Wenzhong</v>
      </c>
      <c r="D2080" t="s">
        <v>5</v>
      </c>
      <c r="E2080">
        <v>161</v>
      </c>
    </row>
    <row r="2081" spans="1:5" x14ac:dyDescent="0.25">
      <c r="A2081">
        <v>2080</v>
      </c>
      <c r="B2081">
        <v>764708</v>
      </c>
      <c r="C2081" s="1" t="str">
        <f>HYPERLINK("http://stackoverflow.com/users/764708", "cyblocker")</f>
        <v>cyblocker</v>
      </c>
      <c r="D2081" t="s">
        <v>5</v>
      </c>
      <c r="E2081">
        <v>161</v>
      </c>
    </row>
    <row r="2082" spans="1:5" x14ac:dyDescent="0.25">
      <c r="A2082">
        <v>2081</v>
      </c>
      <c r="B2082">
        <v>5336215</v>
      </c>
      <c r="C2082" s="1" t="str">
        <f>HYPERLINK("http://stackoverflow.com/users/5336215", "郑福真")</f>
        <v>郑福真</v>
      </c>
      <c r="D2082" t="s">
        <v>12</v>
      </c>
      <c r="E2082">
        <v>161</v>
      </c>
    </row>
    <row r="2083" spans="1:5" x14ac:dyDescent="0.25">
      <c r="A2083">
        <v>2082</v>
      </c>
      <c r="B2083">
        <v>4811184</v>
      </c>
      <c r="C2083" s="1" t="str">
        <f>HYPERLINK("http://stackoverflow.com/users/4811184", "vxchin")</f>
        <v>vxchin</v>
      </c>
      <c r="D2083" t="s">
        <v>8</v>
      </c>
      <c r="E2083">
        <v>161</v>
      </c>
    </row>
    <row r="2084" spans="1:5" x14ac:dyDescent="0.25">
      <c r="A2084">
        <v>2083</v>
      </c>
      <c r="B2084">
        <v>1979200</v>
      </c>
      <c r="C2084" s="1" t="str">
        <f>HYPERLINK("http://stackoverflow.com/users/1979200", "jason")</f>
        <v>jason</v>
      </c>
      <c r="D2084" t="s">
        <v>5</v>
      </c>
      <c r="E2084">
        <v>161</v>
      </c>
    </row>
    <row r="2085" spans="1:5" x14ac:dyDescent="0.25">
      <c r="A2085">
        <v>2084</v>
      </c>
      <c r="B2085">
        <v>645693</v>
      </c>
      <c r="C2085" s="1" t="str">
        <f>HYPERLINK("http://stackoverflow.com/users/645693", "yihuang")</f>
        <v>yihuang</v>
      </c>
      <c r="D2085" t="s">
        <v>17</v>
      </c>
      <c r="E2085">
        <v>161</v>
      </c>
    </row>
    <row r="2086" spans="1:5" x14ac:dyDescent="0.25">
      <c r="A2086">
        <v>2085</v>
      </c>
      <c r="B2086">
        <v>1090951</v>
      </c>
      <c r="C2086" s="1" t="str">
        <f>HYPERLINK("http://stackoverflow.com/users/1090951", "Alix")</f>
        <v>Alix</v>
      </c>
      <c r="D2086" t="s">
        <v>4</v>
      </c>
      <c r="E2086">
        <v>161</v>
      </c>
    </row>
    <row r="2087" spans="1:5" x14ac:dyDescent="0.25">
      <c r="A2087">
        <v>2086</v>
      </c>
      <c r="B2087">
        <v>1198666</v>
      </c>
      <c r="C2087" s="1" t="str">
        <f>HYPERLINK("http://stackoverflow.com/users/1198666", "hhwithgroups")</f>
        <v>hhwithgroups</v>
      </c>
      <c r="D2087" t="s">
        <v>5</v>
      </c>
      <c r="E2087">
        <v>161</v>
      </c>
    </row>
    <row r="2088" spans="1:5" x14ac:dyDescent="0.25">
      <c r="A2088">
        <v>2087</v>
      </c>
      <c r="B2088">
        <v>3974215</v>
      </c>
      <c r="C2088" s="1" t="str">
        <f>HYPERLINK("http://stackoverflow.com/users/3974215", "Albert")</f>
        <v>Albert</v>
      </c>
      <c r="D2088" t="s">
        <v>155</v>
      </c>
      <c r="E2088">
        <v>161</v>
      </c>
    </row>
    <row r="2089" spans="1:5" x14ac:dyDescent="0.25">
      <c r="A2089">
        <v>2088</v>
      </c>
      <c r="B2089">
        <v>3400751</v>
      </c>
      <c r="C2089" s="1" t="str">
        <f>HYPERLINK("http://stackoverflow.com/users/3400751", "Adventurist")</f>
        <v>Adventurist</v>
      </c>
      <c r="D2089" t="s">
        <v>4</v>
      </c>
      <c r="E2089">
        <v>161</v>
      </c>
    </row>
    <row r="2090" spans="1:5" x14ac:dyDescent="0.25">
      <c r="A2090">
        <v>2089</v>
      </c>
      <c r="B2090">
        <v>8948592</v>
      </c>
      <c r="C2090" s="1" t="str">
        <f>HYPERLINK("http://stackoverflow.com/users/8948592", "Alan Grainger")</f>
        <v>Alan Grainger</v>
      </c>
      <c r="D2090" t="s">
        <v>57</v>
      </c>
      <c r="E2090">
        <v>161</v>
      </c>
    </row>
    <row r="2091" spans="1:5" x14ac:dyDescent="0.25">
      <c r="A2091">
        <v>2090</v>
      </c>
      <c r="B2091">
        <v>6308153</v>
      </c>
      <c r="C2091" s="1" t="str">
        <f>HYPERLINK("http://stackoverflow.com/users/6308153", "WIND.Knight")</f>
        <v>WIND.Knight</v>
      </c>
      <c r="D2091" t="s">
        <v>156</v>
      </c>
      <c r="E2091">
        <v>161</v>
      </c>
    </row>
    <row r="2092" spans="1:5" x14ac:dyDescent="0.25">
      <c r="A2092">
        <v>2091</v>
      </c>
      <c r="B2092">
        <v>617179</v>
      </c>
      <c r="C2092" s="1" t="str">
        <f>HYPERLINK("http://stackoverflow.com/users/617179", "Leo.W")</f>
        <v>Leo.W</v>
      </c>
      <c r="D2092" t="s">
        <v>17</v>
      </c>
      <c r="E2092">
        <v>161</v>
      </c>
    </row>
    <row r="2093" spans="1:5" x14ac:dyDescent="0.25">
      <c r="A2093">
        <v>2092</v>
      </c>
      <c r="B2093">
        <v>883077</v>
      </c>
      <c r="C2093" s="1" t="str">
        <f>HYPERLINK("http://stackoverflow.com/users/883077", "amdyes")</f>
        <v>amdyes</v>
      </c>
      <c r="D2093" t="s">
        <v>4</v>
      </c>
      <c r="E2093">
        <v>161</v>
      </c>
    </row>
    <row r="2094" spans="1:5" x14ac:dyDescent="0.25">
      <c r="A2094">
        <v>2093</v>
      </c>
      <c r="B2094">
        <v>1939978</v>
      </c>
      <c r="C2094" s="1" t="str">
        <f>HYPERLINK("http://stackoverflow.com/users/1939978", "wogong")</f>
        <v>wogong</v>
      </c>
      <c r="D2094" t="s">
        <v>29</v>
      </c>
      <c r="E2094">
        <v>161</v>
      </c>
    </row>
    <row r="2095" spans="1:5" x14ac:dyDescent="0.25">
      <c r="A2095">
        <v>2094</v>
      </c>
      <c r="B2095">
        <v>1144929</v>
      </c>
      <c r="C2095" s="1" t="str">
        <f>HYPERLINK("http://stackoverflow.com/users/1144929", "bertramlau")</f>
        <v>bertramlau</v>
      </c>
      <c r="D2095" t="s">
        <v>5</v>
      </c>
      <c r="E2095">
        <v>160</v>
      </c>
    </row>
    <row r="2096" spans="1:5" x14ac:dyDescent="0.25">
      <c r="A2096">
        <v>2095</v>
      </c>
      <c r="B2096">
        <v>2197812</v>
      </c>
      <c r="C2096" s="1" t="str">
        <f>HYPERLINK("http://stackoverflow.com/users/2197812", "Steve Gao")</f>
        <v>Steve Gao</v>
      </c>
      <c r="D2096" t="s">
        <v>5</v>
      </c>
      <c r="E2096">
        <v>160</v>
      </c>
    </row>
    <row r="2097" spans="1:5" x14ac:dyDescent="0.25">
      <c r="A2097">
        <v>2096</v>
      </c>
      <c r="B2097">
        <v>124139</v>
      </c>
      <c r="C2097" s="1" t="str">
        <f>HYPERLINK("http://stackoverflow.com/users/124139", "ddh")</f>
        <v>ddh</v>
      </c>
      <c r="D2097" t="s">
        <v>12</v>
      </c>
      <c r="E2097">
        <v>160</v>
      </c>
    </row>
    <row r="2098" spans="1:5" x14ac:dyDescent="0.25">
      <c r="A2098">
        <v>2097</v>
      </c>
      <c r="B2098">
        <v>848648</v>
      </c>
      <c r="C2098" s="1" t="str">
        <f>HYPERLINK("http://stackoverflow.com/users/848648", "Jason Cheng")</f>
        <v>Jason Cheng</v>
      </c>
      <c r="D2098" t="s">
        <v>4</v>
      </c>
      <c r="E2098">
        <v>160</v>
      </c>
    </row>
    <row r="2099" spans="1:5" x14ac:dyDescent="0.25">
      <c r="A2099">
        <v>2098</v>
      </c>
      <c r="B2099">
        <v>369257</v>
      </c>
      <c r="C2099" s="1" t="str">
        <f>HYPERLINK("http://stackoverflow.com/users/369257", "Allan K Liu")</f>
        <v>Allan K Liu</v>
      </c>
      <c r="D2099" t="s">
        <v>4</v>
      </c>
      <c r="E2099">
        <v>160</v>
      </c>
    </row>
    <row r="2100" spans="1:5" x14ac:dyDescent="0.25">
      <c r="A2100">
        <v>2099</v>
      </c>
      <c r="B2100">
        <v>1078748</v>
      </c>
      <c r="C2100" s="1" t="str">
        <f>HYPERLINK("http://stackoverflow.com/users/1078748", "Giumo")</f>
        <v>Giumo</v>
      </c>
      <c r="D2100" t="s">
        <v>12</v>
      </c>
      <c r="E2100">
        <v>160</v>
      </c>
    </row>
    <row r="2101" spans="1:5" x14ac:dyDescent="0.25">
      <c r="A2101">
        <v>2100</v>
      </c>
      <c r="B2101">
        <v>4250694</v>
      </c>
      <c r="C2101" s="1" t="str">
        <f>HYPERLINK("http://stackoverflow.com/users/4250694", "Thomas Zhang")</f>
        <v>Thomas Zhang</v>
      </c>
      <c r="D2101" t="s">
        <v>52</v>
      </c>
      <c r="E2101">
        <v>160</v>
      </c>
    </row>
    <row r="2102" spans="1:5" x14ac:dyDescent="0.25">
      <c r="A2102">
        <v>2101</v>
      </c>
      <c r="B2102">
        <v>2619522</v>
      </c>
      <c r="C2102" s="1" t="str">
        <f>HYPERLINK("http://stackoverflow.com/users/2619522", "Chen Yang")</f>
        <v>Chen Yang</v>
      </c>
      <c r="D2102" t="s">
        <v>5</v>
      </c>
      <c r="E2102">
        <v>159</v>
      </c>
    </row>
    <row r="2103" spans="1:5" x14ac:dyDescent="0.25">
      <c r="A2103">
        <v>2102</v>
      </c>
      <c r="B2103">
        <v>1092978</v>
      </c>
      <c r="C2103" s="1" t="str">
        <f>HYPERLINK("http://stackoverflow.com/users/1092978", "Whitesmell")</f>
        <v>Whitesmell</v>
      </c>
      <c r="D2103" t="s">
        <v>12</v>
      </c>
      <c r="E2103">
        <v>159</v>
      </c>
    </row>
    <row r="2104" spans="1:5" x14ac:dyDescent="0.25">
      <c r="A2104">
        <v>2103</v>
      </c>
      <c r="B2104">
        <v>2288931</v>
      </c>
      <c r="C2104" s="1" t="str">
        <f>HYPERLINK("http://stackoverflow.com/users/2288931", "njuguoyi")</f>
        <v>njuguoyi</v>
      </c>
      <c r="D2104" t="s">
        <v>55</v>
      </c>
      <c r="E2104">
        <v>159</v>
      </c>
    </row>
    <row r="2105" spans="1:5" x14ac:dyDescent="0.25">
      <c r="A2105">
        <v>2104</v>
      </c>
      <c r="B2105">
        <v>523575</v>
      </c>
      <c r="C2105" s="1" t="str">
        <f>HYPERLINK("http://stackoverflow.com/users/523575", "moven")</f>
        <v>moven</v>
      </c>
      <c r="D2105" t="s">
        <v>4</v>
      </c>
      <c r="E2105">
        <v>159</v>
      </c>
    </row>
    <row r="2106" spans="1:5" x14ac:dyDescent="0.25">
      <c r="A2106">
        <v>2105</v>
      </c>
      <c r="B2106">
        <v>1900344</v>
      </c>
      <c r="C2106" s="1" t="str">
        <f>HYPERLINK("http://stackoverflow.com/users/1900344", "user1900344")</f>
        <v>user1900344</v>
      </c>
      <c r="D2106" t="s">
        <v>21</v>
      </c>
      <c r="E2106">
        <v>159</v>
      </c>
    </row>
    <row r="2107" spans="1:5" x14ac:dyDescent="0.25">
      <c r="A2107">
        <v>2106</v>
      </c>
      <c r="B2107">
        <v>1675803</v>
      </c>
      <c r="C2107" s="1" t="str">
        <f>HYPERLINK("http://stackoverflow.com/users/1675803", "kaze13")</f>
        <v>kaze13</v>
      </c>
      <c r="D2107" t="s">
        <v>4</v>
      </c>
      <c r="E2107">
        <v>159</v>
      </c>
    </row>
    <row r="2108" spans="1:5" x14ac:dyDescent="0.25">
      <c r="A2108">
        <v>2107</v>
      </c>
      <c r="B2108">
        <v>2605236</v>
      </c>
      <c r="C2108" s="1" t="str">
        <f>HYPERLINK("http://stackoverflow.com/users/2605236", "Longfei Wu")</f>
        <v>Longfei Wu</v>
      </c>
      <c r="D2108" t="s">
        <v>3</v>
      </c>
      <c r="E2108">
        <v>159</v>
      </c>
    </row>
    <row r="2109" spans="1:5" x14ac:dyDescent="0.25">
      <c r="A2109">
        <v>2108</v>
      </c>
      <c r="B2109">
        <v>3997146</v>
      </c>
      <c r="C2109" s="1" t="str">
        <f>HYPERLINK("http://stackoverflow.com/users/3997146", "Ferry")</f>
        <v>Ferry</v>
      </c>
      <c r="D2109" t="s">
        <v>12</v>
      </c>
      <c r="E2109">
        <v>159</v>
      </c>
    </row>
    <row r="2110" spans="1:5" x14ac:dyDescent="0.25">
      <c r="A2110">
        <v>2109</v>
      </c>
      <c r="B2110">
        <v>216050</v>
      </c>
      <c r="C2110" s="1" t="str">
        <f>HYPERLINK("http://stackoverflow.com/users/216050", "Qun Wang")</f>
        <v>Qun Wang</v>
      </c>
      <c r="D2110" t="s">
        <v>5</v>
      </c>
      <c r="E2110">
        <v>159</v>
      </c>
    </row>
    <row r="2111" spans="1:5" x14ac:dyDescent="0.25">
      <c r="A2111">
        <v>2110</v>
      </c>
      <c r="B2111">
        <v>2265106</v>
      </c>
      <c r="C2111" s="1" t="str">
        <f>HYPERLINK("http://stackoverflow.com/users/2265106", "xrfang")</f>
        <v>xrfang</v>
      </c>
      <c r="D2111" t="s">
        <v>4</v>
      </c>
      <c r="E2111">
        <v>159</v>
      </c>
    </row>
    <row r="2112" spans="1:5" x14ac:dyDescent="0.25">
      <c r="A2112">
        <v>2111</v>
      </c>
      <c r="B2112">
        <v>5303178</v>
      </c>
      <c r="C2112" s="1" t="str">
        <f>HYPERLINK("http://stackoverflow.com/users/5303178", "FaiChou")</f>
        <v>FaiChou</v>
      </c>
      <c r="D2112" t="s">
        <v>79</v>
      </c>
      <c r="E2112">
        <v>158</v>
      </c>
    </row>
    <row r="2113" spans="1:5" x14ac:dyDescent="0.25">
      <c r="A2113">
        <v>2112</v>
      </c>
      <c r="B2113">
        <v>8479490</v>
      </c>
      <c r="C2113" s="1" t="str">
        <f>HYPERLINK("http://stackoverflow.com/users/8479490", "stone-zeng")</f>
        <v>stone-zeng</v>
      </c>
      <c r="D2113" t="s">
        <v>4</v>
      </c>
      <c r="E2113">
        <v>158</v>
      </c>
    </row>
    <row r="2114" spans="1:5" x14ac:dyDescent="0.25">
      <c r="A2114">
        <v>2113</v>
      </c>
      <c r="B2114">
        <v>1033635</v>
      </c>
      <c r="C2114" s="1" t="str">
        <f>HYPERLINK("http://stackoverflow.com/users/1033635", "evan")</f>
        <v>evan</v>
      </c>
      <c r="D2114" t="s">
        <v>17</v>
      </c>
      <c r="E2114">
        <v>158</v>
      </c>
    </row>
    <row r="2115" spans="1:5" x14ac:dyDescent="0.25">
      <c r="A2115">
        <v>2114</v>
      </c>
      <c r="B2115">
        <v>9191338</v>
      </c>
      <c r="C2115" s="1" t="str">
        <f>HYPERLINK("http://stackoverflow.com/users/9191338", "youkaichao")</f>
        <v>youkaichao</v>
      </c>
      <c r="D2115" t="s">
        <v>5</v>
      </c>
      <c r="E2115">
        <v>158</v>
      </c>
    </row>
    <row r="2116" spans="1:5" x14ac:dyDescent="0.25">
      <c r="A2116">
        <v>2115</v>
      </c>
      <c r="B2116">
        <v>9140531</v>
      </c>
      <c r="C2116" s="1" t="str">
        <f>HYPERLINK("http://stackoverflow.com/users/9140531", "jin li")</f>
        <v>jin li</v>
      </c>
      <c r="D2116" t="s">
        <v>4</v>
      </c>
      <c r="E2116">
        <v>158</v>
      </c>
    </row>
    <row r="2117" spans="1:5" x14ac:dyDescent="0.25">
      <c r="A2117">
        <v>2116</v>
      </c>
      <c r="B2117">
        <v>2731627</v>
      </c>
      <c r="C2117" s="1" t="str">
        <f>HYPERLINK("http://stackoverflow.com/users/2731627", "Asif Khan")</f>
        <v>Asif Khan</v>
      </c>
      <c r="D2117" t="s">
        <v>55</v>
      </c>
      <c r="E2117">
        <v>158</v>
      </c>
    </row>
    <row r="2118" spans="1:5" x14ac:dyDescent="0.25">
      <c r="A2118">
        <v>2117</v>
      </c>
      <c r="B2118">
        <v>4053267</v>
      </c>
      <c r="C2118" s="1" t="str">
        <f>HYPERLINK("http://stackoverflow.com/users/4053267", "dindom")</f>
        <v>dindom</v>
      </c>
      <c r="D2118" t="s">
        <v>4</v>
      </c>
      <c r="E2118">
        <v>158</v>
      </c>
    </row>
    <row r="2119" spans="1:5" x14ac:dyDescent="0.25">
      <c r="A2119">
        <v>2118</v>
      </c>
      <c r="B2119">
        <v>1914944</v>
      </c>
      <c r="C2119" s="1" t="str">
        <f>HYPERLINK("http://stackoverflow.com/users/1914944", "Kevin Lee")</f>
        <v>Kevin Lee</v>
      </c>
      <c r="D2119" t="s">
        <v>5</v>
      </c>
      <c r="E2119">
        <v>157</v>
      </c>
    </row>
    <row r="2120" spans="1:5" x14ac:dyDescent="0.25">
      <c r="A2120">
        <v>2119</v>
      </c>
      <c r="B2120">
        <v>2761232</v>
      </c>
      <c r="C2120" s="1" t="str">
        <f>HYPERLINK("http://stackoverflow.com/users/2761232", "ansvver")</f>
        <v>ansvver</v>
      </c>
      <c r="D2120" t="s">
        <v>17</v>
      </c>
      <c r="E2120">
        <v>157</v>
      </c>
    </row>
    <row r="2121" spans="1:5" x14ac:dyDescent="0.25">
      <c r="A2121">
        <v>2120</v>
      </c>
      <c r="B2121">
        <v>187534</v>
      </c>
      <c r="C2121" s="1" t="str">
        <f>HYPERLINK("http://stackoverflow.com/users/187534", "Huan")</f>
        <v>Huan</v>
      </c>
      <c r="D2121" t="s">
        <v>4</v>
      </c>
      <c r="E2121">
        <v>157</v>
      </c>
    </row>
    <row r="2122" spans="1:5" x14ac:dyDescent="0.25">
      <c r="A2122">
        <v>2121</v>
      </c>
      <c r="B2122">
        <v>986943</v>
      </c>
      <c r="C2122" s="1" t="str">
        <f>HYPERLINK("http://stackoverflow.com/users/986943", "lute")</f>
        <v>lute</v>
      </c>
      <c r="D2122" t="s">
        <v>4</v>
      </c>
      <c r="E2122">
        <v>157</v>
      </c>
    </row>
    <row r="2123" spans="1:5" x14ac:dyDescent="0.25">
      <c r="A2123">
        <v>2122</v>
      </c>
      <c r="B2123">
        <v>1727519</v>
      </c>
      <c r="C2123" s="1" t="str">
        <f>HYPERLINK("http://stackoverflow.com/users/1727519", "winterfall")</f>
        <v>winterfall</v>
      </c>
      <c r="D2123" t="s">
        <v>3</v>
      </c>
      <c r="E2123">
        <v>157</v>
      </c>
    </row>
    <row r="2124" spans="1:5" x14ac:dyDescent="0.25">
      <c r="A2124">
        <v>2123</v>
      </c>
      <c r="B2124">
        <v>2801663</v>
      </c>
      <c r="C2124" s="1" t="str">
        <f>HYPERLINK("http://stackoverflow.com/users/2801663", "SnowOnion")</f>
        <v>SnowOnion</v>
      </c>
      <c r="D2124" t="s">
        <v>5</v>
      </c>
      <c r="E2124">
        <v>157</v>
      </c>
    </row>
    <row r="2125" spans="1:5" x14ac:dyDescent="0.25">
      <c r="A2125">
        <v>2124</v>
      </c>
      <c r="B2125">
        <v>1492591</v>
      </c>
      <c r="C2125" s="1" t="str">
        <f>HYPERLINK("http://stackoverflow.com/users/1492591", "mqingqing123")</f>
        <v>mqingqing123</v>
      </c>
      <c r="D2125" t="s">
        <v>146</v>
      </c>
      <c r="E2125">
        <v>157</v>
      </c>
    </row>
    <row r="2126" spans="1:5" x14ac:dyDescent="0.25">
      <c r="A2126">
        <v>2125</v>
      </c>
      <c r="B2126">
        <v>1487493</v>
      </c>
      <c r="C2126" s="1" t="str">
        <f>HYPERLINK("http://stackoverflow.com/users/1487493", "boyal")</f>
        <v>boyal</v>
      </c>
      <c r="D2126" t="s">
        <v>4</v>
      </c>
      <c r="E2126">
        <v>156</v>
      </c>
    </row>
    <row r="2127" spans="1:5" x14ac:dyDescent="0.25">
      <c r="A2127">
        <v>2126</v>
      </c>
      <c r="B2127">
        <v>1057539</v>
      </c>
      <c r="C2127" s="1" t="str">
        <f>HYPERLINK("http://stackoverflow.com/users/1057539", "Mazheng")</f>
        <v>Mazheng</v>
      </c>
      <c r="D2127" t="s">
        <v>35</v>
      </c>
      <c r="E2127">
        <v>156</v>
      </c>
    </row>
    <row r="2128" spans="1:5" x14ac:dyDescent="0.25">
      <c r="A2128">
        <v>2127</v>
      </c>
      <c r="B2128">
        <v>1220271</v>
      </c>
      <c r="C2128" s="1" t="str">
        <f>HYPERLINK("http://stackoverflow.com/users/1220271", "Kane Zeng")</f>
        <v>Kane Zeng</v>
      </c>
      <c r="D2128" t="s">
        <v>5</v>
      </c>
      <c r="E2128">
        <v>156</v>
      </c>
    </row>
    <row r="2129" spans="1:5" x14ac:dyDescent="0.25">
      <c r="A2129">
        <v>2128</v>
      </c>
      <c r="B2129">
        <v>851116</v>
      </c>
      <c r="C2129" s="1" t="str">
        <f>HYPERLINK("http://stackoverflow.com/users/851116", "Reyes Yang")</f>
        <v>Reyes Yang</v>
      </c>
      <c r="D2129" t="s">
        <v>5</v>
      </c>
      <c r="E2129">
        <v>156</v>
      </c>
    </row>
    <row r="2130" spans="1:5" x14ac:dyDescent="0.25">
      <c r="A2130">
        <v>2129</v>
      </c>
      <c r="B2130">
        <v>702395</v>
      </c>
      <c r="C2130" s="1" t="str">
        <f>HYPERLINK("http://stackoverflow.com/users/702395", "Liu")</f>
        <v>Liu</v>
      </c>
      <c r="D2130" t="s">
        <v>5</v>
      </c>
      <c r="E2130">
        <v>156</v>
      </c>
    </row>
    <row r="2131" spans="1:5" x14ac:dyDescent="0.25">
      <c r="A2131">
        <v>2130</v>
      </c>
      <c r="B2131">
        <v>1601257</v>
      </c>
      <c r="C2131" s="1" t="str">
        <f>HYPERLINK("http://stackoverflow.com/users/1601257", "punkboyee")</f>
        <v>punkboyee</v>
      </c>
      <c r="D2131" t="s">
        <v>22</v>
      </c>
      <c r="E2131">
        <v>156</v>
      </c>
    </row>
    <row r="2132" spans="1:5" x14ac:dyDescent="0.25">
      <c r="A2132">
        <v>2131</v>
      </c>
      <c r="B2132">
        <v>1607407</v>
      </c>
      <c r="C2132" s="1" t="str">
        <f>HYPERLINK("http://stackoverflow.com/users/1607407", "Vej")</f>
        <v>Vej</v>
      </c>
      <c r="D2132" t="s">
        <v>5</v>
      </c>
      <c r="E2132">
        <v>156</v>
      </c>
    </row>
    <row r="2133" spans="1:5" x14ac:dyDescent="0.25">
      <c r="A2133">
        <v>2132</v>
      </c>
      <c r="B2133">
        <v>3046402</v>
      </c>
      <c r="C2133" s="1" t="str">
        <f>HYPERLINK("http://stackoverflow.com/users/3046402", "mksegv")</f>
        <v>mksegv</v>
      </c>
      <c r="D2133" t="s">
        <v>4</v>
      </c>
      <c r="E2133">
        <v>156</v>
      </c>
    </row>
    <row r="2134" spans="1:5" x14ac:dyDescent="0.25">
      <c r="A2134">
        <v>2133</v>
      </c>
      <c r="B2134">
        <v>4045552</v>
      </c>
      <c r="C2134" s="1" t="str">
        <f>HYPERLINK("http://stackoverflow.com/users/4045552", "haolin")</f>
        <v>haolin</v>
      </c>
      <c r="D2134" t="s">
        <v>5</v>
      </c>
      <c r="E2134">
        <v>156</v>
      </c>
    </row>
    <row r="2135" spans="1:5" x14ac:dyDescent="0.25">
      <c r="A2135">
        <v>2134</v>
      </c>
      <c r="B2135">
        <v>1746503</v>
      </c>
      <c r="C2135" s="1" t="str">
        <f>HYPERLINK("http://stackoverflow.com/users/1746503", "Kingsley Chen")</f>
        <v>Kingsley Chen</v>
      </c>
      <c r="D2135" t="s">
        <v>4</v>
      </c>
      <c r="E2135">
        <v>156</v>
      </c>
    </row>
    <row r="2136" spans="1:5" x14ac:dyDescent="0.25">
      <c r="A2136">
        <v>2135</v>
      </c>
      <c r="B2136">
        <v>8635276</v>
      </c>
      <c r="C2136" s="1" t="str">
        <f>HYPERLINK("http://stackoverflow.com/users/8635276", "Xiangyu Xiao")</f>
        <v>Xiangyu Xiao</v>
      </c>
      <c r="D2136" t="s">
        <v>4</v>
      </c>
      <c r="E2136">
        <v>156</v>
      </c>
    </row>
    <row r="2137" spans="1:5" x14ac:dyDescent="0.25">
      <c r="A2137">
        <v>2136</v>
      </c>
      <c r="B2137">
        <v>4336936</v>
      </c>
      <c r="C2137" s="1" t="str">
        <f>HYPERLINK("http://stackoverflow.com/users/4336936", "Xingjun Wang")</f>
        <v>Xingjun Wang</v>
      </c>
      <c r="D2137" t="s">
        <v>52</v>
      </c>
      <c r="E2137">
        <v>156</v>
      </c>
    </row>
    <row r="2138" spans="1:5" x14ac:dyDescent="0.25">
      <c r="A2138">
        <v>2137</v>
      </c>
      <c r="B2138">
        <v>548205</v>
      </c>
      <c r="C2138" s="1" t="str">
        <f>HYPERLINK("http://stackoverflow.com/users/548205", "feelinglucky")</f>
        <v>feelinglucky</v>
      </c>
      <c r="D2138" t="s">
        <v>12</v>
      </c>
      <c r="E2138">
        <v>156</v>
      </c>
    </row>
    <row r="2139" spans="1:5" x14ac:dyDescent="0.25">
      <c r="A2139">
        <v>2138</v>
      </c>
      <c r="B2139">
        <v>1637881</v>
      </c>
      <c r="C2139" s="1" t="str">
        <f>HYPERLINK("http://stackoverflow.com/users/1637881", "Jenux")</f>
        <v>Jenux</v>
      </c>
      <c r="D2139" t="s">
        <v>5</v>
      </c>
      <c r="E2139">
        <v>156</v>
      </c>
    </row>
    <row r="2140" spans="1:5" x14ac:dyDescent="0.25">
      <c r="A2140">
        <v>2139</v>
      </c>
      <c r="B2140">
        <v>1872976</v>
      </c>
      <c r="C2140" s="1" t="str">
        <f>HYPERLINK("http://stackoverflow.com/users/1872976", "MagicKyle")</f>
        <v>MagicKyle</v>
      </c>
      <c r="D2140" t="s">
        <v>4</v>
      </c>
      <c r="E2140">
        <v>156</v>
      </c>
    </row>
    <row r="2141" spans="1:5" x14ac:dyDescent="0.25">
      <c r="A2141">
        <v>2140</v>
      </c>
      <c r="B2141">
        <v>2252410</v>
      </c>
      <c r="C2141" s="1" t="str">
        <f>HYPERLINK("http://stackoverflow.com/users/2252410", "Amio")</f>
        <v>Amio</v>
      </c>
      <c r="D2141" t="s">
        <v>4</v>
      </c>
      <c r="E2141">
        <v>156</v>
      </c>
    </row>
    <row r="2142" spans="1:5" x14ac:dyDescent="0.25">
      <c r="A2142">
        <v>2141</v>
      </c>
      <c r="B2142">
        <v>1337682</v>
      </c>
      <c r="C2142" s="1" t="str">
        <f>HYPERLINK("http://stackoverflow.com/users/1337682", "Qinlong Guo")</f>
        <v>Qinlong Guo</v>
      </c>
      <c r="D2142" t="s">
        <v>5</v>
      </c>
      <c r="E2142">
        <v>156</v>
      </c>
    </row>
    <row r="2143" spans="1:5" x14ac:dyDescent="0.25">
      <c r="A2143">
        <v>2142</v>
      </c>
      <c r="B2143">
        <v>7344013</v>
      </c>
      <c r="C2143" s="1" t="str">
        <f>HYPERLINK("http://stackoverflow.com/users/7344013", "super.single430")</f>
        <v>super.single430</v>
      </c>
      <c r="D2143" t="s">
        <v>25</v>
      </c>
      <c r="E2143">
        <v>156</v>
      </c>
    </row>
    <row r="2144" spans="1:5" x14ac:dyDescent="0.25">
      <c r="A2144">
        <v>2143</v>
      </c>
      <c r="B2144">
        <v>1097549</v>
      </c>
      <c r="C2144" s="1" t="str">
        <f>HYPERLINK("http://stackoverflow.com/users/1097549", "yedingding")</f>
        <v>yedingding</v>
      </c>
      <c r="D2144" t="s">
        <v>12</v>
      </c>
      <c r="E2144">
        <v>156</v>
      </c>
    </row>
    <row r="2145" spans="1:5" x14ac:dyDescent="0.25">
      <c r="A2145">
        <v>2144</v>
      </c>
      <c r="B2145">
        <v>1460700</v>
      </c>
      <c r="C2145" s="1" t="str">
        <f>HYPERLINK("http://stackoverflow.com/users/1460700", "Terence Xie")</f>
        <v>Terence Xie</v>
      </c>
      <c r="D2145" t="s">
        <v>5</v>
      </c>
      <c r="E2145">
        <v>155</v>
      </c>
    </row>
    <row r="2146" spans="1:5" x14ac:dyDescent="0.25">
      <c r="A2146">
        <v>2145</v>
      </c>
      <c r="B2146">
        <v>1087438</v>
      </c>
      <c r="C2146" s="1" t="str">
        <f>HYPERLINK("http://stackoverflow.com/users/1087438", "Tolbkni Kao")</f>
        <v>Tolbkni Kao</v>
      </c>
      <c r="D2146" t="s">
        <v>12</v>
      </c>
      <c r="E2146">
        <v>155</v>
      </c>
    </row>
    <row r="2147" spans="1:5" x14ac:dyDescent="0.25">
      <c r="A2147">
        <v>2146</v>
      </c>
      <c r="B2147">
        <v>7780921</v>
      </c>
      <c r="C2147" s="1" t="str">
        <f>HYPERLINK("http://stackoverflow.com/users/7780921", "Guoyang Qin")</f>
        <v>Guoyang Qin</v>
      </c>
      <c r="D2147" t="s">
        <v>4</v>
      </c>
      <c r="E2147">
        <v>155</v>
      </c>
    </row>
    <row r="2148" spans="1:5" x14ac:dyDescent="0.25">
      <c r="A2148">
        <v>2147</v>
      </c>
      <c r="B2148">
        <v>7187819</v>
      </c>
      <c r="C2148" s="1" t="str">
        <f>HYPERLINK("http://stackoverflow.com/users/7187819", "Razin")</f>
        <v>Razin</v>
      </c>
      <c r="D2148" t="s">
        <v>48</v>
      </c>
      <c r="E2148">
        <v>155</v>
      </c>
    </row>
    <row r="2149" spans="1:5" x14ac:dyDescent="0.25">
      <c r="A2149">
        <v>2148</v>
      </c>
      <c r="B2149">
        <v>934721</v>
      </c>
      <c r="C2149" s="1" t="str">
        <f>HYPERLINK("http://stackoverflow.com/users/934721", "Steve Wang")</f>
        <v>Steve Wang</v>
      </c>
      <c r="D2149" t="s">
        <v>4</v>
      </c>
      <c r="E2149">
        <v>155</v>
      </c>
    </row>
    <row r="2150" spans="1:5" x14ac:dyDescent="0.25">
      <c r="A2150">
        <v>2149</v>
      </c>
      <c r="B2150">
        <v>3580258</v>
      </c>
      <c r="C2150" s="1" t="str">
        <f>HYPERLINK("http://stackoverflow.com/users/3580258", "Dalex")</f>
        <v>Dalex</v>
      </c>
      <c r="D2150" t="s">
        <v>4</v>
      </c>
      <c r="E2150">
        <v>154</v>
      </c>
    </row>
    <row r="2151" spans="1:5" x14ac:dyDescent="0.25">
      <c r="A2151">
        <v>2150</v>
      </c>
      <c r="B2151">
        <v>1618772</v>
      </c>
      <c r="C2151" s="1" t="str">
        <f>HYPERLINK("http://stackoverflow.com/users/1618772", "TonyHo")</f>
        <v>TonyHo</v>
      </c>
      <c r="D2151" t="s">
        <v>4</v>
      </c>
      <c r="E2151">
        <v>154</v>
      </c>
    </row>
    <row r="2152" spans="1:5" x14ac:dyDescent="0.25">
      <c r="A2152">
        <v>2151</v>
      </c>
      <c r="B2152">
        <v>9856617</v>
      </c>
      <c r="C2152" s="1" t="str">
        <f>HYPERLINK("http://stackoverflow.com/users/9856617", "Gyumeijie")</f>
        <v>Gyumeijie</v>
      </c>
      <c r="D2152" t="s">
        <v>16</v>
      </c>
      <c r="E2152">
        <v>154</v>
      </c>
    </row>
    <row r="2153" spans="1:5" x14ac:dyDescent="0.25">
      <c r="A2153">
        <v>2152</v>
      </c>
      <c r="B2153">
        <v>493410</v>
      </c>
      <c r="C2153" s="1" t="str">
        <f>HYPERLINK("http://stackoverflow.com/users/493410", "Laowai")</f>
        <v>Laowai</v>
      </c>
      <c r="D2153" t="s">
        <v>5</v>
      </c>
      <c r="E2153">
        <v>154</v>
      </c>
    </row>
    <row r="2154" spans="1:5" x14ac:dyDescent="0.25">
      <c r="A2154">
        <v>2153</v>
      </c>
      <c r="B2154">
        <v>28809</v>
      </c>
      <c r="C2154" s="1" t="str">
        <f>HYPERLINK("http://stackoverflow.com/users/28809", "Senmiao Liu")</f>
        <v>Senmiao Liu</v>
      </c>
      <c r="D2154" t="s">
        <v>5</v>
      </c>
      <c r="E2154">
        <v>153</v>
      </c>
    </row>
    <row r="2155" spans="1:5" x14ac:dyDescent="0.25">
      <c r="A2155">
        <v>2154</v>
      </c>
      <c r="B2155">
        <v>5008255</v>
      </c>
      <c r="C2155" s="1" t="str">
        <f>HYPERLINK("http://stackoverflow.com/users/5008255", "IMXQD")</f>
        <v>IMXQD</v>
      </c>
      <c r="D2155" t="s">
        <v>157</v>
      </c>
      <c r="E2155">
        <v>153</v>
      </c>
    </row>
    <row r="2156" spans="1:5" x14ac:dyDescent="0.25">
      <c r="A2156">
        <v>2155</v>
      </c>
      <c r="B2156">
        <v>5528423</v>
      </c>
      <c r="C2156" s="1" t="str">
        <f>HYPERLINK("http://stackoverflow.com/users/5528423", "FFur")</f>
        <v>FFur</v>
      </c>
      <c r="D2156" t="s">
        <v>16</v>
      </c>
      <c r="E2156">
        <v>153</v>
      </c>
    </row>
    <row r="2157" spans="1:5" x14ac:dyDescent="0.25">
      <c r="A2157">
        <v>2156</v>
      </c>
      <c r="B2157">
        <v>1280580</v>
      </c>
      <c r="C2157" s="1" t="str">
        <f>HYPERLINK("http://stackoverflow.com/users/1280580", "java.koma")</f>
        <v>java.koma</v>
      </c>
      <c r="D2157" t="s">
        <v>22</v>
      </c>
      <c r="E2157">
        <v>153</v>
      </c>
    </row>
    <row r="2158" spans="1:5" x14ac:dyDescent="0.25">
      <c r="A2158">
        <v>2157</v>
      </c>
      <c r="B2158">
        <v>6829195</v>
      </c>
      <c r="C2158" s="1" t="str">
        <f>HYPERLINK("http://stackoverflow.com/users/6829195", "Yushan Zhang")</f>
        <v>Yushan Zhang</v>
      </c>
      <c r="D2158" t="s">
        <v>158</v>
      </c>
      <c r="E2158">
        <v>153</v>
      </c>
    </row>
    <row r="2159" spans="1:5" x14ac:dyDescent="0.25">
      <c r="A2159">
        <v>2158</v>
      </c>
      <c r="B2159">
        <v>6715114</v>
      </c>
      <c r="C2159" s="1" t="str">
        <f>HYPERLINK("http://stackoverflow.com/users/6715114", "Scott Wang")</f>
        <v>Scott Wang</v>
      </c>
      <c r="D2159" t="s">
        <v>4</v>
      </c>
      <c r="E2159">
        <v>153</v>
      </c>
    </row>
    <row r="2160" spans="1:5" x14ac:dyDescent="0.25">
      <c r="A2160">
        <v>2159</v>
      </c>
      <c r="B2160">
        <v>4337272</v>
      </c>
      <c r="C2160" s="1" t="str">
        <f>HYPERLINK("http://stackoverflow.com/users/4337272", "Zexi Li")</f>
        <v>Zexi Li</v>
      </c>
      <c r="D2160" t="s">
        <v>54</v>
      </c>
      <c r="E2160">
        <v>152</v>
      </c>
    </row>
    <row r="2161" spans="1:5" x14ac:dyDescent="0.25">
      <c r="A2161">
        <v>2160</v>
      </c>
      <c r="B2161">
        <v>4945430</v>
      </c>
      <c r="C2161" s="1" t="str">
        <f>HYPERLINK("http://stackoverflow.com/users/4945430", "Erum Huang")</f>
        <v>Erum Huang</v>
      </c>
      <c r="D2161" t="s">
        <v>17</v>
      </c>
      <c r="E2161">
        <v>152</v>
      </c>
    </row>
    <row r="2162" spans="1:5" x14ac:dyDescent="0.25">
      <c r="A2162">
        <v>2161</v>
      </c>
      <c r="B2162">
        <v>470824</v>
      </c>
      <c r="C2162" s="1" t="str">
        <f>HYPERLINK("http://stackoverflow.com/users/470824", "leeight")</f>
        <v>leeight</v>
      </c>
      <c r="D2162" t="s">
        <v>4</v>
      </c>
      <c r="E2162">
        <v>152</v>
      </c>
    </row>
    <row r="2163" spans="1:5" x14ac:dyDescent="0.25">
      <c r="A2163">
        <v>2162</v>
      </c>
      <c r="B2163">
        <v>853509</v>
      </c>
      <c r="C2163" s="1" t="str">
        <f>HYPERLINK("http://stackoverflow.com/users/853509", "capcom923")</f>
        <v>capcom923</v>
      </c>
      <c r="D2163" t="s">
        <v>5</v>
      </c>
      <c r="E2163">
        <v>152</v>
      </c>
    </row>
    <row r="2164" spans="1:5" x14ac:dyDescent="0.25">
      <c r="A2164">
        <v>2163</v>
      </c>
      <c r="B2164">
        <v>853035</v>
      </c>
      <c r="C2164" s="1" t="str">
        <f>HYPERLINK("http://stackoverflow.com/users/853035", "Bob Yang")</f>
        <v>Bob Yang</v>
      </c>
      <c r="D2164" t="s">
        <v>6</v>
      </c>
      <c r="E2164">
        <v>151</v>
      </c>
    </row>
    <row r="2165" spans="1:5" x14ac:dyDescent="0.25">
      <c r="A2165">
        <v>2164</v>
      </c>
      <c r="B2165">
        <v>2887259</v>
      </c>
      <c r="C2165" s="1" t="str">
        <f>HYPERLINK("http://stackoverflow.com/users/2887259", "KimiGao")</f>
        <v>KimiGao</v>
      </c>
      <c r="D2165" t="s">
        <v>5</v>
      </c>
      <c r="E2165">
        <v>151</v>
      </c>
    </row>
    <row r="2166" spans="1:5" x14ac:dyDescent="0.25">
      <c r="A2166">
        <v>2165</v>
      </c>
      <c r="B2166">
        <v>4951396</v>
      </c>
      <c r="C2166" s="1" t="str">
        <f>HYPERLINK("http://stackoverflow.com/users/4951396", "Xingxing Gao")</f>
        <v>Xingxing Gao</v>
      </c>
      <c r="D2166" t="s">
        <v>22</v>
      </c>
      <c r="E2166">
        <v>151</v>
      </c>
    </row>
    <row r="2167" spans="1:5" x14ac:dyDescent="0.25">
      <c r="A2167">
        <v>2166</v>
      </c>
      <c r="B2167">
        <v>1977590</v>
      </c>
      <c r="C2167" s="1" t="str">
        <f>HYPERLINK("http://stackoverflow.com/users/1977590", "Qian Alvin. Qin")</f>
        <v>Qian Alvin. Qin</v>
      </c>
      <c r="D2167" t="s">
        <v>4</v>
      </c>
      <c r="E2167">
        <v>151</v>
      </c>
    </row>
    <row r="2168" spans="1:5" x14ac:dyDescent="0.25">
      <c r="A2168">
        <v>2167</v>
      </c>
      <c r="B2168">
        <v>2204535</v>
      </c>
      <c r="C2168" s="1" t="str">
        <f>HYPERLINK("http://stackoverflow.com/users/2204535", "Jamin Zhang")</f>
        <v>Jamin Zhang</v>
      </c>
      <c r="D2168" t="s">
        <v>17</v>
      </c>
      <c r="E2168">
        <v>151</v>
      </c>
    </row>
    <row r="2169" spans="1:5" x14ac:dyDescent="0.25">
      <c r="A2169">
        <v>2168</v>
      </c>
      <c r="B2169">
        <v>1059085</v>
      </c>
      <c r="C2169" s="1" t="str">
        <f>HYPERLINK("http://stackoverflow.com/users/1059085", "sunan")</f>
        <v>sunan</v>
      </c>
      <c r="D2169" t="s">
        <v>5</v>
      </c>
      <c r="E2169">
        <v>151</v>
      </c>
    </row>
    <row r="2170" spans="1:5" x14ac:dyDescent="0.25">
      <c r="A2170">
        <v>2169</v>
      </c>
      <c r="B2170">
        <v>6757469</v>
      </c>
      <c r="C2170" s="1" t="str">
        <f>HYPERLINK("http://stackoverflow.com/users/6757469", "Hao")</f>
        <v>Hao</v>
      </c>
      <c r="D2170" t="s">
        <v>5</v>
      </c>
      <c r="E2170">
        <v>151</v>
      </c>
    </row>
    <row r="2171" spans="1:5" x14ac:dyDescent="0.25">
      <c r="A2171">
        <v>2170</v>
      </c>
      <c r="B2171">
        <v>891405</v>
      </c>
      <c r="C2171" s="1" t="str">
        <f>HYPERLINK("http://stackoverflow.com/users/891405", "Jonny")</f>
        <v>Jonny</v>
      </c>
      <c r="D2171" t="s">
        <v>4</v>
      </c>
      <c r="E2171">
        <v>151</v>
      </c>
    </row>
    <row r="2172" spans="1:5" x14ac:dyDescent="0.25">
      <c r="A2172">
        <v>2171</v>
      </c>
      <c r="B2172">
        <v>3040966</v>
      </c>
      <c r="C2172" s="1" t="str">
        <f>HYPERLINK("http://stackoverflow.com/users/3040966", "tanteng")</f>
        <v>tanteng</v>
      </c>
      <c r="D2172" t="s">
        <v>159</v>
      </c>
      <c r="E2172">
        <v>151</v>
      </c>
    </row>
    <row r="2173" spans="1:5" x14ac:dyDescent="0.25">
      <c r="A2173">
        <v>2172</v>
      </c>
      <c r="B2173">
        <v>5942368</v>
      </c>
      <c r="C2173" s="1" t="str">
        <f>HYPERLINK("http://stackoverflow.com/users/5942368", "Freya Yu")</f>
        <v>Freya Yu</v>
      </c>
      <c r="D2173" t="s">
        <v>16</v>
      </c>
      <c r="E2173">
        <v>151</v>
      </c>
    </row>
    <row r="2174" spans="1:5" x14ac:dyDescent="0.25">
      <c r="A2174">
        <v>2173</v>
      </c>
      <c r="B2174">
        <v>6634368</v>
      </c>
      <c r="C2174" s="1" t="str">
        <f>HYPERLINK("http://stackoverflow.com/users/6634368", "Song Zhigang")</f>
        <v>Song Zhigang</v>
      </c>
      <c r="D2174" t="s">
        <v>5</v>
      </c>
      <c r="E2174">
        <v>151</v>
      </c>
    </row>
    <row r="2175" spans="1:5" x14ac:dyDescent="0.25">
      <c r="A2175">
        <v>2174</v>
      </c>
      <c r="B2175">
        <v>754548</v>
      </c>
      <c r="C2175" s="1" t="str">
        <f>HYPERLINK("http://stackoverflow.com/users/754548", "Shuhai Shen")</f>
        <v>Shuhai Shen</v>
      </c>
      <c r="D2175" t="s">
        <v>4</v>
      </c>
      <c r="E2175">
        <v>151</v>
      </c>
    </row>
    <row r="2176" spans="1:5" x14ac:dyDescent="0.25">
      <c r="A2176">
        <v>2175</v>
      </c>
      <c r="B2176">
        <v>714775</v>
      </c>
      <c r="C2176" s="1" t="str">
        <f>HYPERLINK("http://stackoverflow.com/users/714775", "tyger")</f>
        <v>tyger</v>
      </c>
      <c r="D2176" t="s">
        <v>5</v>
      </c>
      <c r="E2176">
        <v>151</v>
      </c>
    </row>
    <row r="2177" spans="1:5" x14ac:dyDescent="0.25">
      <c r="A2177">
        <v>2176</v>
      </c>
      <c r="B2177">
        <v>1314209</v>
      </c>
      <c r="C2177" s="1" t="str">
        <f>HYPERLINK("http://stackoverflow.com/users/1314209", "VictorLi")</f>
        <v>VictorLi</v>
      </c>
      <c r="D2177" t="s">
        <v>4</v>
      </c>
      <c r="E2177">
        <v>151</v>
      </c>
    </row>
    <row r="2178" spans="1:5" x14ac:dyDescent="0.25">
      <c r="A2178">
        <v>2177</v>
      </c>
      <c r="B2178">
        <v>1278316</v>
      </c>
      <c r="C2178" s="1" t="str">
        <f>HYPERLINK("http://stackoverflow.com/users/1278316", "deemstone")</f>
        <v>deemstone</v>
      </c>
      <c r="D2178" t="s">
        <v>5</v>
      </c>
      <c r="E2178">
        <v>151</v>
      </c>
    </row>
    <row r="2179" spans="1:5" x14ac:dyDescent="0.25">
      <c r="A2179">
        <v>2178</v>
      </c>
      <c r="B2179">
        <v>620762</v>
      </c>
      <c r="C2179" s="1" t="str">
        <f>HYPERLINK("http://stackoverflow.com/users/620762", "Sinnyn")</f>
        <v>Sinnyn</v>
      </c>
      <c r="D2179" t="s">
        <v>4</v>
      </c>
      <c r="E2179">
        <v>150</v>
      </c>
    </row>
    <row r="2180" spans="1:5" x14ac:dyDescent="0.25">
      <c r="A2180">
        <v>2179</v>
      </c>
      <c r="B2180">
        <v>2593764</v>
      </c>
      <c r="C2180" s="1" t="str">
        <f>HYPERLINK("http://stackoverflow.com/users/2593764", "Dennis")</f>
        <v>Dennis</v>
      </c>
      <c r="D2180" t="s">
        <v>4</v>
      </c>
      <c r="E2180">
        <v>150</v>
      </c>
    </row>
    <row r="2181" spans="1:5" x14ac:dyDescent="0.25">
      <c r="A2181">
        <v>2180</v>
      </c>
      <c r="B2181">
        <v>4391025</v>
      </c>
      <c r="C2181" s="1" t="str">
        <f>HYPERLINK("http://stackoverflow.com/users/4391025", "Yao Yingjie")</f>
        <v>Yao Yingjie</v>
      </c>
      <c r="D2181" t="s">
        <v>19</v>
      </c>
      <c r="E2181">
        <v>150</v>
      </c>
    </row>
    <row r="2182" spans="1:5" x14ac:dyDescent="0.25">
      <c r="A2182">
        <v>2181</v>
      </c>
      <c r="B2182">
        <v>3205257</v>
      </c>
      <c r="C2182" s="1" t="str">
        <f>HYPERLINK("http://stackoverflow.com/users/3205257", "bestwolf1983")</f>
        <v>bestwolf1983</v>
      </c>
      <c r="D2182" t="s">
        <v>5</v>
      </c>
      <c r="E2182">
        <v>150</v>
      </c>
    </row>
    <row r="2183" spans="1:5" x14ac:dyDescent="0.25">
      <c r="A2183">
        <v>2182</v>
      </c>
      <c r="B2183">
        <v>1998869</v>
      </c>
      <c r="C2183" s="1" t="str">
        <f>HYPERLINK("http://stackoverflow.com/users/1998869", "treesong")</f>
        <v>treesong</v>
      </c>
      <c r="D2183" t="s">
        <v>16</v>
      </c>
      <c r="E2183">
        <v>150</v>
      </c>
    </row>
    <row r="2184" spans="1:5" x14ac:dyDescent="0.25">
      <c r="A2184">
        <v>2183</v>
      </c>
      <c r="B2184">
        <v>2552104</v>
      </c>
      <c r="C2184" s="1" t="str">
        <f>HYPERLINK("http://stackoverflow.com/users/2552104", "stanly")</f>
        <v>stanly</v>
      </c>
      <c r="D2184" t="s">
        <v>5</v>
      </c>
      <c r="E2184">
        <v>150</v>
      </c>
    </row>
    <row r="2185" spans="1:5" x14ac:dyDescent="0.25">
      <c r="A2185">
        <v>2184</v>
      </c>
      <c r="B2185">
        <v>5972488</v>
      </c>
      <c r="C2185" s="1" t="str">
        <f>HYPERLINK("http://stackoverflow.com/users/5972488", "Aere Xu")</f>
        <v>Aere Xu</v>
      </c>
      <c r="D2185" t="s">
        <v>4</v>
      </c>
      <c r="E2185">
        <v>149</v>
      </c>
    </row>
    <row r="2186" spans="1:5" x14ac:dyDescent="0.25">
      <c r="A2186">
        <v>2185</v>
      </c>
      <c r="B2186">
        <v>5565855</v>
      </c>
      <c r="C2186" s="1" t="str">
        <f>HYPERLINK("http://stackoverflow.com/users/5565855", "zulv")</f>
        <v>zulv</v>
      </c>
      <c r="D2186" t="s">
        <v>4</v>
      </c>
      <c r="E2186">
        <v>149</v>
      </c>
    </row>
    <row r="2187" spans="1:5" x14ac:dyDescent="0.25">
      <c r="A2187">
        <v>2186</v>
      </c>
      <c r="B2187">
        <v>4849200</v>
      </c>
      <c r="C2187" s="1" t="str">
        <f>HYPERLINK("http://stackoverflow.com/users/4849200", "Waylan Punch")</f>
        <v>Waylan Punch</v>
      </c>
      <c r="D2187" t="s">
        <v>12</v>
      </c>
      <c r="E2187">
        <v>149</v>
      </c>
    </row>
    <row r="2188" spans="1:5" x14ac:dyDescent="0.25">
      <c r="A2188">
        <v>2187</v>
      </c>
      <c r="B2188">
        <v>685539</v>
      </c>
      <c r="C2188" s="1" t="str">
        <f>HYPERLINK("http://stackoverflow.com/users/685539", "RockU")</f>
        <v>RockU</v>
      </c>
      <c r="D2188" t="s">
        <v>12</v>
      </c>
      <c r="E2188">
        <v>149</v>
      </c>
    </row>
    <row r="2189" spans="1:5" x14ac:dyDescent="0.25">
      <c r="A2189">
        <v>2188</v>
      </c>
      <c r="B2189">
        <v>554858</v>
      </c>
      <c r="C2189" s="1" t="str">
        <f>HYPERLINK("http://stackoverflow.com/users/554858", "user not found")</f>
        <v>user not found</v>
      </c>
      <c r="D2189" t="s">
        <v>22</v>
      </c>
      <c r="E2189">
        <v>149</v>
      </c>
    </row>
    <row r="2190" spans="1:5" x14ac:dyDescent="0.25">
      <c r="A2190">
        <v>2189</v>
      </c>
      <c r="B2190">
        <v>1419797</v>
      </c>
      <c r="C2190" s="1" t="str">
        <f>HYPERLINK("http://stackoverflow.com/users/1419797", "Negelis")</f>
        <v>Negelis</v>
      </c>
      <c r="D2190" t="s">
        <v>5</v>
      </c>
      <c r="E2190">
        <v>149</v>
      </c>
    </row>
    <row r="2191" spans="1:5" x14ac:dyDescent="0.25">
      <c r="A2191">
        <v>2190</v>
      </c>
      <c r="B2191">
        <v>5428327</v>
      </c>
      <c r="C2191" s="1" t="str">
        <f>HYPERLINK("http://stackoverflow.com/users/5428327", "Jack47")</f>
        <v>Jack47</v>
      </c>
      <c r="D2191" t="s">
        <v>5</v>
      </c>
      <c r="E2191">
        <v>149</v>
      </c>
    </row>
    <row r="2192" spans="1:5" x14ac:dyDescent="0.25">
      <c r="A2192">
        <v>2191</v>
      </c>
      <c r="B2192">
        <v>655200</v>
      </c>
      <c r="C2192" s="1" t="str">
        <f>HYPERLINK("http://stackoverflow.com/users/655200", "ZJ Lyu")</f>
        <v>ZJ Lyu</v>
      </c>
      <c r="D2192" t="s">
        <v>31</v>
      </c>
      <c r="E2192">
        <v>149</v>
      </c>
    </row>
    <row r="2193" spans="1:5" x14ac:dyDescent="0.25">
      <c r="A2193">
        <v>2192</v>
      </c>
      <c r="B2193">
        <v>6693963</v>
      </c>
      <c r="C2193" s="1" t="str">
        <f>HYPERLINK("http://stackoverflow.com/users/6693963", "Nolan")</f>
        <v>Nolan</v>
      </c>
      <c r="D2193" t="s">
        <v>16</v>
      </c>
      <c r="E2193">
        <v>149</v>
      </c>
    </row>
    <row r="2194" spans="1:5" x14ac:dyDescent="0.25">
      <c r="A2194">
        <v>2193</v>
      </c>
      <c r="B2194">
        <v>6259511</v>
      </c>
      <c r="C2194" s="1" t="str">
        <f>HYPERLINK("http://stackoverflow.com/users/6259511", "John Smith")</f>
        <v>John Smith</v>
      </c>
      <c r="D2194" t="s">
        <v>160</v>
      </c>
      <c r="E2194">
        <v>148</v>
      </c>
    </row>
    <row r="2195" spans="1:5" x14ac:dyDescent="0.25">
      <c r="A2195">
        <v>2194</v>
      </c>
      <c r="B2195">
        <v>2769188</v>
      </c>
      <c r="C2195" s="1" t="str">
        <f>HYPERLINK("http://stackoverflow.com/users/2769188", "Jeff")</f>
        <v>Jeff</v>
      </c>
      <c r="D2195" t="s">
        <v>12</v>
      </c>
      <c r="E2195">
        <v>148</v>
      </c>
    </row>
    <row r="2196" spans="1:5" x14ac:dyDescent="0.25">
      <c r="A2196">
        <v>2195</v>
      </c>
      <c r="B2196">
        <v>6133761</v>
      </c>
      <c r="C2196" s="1" t="str">
        <f>HYPERLINK("http://stackoverflow.com/users/6133761", "Hao Qi")</f>
        <v>Hao Qi</v>
      </c>
      <c r="D2196" t="s">
        <v>131</v>
      </c>
      <c r="E2196">
        <v>148</v>
      </c>
    </row>
    <row r="2197" spans="1:5" x14ac:dyDescent="0.25">
      <c r="A2197">
        <v>2196</v>
      </c>
      <c r="B2197">
        <v>1143053</v>
      </c>
      <c r="C2197" s="1" t="str">
        <f>HYPERLINK("http://stackoverflow.com/users/1143053", "lanyimo")</f>
        <v>lanyimo</v>
      </c>
      <c r="D2197" t="s">
        <v>8</v>
      </c>
      <c r="E2197">
        <v>148</v>
      </c>
    </row>
    <row r="2198" spans="1:5" x14ac:dyDescent="0.25">
      <c r="A2198">
        <v>2197</v>
      </c>
      <c r="B2198">
        <v>444994</v>
      </c>
      <c r="C2198" s="1" t="str">
        <f>HYPERLINK("http://stackoverflow.com/users/444994", "Mark Zhang")</f>
        <v>Mark Zhang</v>
      </c>
      <c r="D2198" t="s">
        <v>4</v>
      </c>
      <c r="E2198">
        <v>148</v>
      </c>
    </row>
    <row r="2199" spans="1:5" x14ac:dyDescent="0.25">
      <c r="A2199">
        <v>2198</v>
      </c>
      <c r="B2199">
        <v>2590596</v>
      </c>
      <c r="C2199" s="1" t="str">
        <f>HYPERLINK("http://stackoverflow.com/users/2590596", "xmliu")</f>
        <v>xmliu</v>
      </c>
      <c r="D2199" t="s">
        <v>3</v>
      </c>
      <c r="E2199">
        <v>148</v>
      </c>
    </row>
    <row r="2200" spans="1:5" x14ac:dyDescent="0.25">
      <c r="A2200">
        <v>2199</v>
      </c>
      <c r="B2200">
        <v>6552386</v>
      </c>
      <c r="C2200" s="1" t="str">
        <f>HYPERLINK("http://stackoverflow.com/users/6552386", "Jerrik Eph")</f>
        <v>Jerrik Eph</v>
      </c>
      <c r="D2200" t="s">
        <v>4</v>
      </c>
      <c r="E2200">
        <v>148</v>
      </c>
    </row>
    <row r="2201" spans="1:5" x14ac:dyDescent="0.25">
      <c r="A2201">
        <v>2200</v>
      </c>
      <c r="B2201">
        <v>7537914</v>
      </c>
      <c r="C2201" s="1" t="str">
        <f>HYPERLINK("http://stackoverflow.com/users/7537914", "JamesLiu")</f>
        <v>JamesLiu</v>
      </c>
      <c r="D2201" t="s">
        <v>10</v>
      </c>
      <c r="E2201">
        <v>148</v>
      </c>
    </row>
    <row r="2202" spans="1:5" x14ac:dyDescent="0.25">
      <c r="A2202">
        <v>2201</v>
      </c>
      <c r="B2202">
        <v>1570233</v>
      </c>
      <c r="C2202" s="1" t="str">
        <f>HYPERLINK("http://stackoverflow.com/users/1570233", "shifu.zheng")</f>
        <v>shifu.zheng</v>
      </c>
      <c r="D2202" t="s">
        <v>5</v>
      </c>
      <c r="E2202">
        <v>148</v>
      </c>
    </row>
    <row r="2203" spans="1:5" x14ac:dyDescent="0.25">
      <c r="A2203">
        <v>2202</v>
      </c>
      <c r="B2203">
        <v>3988771</v>
      </c>
      <c r="C2203" s="1" t="str">
        <f>HYPERLINK("http://stackoverflow.com/users/3988771", "Destiny")</f>
        <v>Destiny</v>
      </c>
      <c r="D2203" t="s">
        <v>17</v>
      </c>
      <c r="E2203">
        <v>147</v>
      </c>
    </row>
    <row r="2204" spans="1:5" x14ac:dyDescent="0.25">
      <c r="A2204">
        <v>2203</v>
      </c>
      <c r="B2204">
        <v>1960224</v>
      </c>
      <c r="C2204" s="1" t="str">
        <f>HYPERLINK("http://stackoverflow.com/users/1960224", "dylan")</f>
        <v>dylan</v>
      </c>
      <c r="D2204" t="s">
        <v>161</v>
      </c>
      <c r="E2204">
        <v>147</v>
      </c>
    </row>
    <row r="2205" spans="1:5" x14ac:dyDescent="0.25">
      <c r="A2205">
        <v>2204</v>
      </c>
      <c r="B2205">
        <v>1314745</v>
      </c>
      <c r="C2205" s="1" t="str">
        <f>HYPERLINK("http://stackoverflow.com/users/1314745", "kingwrcy")</f>
        <v>kingwrcy</v>
      </c>
      <c r="D2205" t="s">
        <v>4</v>
      </c>
      <c r="E2205">
        <v>146</v>
      </c>
    </row>
    <row r="2206" spans="1:5" x14ac:dyDescent="0.25">
      <c r="A2206">
        <v>2205</v>
      </c>
      <c r="B2206">
        <v>238463</v>
      </c>
      <c r="C2206" s="1" t="str">
        <f>HYPERLINK("http://stackoverflow.com/users/238463", "Allen Le")</f>
        <v>Allen Le</v>
      </c>
      <c r="D2206" t="s">
        <v>4</v>
      </c>
      <c r="E2206">
        <v>146</v>
      </c>
    </row>
    <row r="2207" spans="1:5" x14ac:dyDescent="0.25">
      <c r="A2207">
        <v>2206</v>
      </c>
      <c r="B2207">
        <v>485954</v>
      </c>
      <c r="C2207" s="1" t="str">
        <f>HYPERLINK("http://stackoverflow.com/users/485954", "smallfish")</f>
        <v>smallfish</v>
      </c>
      <c r="D2207" t="s">
        <v>12</v>
      </c>
      <c r="E2207">
        <v>146</v>
      </c>
    </row>
    <row r="2208" spans="1:5" x14ac:dyDescent="0.25">
      <c r="A2208">
        <v>2207</v>
      </c>
      <c r="B2208">
        <v>409384</v>
      </c>
      <c r="C2208" s="1" t="str">
        <f>HYPERLINK("http://stackoverflow.com/users/409384", "Perchouli")</f>
        <v>Perchouli</v>
      </c>
      <c r="D2208" t="s">
        <v>4</v>
      </c>
      <c r="E2208">
        <v>146</v>
      </c>
    </row>
    <row r="2209" spans="1:5" x14ac:dyDescent="0.25">
      <c r="A2209">
        <v>2208</v>
      </c>
      <c r="B2209">
        <v>2625098</v>
      </c>
      <c r="C2209" s="1" t="str">
        <f>HYPERLINK("http://stackoverflow.com/users/2625098", "Evan")</f>
        <v>Evan</v>
      </c>
      <c r="D2209" t="s">
        <v>5</v>
      </c>
      <c r="E2209">
        <v>146</v>
      </c>
    </row>
    <row r="2210" spans="1:5" x14ac:dyDescent="0.25">
      <c r="A2210">
        <v>2209</v>
      </c>
      <c r="B2210">
        <v>1196597</v>
      </c>
      <c r="C2210" s="1" t="str">
        <f>HYPERLINK("http://stackoverflow.com/users/1196597", "Smart Huang")</f>
        <v>Smart Huang</v>
      </c>
      <c r="D2210" t="s">
        <v>22</v>
      </c>
      <c r="E2210">
        <v>146</v>
      </c>
    </row>
    <row r="2211" spans="1:5" x14ac:dyDescent="0.25">
      <c r="A2211">
        <v>2210</v>
      </c>
      <c r="B2211">
        <v>2106166</v>
      </c>
      <c r="C2211" s="1" t="str">
        <f>HYPERLINK("http://stackoverflow.com/users/2106166", "Shaowei Ling")</f>
        <v>Shaowei Ling</v>
      </c>
      <c r="D2211" t="s">
        <v>37</v>
      </c>
      <c r="E2211">
        <v>146</v>
      </c>
    </row>
    <row r="2212" spans="1:5" x14ac:dyDescent="0.25">
      <c r="A2212">
        <v>2211</v>
      </c>
      <c r="B2212">
        <v>1453089</v>
      </c>
      <c r="C2212" s="1" t="str">
        <f>HYPERLINK("http://stackoverflow.com/users/1453089", "cuble")</f>
        <v>cuble</v>
      </c>
      <c r="D2212" t="s">
        <v>12</v>
      </c>
      <c r="E2212">
        <v>146</v>
      </c>
    </row>
    <row r="2213" spans="1:5" x14ac:dyDescent="0.25">
      <c r="A2213">
        <v>2212</v>
      </c>
      <c r="B2213">
        <v>3349657</v>
      </c>
      <c r="C2213" s="1" t="str">
        <f>HYPERLINK("http://stackoverflow.com/users/3349657", "xiangwan")</f>
        <v>xiangwan</v>
      </c>
      <c r="D2213" t="s">
        <v>5</v>
      </c>
      <c r="E2213">
        <v>146</v>
      </c>
    </row>
    <row r="2214" spans="1:5" x14ac:dyDescent="0.25">
      <c r="A2214">
        <v>2213</v>
      </c>
      <c r="B2214">
        <v>553920</v>
      </c>
      <c r="C2214" s="1" t="str">
        <f>HYPERLINK("http://stackoverflow.com/users/553920", "Quanyi Ma")</f>
        <v>Quanyi Ma</v>
      </c>
      <c r="D2214" t="s">
        <v>5</v>
      </c>
      <c r="E2214">
        <v>145</v>
      </c>
    </row>
    <row r="2215" spans="1:5" x14ac:dyDescent="0.25">
      <c r="A2215">
        <v>2214</v>
      </c>
      <c r="B2215">
        <v>247807</v>
      </c>
      <c r="C2215" s="1" t="str">
        <f>HYPERLINK("http://stackoverflow.com/users/247807", "ls.")</f>
        <v>ls.</v>
      </c>
      <c r="D2215" t="s">
        <v>4</v>
      </c>
      <c r="E2215">
        <v>145</v>
      </c>
    </row>
    <row r="2216" spans="1:5" x14ac:dyDescent="0.25">
      <c r="A2216">
        <v>2215</v>
      </c>
      <c r="B2216">
        <v>1513460</v>
      </c>
      <c r="C2216" s="1" t="str">
        <f>HYPERLINK("http://stackoverflow.com/users/1513460", "Guibao Wang")</f>
        <v>Guibao Wang</v>
      </c>
      <c r="D2216" t="s">
        <v>5</v>
      </c>
      <c r="E2216">
        <v>145</v>
      </c>
    </row>
    <row r="2217" spans="1:5" x14ac:dyDescent="0.25">
      <c r="A2217">
        <v>2216</v>
      </c>
      <c r="B2217">
        <v>238762</v>
      </c>
      <c r="C2217" s="1" t="str">
        <f>HYPERLINK("http://stackoverflow.com/users/238762", "eclectocrat")</f>
        <v>eclectocrat</v>
      </c>
      <c r="D2217" t="s">
        <v>4</v>
      </c>
      <c r="E2217">
        <v>145</v>
      </c>
    </row>
    <row r="2218" spans="1:5" x14ac:dyDescent="0.25">
      <c r="A2218">
        <v>2217</v>
      </c>
      <c r="B2218">
        <v>1819539</v>
      </c>
      <c r="C2218" s="1" t="str">
        <f>HYPERLINK("http://stackoverflow.com/users/1819539", "Oscar Jiang")</f>
        <v>Oscar Jiang</v>
      </c>
      <c r="D2218" t="s">
        <v>54</v>
      </c>
      <c r="E2218">
        <v>145</v>
      </c>
    </row>
    <row r="2219" spans="1:5" x14ac:dyDescent="0.25">
      <c r="A2219">
        <v>2218</v>
      </c>
      <c r="B2219">
        <v>1803669</v>
      </c>
      <c r="C2219" s="1" t="str">
        <f>HYPERLINK("http://stackoverflow.com/users/1803669", "JasonW")</f>
        <v>JasonW</v>
      </c>
      <c r="D2219" t="s">
        <v>5</v>
      </c>
      <c r="E2219">
        <v>145</v>
      </c>
    </row>
    <row r="2220" spans="1:5" x14ac:dyDescent="0.25">
      <c r="A2220">
        <v>2219</v>
      </c>
      <c r="B2220">
        <v>6010664</v>
      </c>
      <c r="C2220" s="1" t="str">
        <f>HYPERLINK("http://stackoverflow.com/users/6010664", "L. Ouyang")</f>
        <v>L. Ouyang</v>
      </c>
      <c r="D2220" t="s">
        <v>12</v>
      </c>
      <c r="E2220">
        <v>145</v>
      </c>
    </row>
    <row r="2221" spans="1:5" x14ac:dyDescent="0.25">
      <c r="A2221">
        <v>2220</v>
      </c>
      <c r="B2221">
        <v>1239295</v>
      </c>
      <c r="C2221" s="1" t="str">
        <f>HYPERLINK("http://stackoverflow.com/users/1239295", "Bruce Sun")</f>
        <v>Bruce Sun</v>
      </c>
      <c r="D2221" t="s">
        <v>22</v>
      </c>
      <c r="E2221">
        <v>145</v>
      </c>
    </row>
    <row r="2222" spans="1:5" x14ac:dyDescent="0.25">
      <c r="A2222">
        <v>2221</v>
      </c>
      <c r="B2222">
        <v>1261305</v>
      </c>
      <c r="C2222" s="1" t="str">
        <f>HYPERLINK("http://stackoverflow.com/users/1261305", "ASBai")</f>
        <v>ASBai</v>
      </c>
      <c r="D2222" t="s">
        <v>4</v>
      </c>
      <c r="E2222">
        <v>145</v>
      </c>
    </row>
    <row r="2223" spans="1:5" x14ac:dyDescent="0.25">
      <c r="A2223">
        <v>2222</v>
      </c>
      <c r="B2223">
        <v>6677510</v>
      </c>
      <c r="C2223" s="1" t="str">
        <f>HYPERLINK("http://stackoverflow.com/users/6677510", "godtail")</f>
        <v>godtail</v>
      </c>
      <c r="D2223" t="s">
        <v>7</v>
      </c>
      <c r="E2223">
        <v>144</v>
      </c>
    </row>
    <row r="2224" spans="1:5" x14ac:dyDescent="0.25">
      <c r="A2224">
        <v>2223</v>
      </c>
      <c r="B2224">
        <v>5452492</v>
      </c>
      <c r="C2224" s="1" t="str">
        <f>HYPERLINK("http://stackoverflow.com/users/5452492", "alien_frog")</f>
        <v>alien_frog</v>
      </c>
      <c r="D2224" t="s">
        <v>17</v>
      </c>
      <c r="E2224">
        <v>144</v>
      </c>
    </row>
    <row r="2225" spans="1:5" x14ac:dyDescent="0.25">
      <c r="A2225">
        <v>2224</v>
      </c>
      <c r="B2225">
        <v>8047169</v>
      </c>
      <c r="C2225" s="1" t="str">
        <f>HYPERLINK("http://stackoverflow.com/users/8047169", "nsnze")</f>
        <v>nsnze</v>
      </c>
      <c r="D2225" t="s">
        <v>5</v>
      </c>
      <c r="E2225">
        <v>144</v>
      </c>
    </row>
    <row r="2226" spans="1:5" x14ac:dyDescent="0.25">
      <c r="A2226">
        <v>2225</v>
      </c>
      <c r="B2226">
        <v>4079016</v>
      </c>
      <c r="C2226" s="1" t="str">
        <f>HYPERLINK("http://stackoverflow.com/users/4079016", "steveluoxin")</f>
        <v>steveluoxin</v>
      </c>
      <c r="D2226" t="s">
        <v>25</v>
      </c>
      <c r="E2226">
        <v>144</v>
      </c>
    </row>
    <row r="2227" spans="1:5" x14ac:dyDescent="0.25">
      <c r="A2227">
        <v>2226</v>
      </c>
      <c r="B2227">
        <v>533356</v>
      </c>
      <c r="C2227" s="1" t="str">
        <f>HYPERLINK("http://stackoverflow.com/users/533356", "speedmancs")</f>
        <v>speedmancs</v>
      </c>
      <c r="D2227" t="s">
        <v>4</v>
      </c>
      <c r="E2227">
        <v>144</v>
      </c>
    </row>
    <row r="2228" spans="1:5" x14ac:dyDescent="0.25">
      <c r="A2228">
        <v>2227</v>
      </c>
      <c r="B2228">
        <v>792388</v>
      </c>
      <c r="C2228" s="1" t="str">
        <f>HYPERLINK("http://stackoverflow.com/users/792388", "Garriot Zhang")</f>
        <v>Garriot Zhang</v>
      </c>
      <c r="D2228" t="s">
        <v>16</v>
      </c>
      <c r="E2228">
        <v>144</v>
      </c>
    </row>
    <row r="2229" spans="1:5" x14ac:dyDescent="0.25">
      <c r="A2229">
        <v>2228</v>
      </c>
      <c r="B2229">
        <v>416775</v>
      </c>
      <c r="C2229" s="1" t="str">
        <f>HYPERLINK("http://stackoverflow.com/users/416775", "Jianzhong")</f>
        <v>Jianzhong</v>
      </c>
      <c r="D2229" t="s">
        <v>4</v>
      </c>
      <c r="E2229">
        <v>144</v>
      </c>
    </row>
    <row r="2230" spans="1:5" x14ac:dyDescent="0.25">
      <c r="A2230">
        <v>2229</v>
      </c>
      <c r="B2230">
        <v>6760442</v>
      </c>
      <c r="C2230" s="1" t="str">
        <f>HYPERLINK("http://stackoverflow.com/users/6760442", "Bruce Chen")</f>
        <v>Bruce Chen</v>
      </c>
      <c r="D2230" t="s">
        <v>16</v>
      </c>
      <c r="E2230">
        <v>144</v>
      </c>
    </row>
    <row r="2231" spans="1:5" x14ac:dyDescent="0.25">
      <c r="A2231">
        <v>2230</v>
      </c>
      <c r="B2231">
        <v>5295076</v>
      </c>
      <c r="C2231" s="1" t="str">
        <f>HYPERLINK("http://stackoverflow.com/users/5295076", "Tony")</f>
        <v>Tony</v>
      </c>
      <c r="D2231" t="s">
        <v>22</v>
      </c>
      <c r="E2231">
        <v>143</v>
      </c>
    </row>
    <row r="2232" spans="1:5" x14ac:dyDescent="0.25">
      <c r="A2232">
        <v>2231</v>
      </c>
      <c r="B2232">
        <v>8180974</v>
      </c>
      <c r="C2232" s="1" t="str">
        <f>HYPERLINK("http://stackoverflow.com/users/8180974", "linc01n")</f>
        <v>linc01n</v>
      </c>
      <c r="D2232" t="s">
        <v>21</v>
      </c>
      <c r="E2232">
        <v>143</v>
      </c>
    </row>
    <row r="2233" spans="1:5" x14ac:dyDescent="0.25">
      <c r="A2233">
        <v>2232</v>
      </c>
      <c r="B2233">
        <v>3024868</v>
      </c>
      <c r="C2233" s="1" t="str">
        <f>HYPERLINK("http://stackoverflow.com/users/3024868", "RyanWang")</f>
        <v>RyanWang</v>
      </c>
      <c r="D2233" t="s">
        <v>54</v>
      </c>
      <c r="E2233">
        <v>143</v>
      </c>
    </row>
    <row r="2234" spans="1:5" x14ac:dyDescent="0.25">
      <c r="A2234">
        <v>2233</v>
      </c>
      <c r="B2234">
        <v>5343123</v>
      </c>
      <c r="C2234" s="1" t="str">
        <f>HYPERLINK("http://stackoverflow.com/users/5343123", "codelegant")</f>
        <v>codelegant</v>
      </c>
      <c r="D2234" t="s">
        <v>17</v>
      </c>
      <c r="E2234">
        <v>143</v>
      </c>
    </row>
    <row r="2235" spans="1:5" x14ac:dyDescent="0.25">
      <c r="A2235">
        <v>2234</v>
      </c>
      <c r="B2235">
        <v>1677000</v>
      </c>
      <c r="C2235" s="1" t="str">
        <f>HYPERLINK("http://stackoverflow.com/users/1677000", "wlz")</f>
        <v>wlz</v>
      </c>
      <c r="D2235" t="s">
        <v>12</v>
      </c>
      <c r="E2235">
        <v>143</v>
      </c>
    </row>
    <row r="2236" spans="1:5" x14ac:dyDescent="0.25">
      <c r="A2236">
        <v>2235</v>
      </c>
      <c r="B2236">
        <v>1231127</v>
      </c>
      <c r="C2236" s="1" t="str">
        <f>HYPERLINK("http://stackoverflow.com/users/1231127", "edwardtoday")</f>
        <v>edwardtoday</v>
      </c>
      <c r="D2236" t="s">
        <v>4</v>
      </c>
      <c r="E2236">
        <v>143</v>
      </c>
    </row>
    <row r="2237" spans="1:5" x14ac:dyDescent="0.25">
      <c r="A2237">
        <v>2236</v>
      </c>
      <c r="B2237">
        <v>1122611</v>
      </c>
      <c r="C2237" s="1" t="str">
        <f>HYPERLINK("http://stackoverflow.com/users/1122611", "Ericpoon")</f>
        <v>Ericpoon</v>
      </c>
      <c r="D2237" t="s">
        <v>21</v>
      </c>
      <c r="E2237">
        <v>142</v>
      </c>
    </row>
    <row r="2238" spans="1:5" x14ac:dyDescent="0.25">
      <c r="A2238">
        <v>2237</v>
      </c>
      <c r="B2238">
        <v>1497581</v>
      </c>
      <c r="C2238" s="1" t="str">
        <f>HYPERLINK("http://stackoverflow.com/users/1497581", "killme2008")</f>
        <v>killme2008</v>
      </c>
      <c r="D2238" t="s">
        <v>12</v>
      </c>
      <c r="E2238">
        <v>142</v>
      </c>
    </row>
    <row r="2239" spans="1:5" x14ac:dyDescent="0.25">
      <c r="A2239">
        <v>2238</v>
      </c>
      <c r="B2239">
        <v>408551</v>
      </c>
      <c r="C2239" s="1" t="str">
        <f>HYPERLINK("http://stackoverflow.com/users/408551", "barand")</f>
        <v>barand</v>
      </c>
      <c r="D2239" t="s">
        <v>17</v>
      </c>
      <c r="E2239">
        <v>142</v>
      </c>
    </row>
    <row r="2240" spans="1:5" x14ac:dyDescent="0.25">
      <c r="A2240">
        <v>2239</v>
      </c>
      <c r="B2240">
        <v>3675508</v>
      </c>
      <c r="C2240" s="1" t="str">
        <f>HYPERLINK("http://stackoverflow.com/users/3675508", "CrazyOrr")</f>
        <v>CrazyOrr</v>
      </c>
      <c r="D2240" t="s">
        <v>4</v>
      </c>
      <c r="E2240">
        <v>142</v>
      </c>
    </row>
    <row r="2241" spans="1:5" x14ac:dyDescent="0.25">
      <c r="A2241">
        <v>2240</v>
      </c>
      <c r="B2241">
        <v>2532014</v>
      </c>
      <c r="C2241" s="1" t="str">
        <f>HYPERLINK("http://stackoverflow.com/users/2532014", "popo")</f>
        <v>popo</v>
      </c>
      <c r="D2241" t="s">
        <v>5</v>
      </c>
      <c r="E2241">
        <v>142</v>
      </c>
    </row>
    <row r="2242" spans="1:5" x14ac:dyDescent="0.25">
      <c r="A2242">
        <v>2241</v>
      </c>
      <c r="B2242">
        <v>1832002</v>
      </c>
      <c r="C2242" s="1" t="str">
        <f>HYPERLINK("http://stackoverflow.com/users/1832002", "Rock")</f>
        <v>Rock</v>
      </c>
      <c r="D2242" t="s">
        <v>5</v>
      </c>
      <c r="E2242">
        <v>142</v>
      </c>
    </row>
    <row r="2243" spans="1:5" x14ac:dyDescent="0.25">
      <c r="A2243">
        <v>2242</v>
      </c>
      <c r="B2243">
        <v>8032801</v>
      </c>
      <c r="C2243" s="1" t="str">
        <f>HYPERLINK("http://stackoverflow.com/users/8032801", "rubyshine72")</f>
        <v>rubyshine72</v>
      </c>
      <c r="D2243" t="s">
        <v>33</v>
      </c>
      <c r="E2243">
        <v>142</v>
      </c>
    </row>
    <row r="2244" spans="1:5" x14ac:dyDescent="0.25">
      <c r="A2244">
        <v>2243</v>
      </c>
      <c r="B2244">
        <v>5429816</v>
      </c>
      <c r="C2244" s="1" t="str">
        <f>HYPERLINK("http://stackoverflow.com/users/5429816", "enjoying")</f>
        <v>enjoying</v>
      </c>
      <c r="D2244" t="s">
        <v>4</v>
      </c>
      <c r="E2244">
        <v>142</v>
      </c>
    </row>
    <row r="2245" spans="1:5" x14ac:dyDescent="0.25">
      <c r="A2245">
        <v>2244</v>
      </c>
      <c r="B2245">
        <v>2817654</v>
      </c>
      <c r="C2245" s="1" t="str">
        <f>HYPERLINK("http://stackoverflow.com/users/2817654", "peter pan gz")</f>
        <v>peter pan gz</v>
      </c>
      <c r="D2245" t="s">
        <v>21</v>
      </c>
      <c r="E2245">
        <v>141</v>
      </c>
    </row>
    <row r="2246" spans="1:5" x14ac:dyDescent="0.25">
      <c r="A2246">
        <v>2245</v>
      </c>
      <c r="B2246">
        <v>505516</v>
      </c>
      <c r="C2246" s="1" t="str">
        <f>HYPERLINK("http://stackoverflow.com/users/505516", "jim")</f>
        <v>jim</v>
      </c>
      <c r="D2246" t="s">
        <v>4</v>
      </c>
      <c r="E2246">
        <v>141</v>
      </c>
    </row>
    <row r="2247" spans="1:5" x14ac:dyDescent="0.25">
      <c r="A2247">
        <v>2246</v>
      </c>
      <c r="B2247">
        <v>3448749</v>
      </c>
      <c r="C2247" s="1" t="str">
        <f>HYPERLINK("http://stackoverflow.com/users/3448749", "Evan")</f>
        <v>Evan</v>
      </c>
      <c r="D2247" t="s">
        <v>4</v>
      </c>
      <c r="E2247">
        <v>141</v>
      </c>
    </row>
    <row r="2248" spans="1:5" x14ac:dyDescent="0.25">
      <c r="A2248">
        <v>2247</v>
      </c>
      <c r="B2248">
        <v>2688334</v>
      </c>
      <c r="C2248" s="1" t="str">
        <f>HYPERLINK("http://stackoverflow.com/users/2688334", "MarsYoung")</f>
        <v>MarsYoung</v>
      </c>
      <c r="D2248" t="s">
        <v>5</v>
      </c>
      <c r="E2248">
        <v>141</v>
      </c>
    </row>
    <row r="2249" spans="1:5" x14ac:dyDescent="0.25">
      <c r="A2249">
        <v>2248</v>
      </c>
      <c r="B2249">
        <v>1153223</v>
      </c>
      <c r="C2249" s="1" t="str">
        <f>HYPERLINK("http://stackoverflow.com/users/1153223", "Ryan Lv")</f>
        <v>Ryan Lv</v>
      </c>
      <c r="D2249" t="s">
        <v>12</v>
      </c>
      <c r="E2249">
        <v>141</v>
      </c>
    </row>
    <row r="2250" spans="1:5" x14ac:dyDescent="0.25">
      <c r="A2250">
        <v>2249</v>
      </c>
      <c r="B2250">
        <v>479029</v>
      </c>
      <c r="C2250" s="1" t="str">
        <f>HYPERLINK("http://stackoverflow.com/users/479029", "cloudchen")</f>
        <v>cloudchen</v>
      </c>
      <c r="D2250" t="s">
        <v>4</v>
      </c>
      <c r="E2250">
        <v>141</v>
      </c>
    </row>
    <row r="2251" spans="1:5" x14ac:dyDescent="0.25">
      <c r="A2251">
        <v>2250</v>
      </c>
      <c r="B2251">
        <v>360144</v>
      </c>
      <c r="C2251" s="1" t="str">
        <f>HYPERLINK("http://stackoverflow.com/users/360144", "snail")</f>
        <v>snail</v>
      </c>
      <c r="D2251" t="s">
        <v>17</v>
      </c>
      <c r="E2251">
        <v>141</v>
      </c>
    </row>
    <row r="2252" spans="1:5" x14ac:dyDescent="0.25">
      <c r="A2252">
        <v>2251</v>
      </c>
      <c r="B2252">
        <v>4500990</v>
      </c>
      <c r="C2252" s="1" t="str">
        <f>HYPERLINK("http://stackoverflow.com/users/4500990", "axl")</f>
        <v>axl</v>
      </c>
      <c r="D2252" t="s">
        <v>4</v>
      </c>
      <c r="E2252">
        <v>141</v>
      </c>
    </row>
    <row r="2253" spans="1:5" x14ac:dyDescent="0.25">
      <c r="A2253">
        <v>2252</v>
      </c>
      <c r="B2253">
        <v>3468416</v>
      </c>
      <c r="C2253" s="1" t="str">
        <f>HYPERLINK("http://stackoverflow.com/users/3468416", "yibuyisheng")</f>
        <v>yibuyisheng</v>
      </c>
      <c r="D2253" t="s">
        <v>4</v>
      </c>
      <c r="E2253">
        <v>141</v>
      </c>
    </row>
    <row r="2254" spans="1:5" x14ac:dyDescent="0.25">
      <c r="A2254">
        <v>2253</v>
      </c>
      <c r="B2254">
        <v>2738575</v>
      </c>
      <c r="C2254" s="1" t="str">
        <f>HYPERLINK("http://stackoverflow.com/users/2738575", "faxiubite")</f>
        <v>faxiubite</v>
      </c>
      <c r="D2254" t="s">
        <v>54</v>
      </c>
      <c r="E2254">
        <v>141</v>
      </c>
    </row>
    <row r="2255" spans="1:5" x14ac:dyDescent="0.25">
      <c r="A2255">
        <v>2254</v>
      </c>
      <c r="B2255">
        <v>6546633</v>
      </c>
      <c r="C2255" s="1" t="str">
        <f>HYPERLINK("http://stackoverflow.com/users/6546633", "Marx Wolf")</f>
        <v>Marx Wolf</v>
      </c>
      <c r="D2255" t="s">
        <v>17</v>
      </c>
      <c r="E2255">
        <v>141</v>
      </c>
    </row>
    <row r="2256" spans="1:5" x14ac:dyDescent="0.25">
      <c r="A2256">
        <v>2255</v>
      </c>
      <c r="B2256">
        <v>614951</v>
      </c>
      <c r="C2256" s="1" t="str">
        <f>HYPERLINK("http://stackoverflow.com/users/614951", "Ace")</f>
        <v>Ace</v>
      </c>
      <c r="D2256" t="s">
        <v>35</v>
      </c>
      <c r="E2256">
        <v>140</v>
      </c>
    </row>
    <row r="2257" spans="1:5" x14ac:dyDescent="0.25">
      <c r="A2257">
        <v>2256</v>
      </c>
      <c r="B2257">
        <v>1326128</v>
      </c>
      <c r="C2257" s="1" t="str">
        <f>HYPERLINK("http://stackoverflow.com/users/1326128", "尤慕李")</f>
        <v>尤慕李</v>
      </c>
      <c r="D2257" t="s">
        <v>16</v>
      </c>
      <c r="E2257">
        <v>140</v>
      </c>
    </row>
    <row r="2258" spans="1:5" x14ac:dyDescent="0.25">
      <c r="A2258">
        <v>2257</v>
      </c>
      <c r="B2258">
        <v>397718</v>
      </c>
      <c r="C2258" s="1" t="str">
        <f>HYPERLINK("http://stackoverflow.com/users/397718", "Yozone W.")</f>
        <v>Yozone W.</v>
      </c>
      <c r="D2258" t="s">
        <v>4</v>
      </c>
      <c r="E2258">
        <v>140</v>
      </c>
    </row>
    <row r="2259" spans="1:5" x14ac:dyDescent="0.25">
      <c r="A2259">
        <v>2258</v>
      </c>
      <c r="B2259">
        <v>760691</v>
      </c>
      <c r="C2259" s="1" t="str">
        <f>HYPERLINK("http://stackoverflow.com/users/760691", "Defims")</f>
        <v>Defims</v>
      </c>
      <c r="D2259" t="s">
        <v>17</v>
      </c>
      <c r="E2259">
        <v>140</v>
      </c>
    </row>
    <row r="2260" spans="1:5" x14ac:dyDescent="0.25">
      <c r="A2260">
        <v>2259</v>
      </c>
      <c r="B2260">
        <v>5257335</v>
      </c>
      <c r="C2260" s="1" t="str">
        <f>HYPERLINK("http://stackoverflow.com/users/5257335", "Ci Kai")</f>
        <v>Ci Kai</v>
      </c>
      <c r="D2260" t="s">
        <v>33</v>
      </c>
      <c r="E2260">
        <v>140</v>
      </c>
    </row>
    <row r="2261" spans="1:5" x14ac:dyDescent="0.25">
      <c r="A2261">
        <v>2260</v>
      </c>
      <c r="B2261">
        <v>1369400</v>
      </c>
      <c r="C2261" s="1" t="str">
        <f>HYPERLINK("http://stackoverflow.com/users/1369400", "Zeke Lu")</f>
        <v>Zeke Lu</v>
      </c>
      <c r="D2261" t="s">
        <v>17</v>
      </c>
      <c r="E2261">
        <v>140</v>
      </c>
    </row>
    <row r="2262" spans="1:5" x14ac:dyDescent="0.25">
      <c r="A2262">
        <v>2261</v>
      </c>
      <c r="B2262">
        <v>536193</v>
      </c>
      <c r="C2262" s="1" t="str">
        <f>HYPERLINK("http://stackoverflow.com/users/536193", "sleetdrop")</f>
        <v>sleetdrop</v>
      </c>
      <c r="D2262" t="s">
        <v>5</v>
      </c>
      <c r="E2262">
        <v>140</v>
      </c>
    </row>
    <row r="2263" spans="1:5" x14ac:dyDescent="0.25">
      <c r="A2263">
        <v>2262</v>
      </c>
      <c r="B2263">
        <v>2842962</v>
      </c>
      <c r="C2263" s="1" t="str">
        <f>HYPERLINK("http://stackoverflow.com/users/2842962", "Rebecca J. Stones")</f>
        <v>Rebecca J. Stones</v>
      </c>
      <c r="D2263" t="s">
        <v>57</v>
      </c>
      <c r="E2263">
        <v>140</v>
      </c>
    </row>
    <row r="2264" spans="1:5" x14ac:dyDescent="0.25">
      <c r="A2264">
        <v>2263</v>
      </c>
      <c r="B2264">
        <v>7152658</v>
      </c>
      <c r="C2264" s="1" t="str">
        <f>HYPERLINK("http://stackoverflow.com/users/7152658", "zhongjiajie")</f>
        <v>zhongjiajie</v>
      </c>
      <c r="D2264" t="s">
        <v>25</v>
      </c>
      <c r="E2264">
        <v>140</v>
      </c>
    </row>
    <row r="2265" spans="1:5" x14ac:dyDescent="0.25">
      <c r="A2265">
        <v>2264</v>
      </c>
      <c r="B2265">
        <v>2285473</v>
      </c>
      <c r="C2265" s="1" t="str">
        <f>HYPERLINK("http://stackoverflow.com/users/2285473", "JasonS")</f>
        <v>JasonS</v>
      </c>
      <c r="D2265" t="s">
        <v>4</v>
      </c>
      <c r="E2265">
        <v>140</v>
      </c>
    </row>
    <row r="2266" spans="1:5" x14ac:dyDescent="0.25">
      <c r="A2266">
        <v>2265</v>
      </c>
      <c r="B2266">
        <v>4004384</v>
      </c>
      <c r="C2266" s="1" t="str">
        <f>HYPERLINK("http://stackoverflow.com/users/4004384", "menq")</f>
        <v>menq</v>
      </c>
      <c r="D2266" t="s">
        <v>12</v>
      </c>
      <c r="E2266">
        <v>140</v>
      </c>
    </row>
    <row r="2267" spans="1:5" x14ac:dyDescent="0.25">
      <c r="A2267">
        <v>2266</v>
      </c>
      <c r="B2267">
        <v>5509531</v>
      </c>
      <c r="C2267" s="1" t="str">
        <f>HYPERLINK("http://stackoverflow.com/users/5509531", "zzh1996")</f>
        <v>zzh1996</v>
      </c>
      <c r="D2267" t="s">
        <v>162</v>
      </c>
      <c r="E2267">
        <v>139</v>
      </c>
    </row>
    <row r="2268" spans="1:5" x14ac:dyDescent="0.25">
      <c r="A2268">
        <v>2267</v>
      </c>
      <c r="B2268">
        <v>676150</v>
      </c>
      <c r="C2268" s="1" t="str">
        <f>HYPERLINK("http://stackoverflow.com/users/676150", "Andrew Zhu")</f>
        <v>Andrew Zhu</v>
      </c>
      <c r="D2268" t="s">
        <v>4</v>
      </c>
      <c r="E2268">
        <v>139</v>
      </c>
    </row>
    <row r="2269" spans="1:5" x14ac:dyDescent="0.25">
      <c r="A2269">
        <v>2268</v>
      </c>
      <c r="B2269">
        <v>93571</v>
      </c>
      <c r="C2269" s="1" t="str">
        <f>HYPERLINK("http://stackoverflow.com/users/93571", "Realfun")</f>
        <v>Realfun</v>
      </c>
      <c r="D2269" t="s">
        <v>5</v>
      </c>
      <c r="E2269">
        <v>139</v>
      </c>
    </row>
    <row r="2270" spans="1:5" x14ac:dyDescent="0.25">
      <c r="A2270">
        <v>2269</v>
      </c>
      <c r="B2270">
        <v>7181578</v>
      </c>
      <c r="C2270" s="1" t="str">
        <f>HYPERLINK("http://stackoverflow.com/users/7181578", "James L.")</f>
        <v>James L.</v>
      </c>
      <c r="D2270" t="s">
        <v>163</v>
      </c>
      <c r="E2270">
        <v>139</v>
      </c>
    </row>
    <row r="2271" spans="1:5" x14ac:dyDescent="0.25">
      <c r="A2271">
        <v>2270</v>
      </c>
      <c r="B2271">
        <v>1411894</v>
      </c>
      <c r="C2271" s="1" t="str">
        <f>HYPERLINK("http://stackoverflow.com/users/1411894", "Oliver")</f>
        <v>Oliver</v>
      </c>
      <c r="D2271" t="s">
        <v>4</v>
      </c>
      <c r="E2271">
        <v>139</v>
      </c>
    </row>
    <row r="2272" spans="1:5" x14ac:dyDescent="0.25">
      <c r="A2272">
        <v>2271</v>
      </c>
      <c r="B2272">
        <v>1450620</v>
      </c>
      <c r="C2272" s="1" t="str">
        <f>HYPERLINK("http://stackoverflow.com/users/1450620", "frank.liu")</f>
        <v>frank.liu</v>
      </c>
      <c r="D2272" t="s">
        <v>5</v>
      </c>
      <c r="E2272">
        <v>139</v>
      </c>
    </row>
    <row r="2273" spans="1:5" x14ac:dyDescent="0.25">
      <c r="A2273">
        <v>2272</v>
      </c>
      <c r="B2273">
        <v>5225798</v>
      </c>
      <c r="C2273" s="1" t="str">
        <f>HYPERLINK("http://stackoverflow.com/users/5225798", "Eski Yin")</f>
        <v>Eski Yin</v>
      </c>
      <c r="D2273" t="s">
        <v>4</v>
      </c>
      <c r="E2273">
        <v>139</v>
      </c>
    </row>
    <row r="2274" spans="1:5" x14ac:dyDescent="0.25">
      <c r="A2274">
        <v>2273</v>
      </c>
      <c r="B2274">
        <v>2543913</v>
      </c>
      <c r="C2274" s="1" t="str">
        <f>HYPERLINK("http://stackoverflow.com/users/2543913", "Dennis")</f>
        <v>Dennis</v>
      </c>
      <c r="D2274" t="s">
        <v>5</v>
      </c>
      <c r="E2274">
        <v>139</v>
      </c>
    </row>
    <row r="2275" spans="1:5" x14ac:dyDescent="0.25">
      <c r="A2275">
        <v>2274</v>
      </c>
      <c r="B2275">
        <v>264035</v>
      </c>
      <c r="C2275" s="1" t="str">
        <f>HYPERLINK("http://stackoverflow.com/users/264035", "xanpeng")</f>
        <v>xanpeng</v>
      </c>
      <c r="D2275" t="s">
        <v>12</v>
      </c>
      <c r="E2275">
        <v>138</v>
      </c>
    </row>
    <row r="2276" spans="1:5" x14ac:dyDescent="0.25">
      <c r="A2276">
        <v>2275</v>
      </c>
      <c r="B2276">
        <v>3767534</v>
      </c>
      <c r="C2276" s="1" t="str">
        <f>HYPERLINK("http://stackoverflow.com/users/3767534", "infmagic2047")</f>
        <v>infmagic2047</v>
      </c>
      <c r="D2276" t="s">
        <v>5</v>
      </c>
      <c r="E2276">
        <v>138</v>
      </c>
    </row>
    <row r="2277" spans="1:5" x14ac:dyDescent="0.25">
      <c r="A2277">
        <v>2276</v>
      </c>
      <c r="B2277">
        <v>774001</v>
      </c>
      <c r="C2277" s="1" t="str">
        <f>HYPERLINK("http://stackoverflow.com/users/774001", "Wang Ye")</f>
        <v>Wang Ye</v>
      </c>
      <c r="D2277" t="s">
        <v>3</v>
      </c>
      <c r="E2277">
        <v>138</v>
      </c>
    </row>
    <row r="2278" spans="1:5" x14ac:dyDescent="0.25">
      <c r="A2278">
        <v>2277</v>
      </c>
      <c r="B2278">
        <v>952386</v>
      </c>
      <c r="C2278" s="1" t="str">
        <f>HYPERLINK("http://stackoverflow.com/users/952386", "Iven Zhang")</f>
        <v>Iven Zhang</v>
      </c>
      <c r="D2278" t="s">
        <v>17</v>
      </c>
      <c r="E2278">
        <v>138</v>
      </c>
    </row>
    <row r="2279" spans="1:5" x14ac:dyDescent="0.25">
      <c r="A2279">
        <v>2278</v>
      </c>
      <c r="B2279">
        <v>4728600</v>
      </c>
      <c r="C2279" s="1" t="str">
        <f>HYPERLINK("http://stackoverflow.com/users/4728600", "inatu")</f>
        <v>inatu</v>
      </c>
      <c r="D2279" t="s">
        <v>5</v>
      </c>
      <c r="E2279">
        <v>138</v>
      </c>
    </row>
    <row r="2280" spans="1:5" x14ac:dyDescent="0.25">
      <c r="A2280">
        <v>2279</v>
      </c>
      <c r="B2280">
        <v>900278</v>
      </c>
      <c r="C2280" s="1" t="str">
        <f>HYPERLINK("http://stackoverflow.com/users/900278", "zhaoyou")</f>
        <v>zhaoyou</v>
      </c>
      <c r="D2280" t="s">
        <v>120</v>
      </c>
      <c r="E2280">
        <v>138</v>
      </c>
    </row>
    <row r="2281" spans="1:5" x14ac:dyDescent="0.25">
      <c r="A2281">
        <v>2280</v>
      </c>
      <c r="B2281">
        <v>247380</v>
      </c>
      <c r="C2281" s="1" t="str">
        <f>HYPERLINK("http://stackoverflow.com/users/247380", "pwd")</f>
        <v>pwd</v>
      </c>
      <c r="D2281" t="s">
        <v>8</v>
      </c>
      <c r="E2281">
        <v>138</v>
      </c>
    </row>
    <row r="2282" spans="1:5" x14ac:dyDescent="0.25">
      <c r="A2282">
        <v>2281</v>
      </c>
      <c r="B2282">
        <v>1831404</v>
      </c>
      <c r="C2282" s="1" t="str">
        <f>HYPERLINK("http://stackoverflow.com/users/1831404", "Liu Hao")</f>
        <v>Liu Hao</v>
      </c>
      <c r="D2282" t="s">
        <v>47</v>
      </c>
      <c r="E2282">
        <v>137</v>
      </c>
    </row>
    <row r="2283" spans="1:5" x14ac:dyDescent="0.25">
      <c r="A2283">
        <v>2282</v>
      </c>
      <c r="B2283">
        <v>160569</v>
      </c>
      <c r="C2283" s="1" t="str">
        <f>HYPERLINK("http://stackoverflow.com/users/160569", "Brent Jiang")</f>
        <v>Brent Jiang</v>
      </c>
      <c r="D2283" t="s">
        <v>4</v>
      </c>
      <c r="E2283">
        <v>137</v>
      </c>
    </row>
    <row r="2284" spans="1:5" x14ac:dyDescent="0.25">
      <c r="A2284">
        <v>2283</v>
      </c>
      <c r="B2284">
        <v>1758975</v>
      </c>
      <c r="C2284" s="1" t="str">
        <f>HYPERLINK("http://stackoverflow.com/users/1758975", "Rock")</f>
        <v>Rock</v>
      </c>
      <c r="D2284" t="s">
        <v>4</v>
      </c>
      <c r="E2284">
        <v>137</v>
      </c>
    </row>
    <row r="2285" spans="1:5" x14ac:dyDescent="0.25">
      <c r="A2285">
        <v>2284</v>
      </c>
      <c r="B2285">
        <v>710914</v>
      </c>
      <c r="C2285" s="1" t="str">
        <f>HYPERLINK("http://stackoverflow.com/users/710914", "pyth0ner")</f>
        <v>pyth0ner</v>
      </c>
      <c r="D2285" t="s">
        <v>37</v>
      </c>
      <c r="E2285">
        <v>136</v>
      </c>
    </row>
    <row r="2286" spans="1:5" x14ac:dyDescent="0.25">
      <c r="A2286">
        <v>2285</v>
      </c>
      <c r="B2286">
        <v>1091475</v>
      </c>
      <c r="C2286" s="1" t="str">
        <f>HYPERLINK("http://stackoverflow.com/users/1091475", "EricHua23")</f>
        <v>EricHua23</v>
      </c>
      <c r="D2286" t="s">
        <v>17</v>
      </c>
      <c r="E2286">
        <v>136</v>
      </c>
    </row>
    <row r="2287" spans="1:5" x14ac:dyDescent="0.25">
      <c r="A2287">
        <v>2286</v>
      </c>
      <c r="B2287">
        <v>230259</v>
      </c>
      <c r="C2287" s="1" t="str">
        <f>HYPERLINK("http://stackoverflow.com/users/230259", "Travis Worm")</f>
        <v>Travis Worm</v>
      </c>
      <c r="D2287" t="s">
        <v>5</v>
      </c>
      <c r="E2287">
        <v>136</v>
      </c>
    </row>
    <row r="2288" spans="1:5" x14ac:dyDescent="0.25">
      <c r="A2288">
        <v>2287</v>
      </c>
      <c r="B2288">
        <v>5717865</v>
      </c>
      <c r="C2288" s="1" t="str">
        <f>HYPERLINK("http://stackoverflow.com/users/5717865", "jinge")</f>
        <v>jinge</v>
      </c>
      <c r="D2288" t="s">
        <v>5</v>
      </c>
      <c r="E2288">
        <v>136</v>
      </c>
    </row>
    <row r="2289" spans="1:5" x14ac:dyDescent="0.25">
      <c r="A2289">
        <v>2288</v>
      </c>
      <c r="B2289">
        <v>4045315</v>
      </c>
      <c r="C2289" s="1" t="str">
        <f>HYPERLINK("http://stackoverflow.com/users/4045315", "Lirian Su")</f>
        <v>Lirian Su</v>
      </c>
      <c r="D2289" t="s">
        <v>4</v>
      </c>
      <c r="E2289">
        <v>136</v>
      </c>
    </row>
    <row r="2290" spans="1:5" x14ac:dyDescent="0.25">
      <c r="A2290">
        <v>2289</v>
      </c>
      <c r="B2290">
        <v>3397796</v>
      </c>
      <c r="C2290" s="1" t="str">
        <f>HYPERLINK("http://stackoverflow.com/users/3397796", "LeckieNi")</f>
        <v>LeckieNi</v>
      </c>
      <c r="D2290" t="s">
        <v>5</v>
      </c>
      <c r="E2290">
        <v>136</v>
      </c>
    </row>
    <row r="2291" spans="1:5" x14ac:dyDescent="0.25">
      <c r="A2291">
        <v>2290</v>
      </c>
      <c r="B2291">
        <v>6313358</v>
      </c>
      <c r="C2291" s="1" t="str">
        <f>HYPERLINK("http://stackoverflow.com/users/6313358", "mikewolfli")</f>
        <v>mikewolfli</v>
      </c>
      <c r="D2291" t="s">
        <v>164</v>
      </c>
      <c r="E2291">
        <v>136</v>
      </c>
    </row>
    <row r="2292" spans="1:5" x14ac:dyDescent="0.25">
      <c r="A2292">
        <v>2291</v>
      </c>
      <c r="B2292">
        <v>1015819</v>
      </c>
      <c r="C2292" s="1" t="str">
        <f>HYPERLINK("http://stackoverflow.com/users/1015819", "ocean")</f>
        <v>ocean</v>
      </c>
      <c r="D2292" t="s">
        <v>5</v>
      </c>
      <c r="E2292">
        <v>136</v>
      </c>
    </row>
    <row r="2293" spans="1:5" x14ac:dyDescent="0.25">
      <c r="A2293">
        <v>2292</v>
      </c>
      <c r="B2293">
        <v>4761607</v>
      </c>
      <c r="C2293" s="1" t="str">
        <f>HYPERLINK("http://stackoverflow.com/users/4761607", "Wayne Chen")</f>
        <v>Wayne Chen</v>
      </c>
      <c r="D2293" t="s">
        <v>4</v>
      </c>
      <c r="E2293">
        <v>135</v>
      </c>
    </row>
    <row r="2294" spans="1:5" x14ac:dyDescent="0.25">
      <c r="A2294">
        <v>2293</v>
      </c>
      <c r="B2294">
        <v>2840992</v>
      </c>
      <c r="C2294" s="1" t="str">
        <f>HYPERLINK("http://stackoverflow.com/users/2840992", "SevenWow")</f>
        <v>SevenWow</v>
      </c>
      <c r="D2294" t="s">
        <v>5</v>
      </c>
      <c r="E2294">
        <v>135</v>
      </c>
    </row>
    <row r="2295" spans="1:5" x14ac:dyDescent="0.25">
      <c r="A2295">
        <v>2294</v>
      </c>
      <c r="B2295">
        <v>893984</v>
      </c>
      <c r="C2295" s="1" t="str">
        <f>HYPERLINK("http://stackoverflow.com/users/893984", "Peng Wang")</f>
        <v>Peng Wang</v>
      </c>
      <c r="D2295" t="s">
        <v>90</v>
      </c>
      <c r="E2295">
        <v>135</v>
      </c>
    </row>
    <row r="2296" spans="1:5" x14ac:dyDescent="0.25">
      <c r="A2296">
        <v>2295</v>
      </c>
      <c r="B2296">
        <v>1208883</v>
      </c>
      <c r="C2296" s="1" t="str">
        <f>HYPERLINK("http://stackoverflow.com/users/1208883", "Zhou")</f>
        <v>Zhou</v>
      </c>
      <c r="D2296" t="s">
        <v>5</v>
      </c>
      <c r="E2296">
        <v>135</v>
      </c>
    </row>
    <row r="2297" spans="1:5" x14ac:dyDescent="0.25">
      <c r="A2297">
        <v>2296</v>
      </c>
      <c r="B2297">
        <v>5189077</v>
      </c>
      <c r="C2297" s="1" t="str">
        <f>HYPERLINK("http://stackoverflow.com/users/5189077", "Willis.Hu")</f>
        <v>Willis.Hu</v>
      </c>
      <c r="D2297" t="s">
        <v>4</v>
      </c>
      <c r="E2297">
        <v>135</v>
      </c>
    </row>
    <row r="2298" spans="1:5" x14ac:dyDescent="0.25">
      <c r="A2298">
        <v>2297</v>
      </c>
      <c r="B2298">
        <v>3800583</v>
      </c>
      <c r="C2298" s="1" t="str">
        <f>HYPERLINK("http://stackoverflow.com/users/3800583", "kenticny")</f>
        <v>kenticny</v>
      </c>
      <c r="D2298" t="s">
        <v>5</v>
      </c>
      <c r="E2298">
        <v>135</v>
      </c>
    </row>
    <row r="2299" spans="1:5" x14ac:dyDescent="0.25">
      <c r="A2299">
        <v>2298</v>
      </c>
      <c r="B2299">
        <v>5996475</v>
      </c>
      <c r="C2299" s="1" t="str">
        <f>HYPERLINK("http://stackoverflow.com/users/5996475", "Liang Zhang")</f>
        <v>Liang Zhang</v>
      </c>
      <c r="D2299" t="s">
        <v>165</v>
      </c>
      <c r="E2299">
        <v>135</v>
      </c>
    </row>
    <row r="2300" spans="1:5" x14ac:dyDescent="0.25">
      <c r="A2300">
        <v>2299</v>
      </c>
      <c r="B2300">
        <v>3030321</v>
      </c>
      <c r="C2300" s="1" t="str">
        <f>HYPERLINK("http://stackoverflow.com/users/3030321", "Qin Peixi")</f>
        <v>Qin Peixi</v>
      </c>
      <c r="D2300" t="s">
        <v>5</v>
      </c>
      <c r="E2300">
        <v>135</v>
      </c>
    </row>
    <row r="2301" spans="1:5" x14ac:dyDescent="0.25">
      <c r="A2301">
        <v>2300</v>
      </c>
      <c r="B2301">
        <v>398988</v>
      </c>
      <c r="C2301" s="1" t="str">
        <f>HYPERLINK("http://stackoverflow.com/users/398988", "yesmeck")</f>
        <v>yesmeck</v>
      </c>
      <c r="D2301" t="s">
        <v>12</v>
      </c>
      <c r="E2301">
        <v>135</v>
      </c>
    </row>
    <row r="2302" spans="1:5" x14ac:dyDescent="0.25">
      <c r="A2302">
        <v>2301</v>
      </c>
      <c r="B2302">
        <v>5403551</v>
      </c>
      <c r="C2302" s="1" t="str">
        <f>HYPERLINK("http://stackoverflow.com/users/5403551", "zhongwei")</f>
        <v>zhongwei</v>
      </c>
      <c r="D2302" t="s">
        <v>8</v>
      </c>
      <c r="E2302">
        <v>135</v>
      </c>
    </row>
    <row r="2303" spans="1:5" x14ac:dyDescent="0.25">
      <c r="A2303">
        <v>2302</v>
      </c>
      <c r="B2303">
        <v>1575836</v>
      </c>
      <c r="C2303" s="1" t="str">
        <f>HYPERLINK("http://stackoverflow.com/users/1575836", "rtrobin")</f>
        <v>rtrobin</v>
      </c>
      <c r="D2303" t="s">
        <v>5</v>
      </c>
      <c r="E2303">
        <v>135</v>
      </c>
    </row>
    <row r="2304" spans="1:5" x14ac:dyDescent="0.25">
      <c r="A2304">
        <v>2303</v>
      </c>
      <c r="B2304">
        <v>3021790</v>
      </c>
      <c r="C2304" s="1" t="str">
        <f>HYPERLINK("http://stackoverflow.com/users/3021790", "wacky6")</f>
        <v>wacky6</v>
      </c>
      <c r="D2304" t="s">
        <v>37</v>
      </c>
      <c r="E2304">
        <v>135</v>
      </c>
    </row>
    <row r="2305" spans="1:5" x14ac:dyDescent="0.25">
      <c r="A2305">
        <v>2304</v>
      </c>
      <c r="B2305">
        <v>9086491</v>
      </c>
      <c r="C2305" s="1" t="str">
        <f>HYPERLINK("http://stackoverflow.com/users/9086491", "Lilian Lee")</f>
        <v>Lilian Lee</v>
      </c>
      <c r="D2305" t="s">
        <v>5</v>
      </c>
      <c r="E2305">
        <v>135</v>
      </c>
    </row>
    <row r="2306" spans="1:5" x14ac:dyDescent="0.25">
      <c r="A2306">
        <v>2305</v>
      </c>
      <c r="B2306">
        <v>1452703</v>
      </c>
      <c r="C2306" s="1" t="str">
        <f>HYPERLINK("http://stackoverflow.com/users/1452703", "criszhao")</f>
        <v>criszhao</v>
      </c>
      <c r="D2306" t="s">
        <v>4</v>
      </c>
      <c r="E2306">
        <v>134</v>
      </c>
    </row>
    <row r="2307" spans="1:5" x14ac:dyDescent="0.25">
      <c r="A2307">
        <v>2306</v>
      </c>
      <c r="B2307">
        <v>2986174</v>
      </c>
      <c r="C2307" s="1" t="str">
        <f>HYPERLINK("http://stackoverflow.com/users/2986174", "Morrissss")</f>
        <v>Morrissss</v>
      </c>
      <c r="D2307" t="s">
        <v>4</v>
      </c>
      <c r="E2307">
        <v>134</v>
      </c>
    </row>
    <row r="2308" spans="1:5" x14ac:dyDescent="0.25">
      <c r="A2308">
        <v>2307</v>
      </c>
      <c r="B2308">
        <v>351627</v>
      </c>
      <c r="C2308" s="1" t="str">
        <f>HYPERLINK("http://stackoverflow.com/users/351627", "nodje")</f>
        <v>nodje</v>
      </c>
      <c r="D2308" t="s">
        <v>5</v>
      </c>
      <c r="E2308">
        <v>134</v>
      </c>
    </row>
    <row r="2309" spans="1:5" x14ac:dyDescent="0.25">
      <c r="A2309">
        <v>2308</v>
      </c>
      <c r="B2309">
        <v>373816</v>
      </c>
      <c r="C2309" s="1" t="str">
        <f>HYPERLINK("http://stackoverflow.com/users/373816", "iamxhu")</f>
        <v>iamxhu</v>
      </c>
      <c r="D2309" t="s">
        <v>12</v>
      </c>
      <c r="E2309">
        <v>134</v>
      </c>
    </row>
    <row r="2310" spans="1:5" x14ac:dyDescent="0.25">
      <c r="A2310">
        <v>2309</v>
      </c>
      <c r="B2310">
        <v>434249</v>
      </c>
      <c r="C2310" s="1" t="str">
        <f>HYPERLINK("http://stackoverflow.com/users/434249", "Stan")</f>
        <v>Stan</v>
      </c>
      <c r="D2310" t="s">
        <v>4</v>
      </c>
      <c r="E2310">
        <v>134</v>
      </c>
    </row>
    <row r="2311" spans="1:5" x14ac:dyDescent="0.25">
      <c r="A2311">
        <v>2310</v>
      </c>
      <c r="B2311">
        <v>1267931</v>
      </c>
      <c r="C2311" s="1" t="str">
        <f>HYPERLINK("http://stackoverflow.com/users/1267931", "HarryLv")</f>
        <v>HarryLv</v>
      </c>
      <c r="D2311" t="s">
        <v>37</v>
      </c>
      <c r="E2311">
        <v>134</v>
      </c>
    </row>
    <row r="2312" spans="1:5" x14ac:dyDescent="0.25">
      <c r="A2312">
        <v>2311</v>
      </c>
      <c r="B2312">
        <v>1064181</v>
      </c>
      <c r="C2312" s="1" t="str">
        <f>HYPERLINK("http://stackoverflow.com/users/1064181", "bobharris")</f>
        <v>bobharris</v>
      </c>
      <c r="D2312" t="s">
        <v>4</v>
      </c>
      <c r="E2312">
        <v>133</v>
      </c>
    </row>
    <row r="2313" spans="1:5" x14ac:dyDescent="0.25">
      <c r="A2313">
        <v>2312</v>
      </c>
      <c r="B2313">
        <v>1377770</v>
      </c>
      <c r="C2313" s="1" t="str">
        <f>HYPERLINK("http://stackoverflow.com/users/1377770", "Frenzy Li")</f>
        <v>Frenzy Li</v>
      </c>
      <c r="D2313" t="s">
        <v>5</v>
      </c>
      <c r="E2313">
        <v>133</v>
      </c>
    </row>
    <row r="2314" spans="1:5" x14ac:dyDescent="0.25">
      <c r="A2314">
        <v>2313</v>
      </c>
      <c r="B2314">
        <v>6355177</v>
      </c>
      <c r="C2314" s="1" t="str">
        <f>HYPERLINK("http://stackoverflow.com/users/6355177", "Mekal")</f>
        <v>Mekal</v>
      </c>
      <c r="D2314" t="s">
        <v>5</v>
      </c>
      <c r="E2314">
        <v>133</v>
      </c>
    </row>
    <row r="2315" spans="1:5" x14ac:dyDescent="0.25">
      <c r="A2315">
        <v>2314</v>
      </c>
      <c r="B2315">
        <v>57480</v>
      </c>
      <c r="C2315" s="1" t="str">
        <f>HYPERLINK("http://stackoverflow.com/users/57480", "Porco")</f>
        <v>Porco</v>
      </c>
      <c r="D2315" t="s">
        <v>16</v>
      </c>
      <c r="E2315">
        <v>133</v>
      </c>
    </row>
    <row r="2316" spans="1:5" x14ac:dyDescent="0.25">
      <c r="A2316">
        <v>2315</v>
      </c>
      <c r="B2316">
        <v>1391157</v>
      </c>
      <c r="C2316" s="1" t="str">
        <f>HYPERLINK("http://stackoverflow.com/users/1391157", "ms2008")</f>
        <v>ms2008</v>
      </c>
      <c r="D2316" t="s">
        <v>4</v>
      </c>
      <c r="E2316">
        <v>133</v>
      </c>
    </row>
    <row r="2317" spans="1:5" x14ac:dyDescent="0.25">
      <c r="A2317">
        <v>2316</v>
      </c>
      <c r="B2317">
        <v>6191913</v>
      </c>
      <c r="C2317" s="1" t="str">
        <f>HYPERLINK("http://stackoverflow.com/users/6191913", "silencej")</f>
        <v>silencej</v>
      </c>
      <c r="D2317" t="s">
        <v>4</v>
      </c>
      <c r="E2317">
        <v>133</v>
      </c>
    </row>
    <row r="2318" spans="1:5" x14ac:dyDescent="0.25">
      <c r="A2318">
        <v>2317</v>
      </c>
      <c r="B2318">
        <v>6143052</v>
      </c>
      <c r="C2318" s="1" t="str">
        <f>HYPERLINK("http://stackoverflow.com/users/6143052", "uri wald")</f>
        <v>uri wald</v>
      </c>
      <c r="D2318" t="s">
        <v>4</v>
      </c>
      <c r="E2318">
        <v>133</v>
      </c>
    </row>
    <row r="2319" spans="1:5" x14ac:dyDescent="0.25">
      <c r="A2319">
        <v>2318</v>
      </c>
      <c r="B2319">
        <v>3363234</v>
      </c>
      <c r="C2319" s="1" t="str">
        <f>HYPERLINK("http://stackoverflow.com/users/3363234", "Raymond Zuo")</f>
        <v>Raymond Zuo</v>
      </c>
      <c r="D2319" t="s">
        <v>5</v>
      </c>
      <c r="E2319">
        <v>133</v>
      </c>
    </row>
    <row r="2320" spans="1:5" x14ac:dyDescent="0.25">
      <c r="A2320">
        <v>2319</v>
      </c>
      <c r="B2320">
        <v>1941395</v>
      </c>
      <c r="C2320" s="1" t="str">
        <f>HYPERLINK("http://stackoverflow.com/users/1941395", "Gogle")</f>
        <v>Gogle</v>
      </c>
      <c r="D2320" t="s">
        <v>21</v>
      </c>
      <c r="E2320">
        <v>133</v>
      </c>
    </row>
    <row r="2321" spans="1:5" x14ac:dyDescent="0.25">
      <c r="A2321">
        <v>2320</v>
      </c>
      <c r="B2321">
        <v>3721643</v>
      </c>
      <c r="C2321" s="1" t="str">
        <f>HYPERLINK("http://stackoverflow.com/users/3721643", "Dragon")</f>
        <v>Dragon</v>
      </c>
      <c r="D2321" t="s">
        <v>5</v>
      </c>
      <c r="E2321">
        <v>132</v>
      </c>
    </row>
    <row r="2322" spans="1:5" x14ac:dyDescent="0.25">
      <c r="A2322">
        <v>2321</v>
      </c>
      <c r="B2322">
        <v>1433572</v>
      </c>
      <c r="C2322" s="1" t="str">
        <f>HYPERLINK("http://stackoverflow.com/users/1433572", "Wayn Liu")</f>
        <v>Wayn Liu</v>
      </c>
      <c r="D2322" t="s">
        <v>3</v>
      </c>
      <c r="E2322">
        <v>132</v>
      </c>
    </row>
    <row r="2323" spans="1:5" x14ac:dyDescent="0.25">
      <c r="A2323">
        <v>2322</v>
      </c>
      <c r="B2323">
        <v>2537914</v>
      </c>
      <c r="C2323" s="1" t="str">
        <f>HYPERLINK("http://stackoverflow.com/users/2537914", "Hao Xi")</f>
        <v>Hao Xi</v>
      </c>
      <c r="D2323" t="s">
        <v>4</v>
      </c>
      <c r="E2323">
        <v>132</v>
      </c>
    </row>
    <row r="2324" spans="1:5" x14ac:dyDescent="0.25">
      <c r="A2324">
        <v>2323</v>
      </c>
      <c r="B2324">
        <v>1176500</v>
      </c>
      <c r="C2324" s="1" t="str">
        <f>HYPERLINK("http://stackoverflow.com/users/1176500", "xuqin1019")</f>
        <v>xuqin1019</v>
      </c>
      <c r="D2324" t="s">
        <v>5</v>
      </c>
      <c r="E2324">
        <v>132</v>
      </c>
    </row>
    <row r="2325" spans="1:5" x14ac:dyDescent="0.25">
      <c r="A2325">
        <v>2324</v>
      </c>
      <c r="B2325">
        <v>2692497</v>
      </c>
      <c r="C2325" s="1" t="str">
        <f>HYPERLINK("http://stackoverflow.com/users/2692497", "tsfn")</f>
        <v>tsfn</v>
      </c>
      <c r="D2325" t="s">
        <v>166</v>
      </c>
      <c r="E2325">
        <v>132</v>
      </c>
    </row>
    <row r="2326" spans="1:5" x14ac:dyDescent="0.25">
      <c r="A2326">
        <v>2325</v>
      </c>
      <c r="B2326">
        <v>6659777</v>
      </c>
      <c r="C2326" s="1" t="str">
        <f>HYPERLINK("http://stackoverflow.com/users/6659777", "Susie")</f>
        <v>Susie</v>
      </c>
      <c r="D2326" t="s">
        <v>43</v>
      </c>
      <c r="E2326">
        <v>132</v>
      </c>
    </row>
    <row r="2327" spans="1:5" x14ac:dyDescent="0.25">
      <c r="A2327">
        <v>2326</v>
      </c>
      <c r="B2327">
        <v>935944</v>
      </c>
      <c r="C2327" s="1" t="str">
        <f>HYPERLINK("http://stackoverflow.com/users/935944", "Tranz")</f>
        <v>Tranz</v>
      </c>
      <c r="D2327" t="s">
        <v>17</v>
      </c>
      <c r="E2327">
        <v>132</v>
      </c>
    </row>
    <row r="2328" spans="1:5" x14ac:dyDescent="0.25">
      <c r="A2328">
        <v>2327</v>
      </c>
      <c r="B2328">
        <v>2951329</v>
      </c>
      <c r="C2328" s="1" t="str">
        <f>HYPERLINK("http://stackoverflow.com/users/2951329", "TerrenceSun")</f>
        <v>TerrenceSun</v>
      </c>
      <c r="D2328" t="s">
        <v>5</v>
      </c>
      <c r="E2328">
        <v>132</v>
      </c>
    </row>
    <row r="2329" spans="1:5" x14ac:dyDescent="0.25">
      <c r="A2329">
        <v>2328</v>
      </c>
      <c r="B2329">
        <v>2430868</v>
      </c>
      <c r="C2329" s="1" t="str">
        <f>HYPERLINK("http://stackoverflow.com/users/2430868", "joe")</f>
        <v>joe</v>
      </c>
      <c r="D2329" t="s">
        <v>5</v>
      </c>
      <c r="E2329">
        <v>132</v>
      </c>
    </row>
    <row r="2330" spans="1:5" x14ac:dyDescent="0.25">
      <c r="A2330">
        <v>2329</v>
      </c>
      <c r="B2330">
        <v>1280240</v>
      </c>
      <c r="C2330" s="1" t="str">
        <f>HYPERLINK("http://stackoverflow.com/users/1280240", "Eddy Yuansheng Wu")</f>
        <v>Eddy Yuansheng Wu</v>
      </c>
      <c r="D2330" t="s">
        <v>43</v>
      </c>
      <c r="E2330">
        <v>132</v>
      </c>
    </row>
    <row r="2331" spans="1:5" x14ac:dyDescent="0.25">
      <c r="A2331">
        <v>2330</v>
      </c>
      <c r="B2331">
        <v>4661168</v>
      </c>
      <c r="C2331" s="1" t="str">
        <f>HYPERLINK("http://stackoverflow.com/users/4661168", "edison")</f>
        <v>edison</v>
      </c>
      <c r="D2331" t="s">
        <v>5</v>
      </c>
      <c r="E2331">
        <v>131</v>
      </c>
    </row>
    <row r="2332" spans="1:5" x14ac:dyDescent="0.25">
      <c r="A2332">
        <v>2331</v>
      </c>
      <c r="B2332">
        <v>779001</v>
      </c>
      <c r="C2332" s="1" t="str">
        <f>HYPERLINK("http://stackoverflow.com/users/779001", "Joel")</f>
        <v>Joel</v>
      </c>
      <c r="D2332" t="s">
        <v>5</v>
      </c>
      <c r="E2332">
        <v>131</v>
      </c>
    </row>
    <row r="2333" spans="1:5" x14ac:dyDescent="0.25">
      <c r="A2333">
        <v>2332</v>
      </c>
      <c r="B2333">
        <v>809704</v>
      </c>
      <c r="C2333" s="1" t="str">
        <f>HYPERLINK("http://stackoverflow.com/users/809704", "Deyili")</f>
        <v>Deyili</v>
      </c>
      <c r="D2333" t="s">
        <v>5</v>
      </c>
      <c r="E2333">
        <v>131</v>
      </c>
    </row>
    <row r="2334" spans="1:5" x14ac:dyDescent="0.25">
      <c r="A2334">
        <v>2333</v>
      </c>
      <c r="B2334">
        <v>993584</v>
      </c>
      <c r="C2334" s="1" t="str">
        <f>HYPERLINK("http://stackoverflow.com/users/993584", "houkanshan")</f>
        <v>houkanshan</v>
      </c>
      <c r="D2334" t="s">
        <v>167</v>
      </c>
      <c r="E2334">
        <v>131</v>
      </c>
    </row>
    <row r="2335" spans="1:5" x14ac:dyDescent="0.25">
      <c r="A2335">
        <v>2334</v>
      </c>
      <c r="B2335">
        <v>8051033</v>
      </c>
      <c r="C2335" s="1" t="str">
        <f>HYPERLINK("http://stackoverflow.com/users/8051033", "J.Du")</f>
        <v>J.Du</v>
      </c>
      <c r="D2335" t="s">
        <v>52</v>
      </c>
      <c r="E2335">
        <v>131</v>
      </c>
    </row>
    <row r="2336" spans="1:5" x14ac:dyDescent="0.25">
      <c r="A2336">
        <v>2335</v>
      </c>
      <c r="B2336">
        <v>1409185</v>
      </c>
      <c r="C2336" s="1" t="str">
        <f>HYPERLINK("http://stackoverflow.com/users/1409185", "Viney")</f>
        <v>Viney</v>
      </c>
      <c r="D2336" t="s">
        <v>17</v>
      </c>
      <c r="E2336">
        <v>131</v>
      </c>
    </row>
    <row r="2337" spans="1:5" x14ac:dyDescent="0.25">
      <c r="A2337">
        <v>2336</v>
      </c>
      <c r="B2337">
        <v>5031590</v>
      </c>
      <c r="C2337" s="1" t="str">
        <f>HYPERLINK("http://stackoverflow.com/users/5031590", "toien")</f>
        <v>toien</v>
      </c>
      <c r="D2337" t="s">
        <v>4</v>
      </c>
      <c r="E2337">
        <v>131</v>
      </c>
    </row>
    <row r="2338" spans="1:5" x14ac:dyDescent="0.25">
      <c r="A2338">
        <v>2337</v>
      </c>
      <c r="B2338">
        <v>2260225</v>
      </c>
      <c r="C2338" s="1" t="str">
        <f>HYPERLINK("http://stackoverflow.com/users/2260225", "alvin2ye")</f>
        <v>alvin2ye</v>
      </c>
      <c r="D2338" t="s">
        <v>168</v>
      </c>
      <c r="E2338">
        <v>131</v>
      </c>
    </row>
    <row r="2339" spans="1:5" x14ac:dyDescent="0.25">
      <c r="A2339">
        <v>2338</v>
      </c>
      <c r="B2339">
        <v>3986145</v>
      </c>
      <c r="C2339" s="1" t="str">
        <f>HYPERLINK("http://stackoverflow.com/users/3986145", "Wenjie Gong")</f>
        <v>Wenjie Gong</v>
      </c>
      <c r="D2339" t="s">
        <v>22</v>
      </c>
      <c r="E2339">
        <v>131</v>
      </c>
    </row>
    <row r="2340" spans="1:5" x14ac:dyDescent="0.25">
      <c r="A2340">
        <v>2339</v>
      </c>
      <c r="B2340">
        <v>1261063</v>
      </c>
      <c r="C2340" s="1" t="str">
        <f>HYPERLINK("http://stackoverflow.com/users/1261063", "jianxi sun")</f>
        <v>jianxi sun</v>
      </c>
      <c r="D2340" t="s">
        <v>5</v>
      </c>
      <c r="E2340">
        <v>131</v>
      </c>
    </row>
    <row r="2341" spans="1:5" x14ac:dyDescent="0.25">
      <c r="A2341">
        <v>2340</v>
      </c>
      <c r="B2341">
        <v>1265706</v>
      </c>
      <c r="C2341" s="1" t="str">
        <f>HYPERLINK("http://stackoverflow.com/users/1265706", "gameboy90")</f>
        <v>gameboy90</v>
      </c>
      <c r="D2341" t="s">
        <v>5</v>
      </c>
      <c r="E2341">
        <v>131</v>
      </c>
    </row>
    <row r="2342" spans="1:5" x14ac:dyDescent="0.25">
      <c r="A2342">
        <v>2341</v>
      </c>
      <c r="B2342">
        <v>2710505</v>
      </c>
      <c r="C2342" s="1" t="str">
        <f>HYPERLINK("http://stackoverflow.com/users/2710505", "Leon Qiu")</f>
        <v>Leon Qiu</v>
      </c>
      <c r="D2342" t="s">
        <v>5</v>
      </c>
      <c r="E2342">
        <v>131</v>
      </c>
    </row>
    <row r="2343" spans="1:5" x14ac:dyDescent="0.25">
      <c r="A2343">
        <v>2342</v>
      </c>
      <c r="B2343">
        <v>2763419</v>
      </c>
      <c r="C2343" s="1" t="str">
        <f>HYPERLINK("http://stackoverflow.com/users/2763419", "Fish Yu")</f>
        <v>Fish Yu</v>
      </c>
      <c r="D2343" t="s">
        <v>4</v>
      </c>
      <c r="E2343">
        <v>131</v>
      </c>
    </row>
    <row r="2344" spans="1:5" x14ac:dyDescent="0.25">
      <c r="A2344">
        <v>2343</v>
      </c>
      <c r="B2344">
        <v>1927574</v>
      </c>
      <c r="C2344" s="1" t="str">
        <f>HYPERLINK("http://stackoverflow.com/users/1927574", "bigwind")</f>
        <v>bigwind</v>
      </c>
      <c r="D2344" t="s">
        <v>5</v>
      </c>
      <c r="E2344">
        <v>131</v>
      </c>
    </row>
    <row r="2345" spans="1:5" x14ac:dyDescent="0.25">
      <c r="A2345">
        <v>2344</v>
      </c>
      <c r="B2345">
        <v>5010272</v>
      </c>
      <c r="C2345" s="1" t="str">
        <f>HYPERLINK("http://stackoverflow.com/users/5010272", "Yiping Huang")</f>
        <v>Yiping Huang</v>
      </c>
      <c r="D2345" t="s">
        <v>12</v>
      </c>
      <c r="E2345">
        <v>131</v>
      </c>
    </row>
    <row r="2346" spans="1:5" x14ac:dyDescent="0.25">
      <c r="A2346">
        <v>2345</v>
      </c>
      <c r="B2346">
        <v>7980410</v>
      </c>
      <c r="C2346" s="1" t="str">
        <f>HYPERLINK("http://stackoverflow.com/users/7980410", "xiong walker")</f>
        <v>xiong walker</v>
      </c>
      <c r="D2346" t="s">
        <v>7</v>
      </c>
      <c r="E2346">
        <v>131</v>
      </c>
    </row>
    <row r="2347" spans="1:5" x14ac:dyDescent="0.25">
      <c r="A2347">
        <v>2346</v>
      </c>
      <c r="B2347">
        <v>2633265</v>
      </c>
      <c r="C2347" s="1" t="str">
        <f>HYPERLINK("http://stackoverflow.com/users/2633265", "Shagru")</f>
        <v>Shagru</v>
      </c>
      <c r="D2347" t="s">
        <v>4</v>
      </c>
      <c r="E2347">
        <v>131</v>
      </c>
    </row>
    <row r="2348" spans="1:5" x14ac:dyDescent="0.25">
      <c r="A2348">
        <v>2347</v>
      </c>
      <c r="B2348">
        <v>1644658</v>
      </c>
      <c r="C2348" s="1" t="str">
        <f>HYPERLINK("http://stackoverflow.com/users/1644658", "oohtj")</f>
        <v>oohtj</v>
      </c>
      <c r="D2348" t="s">
        <v>17</v>
      </c>
      <c r="E2348">
        <v>131</v>
      </c>
    </row>
    <row r="2349" spans="1:5" x14ac:dyDescent="0.25">
      <c r="A2349">
        <v>2348</v>
      </c>
      <c r="B2349">
        <v>2563271</v>
      </c>
      <c r="C2349" s="1" t="str">
        <f>HYPERLINK("http://stackoverflow.com/users/2563271", "Yhzhtk")</f>
        <v>Yhzhtk</v>
      </c>
      <c r="D2349" t="s">
        <v>5</v>
      </c>
      <c r="E2349">
        <v>131</v>
      </c>
    </row>
    <row r="2350" spans="1:5" x14ac:dyDescent="0.25">
      <c r="A2350">
        <v>2349</v>
      </c>
      <c r="B2350">
        <v>6155290</v>
      </c>
      <c r="C2350" s="1" t="str">
        <f>HYPERLINK("http://stackoverflow.com/users/6155290", "adempewolff")</f>
        <v>adempewolff</v>
      </c>
      <c r="D2350" t="s">
        <v>169</v>
      </c>
      <c r="E2350">
        <v>131</v>
      </c>
    </row>
    <row r="2351" spans="1:5" x14ac:dyDescent="0.25">
      <c r="A2351">
        <v>2350</v>
      </c>
      <c r="B2351">
        <v>3517836</v>
      </c>
      <c r="C2351" s="1" t="str">
        <f>HYPERLINK("http://stackoverflow.com/users/3517836", "Robin Ren")</f>
        <v>Robin Ren</v>
      </c>
      <c r="D2351" t="s">
        <v>151</v>
      </c>
      <c r="E2351">
        <v>131</v>
      </c>
    </row>
    <row r="2352" spans="1:5" x14ac:dyDescent="0.25">
      <c r="A2352">
        <v>2351</v>
      </c>
      <c r="B2352">
        <v>1856939</v>
      </c>
      <c r="C2352" s="1" t="str">
        <f>HYPERLINK("http://stackoverflow.com/users/1856939", "jerrylei")</f>
        <v>jerrylei</v>
      </c>
      <c r="D2352" t="s">
        <v>17</v>
      </c>
      <c r="E2352">
        <v>130</v>
      </c>
    </row>
    <row r="2353" spans="1:5" x14ac:dyDescent="0.25">
      <c r="A2353">
        <v>2352</v>
      </c>
      <c r="B2353">
        <v>2910008</v>
      </c>
      <c r="C2353" s="1" t="str">
        <f>HYPERLINK("http://stackoverflow.com/users/2910008", "NeilWang")</f>
        <v>NeilWang</v>
      </c>
      <c r="D2353" t="s">
        <v>4</v>
      </c>
      <c r="E2353">
        <v>130</v>
      </c>
    </row>
    <row r="2354" spans="1:5" x14ac:dyDescent="0.25">
      <c r="A2354">
        <v>2353</v>
      </c>
      <c r="B2354">
        <v>2081938</v>
      </c>
      <c r="C2354" s="1" t="str">
        <f>HYPERLINK("http://stackoverflow.com/users/2081938", "VELVETDETH")</f>
        <v>VELVETDETH</v>
      </c>
      <c r="D2354" t="s">
        <v>5</v>
      </c>
      <c r="E2354">
        <v>129</v>
      </c>
    </row>
    <row r="2355" spans="1:5" x14ac:dyDescent="0.25">
      <c r="A2355">
        <v>2354</v>
      </c>
      <c r="B2355">
        <v>1305926</v>
      </c>
      <c r="C2355" s="1" t="str">
        <f>HYPERLINK("http://stackoverflow.com/users/1305926", "Ryan Li")</f>
        <v>Ryan Li</v>
      </c>
      <c r="D2355" t="s">
        <v>147</v>
      </c>
      <c r="E2355">
        <v>129</v>
      </c>
    </row>
    <row r="2356" spans="1:5" x14ac:dyDescent="0.25">
      <c r="A2356">
        <v>2355</v>
      </c>
      <c r="B2356">
        <v>3479618</v>
      </c>
      <c r="C2356" s="1" t="str">
        <f>HYPERLINK("http://stackoverflow.com/users/3479618", "mstar0125")</f>
        <v>mstar0125</v>
      </c>
      <c r="D2356" t="s">
        <v>33</v>
      </c>
      <c r="E2356">
        <v>129</v>
      </c>
    </row>
    <row r="2357" spans="1:5" x14ac:dyDescent="0.25">
      <c r="A2357">
        <v>2356</v>
      </c>
      <c r="B2357">
        <v>3815692</v>
      </c>
      <c r="C2357" s="1" t="str">
        <f>HYPERLINK("http://stackoverflow.com/users/3815692", "ShineWang")</f>
        <v>ShineWang</v>
      </c>
      <c r="D2357" t="s">
        <v>6</v>
      </c>
      <c r="E2357">
        <v>129</v>
      </c>
    </row>
    <row r="2358" spans="1:5" x14ac:dyDescent="0.25">
      <c r="A2358">
        <v>2357</v>
      </c>
      <c r="B2358">
        <v>288477</v>
      </c>
      <c r="C2358" s="1" t="str">
        <f>HYPERLINK("http://stackoverflow.com/users/288477", "yanky")</f>
        <v>yanky</v>
      </c>
      <c r="D2358" t="s">
        <v>5</v>
      </c>
      <c r="E2358">
        <v>129</v>
      </c>
    </row>
    <row r="2359" spans="1:5" x14ac:dyDescent="0.25">
      <c r="A2359">
        <v>2358</v>
      </c>
      <c r="B2359">
        <v>6526424</v>
      </c>
      <c r="C2359" s="1" t="str">
        <f>HYPERLINK("http://stackoverflow.com/users/6526424", "Yao Pan")</f>
        <v>Yao Pan</v>
      </c>
      <c r="D2359" t="s">
        <v>5</v>
      </c>
      <c r="E2359">
        <v>129</v>
      </c>
    </row>
    <row r="2360" spans="1:5" x14ac:dyDescent="0.25">
      <c r="A2360">
        <v>2359</v>
      </c>
      <c r="B2360">
        <v>5591105</v>
      </c>
      <c r="C2360" s="1" t="str">
        <f>HYPERLINK("http://stackoverflow.com/users/5591105", "markjiang")</f>
        <v>markjiang</v>
      </c>
      <c r="D2360" t="s">
        <v>5</v>
      </c>
      <c r="E2360">
        <v>129</v>
      </c>
    </row>
    <row r="2361" spans="1:5" x14ac:dyDescent="0.25">
      <c r="A2361">
        <v>2360</v>
      </c>
      <c r="B2361">
        <v>363314</v>
      </c>
      <c r="C2361" s="1" t="str">
        <f>HYPERLINK("http://stackoverflow.com/users/363314", "jollychang")</f>
        <v>jollychang</v>
      </c>
      <c r="D2361" t="s">
        <v>5</v>
      </c>
      <c r="E2361">
        <v>129</v>
      </c>
    </row>
    <row r="2362" spans="1:5" x14ac:dyDescent="0.25">
      <c r="A2362">
        <v>2361</v>
      </c>
      <c r="B2362">
        <v>4053022</v>
      </c>
      <c r="C2362" s="1" t="str">
        <f>HYPERLINK("http://stackoverflow.com/users/4053022", "austin.s")</f>
        <v>austin.s</v>
      </c>
      <c r="D2362" t="s">
        <v>5</v>
      </c>
      <c r="E2362">
        <v>129</v>
      </c>
    </row>
    <row r="2363" spans="1:5" x14ac:dyDescent="0.25">
      <c r="A2363">
        <v>2362</v>
      </c>
      <c r="B2363">
        <v>6693221</v>
      </c>
      <c r="C2363" s="1" t="str">
        <f>HYPERLINK("http://stackoverflow.com/users/6693221", "James Chang")</f>
        <v>James Chang</v>
      </c>
      <c r="D2363" t="s">
        <v>28</v>
      </c>
      <c r="E2363">
        <v>128</v>
      </c>
    </row>
    <row r="2364" spans="1:5" x14ac:dyDescent="0.25">
      <c r="A2364">
        <v>2363</v>
      </c>
      <c r="B2364">
        <v>4060178</v>
      </c>
      <c r="C2364" s="1" t="str">
        <f>HYPERLINK("http://stackoverflow.com/users/4060178", "mok")</f>
        <v>mok</v>
      </c>
      <c r="D2364" t="s">
        <v>131</v>
      </c>
      <c r="E2364">
        <v>128</v>
      </c>
    </row>
    <row r="2365" spans="1:5" x14ac:dyDescent="0.25">
      <c r="A2365">
        <v>2364</v>
      </c>
      <c r="B2365">
        <v>847580</v>
      </c>
      <c r="C2365" s="1" t="str">
        <f>HYPERLINK("http://stackoverflow.com/users/847580", "basicthinker")</f>
        <v>basicthinker</v>
      </c>
      <c r="D2365" t="s">
        <v>5</v>
      </c>
      <c r="E2365">
        <v>128</v>
      </c>
    </row>
    <row r="2366" spans="1:5" x14ac:dyDescent="0.25">
      <c r="A2366">
        <v>2365</v>
      </c>
      <c r="B2366">
        <v>1329642</v>
      </c>
      <c r="C2366" s="1" t="str">
        <f>HYPERLINK("http://stackoverflow.com/users/1329642", "carlos")</f>
        <v>carlos</v>
      </c>
      <c r="D2366" t="s">
        <v>17</v>
      </c>
      <c r="E2366">
        <v>128</v>
      </c>
    </row>
    <row r="2367" spans="1:5" x14ac:dyDescent="0.25">
      <c r="A2367">
        <v>2366</v>
      </c>
      <c r="B2367">
        <v>2368816</v>
      </c>
      <c r="C2367" s="1" t="str">
        <f>HYPERLINK("http://stackoverflow.com/users/2368816", "penuel")</f>
        <v>penuel</v>
      </c>
      <c r="D2367" t="s">
        <v>54</v>
      </c>
      <c r="E2367">
        <v>128</v>
      </c>
    </row>
    <row r="2368" spans="1:5" x14ac:dyDescent="0.25">
      <c r="A2368">
        <v>2367</v>
      </c>
      <c r="B2368">
        <v>1773315</v>
      </c>
      <c r="C2368" s="1" t="str">
        <f>HYPERLINK("http://stackoverflow.com/users/1773315", "钮玉晓")</f>
        <v>钮玉晓</v>
      </c>
      <c r="D2368" t="s">
        <v>6</v>
      </c>
      <c r="E2368">
        <v>128</v>
      </c>
    </row>
    <row r="2369" spans="1:5" x14ac:dyDescent="0.25">
      <c r="A2369">
        <v>2368</v>
      </c>
      <c r="B2369">
        <v>6899440</v>
      </c>
      <c r="C2369" s="1" t="str">
        <f>HYPERLINK("http://stackoverflow.com/users/6899440", "zxy")</f>
        <v>zxy</v>
      </c>
      <c r="D2369" t="s">
        <v>5</v>
      </c>
      <c r="E2369">
        <v>128</v>
      </c>
    </row>
    <row r="2370" spans="1:5" x14ac:dyDescent="0.25">
      <c r="A2370">
        <v>2369</v>
      </c>
      <c r="B2370">
        <v>1487434</v>
      </c>
      <c r="C2370" s="1" t="str">
        <f>HYPERLINK("http://stackoverflow.com/users/1487434", "carl")</f>
        <v>carl</v>
      </c>
      <c r="D2370" t="s">
        <v>12</v>
      </c>
      <c r="E2370">
        <v>128</v>
      </c>
    </row>
    <row r="2371" spans="1:5" x14ac:dyDescent="0.25">
      <c r="A2371">
        <v>2370</v>
      </c>
      <c r="B2371">
        <v>1358988</v>
      </c>
      <c r="C2371" s="1" t="str">
        <f>HYPERLINK("http://stackoverflow.com/users/1358988", "shenzhun")</f>
        <v>shenzhun</v>
      </c>
      <c r="D2371" t="s">
        <v>5</v>
      </c>
      <c r="E2371">
        <v>128</v>
      </c>
    </row>
    <row r="2372" spans="1:5" x14ac:dyDescent="0.25">
      <c r="A2372">
        <v>2371</v>
      </c>
      <c r="B2372">
        <v>2356917</v>
      </c>
      <c r="C2372" s="1" t="str">
        <f>HYPERLINK("http://stackoverflow.com/users/2356917", "Kami Wan")</f>
        <v>Kami Wan</v>
      </c>
      <c r="D2372" t="s">
        <v>12</v>
      </c>
      <c r="E2372">
        <v>128</v>
      </c>
    </row>
    <row r="2373" spans="1:5" x14ac:dyDescent="0.25">
      <c r="A2373">
        <v>2372</v>
      </c>
      <c r="B2373">
        <v>5372683</v>
      </c>
      <c r="C2373" s="1" t="str">
        <f>HYPERLINK("http://stackoverflow.com/users/5372683", "Jason Yu")</f>
        <v>Jason Yu</v>
      </c>
      <c r="D2373" t="s">
        <v>5</v>
      </c>
      <c r="E2373">
        <v>128</v>
      </c>
    </row>
    <row r="2374" spans="1:5" x14ac:dyDescent="0.25">
      <c r="A2374">
        <v>2373</v>
      </c>
      <c r="B2374">
        <v>1203241</v>
      </c>
      <c r="C2374" s="1" t="str">
        <f>HYPERLINK("http://stackoverflow.com/users/1203241", "Fenjin_Wang")</f>
        <v>Fenjin_Wang</v>
      </c>
      <c r="D2374" t="s">
        <v>5</v>
      </c>
      <c r="E2374">
        <v>127</v>
      </c>
    </row>
    <row r="2375" spans="1:5" x14ac:dyDescent="0.25">
      <c r="A2375">
        <v>2374</v>
      </c>
      <c r="B2375">
        <v>772798</v>
      </c>
      <c r="C2375" s="1" t="str">
        <f>HYPERLINK("http://stackoverflow.com/users/772798", "actan")</f>
        <v>actan</v>
      </c>
      <c r="D2375" t="s">
        <v>17</v>
      </c>
      <c r="E2375">
        <v>127</v>
      </c>
    </row>
    <row r="2376" spans="1:5" x14ac:dyDescent="0.25">
      <c r="A2376">
        <v>2375</v>
      </c>
      <c r="B2376">
        <v>5307630</v>
      </c>
      <c r="C2376" s="1" t="str">
        <f>HYPERLINK("http://stackoverflow.com/users/5307630", "kimixuchen")</f>
        <v>kimixuchen</v>
      </c>
      <c r="D2376" t="s">
        <v>37</v>
      </c>
      <c r="E2376">
        <v>127</v>
      </c>
    </row>
    <row r="2377" spans="1:5" x14ac:dyDescent="0.25">
      <c r="A2377">
        <v>2376</v>
      </c>
      <c r="B2377">
        <v>6254560</v>
      </c>
      <c r="C2377" s="1" t="str">
        <f>HYPERLINK("http://stackoverflow.com/users/6254560", "frams")</f>
        <v>frams</v>
      </c>
      <c r="D2377" t="s">
        <v>19</v>
      </c>
      <c r="E2377">
        <v>127</v>
      </c>
    </row>
    <row r="2378" spans="1:5" x14ac:dyDescent="0.25">
      <c r="A2378">
        <v>2377</v>
      </c>
      <c r="B2378">
        <v>2956469</v>
      </c>
      <c r="C2378" s="1" t="str">
        <f>HYPERLINK("http://stackoverflow.com/users/2956469", "Sneezry")</f>
        <v>Sneezry</v>
      </c>
      <c r="D2378" t="s">
        <v>4</v>
      </c>
      <c r="E2378">
        <v>127</v>
      </c>
    </row>
    <row r="2379" spans="1:5" x14ac:dyDescent="0.25">
      <c r="A2379">
        <v>2378</v>
      </c>
      <c r="B2379">
        <v>1675105</v>
      </c>
      <c r="C2379" s="1" t="str">
        <f>HYPERLINK("http://stackoverflow.com/users/1675105", "naizheng TAN")</f>
        <v>naizheng TAN</v>
      </c>
      <c r="D2379" t="s">
        <v>4</v>
      </c>
      <c r="E2379">
        <v>127</v>
      </c>
    </row>
    <row r="2380" spans="1:5" x14ac:dyDescent="0.25">
      <c r="A2380">
        <v>2379</v>
      </c>
      <c r="B2380">
        <v>1651175</v>
      </c>
      <c r="C2380" s="1" t="str">
        <f>HYPERLINK("http://stackoverflow.com/users/1651175", "CHmoonKa")</f>
        <v>CHmoonKa</v>
      </c>
      <c r="D2380" t="s">
        <v>5</v>
      </c>
      <c r="E2380">
        <v>126</v>
      </c>
    </row>
    <row r="2381" spans="1:5" x14ac:dyDescent="0.25">
      <c r="A2381">
        <v>2380</v>
      </c>
      <c r="B2381">
        <v>4459975</v>
      </c>
      <c r="C2381" s="1" t="str">
        <f>HYPERLINK("http://stackoverflow.com/users/4459975", "Mr235")</f>
        <v>Mr235</v>
      </c>
      <c r="D2381" t="s">
        <v>5</v>
      </c>
      <c r="E2381">
        <v>126</v>
      </c>
    </row>
    <row r="2382" spans="1:5" x14ac:dyDescent="0.25">
      <c r="A2382">
        <v>2381</v>
      </c>
      <c r="B2382">
        <v>418173</v>
      </c>
      <c r="C2382" s="1" t="str">
        <f>HYPERLINK("http://stackoverflow.com/users/418173", "wanana")</f>
        <v>wanana</v>
      </c>
      <c r="D2382" t="s">
        <v>5</v>
      </c>
      <c r="E2382">
        <v>126</v>
      </c>
    </row>
    <row r="2383" spans="1:5" x14ac:dyDescent="0.25">
      <c r="A2383">
        <v>2382</v>
      </c>
      <c r="B2383">
        <v>2940490</v>
      </c>
      <c r="C2383" s="1" t="str">
        <f>HYPERLINK("http://stackoverflow.com/users/2940490", "srk")</f>
        <v>srk</v>
      </c>
      <c r="D2383" t="s">
        <v>29</v>
      </c>
      <c r="E2383">
        <v>126</v>
      </c>
    </row>
    <row r="2384" spans="1:5" x14ac:dyDescent="0.25">
      <c r="A2384">
        <v>2383</v>
      </c>
      <c r="B2384">
        <v>9645906</v>
      </c>
      <c r="C2384" s="1" t="str">
        <f>HYPERLINK("http://stackoverflow.com/users/9645906", "Dong Mao")</f>
        <v>Dong Mao</v>
      </c>
      <c r="D2384" t="s">
        <v>4</v>
      </c>
      <c r="E2384">
        <v>126</v>
      </c>
    </row>
    <row r="2385" spans="1:5" x14ac:dyDescent="0.25">
      <c r="A2385">
        <v>2384</v>
      </c>
      <c r="B2385">
        <v>1570264</v>
      </c>
      <c r="C2385" s="1" t="str">
        <f>HYPERLINK("http://stackoverflow.com/users/1570264", "L.J.")</f>
        <v>L.J.</v>
      </c>
      <c r="D2385" t="s">
        <v>17</v>
      </c>
      <c r="E2385">
        <v>126</v>
      </c>
    </row>
    <row r="2386" spans="1:5" x14ac:dyDescent="0.25">
      <c r="A2386">
        <v>2385</v>
      </c>
      <c r="B2386">
        <v>5465869</v>
      </c>
      <c r="C2386" s="1" t="str">
        <f>HYPERLINK("http://stackoverflow.com/users/5465869", "Barat Semet")</f>
        <v>Barat Semet</v>
      </c>
      <c r="D2386" t="s">
        <v>7</v>
      </c>
      <c r="E2386">
        <v>126</v>
      </c>
    </row>
    <row r="2387" spans="1:5" x14ac:dyDescent="0.25">
      <c r="A2387">
        <v>2386</v>
      </c>
      <c r="B2387">
        <v>2924373</v>
      </c>
      <c r="C2387" s="1" t="str">
        <f>HYPERLINK("http://stackoverflow.com/users/2924373", "Warren Zhu")</f>
        <v>Warren Zhu</v>
      </c>
      <c r="D2387" t="s">
        <v>4</v>
      </c>
      <c r="E2387">
        <v>126</v>
      </c>
    </row>
    <row r="2388" spans="1:5" x14ac:dyDescent="0.25">
      <c r="A2388">
        <v>2387</v>
      </c>
      <c r="B2388">
        <v>8268220</v>
      </c>
      <c r="C2388" s="1" t="str">
        <f>HYPERLINK("http://stackoverflow.com/users/8268220", "Allen.Cai")</f>
        <v>Allen.Cai</v>
      </c>
      <c r="D2388" t="s">
        <v>7</v>
      </c>
      <c r="E2388">
        <v>126</v>
      </c>
    </row>
    <row r="2389" spans="1:5" x14ac:dyDescent="0.25">
      <c r="A2389">
        <v>2388</v>
      </c>
      <c r="B2389">
        <v>1123804</v>
      </c>
      <c r="C2389" s="1" t="str">
        <f>HYPERLINK("http://stackoverflow.com/users/1123804", "chyou")</f>
        <v>chyou</v>
      </c>
      <c r="D2389" t="s">
        <v>17</v>
      </c>
      <c r="E2389">
        <v>126</v>
      </c>
    </row>
    <row r="2390" spans="1:5" x14ac:dyDescent="0.25">
      <c r="A2390">
        <v>2389</v>
      </c>
      <c r="B2390">
        <v>1863556</v>
      </c>
      <c r="C2390" s="1" t="str">
        <f>HYPERLINK("http://stackoverflow.com/users/1863556", "FelixFang")</f>
        <v>FelixFang</v>
      </c>
      <c r="D2390" t="s">
        <v>35</v>
      </c>
      <c r="E2390">
        <v>126</v>
      </c>
    </row>
    <row r="2391" spans="1:5" x14ac:dyDescent="0.25">
      <c r="A2391">
        <v>2390</v>
      </c>
      <c r="B2391">
        <v>1456690</v>
      </c>
      <c r="C2391" s="1" t="str">
        <f>HYPERLINK("http://stackoverflow.com/users/1456690", "fly84021210")</f>
        <v>fly84021210</v>
      </c>
      <c r="D2391" t="s">
        <v>17</v>
      </c>
      <c r="E2391">
        <v>126</v>
      </c>
    </row>
    <row r="2392" spans="1:5" x14ac:dyDescent="0.25">
      <c r="A2392">
        <v>2391</v>
      </c>
      <c r="B2392">
        <v>1355228</v>
      </c>
      <c r="C2392" s="1" t="str">
        <f>HYPERLINK("http://stackoverflow.com/users/1355228", "vern")</f>
        <v>vern</v>
      </c>
      <c r="D2392" t="s">
        <v>37</v>
      </c>
      <c r="E2392">
        <v>126</v>
      </c>
    </row>
    <row r="2393" spans="1:5" x14ac:dyDescent="0.25">
      <c r="A2393">
        <v>2392</v>
      </c>
      <c r="B2393">
        <v>4156036</v>
      </c>
      <c r="C2393" s="1" t="str">
        <f>HYPERLINK("http://stackoverflow.com/users/4156036", "Lane")</f>
        <v>Lane</v>
      </c>
      <c r="D2393" t="s">
        <v>170</v>
      </c>
      <c r="E2393">
        <v>126</v>
      </c>
    </row>
    <row r="2394" spans="1:5" x14ac:dyDescent="0.25">
      <c r="A2394">
        <v>2393</v>
      </c>
      <c r="B2394">
        <v>2023434</v>
      </c>
      <c r="C2394" s="1" t="str">
        <f>HYPERLINK("http://stackoverflow.com/users/2023434", "fulme")</f>
        <v>fulme</v>
      </c>
      <c r="D2394" t="s">
        <v>5</v>
      </c>
      <c r="E2394">
        <v>126</v>
      </c>
    </row>
    <row r="2395" spans="1:5" x14ac:dyDescent="0.25">
      <c r="A2395">
        <v>2394</v>
      </c>
      <c r="B2395">
        <v>2279380</v>
      </c>
      <c r="C2395" s="1" t="str">
        <f>HYPERLINK("http://stackoverflow.com/users/2279380", "Yoav Vollansky")</f>
        <v>Yoav Vollansky</v>
      </c>
      <c r="D2395" t="s">
        <v>5</v>
      </c>
      <c r="E2395">
        <v>126</v>
      </c>
    </row>
    <row r="2396" spans="1:5" x14ac:dyDescent="0.25">
      <c r="A2396">
        <v>2395</v>
      </c>
      <c r="B2396">
        <v>2151592</v>
      </c>
      <c r="C2396" s="1" t="str">
        <f>HYPERLINK("http://stackoverflow.com/users/2151592", "wcp")</f>
        <v>wcp</v>
      </c>
      <c r="D2396" t="s">
        <v>5</v>
      </c>
      <c r="E2396">
        <v>126</v>
      </c>
    </row>
    <row r="2397" spans="1:5" x14ac:dyDescent="0.25">
      <c r="A2397">
        <v>2396</v>
      </c>
      <c r="B2397">
        <v>2986067</v>
      </c>
      <c r="C2397" s="1" t="str">
        <f>HYPERLINK("http://stackoverflow.com/users/2986067", "Lee xw")</f>
        <v>Lee xw</v>
      </c>
      <c r="D2397" t="s">
        <v>17</v>
      </c>
      <c r="E2397">
        <v>126</v>
      </c>
    </row>
    <row r="2398" spans="1:5" x14ac:dyDescent="0.25">
      <c r="A2398">
        <v>2397</v>
      </c>
      <c r="B2398">
        <v>6572643</v>
      </c>
      <c r="C2398" s="1" t="str">
        <f>HYPERLINK("http://stackoverflow.com/users/6572643", "Destiny.Wang")</f>
        <v>Destiny.Wang</v>
      </c>
      <c r="D2398" t="s">
        <v>171</v>
      </c>
      <c r="E2398">
        <v>126</v>
      </c>
    </row>
    <row r="2399" spans="1:5" x14ac:dyDescent="0.25">
      <c r="A2399">
        <v>2398</v>
      </c>
      <c r="B2399">
        <v>951971</v>
      </c>
      <c r="C2399" s="1" t="str">
        <f>HYPERLINK("http://stackoverflow.com/users/951971", "Peiqin")</f>
        <v>Peiqin</v>
      </c>
      <c r="D2399" t="s">
        <v>5</v>
      </c>
      <c r="E2399">
        <v>126</v>
      </c>
    </row>
    <row r="2400" spans="1:5" x14ac:dyDescent="0.25">
      <c r="A2400">
        <v>2399</v>
      </c>
      <c r="B2400">
        <v>1293328</v>
      </c>
      <c r="C2400" s="1" t="str">
        <f>HYPERLINK("http://stackoverflow.com/users/1293328", "zczhuohuo")</f>
        <v>zczhuohuo</v>
      </c>
      <c r="D2400" t="s">
        <v>21</v>
      </c>
      <c r="E2400">
        <v>125</v>
      </c>
    </row>
    <row r="2401" spans="1:5" x14ac:dyDescent="0.25">
      <c r="A2401">
        <v>2400</v>
      </c>
      <c r="B2401">
        <v>460367</v>
      </c>
      <c r="C2401" s="1" t="str">
        <f>HYPERLINK("http://stackoverflow.com/users/460367", "Darson")</f>
        <v>Darson</v>
      </c>
      <c r="D2401" t="s">
        <v>172</v>
      </c>
      <c r="E2401">
        <v>125</v>
      </c>
    </row>
    <row r="2402" spans="1:5" x14ac:dyDescent="0.25">
      <c r="A2402">
        <v>2401</v>
      </c>
      <c r="B2402">
        <v>8774636</v>
      </c>
      <c r="C2402" s="1" t="str">
        <f>HYPERLINK("http://stackoverflow.com/users/8774636", "taotsi")</f>
        <v>taotsi</v>
      </c>
      <c r="D2402" t="s">
        <v>52</v>
      </c>
      <c r="E2402">
        <v>125</v>
      </c>
    </row>
    <row r="2403" spans="1:5" x14ac:dyDescent="0.25">
      <c r="A2403">
        <v>2402</v>
      </c>
      <c r="B2403">
        <v>2875519</v>
      </c>
      <c r="C2403" s="1" t="str">
        <f>HYPERLINK("http://stackoverflow.com/users/2875519", "Cnetwork")</f>
        <v>Cnetwork</v>
      </c>
      <c r="D2403" t="s">
        <v>5</v>
      </c>
      <c r="E2403">
        <v>125</v>
      </c>
    </row>
    <row r="2404" spans="1:5" x14ac:dyDescent="0.25">
      <c r="A2404">
        <v>2403</v>
      </c>
      <c r="B2404">
        <v>2105919</v>
      </c>
      <c r="C2404" s="1" t="str">
        <f>HYPERLINK("http://stackoverflow.com/users/2105919", "Kevin Hawk")</f>
        <v>Kevin Hawk</v>
      </c>
      <c r="D2404" t="s">
        <v>12</v>
      </c>
      <c r="E2404">
        <v>125</v>
      </c>
    </row>
    <row r="2405" spans="1:5" x14ac:dyDescent="0.25">
      <c r="A2405">
        <v>2404</v>
      </c>
      <c r="B2405">
        <v>1411526</v>
      </c>
      <c r="C2405" s="1" t="str">
        <f>HYPERLINK("http://stackoverflow.com/users/1411526", "Merlin")</f>
        <v>Merlin</v>
      </c>
      <c r="D2405" t="s">
        <v>4</v>
      </c>
      <c r="E2405">
        <v>125</v>
      </c>
    </row>
    <row r="2406" spans="1:5" x14ac:dyDescent="0.25">
      <c r="A2406">
        <v>2405</v>
      </c>
      <c r="B2406">
        <v>3243930</v>
      </c>
      <c r="C2406" s="1" t="str">
        <f>HYPERLINK("http://stackoverflow.com/users/3243930", "Jimmy Shen")</f>
        <v>Jimmy Shen</v>
      </c>
      <c r="D2406" t="s">
        <v>4</v>
      </c>
      <c r="E2406">
        <v>125</v>
      </c>
    </row>
    <row r="2407" spans="1:5" x14ac:dyDescent="0.25">
      <c r="A2407">
        <v>2406</v>
      </c>
      <c r="B2407">
        <v>1425278</v>
      </c>
      <c r="C2407" s="1" t="str">
        <f>HYPERLINK("http://stackoverflow.com/users/1425278", "Eric")</f>
        <v>Eric</v>
      </c>
      <c r="D2407" t="s">
        <v>4</v>
      </c>
      <c r="E2407">
        <v>125</v>
      </c>
    </row>
    <row r="2408" spans="1:5" x14ac:dyDescent="0.25">
      <c r="A2408">
        <v>2407</v>
      </c>
      <c r="B2408">
        <v>5302699</v>
      </c>
      <c r="C2408" s="1" t="str">
        <f>HYPERLINK("http://stackoverflow.com/users/5302699", "LiuGui")</f>
        <v>LiuGui</v>
      </c>
      <c r="D2408" t="s">
        <v>8</v>
      </c>
      <c r="E2408">
        <v>125</v>
      </c>
    </row>
    <row r="2409" spans="1:5" x14ac:dyDescent="0.25">
      <c r="A2409">
        <v>2408</v>
      </c>
      <c r="B2409">
        <v>5478879</v>
      </c>
      <c r="C2409" s="1" t="str">
        <f>HYPERLINK("http://stackoverflow.com/users/5478879", "dorbodwolf")</f>
        <v>dorbodwolf</v>
      </c>
      <c r="D2409" t="s">
        <v>5</v>
      </c>
      <c r="E2409">
        <v>125</v>
      </c>
    </row>
    <row r="2410" spans="1:5" x14ac:dyDescent="0.25">
      <c r="A2410">
        <v>2409</v>
      </c>
      <c r="B2410">
        <v>1291183</v>
      </c>
      <c r="C2410" s="1" t="str">
        <f>HYPERLINK("http://stackoverflow.com/users/1291183", "Skyler Hays")</f>
        <v>Skyler Hays</v>
      </c>
      <c r="D2410" t="s">
        <v>12</v>
      </c>
      <c r="E2410">
        <v>124</v>
      </c>
    </row>
    <row r="2411" spans="1:5" x14ac:dyDescent="0.25">
      <c r="A2411">
        <v>2410</v>
      </c>
      <c r="B2411">
        <v>498064</v>
      </c>
      <c r="C2411" s="1" t="str">
        <f>HYPERLINK("http://stackoverflow.com/users/498064", "Gao Yuesong")</f>
        <v>Gao Yuesong</v>
      </c>
      <c r="D2411" t="s">
        <v>5</v>
      </c>
      <c r="E2411">
        <v>124</v>
      </c>
    </row>
    <row r="2412" spans="1:5" x14ac:dyDescent="0.25">
      <c r="A2412">
        <v>2411</v>
      </c>
      <c r="B2412">
        <v>1089115</v>
      </c>
      <c r="C2412" s="1" t="str">
        <f>HYPERLINK("http://stackoverflow.com/users/1089115", "Sivan")</f>
        <v>Sivan</v>
      </c>
      <c r="D2412" t="s">
        <v>5</v>
      </c>
      <c r="E2412">
        <v>124</v>
      </c>
    </row>
    <row r="2413" spans="1:5" x14ac:dyDescent="0.25">
      <c r="A2413">
        <v>2412</v>
      </c>
      <c r="B2413">
        <v>1178782</v>
      </c>
      <c r="C2413" s="1" t="str">
        <f>HYPERLINK("http://stackoverflow.com/users/1178782", "RhZ")</f>
        <v>RhZ</v>
      </c>
      <c r="D2413" t="s">
        <v>4</v>
      </c>
      <c r="E2413">
        <v>123</v>
      </c>
    </row>
    <row r="2414" spans="1:5" x14ac:dyDescent="0.25">
      <c r="A2414">
        <v>2413</v>
      </c>
      <c r="B2414">
        <v>1026808</v>
      </c>
      <c r="C2414" s="1" t="str">
        <f>HYPERLINK("http://stackoverflow.com/users/1026808", "Zippon")</f>
        <v>Zippon</v>
      </c>
      <c r="D2414" t="s">
        <v>54</v>
      </c>
      <c r="E2414">
        <v>123</v>
      </c>
    </row>
    <row r="2415" spans="1:5" x14ac:dyDescent="0.25">
      <c r="A2415">
        <v>2414</v>
      </c>
      <c r="B2415">
        <v>739510</v>
      </c>
      <c r="C2415" s="1" t="str">
        <f>HYPERLINK("http://stackoverflow.com/users/739510", "BigPotato")</f>
        <v>BigPotato</v>
      </c>
      <c r="D2415" t="s">
        <v>37</v>
      </c>
      <c r="E2415">
        <v>123</v>
      </c>
    </row>
    <row r="2416" spans="1:5" x14ac:dyDescent="0.25">
      <c r="A2416">
        <v>2415</v>
      </c>
      <c r="B2416">
        <v>3351990</v>
      </c>
      <c r="C2416" s="1" t="str">
        <f>HYPERLINK("http://stackoverflow.com/users/3351990", "Chaos")</f>
        <v>Chaos</v>
      </c>
      <c r="D2416" t="s">
        <v>47</v>
      </c>
      <c r="E2416">
        <v>123</v>
      </c>
    </row>
    <row r="2417" spans="1:5" x14ac:dyDescent="0.25">
      <c r="A2417">
        <v>2416</v>
      </c>
      <c r="B2417">
        <v>642308</v>
      </c>
      <c r="C2417" s="1" t="str">
        <f>HYPERLINK("http://stackoverflow.com/users/642308", "Lory_yang")</f>
        <v>Lory_yang</v>
      </c>
      <c r="D2417" t="s">
        <v>12</v>
      </c>
      <c r="E2417">
        <v>123</v>
      </c>
    </row>
    <row r="2418" spans="1:5" x14ac:dyDescent="0.25">
      <c r="A2418">
        <v>2417</v>
      </c>
      <c r="B2418">
        <v>8053298</v>
      </c>
      <c r="C2418" s="1" t="str">
        <f>HYPERLINK("http://stackoverflow.com/users/8053298", "Weslie")</f>
        <v>Weslie</v>
      </c>
      <c r="D2418" t="s">
        <v>55</v>
      </c>
      <c r="E2418">
        <v>123</v>
      </c>
    </row>
    <row r="2419" spans="1:5" x14ac:dyDescent="0.25">
      <c r="A2419">
        <v>2418</v>
      </c>
      <c r="B2419">
        <v>6450139</v>
      </c>
      <c r="C2419" s="1" t="str">
        <f>HYPERLINK("http://stackoverflow.com/users/6450139", "Mahoma")</f>
        <v>Mahoma</v>
      </c>
      <c r="D2419" t="s">
        <v>5</v>
      </c>
      <c r="E2419">
        <v>123</v>
      </c>
    </row>
    <row r="2420" spans="1:5" x14ac:dyDescent="0.25">
      <c r="A2420">
        <v>2419</v>
      </c>
      <c r="B2420">
        <v>7424826</v>
      </c>
      <c r="C2420" s="1" t="str">
        <f>HYPERLINK("http://stackoverflow.com/users/7424826", "Jun Zhang")</f>
        <v>Jun Zhang</v>
      </c>
      <c r="D2420" t="s">
        <v>5</v>
      </c>
      <c r="E2420">
        <v>123</v>
      </c>
    </row>
    <row r="2421" spans="1:5" x14ac:dyDescent="0.25">
      <c r="A2421">
        <v>2420</v>
      </c>
      <c r="B2421">
        <v>4380801</v>
      </c>
      <c r="C2421" s="1" t="str">
        <f>HYPERLINK("http://stackoverflow.com/users/4380801", "Jian Guo")</f>
        <v>Jian Guo</v>
      </c>
      <c r="D2421" t="s">
        <v>8</v>
      </c>
      <c r="E2421">
        <v>122</v>
      </c>
    </row>
    <row r="2422" spans="1:5" x14ac:dyDescent="0.25">
      <c r="A2422">
        <v>2421</v>
      </c>
      <c r="B2422">
        <v>4522434</v>
      </c>
      <c r="C2422" s="1" t="str">
        <f>HYPERLINK("http://stackoverflow.com/users/4522434", "Jing He")</f>
        <v>Jing He</v>
      </c>
      <c r="D2422" t="s">
        <v>4</v>
      </c>
      <c r="E2422">
        <v>122</v>
      </c>
    </row>
    <row r="2423" spans="1:5" x14ac:dyDescent="0.25">
      <c r="A2423">
        <v>2422</v>
      </c>
      <c r="B2423">
        <v>3155630</v>
      </c>
      <c r="C2423" s="1" t="str">
        <f>HYPERLINK("http://stackoverflow.com/users/3155630", "Charles Wang")</f>
        <v>Charles Wang</v>
      </c>
      <c r="D2423" t="s">
        <v>21</v>
      </c>
      <c r="E2423">
        <v>122</v>
      </c>
    </row>
    <row r="2424" spans="1:5" x14ac:dyDescent="0.25">
      <c r="A2424">
        <v>2423</v>
      </c>
      <c r="B2424">
        <v>1090204</v>
      </c>
      <c r="C2424" s="1" t="str">
        <f>HYPERLINK("http://stackoverflow.com/users/1090204", "ortonomy")</f>
        <v>ortonomy</v>
      </c>
      <c r="D2424" t="s">
        <v>4</v>
      </c>
      <c r="E2424">
        <v>122</v>
      </c>
    </row>
    <row r="2425" spans="1:5" x14ac:dyDescent="0.25">
      <c r="A2425">
        <v>2424</v>
      </c>
      <c r="B2425">
        <v>3165521</v>
      </c>
      <c r="C2425" s="1" t="str">
        <f>HYPERLINK("http://stackoverflow.com/users/3165521", "ch94")</f>
        <v>ch94</v>
      </c>
      <c r="D2425" t="s">
        <v>4</v>
      </c>
      <c r="E2425">
        <v>122</v>
      </c>
    </row>
    <row r="2426" spans="1:5" x14ac:dyDescent="0.25">
      <c r="A2426">
        <v>2425</v>
      </c>
      <c r="B2426">
        <v>3392077</v>
      </c>
      <c r="C2426" s="1" t="str">
        <f>HYPERLINK("http://stackoverflow.com/users/3392077", "Charlie Yang")</f>
        <v>Charlie Yang</v>
      </c>
      <c r="D2426" t="s">
        <v>28</v>
      </c>
      <c r="E2426">
        <v>122</v>
      </c>
    </row>
    <row r="2427" spans="1:5" x14ac:dyDescent="0.25">
      <c r="A2427">
        <v>2426</v>
      </c>
      <c r="B2427">
        <v>4098080</v>
      </c>
      <c r="C2427" s="1" t="str">
        <f>HYPERLINK("http://stackoverflow.com/users/4098080", "Pip")</f>
        <v>Pip</v>
      </c>
      <c r="D2427" t="s">
        <v>4</v>
      </c>
      <c r="E2427">
        <v>122</v>
      </c>
    </row>
    <row r="2428" spans="1:5" x14ac:dyDescent="0.25">
      <c r="A2428">
        <v>2427</v>
      </c>
      <c r="B2428">
        <v>1602115</v>
      </c>
      <c r="C2428" s="1" t="str">
        <f>HYPERLINK("http://stackoverflow.com/users/1602115", "mojians")</f>
        <v>mojians</v>
      </c>
      <c r="D2428" t="s">
        <v>59</v>
      </c>
      <c r="E2428">
        <v>121</v>
      </c>
    </row>
    <row r="2429" spans="1:5" x14ac:dyDescent="0.25">
      <c r="A2429">
        <v>2428</v>
      </c>
      <c r="B2429">
        <v>4841163</v>
      </c>
      <c r="C2429" s="1" t="str">
        <f>HYPERLINK("http://stackoverflow.com/users/4841163", "wangjiezhe")</f>
        <v>wangjiezhe</v>
      </c>
      <c r="D2429" t="s">
        <v>5</v>
      </c>
      <c r="E2429">
        <v>121</v>
      </c>
    </row>
    <row r="2430" spans="1:5" x14ac:dyDescent="0.25">
      <c r="A2430">
        <v>2429</v>
      </c>
      <c r="B2430">
        <v>1244717</v>
      </c>
      <c r="C2430" s="1" t="str">
        <f>HYPERLINK("http://stackoverflow.com/users/1244717", "Xitao")</f>
        <v>Xitao</v>
      </c>
      <c r="D2430" t="s">
        <v>37</v>
      </c>
      <c r="E2430">
        <v>121</v>
      </c>
    </row>
    <row r="2431" spans="1:5" x14ac:dyDescent="0.25">
      <c r="A2431">
        <v>2430</v>
      </c>
      <c r="B2431">
        <v>1218105</v>
      </c>
      <c r="C2431" s="1" t="str">
        <f>HYPERLINK("http://stackoverflow.com/users/1218105", "jintian")</f>
        <v>jintian</v>
      </c>
      <c r="D2431" t="s">
        <v>12</v>
      </c>
      <c r="E2431">
        <v>121</v>
      </c>
    </row>
    <row r="2432" spans="1:5" x14ac:dyDescent="0.25">
      <c r="A2432">
        <v>2431</v>
      </c>
      <c r="B2432">
        <v>891533</v>
      </c>
      <c r="C2432" s="1" t="str">
        <f>HYPERLINK("http://stackoverflow.com/users/891533", "riverlet")</f>
        <v>riverlet</v>
      </c>
      <c r="D2432" t="s">
        <v>5</v>
      </c>
      <c r="E2432">
        <v>121</v>
      </c>
    </row>
    <row r="2433" spans="1:5" x14ac:dyDescent="0.25">
      <c r="A2433">
        <v>2432</v>
      </c>
      <c r="B2433">
        <v>4529169</v>
      </c>
      <c r="C2433" s="1" t="str">
        <f>HYPERLINK("http://stackoverflow.com/users/4529169", "djzhu")</f>
        <v>djzhu</v>
      </c>
      <c r="D2433" t="s">
        <v>25</v>
      </c>
      <c r="E2433">
        <v>121</v>
      </c>
    </row>
    <row r="2434" spans="1:5" x14ac:dyDescent="0.25">
      <c r="A2434">
        <v>2433</v>
      </c>
      <c r="B2434">
        <v>2548673</v>
      </c>
      <c r="C2434" s="1" t="str">
        <f>HYPERLINK("http://stackoverflow.com/users/2548673", "smilingleo")</f>
        <v>smilingleo</v>
      </c>
      <c r="D2434" t="s">
        <v>5</v>
      </c>
      <c r="E2434">
        <v>121</v>
      </c>
    </row>
    <row r="2435" spans="1:5" x14ac:dyDescent="0.25">
      <c r="A2435">
        <v>2434</v>
      </c>
      <c r="B2435">
        <v>6191016</v>
      </c>
      <c r="C2435" s="1" t="str">
        <f>HYPERLINK("http://stackoverflow.com/users/6191016", "Jimson")</f>
        <v>Jimson</v>
      </c>
      <c r="D2435" t="s">
        <v>47</v>
      </c>
      <c r="E2435">
        <v>121</v>
      </c>
    </row>
    <row r="2436" spans="1:5" x14ac:dyDescent="0.25">
      <c r="A2436">
        <v>2435</v>
      </c>
      <c r="B2436">
        <v>289006</v>
      </c>
      <c r="C2436" s="1" t="str">
        <f>HYPERLINK("http://stackoverflow.com/users/289006", "Patrick")</f>
        <v>Patrick</v>
      </c>
      <c r="D2436" t="s">
        <v>4</v>
      </c>
      <c r="E2436">
        <v>121</v>
      </c>
    </row>
    <row r="2437" spans="1:5" x14ac:dyDescent="0.25">
      <c r="A2437">
        <v>2436</v>
      </c>
      <c r="B2437">
        <v>5430981</v>
      </c>
      <c r="C2437" s="1" t="str">
        <f>HYPERLINK("http://stackoverflow.com/users/5430981", "HuangDong.Li")</f>
        <v>HuangDong.Li</v>
      </c>
      <c r="D2437" t="s">
        <v>17</v>
      </c>
      <c r="E2437">
        <v>121</v>
      </c>
    </row>
    <row r="2438" spans="1:5" x14ac:dyDescent="0.25">
      <c r="A2438">
        <v>2437</v>
      </c>
      <c r="B2438">
        <v>5588556</v>
      </c>
      <c r="C2438" s="1" t="str">
        <f>HYPERLINK("http://stackoverflow.com/users/5588556", "ShuaiYu8")</f>
        <v>ShuaiYu8</v>
      </c>
      <c r="D2438" t="s">
        <v>118</v>
      </c>
      <c r="E2438">
        <v>121</v>
      </c>
    </row>
    <row r="2439" spans="1:5" x14ac:dyDescent="0.25">
      <c r="A2439">
        <v>2438</v>
      </c>
      <c r="B2439">
        <v>2096134</v>
      </c>
      <c r="C2439" s="1" t="str">
        <f>HYPERLINK("http://stackoverflow.com/users/2096134", "xiaolei yu")</f>
        <v>xiaolei yu</v>
      </c>
      <c r="D2439" t="s">
        <v>54</v>
      </c>
      <c r="E2439">
        <v>121</v>
      </c>
    </row>
    <row r="2440" spans="1:5" x14ac:dyDescent="0.25">
      <c r="A2440">
        <v>2439</v>
      </c>
      <c r="B2440">
        <v>489578</v>
      </c>
      <c r="C2440" s="1" t="str">
        <f>HYPERLINK("http://stackoverflow.com/users/489578", "Shelvin")</f>
        <v>Shelvin</v>
      </c>
      <c r="D2440" t="s">
        <v>43</v>
      </c>
      <c r="E2440">
        <v>121</v>
      </c>
    </row>
    <row r="2441" spans="1:5" x14ac:dyDescent="0.25">
      <c r="A2441">
        <v>2440</v>
      </c>
      <c r="B2441">
        <v>2819138</v>
      </c>
      <c r="C2441" s="1" t="str">
        <f>HYPERLINK("http://stackoverflow.com/users/2819138", "Gaojin Hsu")</f>
        <v>Gaojin Hsu</v>
      </c>
      <c r="D2441" t="s">
        <v>12</v>
      </c>
      <c r="E2441">
        <v>121</v>
      </c>
    </row>
    <row r="2442" spans="1:5" x14ac:dyDescent="0.25">
      <c r="A2442">
        <v>2441</v>
      </c>
      <c r="B2442">
        <v>2176133</v>
      </c>
      <c r="C2442" s="1" t="str">
        <f>HYPERLINK("http://stackoverflow.com/users/2176133", "Bodhi Hu")</f>
        <v>Bodhi Hu</v>
      </c>
      <c r="D2442" t="s">
        <v>4</v>
      </c>
      <c r="E2442">
        <v>121</v>
      </c>
    </row>
    <row r="2443" spans="1:5" x14ac:dyDescent="0.25">
      <c r="A2443">
        <v>2442</v>
      </c>
      <c r="B2443">
        <v>703458</v>
      </c>
      <c r="C2443" s="1" t="str">
        <f>HYPERLINK("http://stackoverflow.com/users/703458", "Aben")</f>
        <v>Aben</v>
      </c>
      <c r="D2443" t="s">
        <v>5</v>
      </c>
      <c r="E2443">
        <v>121</v>
      </c>
    </row>
    <row r="2444" spans="1:5" x14ac:dyDescent="0.25">
      <c r="A2444">
        <v>2443</v>
      </c>
      <c r="B2444">
        <v>645698</v>
      </c>
      <c r="C2444" s="1" t="str">
        <f>HYPERLINK("http://stackoverflow.com/users/645698", "guiwuu")</f>
        <v>guiwuu</v>
      </c>
      <c r="D2444" t="s">
        <v>5</v>
      </c>
      <c r="E2444">
        <v>121</v>
      </c>
    </row>
    <row r="2445" spans="1:5" x14ac:dyDescent="0.25">
      <c r="A2445">
        <v>2444</v>
      </c>
      <c r="B2445">
        <v>1759970</v>
      </c>
      <c r="C2445" s="1" t="str">
        <f>HYPERLINK("http://stackoverflow.com/users/1759970", "Hu Bin")</f>
        <v>Hu Bin</v>
      </c>
      <c r="D2445" t="s">
        <v>4</v>
      </c>
      <c r="E2445">
        <v>121</v>
      </c>
    </row>
    <row r="2446" spans="1:5" x14ac:dyDescent="0.25">
      <c r="A2446">
        <v>2445</v>
      </c>
      <c r="B2446">
        <v>9140325</v>
      </c>
      <c r="C2446" s="1" t="str">
        <f>HYPERLINK("http://stackoverflow.com/users/9140325", "賈可 Jacky")</f>
        <v>賈可 Jacky</v>
      </c>
      <c r="D2446" t="s">
        <v>173</v>
      </c>
      <c r="E2446">
        <v>121</v>
      </c>
    </row>
    <row r="2447" spans="1:5" x14ac:dyDescent="0.25">
      <c r="A2447">
        <v>2446</v>
      </c>
      <c r="B2447">
        <v>1584780</v>
      </c>
      <c r="C2447" s="1" t="str">
        <f>HYPERLINK("http://stackoverflow.com/users/1584780", "dongxu")</f>
        <v>dongxu</v>
      </c>
      <c r="D2447" t="s">
        <v>17</v>
      </c>
      <c r="E2447">
        <v>121</v>
      </c>
    </row>
    <row r="2448" spans="1:5" x14ac:dyDescent="0.25">
      <c r="A2448">
        <v>2447</v>
      </c>
      <c r="B2448">
        <v>2294006</v>
      </c>
      <c r="C2448" s="1" t="str">
        <f>HYPERLINK("http://stackoverflow.com/users/2294006", "islet8")</f>
        <v>islet8</v>
      </c>
      <c r="D2448" t="s">
        <v>4</v>
      </c>
      <c r="E2448">
        <v>121</v>
      </c>
    </row>
    <row r="2449" spans="1:5" x14ac:dyDescent="0.25">
      <c r="A2449">
        <v>2448</v>
      </c>
      <c r="B2449">
        <v>4258007</v>
      </c>
      <c r="C2449" s="1" t="str">
        <f>HYPERLINK("http://stackoverflow.com/users/4258007", "leslie.zhang")</f>
        <v>leslie.zhang</v>
      </c>
      <c r="D2449" t="s">
        <v>5</v>
      </c>
      <c r="E2449">
        <v>121</v>
      </c>
    </row>
    <row r="2450" spans="1:5" x14ac:dyDescent="0.25">
      <c r="A2450">
        <v>2449</v>
      </c>
      <c r="B2450">
        <v>492864</v>
      </c>
      <c r="C2450" s="1" t="str">
        <f>HYPERLINK("http://stackoverflow.com/users/492864", "Maple")</f>
        <v>Maple</v>
      </c>
      <c r="D2450" t="s">
        <v>21</v>
      </c>
      <c r="E2450">
        <v>121</v>
      </c>
    </row>
    <row r="2451" spans="1:5" x14ac:dyDescent="0.25">
      <c r="A2451">
        <v>2450</v>
      </c>
      <c r="B2451">
        <v>2817658</v>
      </c>
      <c r="C2451" s="1" t="str">
        <f>HYPERLINK("http://stackoverflow.com/users/2817658", "tinylambda")</f>
        <v>tinylambda</v>
      </c>
      <c r="D2451" t="s">
        <v>5</v>
      </c>
      <c r="E2451">
        <v>121</v>
      </c>
    </row>
    <row r="2452" spans="1:5" x14ac:dyDescent="0.25">
      <c r="A2452">
        <v>2451</v>
      </c>
      <c r="B2452">
        <v>3470905</v>
      </c>
      <c r="C2452" s="1" t="str">
        <f>HYPERLINK("http://stackoverflow.com/users/3470905", "wangke1020")</f>
        <v>wangke1020</v>
      </c>
      <c r="D2452" t="s">
        <v>4</v>
      </c>
      <c r="E2452">
        <v>121</v>
      </c>
    </row>
    <row r="2453" spans="1:5" x14ac:dyDescent="0.25">
      <c r="A2453">
        <v>2452</v>
      </c>
      <c r="B2453">
        <v>5273174</v>
      </c>
      <c r="C2453" s="1" t="str">
        <f>HYPERLINK("http://stackoverflow.com/users/5273174", "Yifeng Mu")</f>
        <v>Yifeng Mu</v>
      </c>
      <c r="D2453" t="s">
        <v>78</v>
      </c>
      <c r="E2453">
        <v>121</v>
      </c>
    </row>
    <row r="2454" spans="1:5" x14ac:dyDescent="0.25">
      <c r="A2454">
        <v>2453</v>
      </c>
      <c r="B2454">
        <v>5196286</v>
      </c>
      <c r="C2454" s="1" t="str">
        <f>HYPERLINK("http://stackoverflow.com/users/5196286", "Zgpeace")</f>
        <v>Zgpeace</v>
      </c>
      <c r="D2454" t="s">
        <v>25</v>
      </c>
      <c r="E2454">
        <v>120</v>
      </c>
    </row>
    <row r="2455" spans="1:5" x14ac:dyDescent="0.25">
      <c r="A2455">
        <v>2454</v>
      </c>
      <c r="B2455">
        <v>388723</v>
      </c>
      <c r="C2455" s="1" t="str">
        <f>HYPERLINK("http://stackoverflow.com/users/388723", "freeflying")</f>
        <v>freeflying</v>
      </c>
      <c r="D2455" t="s">
        <v>4</v>
      </c>
      <c r="E2455">
        <v>120</v>
      </c>
    </row>
    <row r="2456" spans="1:5" x14ac:dyDescent="0.25">
      <c r="A2456">
        <v>2455</v>
      </c>
      <c r="B2456">
        <v>1983799</v>
      </c>
      <c r="C2456" s="1" t="str">
        <f>HYPERLINK("http://stackoverflow.com/users/1983799", "H3c")</f>
        <v>H3c</v>
      </c>
      <c r="D2456" t="s">
        <v>8</v>
      </c>
      <c r="E2456">
        <v>120</v>
      </c>
    </row>
    <row r="2457" spans="1:5" x14ac:dyDescent="0.25">
      <c r="A2457">
        <v>2456</v>
      </c>
      <c r="B2457">
        <v>4290403</v>
      </c>
      <c r="C2457" s="1" t="str">
        <f>HYPERLINK("http://stackoverflow.com/users/4290403", "Pepi")</f>
        <v>Pepi</v>
      </c>
      <c r="D2457" t="s">
        <v>22</v>
      </c>
      <c r="E2457">
        <v>120</v>
      </c>
    </row>
    <row r="2458" spans="1:5" x14ac:dyDescent="0.25">
      <c r="A2458">
        <v>2457</v>
      </c>
      <c r="B2458">
        <v>7140140</v>
      </c>
      <c r="C2458" s="1" t="str">
        <f>HYPERLINK("http://stackoverflow.com/users/7140140", "oliver34")</f>
        <v>oliver34</v>
      </c>
      <c r="D2458" t="s">
        <v>16</v>
      </c>
      <c r="E2458">
        <v>120</v>
      </c>
    </row>
    <row r="2459" spans="1:5" x14ac:dyDescent="0.25">
      <c r="A2459">
        <v>2458</v>
      </c>
      <c r="B2459">
        <v>584254</v>
      </c>
      <c r="C2459" s="1" t="str">
        <f>HYPERLINK("http://stackoverflow.com/users/584254", "akin")</f>
        <v>akin</v>
      </c>
      <c r="D2459" t="s">
        <v>5</v>
      </c>
      <c r="E2459">
        <v>120</v>
      </c>
    </row>
    <row r="2460" spans="1:5" x14ac:dyDescent="0.25">
      <c r="A2460">
        <v>2459</v>
      </c>
      <c r="B2460">
        <v>1388867</v>
      </c>
      <c r="C2460" s="1" t="str">
        <f>HYPERLINK("http://stackoverflow.com/users/1388867", "vincent")</f>
        <v>vincent</v>
      </c>
      <c r="D2460" t="s">
        <v>17</v>
      </c>
      <c r="E2460">
        <v>120</v>
      </c>
    </row>
    <row r="2461" spans="1:5" x14ac:dyDescent="0.25">
      <c r="A2461">
        <v>2460</v>
      </c>
      <c r="B2461">
        <v>8831771</v>
      </c>
      <c r="C2461" s="1" t="str">
        <f>HYPERLINK("http://stackoverflow.com/users/8831771", "xuemind")</f>
        <v>xuemind</v>
      </c>
      <c r="D2461" t="s">
        <v>5</v>
      </c>
      <c r="E2461">
        <v>120</v>
      </c>
    </row>
    <row r="2462" spans="1:5" x14ac:dyDescent="0.25">
      <c r="A2462">
        <v>2461</v>
      </c>
      <c r="B2462">
        <v>5125986</v>
      </c>
      <c r="C2462" s="1" t="str">
        <f>HYPERLINK("http://stackoverflow.com/users/5125986", "Tonney Bing")</f>
        <v>Tonney Bing</v>
      </c>
      <c r="D2462" t="s">
        <v>5</v>
      </c>
      <c r="E2462">
        <v>120</v>
      </c>
    </row>
    <row r="2463" spans="1:5" x14ac:dyDescent="0.25">
      <c r="A2463">
        <v>2462</v>
      </c>
      <c r="B2463">
        <v>420472</v>
      </c>
      <c r="C2463" s="1" t="str">
        <f>HYPERLINK("http://stackoverflow.com/users/420472", "leafduo")</f>
        <v>leafduo</v>
      </c>
      <c r="D2463" t="s">
        <v>5</v>
      </c>
      <c r="E2463">
        <v>119</v>
      </c>
    </row>
    <row r="2464" spans="1:5" x14ac:dyDescent="0.25">
      <c r="A2464">
        <v>2463</v>
      </c>
      <c r="B2464">
        <v>1661672</v>
      </c>
      <c r="C2464" s="1" t="str">
        <f>HYPERLINK("http://stackoverflow.com/users/1661672", "Frazer")</f>
        <v>Frazer</v>
      </c>
      <c r="D2464" t="s">
        <v>5</v>
      </c>
      <c r="E2464">
        <v>119</v>
      </c>
    </row>
    <row r="2465" spans="1:5" x14ac:dyDescent="0.25">
      <c r="A2465">
        <v>2464</v>
      </c>
      <c r="B2465">
        <v>7056400</v>
      </c>
      <c r="C2465" s="1" t="str">
        <f>HYPERLINK("http://stackoverflow.com/users/7056400", "Willard Wong")</f>
        <v>Willard Wong</v>
      </c>
      <c r="D2465" t="s">
        <v>22</v>
      </c>
      <c r="E2465">
        <v>119</v>
      </c>
    </row>
    <row r="2466" spans="1:5" x14ac:dyDescent="0.25">
      <c r="A2466">
        <v>2465</v>
      </c>
      <c r="B2466">
        <v>2172450</v>
      </c>
      <c r="C2466" s="1" t="str">
        <f>HYPERLINK("http://stackoverflow.com/users/2172450", "langdead")</f>
        <v>langdead</v>
      </c>
      <c r="D2466" t="s">
        <v>4</v>
      </c>
      <c r="E2466">
        <v>119</v>
      </c>
    </row>
    <row r="2467" spans="1:5" x14ac:dyDescent="0.25">
      <c r="A2467">
        <v>2466</v>
      </c>
      <c r="B2467">
        <v>245261</v>
      </c>
      <c r="C2467" s="1" t="str">
        <f>HYPERLINK("http://stackoverflow.com/users/245261", "catinred")</f>
        <v>catinred</v>
      </c>
      <c r="D2467" t="s">
        <v>21</v>
      </c>
      <c r="E2467">
        <v>119</v>
      </c>
    </row>
    <row r="2468" spans="1:5" x14ac:dyDescent="0.25">
      <c r="A2468">
        <v>2467</v>
      </c>
      <c r="B2468">
        <v>511724</v>
      </c>
      <c r="C2468" s="1" t="str">
        <f>HYPERLINK("http://stackoverflow.com/users/511724", "IFQ")</f>
        <v>IFQ</v>
      </c>
      <c r="D2468" t="s">
        <v>24</v>
      </c>
      <c r="E2468">
        <v>119</v>
      </c>
    </row>
    <row r="2469" spans="1:5" x14ac:dyDescent="0.25">
      <c r="A2469">
        <v>2468</v>
      </c>
      <c r="B2469">
        <v>4916086</v>
      </c>
      <c r="C2469" s="1" t="str">
        <f>HYPERLINK("http://stackoverflow.com/users/4916086", "Woody Sun")</f>
        <v>Woody Sun</v>
      </c>
      <c r="D2469" t="s">
        <v>5</v>
      </c>
      <c r="E2469">
        <v>119</v>
      </c>
    </row>
    <row r="2470" spans="1:5" x14ac:dyDescent="0.25">
      <c r="A2470">
        <v>2469</v>
      </c>
      <c r="B2470">
        <v>1304556</v>
      </c>
      <c r="C2470" s="1" t="str">
        <f>HYPERLINK("http://stackoverflow.com/users/1304556", "passwind")</f>
        <v>passwind</v>
      </c>
      <c r="D2470" t="s">
        <v>5</v>
      </c>
      <c r="E2470">
        <v>119</v>
      </c>
    </row>
    <row r="2471" spans="1:5" x14ac:dyDescent="0.25">
      <c r="A2471">
        <v>2470</v>
      </c>
      <c r="B2471">
        <v>6217668</v>
      </c>
      <c r="C2471" s="1" t="str">
        <f>HYPERLINK("http://stackoverflow.com/users/6217668", "Noah")</f>
        <v>Noah</v>
      </c>
      <c r="D2471" t="s">
        <v>55</v>
      </c>
      <c r="E2471">
        <v>119</v>
      </c>
    </row>
    <row r="2472" spans="1:5" x14ac:dyDescent="0.25">
      <c r="A2472">
        <v>2471</v>
      </c>
      <c r="B2472">
        <v>3064386</v>
      </c>
      <c r="C2472" s="1" t="str">
        <f>HYPERLINK("http://stackoverflow.com/users/3064386", "Golden")</f>
        <v>Golden</v>
      </c>
      <c r="D2472" t="s">
        <v>4</v>
      </c>
      <c r="E2472">
        <v>118</v>
      </c>
    </row>
    <row r="2473" spans="1:5" x14ac:dyDescent="0.25">
      <c r="A2473">
        <v>2472</v>
      </c>
      <c r="B2473">
        <v>5196190</v>
      </c>
      <c r="C2473" s="1" t="str">
        <f>HYPERLINK("http://stackoverflow.com/users/5196190", "dulq")</f>
        <v>dulq</v>
      </c>
      <c r="D2473" t="s">
        <v>5</v>
      </c>
      <c r="E2473">
        <v>118</v>
      </c>
    </row>
    <row r="2474" spans="1:5" x14ac:dyDescent="0.25">
      <c r="A2474">
        <v>2473</v>
      </c>
      <c r="B2474">
        <v>269313</v>
      </c>
      <c r="C2474" s="1" t="str">
        <f>HYPERLINK("http://stackoverflow.com/users/269313", "xwz7611")</f>
        <v>xwz7611</v>
      </c>
      <c r="D2474" t="s">
        <v>5</v>
      </c>
      <c r="E2474">
        <v>118</v>
      </c>
    </row>
    <row r="2475" spans="1:5" x14ac:dyDescent="0.25">
      <c r="A2475">
        <v>2474</v>
      </c>
      <c r="B2475">
        <v>5610987</v>
      </c>
      <c r="C2475" s="1" t="str">
        <f>HYPERLINK("http://stackoverflow.com/users/5610987", "Tom")</f>
        <v>Tom</v>
      </c>
      <c r="D2475" t="s">
        <v>174</v>
      </c>
      <c r="E2475">
        <v>118</v>
      </c>
    </row>
    <row r="2476" spans="1:5" x14ac:dyDescent="0.25">
      <c r="A2476">
        <v>2475</v>
      </c>
      <c r="B2476">
        <v>6280244</v>
      </c>
      <c r="C2476" s="1" t="str">
        <f>HYPERLINK("http://stackoverflow.com/users/6280244", "Wang")</f>
        <v>Wang</v>
      </c>
      <c r="D2476" t="s">
        <v>4</v>
      </c>
      <c r="E2476">
        <v>118</v>
      </c>
    </row>
    <row r="2477" spans="1:5" x14ac:dyDescent="0.25">
      <c r="A2477">
        <v>2476</v>
      </c>
      <c r="B2477">
        <v>68170</v>
      </c>
      <c r="C2477" s="1" t="str">
        <f>HYPERLINK("http://stackoverflow.com/users/68170", "David")</f>
        <v>David</v>
      </c>
      <c r="D2477" t="s">
        <v>5</v>
      </c>
      <c r="E2477">
        <v>118</v>
      </c>
    </row>
    <row r="2478" spans="1:5" x14ac:dyDescent="0.25">
      <c r="A2478">
        <v>2477</v>
      </c>
      <c r="B2478">
        <v>476610</v>
      </c>
      <c r="C2478" s="1" t="str">
        <f>HYPERLINK("http://stackoverflow.com/users/476610", "mxi1")</f>
        <v>mxi1</v>
      </c>
      <c r="D2478" t="s">
        <v>5</v>
      </c>
      <c r="E2478">
        <v>118</v>
      </c>
    </row>
    <row r="2479" spans="1:5" x14ac:dyDescent="0.25">
      <c r="A2479">
        <v>2478</v>
      </c>
      <c r="B2479">
        <v>8039762</v>
      </c>
      <c r="C2479" s="1" t="str">
        <f>HYPERLINK("http://stackoverflow.com/users/8039762", "cgsdfc")</f>
        <v>cgsdfc</v>
      </c>
      <c r="D2479" t="s">
        <v>5</v>
      </c>
      <c r="E2479">
        <v>118</v>
      </c>
    </row>
    <row r="2480" spans="1:5" x14ac:dyDescent="0.25">
      <c r="A2480">
        <v>2479</v>
      </c>
      <c r="B2480">
        <v>3304373</v>
      </c>
      <c r="C2480" s="1" t="str">
        <f>HYPERLINK("http://stackoverflow.com/users/3304373", "chrischeng021")</f>
        <v>chrischeng021</v>
      </c>
      <c r="D2480" t="s">
        <v>4</v>
      </c>
      <c r="E2480">
        <v>118</v>
      </c>
    </row>
    <row r="2481" spans="1:5" x14ac:dyDescent="0.25">
      <c r="A2481">
        <v>2480</v>
      </c>
      <c r="B2481">
        <v>4050016</v>
      </c>
      <c r="C2481" s="1" t="str">
        <f>HYPERLINK("http://stackoverflow.com/users/4050016", "wolfe")</f>
        <v>wolfe</v>
      </c>
      <c r="D2481" t="s">
        <v>17</v>
      </c>
      <c r="E2481">
        <v>118</v>
      </c>
    </row>
    <row r="2482" spans="1:5" x14ac:dyDescent="0.25">
      <c r="A2482">
        <v>2481</v>
      </c>
      <c r="B2482">
        <v>1505670</v>
      </c>
      <c r="C2482" s="1" t="str">
        <f>HYPERLINK("http://stackoverflow.com/users/1505670", "cleexiang")</f>
        <v>cleexiang</v>
      </c>
      <c r="D2482" t="s">
        <v>5</v>
      </c>
      <c r="E2482">
        <v>118</v>
      </c>
    </row>
    <row r="2483" spans="1:5" x14ac:dyDescent="0.25">
      <c r="A2483">
        <v>2482</v>
      </c>
      <c r="B2483">
        <v>478944</v>
      </c>
      <c r="C2483" s="1" t="str">
        <f>HYPERLINK("http://stackoverflow.com/users/478944", "Saito")</f>
        <v>Saito</v>
      </c>
      <c r="D2483" t="s">
        <v>12</v>
      </c>
      <c r="E2483">
        <v>118</v>
      </c>
    </row>
    <row r="2484" spans="1:5" x14ac:dyDescent="0.25">
      <c r="A2484">
        <v>2483</v>
      </c>
      <c r="B2484">
        <v>4602272</v>
      </c>
      <c r="C2484" s="1" t="str">
        <f>HYPERLINK("http://stackoverflow.com/users/4602272", "GeneGi")</f>
        <v>GeneGi</v>
      </c>
      <c r="D2484" t="s">
        <v>4</v>
      </c>
      <c r="E2484">
        <v>117</v>
      </c>
    </row>
    <row r="2485" spans="1:5" x14ac:dyDescent="0.25">
      <c r="A2485">
        <v>2484</v>
      </c>
      <c r="B2485">
        <v>5114515</v>
      </c>
      <c r="C2485" s="1" t="str">
        <f>HYPERLINK("http://stackoverflow.com/users/5114515", "Linkang Ma")</f>
        <v>Linkang Ma</v>
      </c>
      <c r="D2485" t="s">
        <v>5</v>
      </c>
      <c r="E2485">
        <v>117</v>
      </c>
    </row>
    <row r="2486" spans="1:5" x14ac:dyDescent="0.25">
      <c r="A2486">
        <v>2485</v>
      </c>
      <c r="B2486">
        <v>1525767</v>
      </c>
      <c r="C2486" s="1" t="str">
        <f>HYPERLINK("http://stackoverflow.com/users/1525767", "LucasWang")</f>
        <v>LucasWang</v>
      </c>
      <c r="D2486" t="s">
        <v>4</v>
      </c>
      <c r="E2486">
        <v>117</v>
      </c>
    </row>
    <row r="2487" spans="1:5" x14ac:dyDescent="0.25">
      <c r="A2487">
        <v>2486</v>
      </c>
      <c r="B2487">
        <v>289558</v>
      </c>
      <c r="C2487" s="1" t="str">
        <f>HYPERLINK("http://stackoverflow.com/users/289558", "Roy8")</f>
        <v>Roy8</v>
      </c>
      <c r="D2487" t="s">
        <v>4</v>
      </c>
      <c r="E2487">
        <v>117</v>
      </c>
    </row>
    <row r="2488" spans="1:5" x14ac:dyDescent="0.25">
      <c r="A2488">
        <v>2487</v>
      </c>
      <c r="B2488">
        <v>8093108</v>
      </c>
      <c r="C2488" s="1" t="str">
        <f>HYPERLINK("http://stackoverflow.com/users/8093108", "Qiao Zhang")</f>
        <v>Qiao Zhang</v>
      </c>
      <c r="D2488" t="s">
        <v>5</v>
      </c>
      <c r="E2488">
        <v>117</v>
      </c>
    </row>
    <row r="2489" spans="1:5" x14ac:dyDescent="0.25">
      <c r="A2489">
        <v>2488</v>
      </c>
      <c r="B2489">
        <v>738160</v>
      </c>
      <c r="C2489" s="1" t="str">
        <f>HYPERLINK("http://stackoverflow.com/users/738160", "Bodil")</f>
        <v>Bodil</v>
      </c>
      <c r="D2489" t="s">
        <v>5</v>
      </c>
      <c r="E2489">
        <v>116</v>
      </c>
    </row>
    <row r="2490" spans="1:5" x14ac:dyDescent="0.25">
      <c r="A2490">
        <v>2489</v>
      </c>
      <c r="B2490">
        <v>2511595</v>
      </c>
      <c r="C2490" s="1" t="str">
        <f>HYPERLINK("http://stackoverflow.com/users/2511595", "George Sun")</f>
        <v>George Sun</v>
      </c>
      <c r="D2490" t="s">
        <v>4</v>
      </c>
      <c r="E2490">
        <v>116</v>
      </c>
    </row>
    <row r="2491" spans="1:5" x14ac:dyDescent="0.25">
      <c r="A2491">
        <v>2490</v>
      </c>
      <c r="B2491">
        <v>2398107</v>
      </c>
      <c r="C2491" s="1" t="str">
        <f>HYPERLINK("http://stackoverflow.com/users/2398107", "WenchaoD")</f>
        <v>WenchaoD</v>
      </c>
      <c r="D2491" t="s">
        <v>5</v>
      </c>
      <c r="E2491">
        <v>116</v>
      </c>
    </row>
    <row r="2492" spans="1:5" x14ac:dyDescent="0.25">
      <c r="A2492">
        <v>2491</v>
      </c>
      <c r="B2492">
        <v>1846507</v>
      </c>
      <c r="C2492" s="1" t="str">
        <f>HYPERLINK("http://stackoverflow.com/users/1846507", "qiulp")</f>
        <v>qiulp</v>
      </c>
      <c r="D2492" t="s">
        <v>4</v>
      </c>
      <c r="E2492">
        <v>116</v>
      </c>
    </row>
    <row r="2493" spans="1:5" x14ac:dyDescent="0.25">
      <c r="A2493">
        <v>2492</v>
      </c>
      <c r="B2493">
        <v>4855780</v>
      </c>
      <c r="C2493" s="1" t="str">
        <f>HYPERLINK("http://stackoverflow.com/users/4855780", "Ivan")</f>
        <v>Ivan</v>
      </c>
      <c r="D2493" t="s">
        <v>4</v>
      </c>
      <c r="E2493">
        <v>116</v>
      </c>
    </row>
    <row r="2494" spans="1:5" x14ac:dyDescent="0.25">
      <c r="A2494">
        <v>2493</v>
      </c>
      <c r="B2494">
        <v>4387849</v>
      </c>
      <c r="C2494" s="1" t="str">
        <f>HYPERLINK("http://stackoverflow.com/users/4387849", "Anany")</f>
        <v>Anany</v>
      </c>
      <c r="D2494" t="s">
        <v>7</v>
      </c>
      <c r="E2494">
        <v>116</v>
      </c>
    </row>
    <row r="2495" spans="1:5" x14ac:dyDescent="0.25">
      <c r="A2495">
        <v>2494</v>
      </c>
      <c r="B2495">
        <v>4777361</v>
      </c>
      <c r="C2495" s="1" t="str">
        <f>HYPERLINK("http://stackoverflow.com/users/4777361", "Chen Hao")</f>
        <v>Chen Hao</v>
      </c>
      <c r="D2495" t="s">
        <v>86</v>
      </c>
      <c r="E2495">
        <v>116</v>
      </c>
    </row>
    <row r="2496" spans="1:5" x14ac:dyDescent="0.25">
      <c r="A2496">
        <v>2495</v>
      </c>
      <c r="B2496">
        <v>6507524</v>
      </c>
      <c r="C2496" s="1" t="str">
        <f>HYPERLINK("http://stackoverflow.com/users/6507524", "huor")</f>
        <v>huor</v>
      </c>
      <c r="D2496" t="s">
        <v>5</v>
      </c>
      <c r="E2496">
        <v>116</v>
      </c>
    </row>
    <row r="2497" spans="1:5" x14ac:dyDescent="0.25">
      <c r="A2497">
        <v>2496</v>
      </c>
      <c r="B2497">
        <v>1987030</v>
      </c>
      <c r="C2497" s="1" t="str">
        <f>HYPERLINK("http://stackoverflow.com/users/1987030", "Ligboy")</f>
        <v>Ligboy</v>
      </c>
      <c r="D2497" t="s">
        <v>24</v>
      </c>
      <c r="E2497">
        <v>116</v>
      </c>
    </row>
    <row r="2498" spans="1:5" x14ac:dyDescent="0.25">
      <c r="A2498">
        <v>2497</v>
      </c>
      <c r="B2498">
        <v>5485125</v>
      </c>
      <c r="C2498" s="1" t="str">
        <f>HYPERLINK("http://stackoverflow.com/users/5485125", "Darwin.Lau")</f>
        <v>Darwin.Lau</v>
      </c>
      <c r="D2498" t="s">
        <v>37</v>
      </c>
      <c r="E2498">
        <v>116</v>
      </c>
    </row>
    <row r="2499" spans="1:5" x14ac:dyDescent="0.25">
      <c r="A2499">
        <v>2498</v>
      </c>
      <c r="B2499">
        <v>5430199</v>
      </c>
      <c r="C2499" s="1" t="str">
        <f>HYPERLINK("http://stackoverflow.com/users/5430199", "Chang")</f>
        <v>Chang</v>
      </c>
      <c r="D2499" t="s">
        <v>7</v>
      </c>
      <c r="E2499">
        <v>116</v>
      </c>
    </row>
    <row r="2500" spans="1:5" x14ac:dyDescent="0.25">
      <c r="A2500">
        <v>2499</v>
      </c>
      <c r="B2500">
        <v>6737259</v>
      </c>
      <c r="C2500" s="1" t="str">
        <f>HYPERLINK("http://stackoverflow.com/users/6737259", "Kexin Li")</f>
        <v>Kexin Li</v>
      </c>
      <c r="D2500" t="s">
        <v>55</v>
      </c>
      <c r="E2500">
        <v>116</v>
      </c>
    </row>
    <row r="2501" spans="1:5" x14ac:dyDescent="0.25">
      <c r="A2501">
        <v>2500</v>
      </c>
      <c r="B2501">
        <v>4047380</v>
      </c>
      <c r="C2501" s="1" t="str">
        <f>HYPERLINK("http://stackoverflow.com/users/4047380", "c c")</f>
        <v>c c</v>
      </c>
      <c r="D2501" t="s">
        <v>175</v>
      </c>
      <c r="E2501">
        <v>116</v>
      </c>
    </row>
    <row r="2502" spans="1:5" x14ac:dyDescent="0.25">
      <c r="A2502">
        <v>2501</v>
      </c>
      <c r="B2502">
        <v>1027163</v>
      </c>
      <c r="C2502" s="1" t="str">
        <f>HYPERLINK("http://stackoverflow.com/users/1027163", "cattail")</f>
        <v>cattail</v>
      </c>
      <c r="D2502" t="s">
        <v>5</v>
      </c>
      <c r="E2502">
        <v>116</v>
      </c>
    </row>
    <row r="2503" spans="1:5" x14ac:dyDescent="0.25">
      <c r="A2503">
        <v>2502</v>
      </c>
      <c r="B2503">
        <v>2653406</v>
      </c>
      <c r="C2503" s="1" t="str">
        <f>HYPERLINK("http://stackoverflow.com/users/2653406", "bienfantaisie")</f>
        <v>bienfantaisie</v>
      </c>
      <c r="D2503" t="s">
        <v>5</v>
      </c>
      <c r="E2503">
        <v>116</v>
      </c>
    </row>
    <row r="2504" spans="1:5" x14ac:dyDescent="0.25">
      <c r="A2504">
        <v>2503</v>
      </c>
      <c r="B2504">
        <v>1130203</v>
      </c>
      <c r="C2504" s="1" t="str">
        <f>HYPERLINK("http://stackoverflow.com/users/1130203", "Bill Xie")</f>
        <v>Bill Xie</v>
      </c>
      <c r="D2504" t="s">
        <v>22</v>
      </c>
      <c r="E2504">
        <v>116</v>
      </c>
    </row>
    <row r="2505" spans="1:5" x14ac:dyDescent="0.25">
      <c r="A2505">
        <v>2504</v>
      </c>
      <c r="B2505">
        <v>1074637</v>
      </c>
      <c r="C2505" s="1" t="str">
        <f>HYPERLINK("http://stackoverflow.com/users/1074637", "Luuray")</f>
        <v>Luuray</v>
      </c>
      <c r="D2505" t="s">
        <v>5</v>
      </c>
      <c r="E2505">
        <v>116</v>
      </c>
    </row>
    <row r="2506" spans="1:5" x14ac:dyDescent="0.25">
      <c r="A2506">
        <v>2505</v>
      </c>
      <c r="B2506">
        <v>1602660</v>
      </c>
      <c r="C2506" s="1" t="str">
        <f>HYPERLINK("http://stackoverflow.com/users/1602660", "raptoravis")</f>
        <v>raptoravis</v>
      </c>
      <c r="D2506" t="s">
        <v>4</v>
      </c>
      <c r="E2506">
        <v>116</v>
      </c>
    </row>
    <row r="2507" spans="1:5" x14ac:dyDescent="0.25">
      <c r="A2507">
        <v>2506</v>
      </c>
      <c r="B2507">
        <v>8522063</v>
      </c>
      <c r="C2507" s="1" t="str">
        <f>HYPERLINK("http://stackoverflow.com/users/8522063", "David  Lee")</f>
        <v>David  Lee</v>
      </c>
      <c r="D2507" t="s">
        <v>5</v>
      </c>
      <c r="E2507">
        <v>116</v>
      </c>
    </row>
    <row r="2508" spans="1:5" x14ac:dyDescent="0.25">
      <c r="A2508">
        <v>2507</v>
      </c>
      <c r="B2508">
        <v>4382249</v>
      </c>
      <c r="C2508" s="1" t="str">
        <f>HYPERLINK("http://stackoverflow.com/users/4382249", "moon")</f>
        <v>moon</v>
      </c>
      <c r="D2508" t="s">
        <v>5</v>
      </c>
      <c r="E2508">
        <v>116</v>
      </c>
    </row>
    <row r="2509" spans="1:5" x14ac:dyDescent="0.25">
      <c r="A2509">
        <v>2508</v>
      </c>
      <c r="B2509">
        <v>2716358</v>
      </c>
      <c r="C2509" s="1" t="str">
        <f>HYPERLINK("http://stackoverflow.com/users/2716358", "Shen Fei")</f>
        <v>Shen Fei</v>
      </c>
      <c r="D2509" t="s">
        <v>5</v>
      </c>
      <c r="E2509">
        <v>116</v>
      </c>
    </row>
    <row r="2510" spans="1:5" x14ac:dyDescent="0.25">
      <c r="A2510">
        <v>2509</v>
      </c>
      <c r="B2510">
        <v>7469533</v>
      </c>
      <c r="C2510" s="1" t="str">
        <f>HYPERLINK("http://stackoverflow.com/users/7469533", "IsuNas Labs")</f>
        <v>IsuNas Labs</v>
      </c>
      <c r="D2510" t="s">
        <v>55</v>
      </c>
      <c r="E2510">
        <v>116</v>
      </c>
    </row>
    <row r="2511" spans="1:5" x14ac:dyDescent="0.25">
      <c r="A2511">
        <v>2510</v>
      </c>
      <c r="B2511">
        <v>6367560</v>
      </c>
      <c r="C2511" s="1" t="str">
        <f>HYPERLINK("http://stackoverflow.com/users/6367560", "Jintao Ou")</f>
        <v>Jintao Ou</v>
      </c>
      <c r="D2511" t="s">
        <v>21</v>
      </c>
      <c r="E2511">
        <v>115</v>
      </c>
    </row>
    <row r="2512" spans="1:5" x14ac:dyDescent="0.25">
      <c r="A2512">
        <v>2511</v>
      </c>
      <c r="B2512">
        <v>5185187</v>
      </c>
      <c r="C2512" s="1" t="str">
        <f>HYPERLINK("http://stackoverflow.com/users/5185187", "SIM DD")</f>
        <v>SIM DD</v>
      </c>
      <c r="D2512" t="s">
        <v>17</v>
      </c>
      <c r="E2512">
        <v>115</v>
      </c>
    </row>
    <row r="2513" spans="1:5" x14ac:dyDescent="0.25">
      <c r="A2513">
        <v>2512</v>
      </c>
      <c r="B2513">
        <v>4496837</v>
      </c>
      <c r="C2513" s="1" t="str">
        <f>HYPERLINK("http://stackoverflow.com/users/4496837", "xialin")</f>
        <v>xialin</v>
      </c>
      <c r="D2513" t="s">
        <v>55</v>
      </c>
      <c r="E2513">
        <v>115</v>
      </c>
    </row>
    <row r="2514" spans="1:5" x14ac:dyDescent="0.25">
      <c r="A2514">
        <v>2513</v>
      </c>
      <c r="B2514">
        <v>4779765</v>
      </c>
      <c r="C2514" s="1" t="str">
        <f>HYPERLINK("http://stackoverflow.com/users/4779765", "Sung Qee")</f>
        <v>Sung Qee</v>
      </c>
      <c r="D2514" t="s">
        <v>21</v>
      </c>
      <c r="E2514">
        <v>115</v>
      </c>
    </row>
    <row r="2515" spans="1:5" x14ac:dyDescent="0.25">
      <c r="A2515">
        <v>2514</v>
      </c>
      <c r="B2515">
        <v>1904270</v>
      </c>
      <c r="C2515" s="1" t="str">
        <f>HYPERLINK("http://stackoverflow.com/users/1904270", "PaulYang")</f>
        <v>PaulYang</v>
      </c>
      <c r="D2515" t="s">
        <v>17</v>
      </c>
      <c r="E2515">
        <v>115</v>
      </c>
    </row>
    <row r="2516" spans="1:5" x14ac:dyDescent="0.25">
      <c r="A2516">
        <v>2515</v>
      </c>
      <c r="B2516">
        <v>5201539</v>
      </c>
      <c r="C2516" s="1" t="str">
        <f>HYPERLINK("http://stackoverflow.com/users/5201539", "Magic")</f>
        <v>Magic</v>
      </c>
      <c r="D2516" t="s">
        <v>28</v>
      </c>
      <c r="E2516">
        <v>115</v>
      </c>
    </row>
    <row r="2517" spans="1:5" x14ac:dyDescent="0.25">
      <c r="A2517">
        <v>2516</v>
      </c>
      <c r="B2517">
        <v>1841039</v>
      </c>
      <c r="C2517" s="1" t="str">
        <f>HYPERLINK("http://stackoverflow.com/users/1841039", "Hegwin")</f>
        <v>Hegwin</v>
      </c>
      <c r="D2517" t="s">
        <v>43</v>
      </c>
      <c r="E2517">
        <v>115</v>
      </c>
    </row>
    <row r="2518" spans="1:5" x14ac:dyDescent="0.25">
      <c r="A2518">
        <v>2517</v>
      </c>
      <c r="B2518">
        <v>2598063</v>
      </c>
      <c r="C2518" s="1" t="str">
        <f>HYPERLINK("http://stackoverflow.com/users/2598063", "hack4m")</f>
        <v>hack4m</v>
      </c>
      <c r="D2518" t="s">
        <v>5</v>
      </c>
      <c r="E2518">
        <v>115</v>
      </c>
    </row>
    <row r="2519" spans="1:5" x14ac:dyDescent="0.25">
      <c r="A2519">
        <v>2518</v>
      </c>
      <c r="B2519">
        <v>3548428</v>
      </c>
      <c r="C2519" s="1" t="str">
        <f>HYPERLINK("http://stackoverflow.com/users/3548428", "Phil")</f>
        <v>Phil</v>
      </c>
      <c r="D2519" t="s">
        <v>5</v>
      </c>
      <c r="E2519">
        <v>115</v>
      </c>
    </row>
    <row r="2520" spans="1:5" x14ac:dyDescent="0.25">
      <c r="A2520">
        <v>2519</v>
      </c>
      <c r="B2520">
        <v>3600640</v>
      </c>
      <c r="C2520" s="1" t="str">
        <f>HYPERLINK("http://stackoverflow.com/users/3600640", "kreats")</f>
        <v>kreats</v>
      </c>
      <c r="D2520" t="s">
        <v>37</v>
      </c>
      <c r="E2520">
        <v>115</v>
      </c>
    </row>
    <row r="2521" spans="1:5" x14ac:dyDescent="0.25">
      <c r="A2521">
        <v>2520</v>
      </c>
      <c r="B2521">
        <v>6570200</v>
      </c>
      <c r="C2521" s="1" t="str">
        <f>HYPERLINK("http://stackoverflow.com/users/6570200", "mlpy")</f>
        <v>mlpy</v>
      </c>
      <c r="D2521" t="s">
        <v>5</v>
      </c>
      <c r="E2521">
        <v>115</v>
      </c>
    </row>
    <row r="2522" spans="1:5" x14ac:dyDescent="0.25">
      <c r="A2522">
        <v>2521</v>
      </c>
      <c r="B2522">
        <v>1453067</v>
      </c>
      <c r="C2522" s="1" t="str">
        <f>HYPERLINK("http://stackoverflow.com/users/1453067", "x5lcfd")</f>
        <v>x5lcfd</v>
      </c>
      <c r="D2522" t="s">
        <v>5</v>
      </c>
      <c r="E2522">
        <v>114</v>
      </c>
    </row>
    <row r="2523" spans="1:5" x14ac:dyDescent="0.25">
      <c r="A2523">
        <v>2522</v>
      </c>
      <c r="B2523">
        <v>3323732</v>
      </c>
      <c r="C2523" s="1" t="str">
        <f>HYPERLINK("http://stackoverflow.com/users/3323732", "astarring")</f>
        <v>astarring</v>
      </c>
      <c r="D2523" t="s">
        <v>4</v>
      </c>
      <c r="E2523">
        <v>114</v>
      </c>
    </row>
    <row r="2524" spans="1:5" x14ac:dyDescent="0.25">
      <c r="A2524">
        <v>2523</v>
      </c>
      <c r="B2524">
        <v>8100760</v>
      </c>
      <c r="C2524" s="1" t="str">
        <f>HYPERLINK("http://stackoverflow.com/users/8100760", "Weisi Zhan")</f>
        <v>Weisi Zhan</v>
      </c>
      <c r="D2524" t="s">
        <v>17</v>
      </c>
      <c r="E2524">
        <v>114</v>
      </c>
    </row>
    <row r="2525" spans="1:5" x14ac:dyDescent="0.25">
      <c r="A2525">
        <v>2524</v>
      </c>
      <c r="B2525">
        <v>3842610</v>
      </c>
      <c r="C2525" s="1" t="str">
        <f>HYPERLINK("http://stackoverflow.com/users/3842610", "Anders Swanson")</f>
        <v>Anders Swanson</v>
      </c>
      <c r="D2525" t="s">
        <v>15</v>
      </c>
      <c r="E2525">
        <v>114</v>
      </c>
    </row>
    <row r="2526" spans="1:5" x14ac:dyDescent="0.25">
      <c r="A2526">
        <v>2525</v>
      </c>
      <c r="B2526">
        <v>2377179</v>
      </c>
      <c r="C2526" s="1" t="str">
        <f>HYPERLINK("http://stackoverflow.com/users/2377179", "dong sheng")</f>
        <v>dong sheng</v>
      </c>
      <c r="D2526" t="s">
        <v>7</v>
      </c>
      <c r="E2526">
        <v>114</v>
      </c>
    </row>
    <row r="2527" spans="1:5" x14ac:dyDescent="0.25">
      <c r="A2527">
        <v>2526</v>
      </c>
      <c r="B2527">
        <v>3504764</v>
      </c>
      <c r="C2527" s="1" t="str">
        <f>HYPERLINK("http://stackoverflow.com/users/3504764", "Audison")</f>
        <v>Audison</v>
      </c>
      <c r="D2527" t="s">
        <v>4</v>
      </c>
      <c r="E2527">
        <v>114</v>
      </c>
    </row>
    <row r="2528" spans="1:5" x14ac:dyDescent="0.25">
      <c r="A2528">
        <v>2527</v>
      </c>
      <c r="B2528">
        <v>3351377</v>
      </c>
      <c r="C2528" s="1" t="str">
        <f>HYPERLINK("http://stackoverflow.com/users/3351377", "tkisme")</f>
        <v>tkisme</v>
      </c>
      <c r="D2528" t="s">
        <v>4</v>
      </c>
      <c r="E2528">
        <v>114</v>
      </c>
    </row>
    <row r="2529" spans="1:5" x14ac:dyDescent="0.25">
      <c r="A2529">
        <v>2528</v>
      </c>
      <c r="B2529">
        <v>2923228</v>
      </c>
      <c r="C2529" s="1" t="str">
        <f>HYPERLINK("http://stackoverflow.com/users/2923228", "JY0284")</f>
        <v>JY0284</v>
      </c>
      <c r="D2529" t="s">
        <v>16</v>
      </c>
      <c r="E2529">
        <v>114</v>
      </c>
    </row>
    <row r="2530" spans="1:5" x14ac:dyDescent="0.25">
      <c r="A2530">
        <v>2529</v>
      </c>
      <c r="B2530">
        <v>780758</v>
      </c>
      <c r="C2530" s="1" t="str">
        <f>HYPERLINK("http://stackoverflow.com/users/780758", "OliveU")</f>
        <v>OliveU</v>
      </c>
      <c r="D2530" t="s">
        <v>4</v>
      </c>
      <c r="E2530">
        <v>114</v>
      </c>
    </row>
    <row r="2531" spans="1:5" x14ac:dyDescent="0.25">
      <c r="A2531">
        <v>2530</v>
      </c>
      <c r="B2531">
        <v>1308049</v>
      </c>
      <c r="C2531" s="1" t="str">
        <f>HYPERLINK("http://stackoverflow.com/users/1308049", "piano7heart")</f>
        <v>piano7heart</v>
      </c>
      <c r="D2531" t="s">
        <v>35</v>
      </c>
      <c r="E2531">
        <v>114</v>
      </c>
    </row>
    <row r="2532" spans="1:5" x14ac:dyDescent="0.25">
      <c r="A2532">
        <v>2531</v>
      </c>
      <c r="B2532">
        <v>575163</v>
      </c>
      <c r="C2532" s="1" t="str">
        <f>HYPERLINK("http://stackoverflow.com/users/575163", "duxins")</f>
        <v>duxins</v>
      </c>
      <c r="D2532" t="s">
        <v>5</v>
      </c>
      <c r="E2532">
        <v>114</v>
      </c>
    </row>
    <row r="2533" spans="1:5" x14ac:dyDescent="0.25">
      <c r="A2533">
        <v>2532</v>
      </c>
      <c r="B2533">
        <v>8391543</v>
      </c>
      <c r="C2533" s="1" t="str">
        <f>HYPERLINK("http://stackoverflow.com/users/8391543", "Terry Hu")</f>
        <v>Terry Hu</v>
      </c>
      <c r="D2533" t="s">
        <v>5</v>
      </c>
      <c r="E2533">
        <v>113</v>
      </c>
    </row>
    <row r="2534" spans="1:5" x14ac:dyDescent="0.25">
      <c r="A2534">
        <v>2533</v>
      </c>
      <c r="B2534">
        <v>5584971</v>
      </c>
      <c r="C2534" s="1" t="str">
        <f>HYPERLINK("http://stackoverflow.com/users/5584971", "Emman Sun")</f>
        <v>Emman Sun</v>
      </c>
      <c r="D2534" t="s">
        <v>59</v>
      </c>
      <c r="E2534">
        <v>113</v>
      </c>
    </row>
    <row r="2535" spans="1:5" x14ac:dyDescent="0.25">
      <c r="A2535">
        <v>2534</v>
      </c>
      <c r="B2535">
        <v>2332462</v>
      </c>
      <c r="C2535" s="1" t="str">
        <f>HYPERLINK("http://stackoverflow.com/users/2332462", "Akshay Vernekar")</f>
        <v>Akshay Vernekar</v>
      </c>
      <c r="D2535" t="s">
        <v>7</v>
      </c>
      <c r="E2535">
        <v>113</v>
      </c>
    </row>
    <row r="2536" spans="1:5" x14ac:dyDescent="0.25">
      <c r="A2536">
        <v>2535</v>
      </c>
      <c r="B2536">
        <v>3949193</v>
      </c>
      <c r="C2536" s="1" t="str">
        <f>HYPERLINK("http://stackoverflow.com/users/3949193", "jwong")</f>
        <v>jwong</v>
      </c>
      <c r="D2536" t="s">
        <v>4</v>
      </c>
      <c r="E2536">
        <v>113</v>
      </c>
    </row>
    <row r="2537" spans="1:5" x14ac:dyDescent="0.25">
      <c r="A2537">
        <v>2536</v>
      </c>
      <c r="B2537">
        <v>1270871</v>
      </c>
      <c r="C2537" s="1" t="str">
        <f>HYPERLINK("http://stackoverflow.com/users/1270871", "dswwsd")</f>
        <v>dswwsd</v>
      </c>
      <c r="D2537" t="s">
        <v>5</v>
      </c>
      <c r="E2537">
        <v>113</v>
      </c>
    </row>
    <row r="2538" spans="1:5" x14ac:dyDescent="0.25">
      <c r="A2538">
        <v>2537</v>
      </c>
      <c r="B2538">
        <v>3812643</v>
      </c>
      <c r="C2538" s="1" t="str">
        <f>HYPERLINK("http://stackoverflow.com/users/3812643", "jinhong_lu")</f>
        <v>jinhong_lu</v>
      </c>
      <c r="D2538" t="s">
        <v>21</v>
      </c>
      <c r="E2538">
        <v>113</v>
      </c>
    </row>
    <row r="2539" spans="1:5" x14ac:dyDescent="0.25">
      <c r="A2539">
        <v>2538</v>
      </c>
      <c r="B2539">
        <v>3211382</v>
      </c>
      <c r="C2539" s="1" t="str">
        <f>HYPERLINK("http://stackoverflow.com/users/3211382", "Liangxiong.ZHU")</f>
        <v>Liangxiong.ZHU</v>
      </c>
      <c r="D2539" t="s">
        <v>5</v>
      </c>
      <c r="E2539">
        <v>112</v>
      </c>
    </row>
    <row r="2540" spans="1:5" x14ac:dyDescent="0.25">
      <c r="A2540">
        <v>2539</v>
      </c>
      <c r="B2540">
        <v>8554147</v>
      </c>
      <c r="C2540" s="1" t="str">
        <f>HYPERLINK("http://stackoverflow.com/users/8554147", "Voldikss")</f>
        <v>Voldikss</v>
      </c>
      <c r="D2540" t="s">
        <v>4</v>
      </c>
      <c r="E2540">
        <v>112</v>
      </c>
    </row>
    <row r="2541" spans="1:5" x14ac:dyDescent="0.25">
      <c r="A2541">
        <v>2540</v>
      </c>
      <c r="B2541">
        <v>8058378</v>
      </c>
      <c r="C2541" s="1" t="str">
        <f>HYPERLINK("http://stackoverflow.com/users/8058378", "Eddo")</f>
        <v>Eddo</v>
      </c>
      <c r="D2541" t="s">
        <v>4</v>
      </c>
      <c r="E2541">
        <v>112</v>
      </c>
    </row>
    <row r="2542" spans="1:5" x14ac:dyDescent="0.25">
      <c r="A2542">
        <v>2541</v>
      </c>
      <c r="B2542">
        <v>4857393</v>
      </c>
      <c r="C2542" s="1" t="str">
        <f>HYPERLINK("http://stackoverflow.com/users/4857393", "Andy Yan")</f>
        <v>Andy Yan</v>
      </c>
      <c r="D2542" t="s">
        <v>176</v>
      </c>
      <c r="E2542">
        <v>112</v>
      </c>
    </row>
    <row r="2543" spans="1:5" x14ac:dyDescent="0.25">
      <c r="A2543">
        <v>2542</v>
      </c>
      <c r="B2543">
        <v>4999289</v>
      </c>
      <c r="C2543" s="1" t="str">
        <f>HYPERLINK("http://stackoverflow.com/users/4999289", "Rowan")</f>
        <v>Rowan</v>
      </c>
      <c r="D2543" t="s">
        <v>4</v>
      </c>
      <c r="E2543">
        <v>112</v>
      </c>
    </row>
    <row r="2544" spans="1:5" x14ac:dyDescent="0.25">
      <c r="A2544">
        <v>2543</v>
      </c>
      <c r="B2544">
        <v>1973896</v>
      </c>
      <c r="C2544" s="1" t="str">
        <f>HYPERLINK("http://stackoverflow.com/users/1973896", "winoi")</f>
        <v>winoi</v>
      </c>
      <c r="D2544" t="s">
        <v>4</v>
      </c>
      <c r="E2544">
        <v>112</v>
      </c>
    </row>
    <row r="2545" spans="1:5" x14ac:dyDescent="0.25">
      <c r="A2545">
        <v>2544</v>
      </c>
      <c r="B2545">
        <v>2337174</v>
      </c>
      <c r="C2545" s="1" t="str">
        <f>HYPERLINK("http://stackoverflow.com/users/2337174", "guoger")</f>
        <v>guoger</v>
      </c>
      <c r="D2545" t="s">
        <v>5</v>
      </c>
      <c r="E2545">
        <v>112</v>
      </c>
    </row>
    <row r="2546" spans="1:5" x14ac:dyDescent="0.25">
      <c r="A2546">
        <v>2545</v>
      </c>
      <c r="B2546">
        <v>7218912</v>
      </c>
      <c r="C2546" s="1" t="str">
        <f>HYPERLINK("http://stackoverflow.com/users/7218912", "Jason Zhou")</f>
        <v>Jason Zhou</v>
      </c>
      <c r="D2546" t="s">
        <v>177</v>
      </c>
      <c r="E2546">
        <v>111</v>
      </c>
    </row>
    <row r="2547" spans="1:5" x14ac:dyDescent="0.25">
      <c r="A2547">
        <v>2546</v>
      </c>
      <c r="B2547">
        <v>1828726</v>
      </c>
      <c r="C2547" s="1" t="str">
        <f>HYPERLINK("http://stackoverflow.com/users/1828726", "Daniel Yeung")</f>
        <v>Daniel Yeung</v>
      </c>
      <c r="D2547" t="s">
        <v>47</v>
      </c>
      <c r="E2547">
        <v>111</v>
      </c>
    </row>
    <row r="2548" spans="1:5" x14ac:dyDescent="0.25">
      <c r="A2548">
        <v>2547</v>
      </c>
      <c r="B2548">
        <v>627982</v>
      </c>
      <c r="C2548" s="1" t="str">
        <f>HYPERLINK("http://stackoverflow.com/users/627982", "Chris Tsang")</f>
        <v>Chris Tsang</v>
      </c>
      <c r="D2548" t="s">
        <v>5</v>
      </c>
      <c r="E2548">
        <v>111</v>
      </c>
    </row>
    <row r="2549" spans="1:5" x14ac:dyDescent="0.25">
      <c r="A2549">
        <v>2548</v>
      </c>
      <c r="B2549">
        <v>3663684</v>
      </c>
      <c r="C2549" s="1" t="str">
        <f>HYPERLINK("http://stackoverflow.com/users/3663684", "likaci")</f>
        <v>likaci</v>
      </c>
      <c r="D2549" t="s">
        <v>5</v>
      </c>
      <c r="E2549">
        <v>111</v>
      </c>
    </row>
    <row r="2550" spans="1:5" x14ac:dyDescent="0.25">
      <c r="A2550">
        <v>2549</v>
      </c>
      <c r="B2550">
        <v>9088600</v>
      </c>
      <c r="C2550" s="1" t="str">
        <f>HYPERLINK("http://stackoverflow.com/users/9088600", "Sam Evers")</f>
        <v>Sam Evers</v>
      </c>
      <c r="D2550" t="s">
        <v>4</v>
      </c>
      <c r="E2550">
        <v>111</v>
      </c>
    </row>
    <row r="2551" spans="1:5" x14ac:dyDescent="0.25">
      <c r="A2551">
        <v>2550</v>
      </c>
      <c r="B2551">
        <v>8116997</v>
      </c>
      <c r="C2551" s="1" t="str">
        <f>HYPERLINK("http://stackoverflow.com/users/8116997", "Cloud13th")</f>
        <v>Cloud13th</v>
      </c>
      <c r="D2551" t="s">
        <v>43</v>
      </c>
      <c r="E2551">
        <v>111</v>
      </c>
    </row>
    <row r="2552" spans="1:5" x14ac:dyDescent="0.25">
      <c r="A2552">
        <v>2551</v>
      </c>
      <c r="B2552">
        <v>711728</v>
      </c>
      <c r="C2552" s="1" t="str">
        <f>HYPERLINK("http://stackoverflow.com/users/711728", "Sun")</f>
        <v>Sun</v>
      </c>
      <c r="D2552" t="s">
        <v>12</v>
      </c>
      <c r="E2552">
        <v>111</v>
      </c>
    </row>
    <row r="2553" spans="1:5" x14ac:dyDescent="0.25">
      <c r="A2553">
        <v>2552</v>
      </c>
      <c r="B2553">
        <v>1087485</v>
      </c>
      <c r="C2553" s="1" t="str">
        <f>HYPERLINK("http://stackoverflow.com/users/1087485", "CodeBoy")</f>
        <v>CodeBoy</v>
      </c>
      <c r="D2553" t="s">
        <v>5</v>
      </c>
      <c r="E2553">
        <v>111</v>
      </c>
    </row>
    <row r="2554" spans="1:5" x14ac:dyDescent="0.25">
      <c r="A2554">
        <v>2553</v>
      </c>
      <c r="B2554">
        <v>4952954</v>
      </c>
      <c r="C2554" s="1" t="str">
        <f>HYPERLINK("http://stackoverflow.com/users/4952954", "Bob Liu")</f>
        <v>Bob Liu</v>
      </c>
      <c r="D2554" t="s">
        <v>21</v>
      </c>
      <c r="E2554">
        <v>111</v>
      </c>
    </row>
    <row r="2555" spans="1:5" x14ac:dyDescent="0.25">
      <c r="A2555">
        <v>2554</v>
      </c>
      <c r="B2555">
        <v>3105727</v>
      </c>
      <c r="C2555" s="1" t="str">
        <f>HYPERLINK("http://stackoverflow.com/users/3105727", "EnixJin")</f>
        <v>EnixJin</v>
      </c>
      <c r="D2555" t="s">
        <v>4</v>
      </c>
      <c r="E2555">
        <v>111</v>
      </c>
    </row>
    <row r="2556" spans="1:5" x14ac:dyDescent="0.25">
      <c r="A2556">
        <v>2555</v>
      </c>
      <c r="B2556">
        <v>3278720</v>
      </c>
      <c r="C2556" s="1" t="str">
        <f>HYPERLINK("http://stackoverflow.com/users/3278720", "lixu")</f>
        <v>lixu</v>
      </c>
      <c r="D2556" t="s">
        <v>4</v>
      </c>
      <c r="E2556">
        <v>111</v>
      </c>
    </row>
    <row r="2557" spans="1:5" x14ac:dyDescent="0.25">
      <c r="A2557">
        <v>2556</v>
      </c>
      <c r="B2557">
        <v>1323762</v>
      </c>
      <c r="C2557" s="1" t="str">
        <f>HYPERLINK("http://stackoverflow.com/users/1323762", "oyster")</f>
        <v>oyster</v>
      </c>
      <c r="D2557" t="s">
        <v>5</v>
      </c>
      <c r="E2557">
        <v>111</v>
      </c>
    </row>
    <row r="2558" spans="1:5" x14ac:dyDescent="0.25">
      <c r="A2558">
        <v>2557</v>
      </c>
      <c r="B2558">
        <v>2388446</v>
      </c>
      <c r="C2558" s="1" t="str">
        <f>HYPERLINK("http://stackoverflow.com/users/2388446", "DragonWong")</f>
        <v>DragonWong</v>
      </c>
      <c r="D2558" t="s">
        <v>5</v>
      </c>
      <c r="E2558">
        <v>111</v>
      </c>
    </row>
    <row r="2559" spans="1:5" x14ac:dyDescent="0.25">
      <c r="A2559">
        <v>2558</v>
      </c>
      <c r="B2559">
        <v>5944438</v>
      </c>
      <c r="C2559" s="1" t="str">
        <f>HYPERLINK("http://stackoverflow.com/users/5944438", "LanhaiYou")</f>
        <v>LanhaiYou</v>
      </c>
      <c r="D2559" t="s">
        <v>5</v>
      </c>
      <c r="E2559">
        <v>111</v>
      </c>
    </row>
    <row r="2560" spans="1:5" x14ac:dyDescent="0.25">
      <c r="A2560">
        <v>2559</v>
      </c>
      <c r="B2560">
        <v>5201246</v>
      </c>
      <c r="C2560" s="1" t="str">
        <f>HYPERLINK("http://stackoverflow.com/users/5201246", "Zhengquan  Feng")</f>
        <v>Zhengquan  Feng</v>
      </c>
      <c r="D2560" t="s">
        <v>66</v>
      </c>
      <c r="E2560">
        <v>111</v>
      </c>
    </row>
    <row r="2561" spans="1:5" x14ac:dyDescent="0.25">
      <c r="A2561">
        <v>2560</v>
      </c>
      <c r="B2561">
        <v>832736</v>
      </c>
      <c r="C2561" s="1" t="str">
        <f>HYPERLINK("http://stackoverflow.com/users/832736", "Kinka Lin")</f>
        <v>Kinka Lin</v>
      </c>
      <c r="D2561" t="s">
        <v>178</v>
      </c>
      <c r="E2561">
        <v>111</v>
      </c>
    </row>
    <row r="2562" spans="1:5" x14ac:dyDescent="0.25">
      <c r="A2562">
        <v>2561</v>
      </c>
      <c r="B2562">
        <v>4388351</v>
      </c>
      <c r="C2562" s="1" t="str">
        <f>HYPERLINK("http://stackoverflow.com/users/4388351", "River Liu")</f>
        <v>River Liu</v>
      </c>
      <c r="D2562" t="s">
        <v>55</v>
      </c>
      <c r="E2562">
        <v>111</v>
      </c>
    </row>
    <row r="2563" spans="1:5" x14ac:dyDescent="0.25">
      <c r="A2563">
        <v>2562</v>
      </c>
      <c r="B2563">
        <v>3719712</v>
      </c>
      <c r="C2563" s="1" t="str">
        <f>HYPERLINK("http://stackoverflow.com/users/3719712", "iefreer")</f>
        <v>iefreer</v>
      </c>
      <c r="D2563" t="s">
        <v>4</v>
      </c>
      <c r="E2563">
        <v>111</v>
      </c>
    </row>
    <row r="2564" spans="1:5" x14ac:dyDescent="0.25">
      <c r="A2564">
        <v>2563</v>
      </c>
      <c r="B2564">
        <v>1179869</v>
      </c>
      <c r="C2564" s="1" t="str">
        <f>HYPERLINK("http://stackoverflow.com/users/1179869", "megayu")</f>
        <v>megayu</v>
      </c>
      <c r="D2564" t="s">
        <v>12</v>
      </c>
      <c r="E2564">
        <v>111</v>
      </c>
    </row>
    <row r="2565" spans="1:5" x14ac:dyDescent="0.25">
      <c r="A2565">
        <v>2564</v>
      </c>
      <c r="B2565">
        <v>8510023</v>
      </c>
      <c r="C2565" s="1" t="str">
        <f>HYPERLINK("http://stackoverflow.com/users/8510023", "Jin Wang")</f>
        <v>Jin Wang</v>
      </c>
      <c r="D2565" t="s">
        <v>28</v>
      </c>
      <c r="E2565">
        <v>111</v>
      </c>
    </row>
    <row r="2566" spans="1:5" x14ac:dyDescent="0.25">
      <c r="A2566">
        <v>2565</v>
      </c>
      <c r="B2566">
        <v>1685453</v>
      </c>
      <c r="C2566" s="1" t="str">
        <f>HYPERLINK("http://stackoverflow.com/users/1685453", "liuyuning")</f>
        <v>liuyuning</v>
      </c>
      <c r="D2566" t="s">
        <v>5</v>
      </c>
      <c r="E2566">
        <v>111</v>
      </c>
    </row>
    <row r="2567" spans="1:5" x14ac:dyDescent="0.25">
      <c r="A2567">
        <v>2566</v>
      </c>
      <c r="B2567">
        <v>269372</v>
      </c>
      <c r="C2567" s="1" t="str">
        <f>HYPERLINK("http://stackoverflow.com/users/269372", "Pengzhi")</f>
        <v>Pengzhi</v>
      </c>
      <c r="D2567" t="s">
        <v>5</v>
      </c>
      <c r="E2567">
        <v>111</v>
      </c>
    </row>
    <row r="2568" spans="1:5" x14ac:dyDescent="0.25">
      <c r="A2568">
        <v>2567</v>
      </c>
      <c r="B2568">
        <v>6097152</v>
      </c>
      <c r="C2568" s="1" t="str">
        <f>HYPERLINK("http://stackoverflow.com/users/6097152", "Lodestone6")</f>
        <v>Lodestone6</v>
      </c>
      <c r="D2568" t="s">
        <v>4</v>
      </c>
      <c r="E2568">
        <v>111</v>
      </c>
    </row>
    <row r="2569" spans="1:5" x14ac:dyDescent="0.25">
      <c r="A2569">
        <v>2568</v>
      </c>
      <c r="B2569">
        <v>4705589</v>
      </c>
      <c r="C2569" s="1" t="str">
        <f>HYPERLINK("http://stackoverflow.com/users/4705589", "Lee")</f>
        <v>Lee</v>
      </c>
      <c r="D2569" t="s">
        <v>179</v>
      </c>
      <c r="E2569">
        <v>111</v>
      </c>
    </row>
    <row r="2570" spans="1:5" x14ac:dyDescent="0.25">
      <c r="A2570">
        <v>2569</v>
      </c>
      <c r="B2570">
        <v>3704354</v>
      </c>
      <c r="C2570" s="1" t="str">
        <f>HYPERLINK("http://stackoverflow.com/users/3704354", "user3704354")</f>
        <v>user3704354</v>
      </c>
      <c r="D2570" t="s">
        <v>59</v>
      </c>
      <c r="E2570">
        <v>111</v>
      </c>
    </row>
    <row r="2571" spans="1:5" x14ac:dyDescent="0.25">
      <c r="A2571">
        <v>2570</v>
      </c>
      <c r="B2571">
        <v>5168673</v>
      </c>
      <c r="C2571" s="1" t="str">
        <f>HYPERLINK("http://stackoverflow.com/users/5168673", "周恩旭")</f>
        <v>周恩旭</v>
      </c>
      <c r="D2571" t="s">
        <v>4</v>
      </c>
      <c r="E2571">
        <v>111</v>
      </c>
    </row>
    <row r="2572" spans="1:5" x14ac:dyDescent="0.25">
      <c r="A2572">
        <v>2571</v>
      </c>
      <c r="B2572">
        <v>3505560</v>
      </c>
      <c r="C2572" s="1" t="str">
        <f>HYPERLINK("http://stackoverflow.com/users/3505560", "Desmond")</f>
        <v>Desmond</v>
      </c>
      <c r="D2572" t="s">
        <v>25</v>
      </c>
      <c r="E2572">
        <v>111</v>
      </c>
    </row>
    <row r="2573" spans="1:5" x14ac:dyDescent="0.25">
      <c r="A2573">
        <v>2572</v>
      </c>
      <c r="B2573">
        <v>100072</v>
      </c>
      <c r="C2573" s="1" t="str">
        <f>HYPERLINK("http://stackoverflow.com/users/100072", "Leon Guan")</f>
        <v>Leon Guan</v>
      </c>
      <c r="D2573" t="s">
        <v>4</v>
      </c>
      <c r="E2573">
        <v>110</v>
      </c>
    </row>
    <row r="2574" spans="1:5" x14ac:dyDescent="0.25">
      <c r="A2574">
        <v>2573</v>
      </c>
      <c r="B2574">
        <v>875788</v>
      </c>
      <c r="C2574" s="1" t="str">
        <f>HYPERLINK("http://stackoverflow.com/users/875788", "mygoare")</f>
        <v>mygoare</v>
      </c>
      <c r="D2574" t="s">
        <v>8</v>
      </c>
      <c r="E2574">
        <v>110</v>
      </c>
    </row>
    <row r="2575" spans="1:5" x14ac:dyDescent="0.25">
      <c r="A2575">
        <v>2574</v>
      </c>
      <c r="B2575">
        <v>840912</v>
      </c>
      <c r="C2575" s="1" t="str">
        <f>HYPERLINK("http://stackoverflow.com/users/840912", "Ryan Wong")</f>
        <v>Ryan Wong</v>
      </c>
      <c r="D2575" t="s">
        <v>17</v>
      </c>
      <c r="E2575">
        <v>110</v>
      </c>
    </row>
    <row r="2576" spans="1:5" x14ac:dyDescent="0.25">
      <c r="A2576">
        <v>2575</v>
      </c>
      <c r="B2576">
        <v>3160065</v>
      </c>
      <c r="C2576" s="1" t="str">
        <f>HYPERLINK("http://stackoverflow.com/users/3160065", "adeelz92")</f>
        <v>adeelz92</v>
      </c>
      <c r="D2576" t="s">
        <v>4</v>
      </c>
      <c r="E2576">
        <v>110</v>
      </c>
    </row>
    <row r="2577" spans="1:5" x14ac:dyDescent="0.25">
      <c r="A2577">
        <v>2576</v>
      </c>
      <c r="B2577">
        <v>1434570</v>
      </c>
      <c r="C2577" s="1" t="str">
        <f>HYPERLINK("http://stackoverflow.com/users/1434570", "Allen Xudong Cheng")</f>
        <v>Allen Xudong Cheng</v>
      </c>
      <c r="D2577" t="s">
        <v>17</v>
      </c>
      <c r="E2577">
        <v>110</v>
      </c>
    </row>
    <row r="2578" spans="1:5" x14ac:dyDescent="0.25">
      <c r="A2578">
        <v>2577</v>
      </c>
      <c r="B2578">
        <v>663770</v>
      </c>
      <c r="C2578" s="1" t="str">
        <f>HYPERLINK("http://stackoverflow.com/users/663770", "ColinBinWang")</f>
        <v>ColinBinWang</v>
      </c>
      <c r="D2578" t="s">
        <v>4</v>
      </c>
      <c r="E2578">
        <v>110</v>
      </c>
    </row>
    <row r="2579" spans="1:5" x14ac:dyDescent="0.25">
      <c r="A2579">
        <v>2578</v>
      </c>
      <c r="B2579">
        <v>968874</v>
      </c>
      <c r="C2579" s="1" t="str">
        <f>HYPERLINK("http://stackoverflow.com/users/968874", "Heming Chen")</f>
        <v>Heming Chen</v>
      </c>
      <c r="D2579" t="s">
        <v>15</v>
      </c>
      <c r="E2579">
        <v>110</v>
      </c>
    </row>
    <row r="2580" spans="1:5" x14ac:dyDescent="0.25">
      <c r="A2580">
        <v>2579</v>
      </c>
      <c r="B2580">
        <v>951906</v>
      </c>
      <c r="C2580" s="1" t="str">
        <f>HYPERLINK("http://stackoverflow.com/users/951906", "DraculaW")</f>
        <v>DraculaW</v>
      </c>
      <c r="D2580" t="s">
        <v>54</v>
      </c>
      <c r="E2580">
        <v>110</v>
      </c>
    </row>
    <row r="2581" spans="1:5" x14ac:dyDescent="0.25">
      <c r="A2581">
        <v>2580</v>
      </c>
      <c r="B2581">
        <v>2958567</v>
      </c>
      <c r="C2581" s="1" t="str">
        <f>HYPERLINK("http://stackoverflow.com/users/2958567", "Terry Zhao")</f>
        <v>Terry Zhao</v>
      </c>
      <c r="D2581" t="s">
        <v>54</v>
      </c>
      <c r="E2581">
        <v>110</v>
      </c>
    </row>
    <row r="2582" spans="1:5" x14ac:dyDescent="0.25">
      <c r="A2582">
        <v>2581</v>
      </c>
      <c r="B2582">
        <v>1465742</v>
      </c>
      <c r="C2582" s="1" t="str">
        <f>HYPERLINK("http://stackoverflow.com/users/1465742", "LIU")</f>
        <v>LIU</v>
      </c>
      <c r="D2582" t="s">
        <v>5</v>
      </c>
      <c r="E2582">
        <v>110</v>
      </c>
    </row>
    <row r="2583" spans="1:5" x14ac:dyDescent="0.25">
      <c r="A2583">
        <v>2582</v>
      </c>
      <c r="B2583">
        <v>2284896</v>
      </c>
      <c r="C2583" s="1" t="str">
        <f>HYPERLINK("http://stackoverflow.com/users/2284896", "jiank")</f>
        <v>jiank</v>
      </c>
      <c r="D2583" t="s">
        <v>5</v>
      </c>
      <c r="E2583">
        <v>110</v>
      </c>
    </row>
    <row r="2584" spans="1:5" x14ac:dyDescent="0.25">
      <c r="A2584">
        <v>2583</v>
      </c>
      <c r="B2584">
        <v>7311816</v>
      </c>
      <c r="C2584" s="1" t="str">
        <f>HYPERLINK("http://stackoverflow.com/users/7311816", "Jerry Yang")</f>
        <v>Jerry Yang</v>
      </c>
      <c r="D2584" t="s">
        <v>52</v>
      </c>
      <c r="E2584">
        <v>110</v>
      </c>
    </row>
    <row r="2585" spans="1:5" x14ac:dyDescent="0.25">
      <c r="A2585">
        <v>2584</v>
      </c>
      <c r="B2585">
        <v>3418164</v>
      </c>
      <c r="C2585" s="1" t="str">
        <f>HYPERLINK("http://stackoverflow.com/users/3418164", "stardust")</f>
        <v>stardust</v>
      </c>
      <c r="D2585" t="s">
        <v>25</v>
      </c>
      <c r="E2585">
        <v>109</v>
      </c>
    </row>
    <row r="2586" spans="1:5" x14ac:dyDescent="0.25">
      <c r="A2586">
        <v>2585</v>
      </c>
      <c r="B2586">
        <v>5772586</v>
      </c>
      <c r="C2586" s="1" t="str">
        <f>HYPERLINK("http://stackoverflow.com/users/5772586", "Cain")</f>
        <v>Cain</v>
      </c>
      <c r="D2586" t="s">
        <v>4</v>
      </c>
      <c r="E2586">
        <v>109</v>
      </c>
    </row>
    <row r="2587" spans="1:5" x14ac:dyDescent="0.25">
      <c r="A2587">
        <v>2586</v>
      </c>
      <c r="B2587">
        <v>2296043</v>
      </c>
      <c r="C2587" s="1" t="str">
        <f>HYPERLINK("http://stackoverflow.com/users/2296043", "ahyong")</f>
        <v>ahyong</v>
      </c>
      <c r="D2587" t="s">
        <v>4</v>
      </c>
      <c r="E2587">
        <v>109</v>
      </c>
    </row>
    <row r="2588" spans="1:5" x14ac:dyDescent="0.25">
      <c r="A2588">
        <v>2587</v>
      </c>
      <c r="B2588">
        <v>681673</v>
      </c>
      <c r="C2588" s="1" t="str">
        <f>HYPERLINK("http://stackoverflow.com/users/681673", "cpq")</f>
        <v>cpq</v>
      </c>
      <c r="D2588" t="s">
        <v>21</v>
      </c>
      <c r="E2588">
        <v>109</v>
      </c>
    </row>
    <row r="2589" spans="1:5" x14ac:dyDescent="0.25">
      <c r="A2589">
        <v>2588</v>
      </c>
      <c r="B2589">
        <v>5238376</v>
      </c>
      <c r="C2589" s="1" t="str">
        <f>HYPERLINK("http://stackoverflow.com/users/5238376", "AaronTKD")</f>
        <v>AaronTKD</v>
      </c>
      <c r="D2589" t="s">
        <v>16</v>
      </c>
      <c r="E2589">
        <v>109</v>
      </c>
    </row>
    <row r="2590" spans="1:5" x14ac:dyDescent="0.25">
      <c r="A2590">
        <v>2589</v>
      </c>
      <c r="B2590">
        <v>3132693</v>
      </c>
      <c r="C2590" s="1" t="str">
        <f>HYPERLINK("http://stackoverflow.com/users/3132693", "cosyman")</f>
        <v>cosyman</v>
      </c>
      <c r="D2590" t="s">
        <v>4</v>
      </c>
      <c r="E2590">
        <v>108</v>
      </c>
    </row>
    <row r="2591" spans="1:5" x14ac:dyDescent="0.25">
      <c r="A2591">
        <v>2590</v>
      </c>
      <c r="B2591">
        <v>1023091</v>
      </c>
      <c r="C2591" s="1" t="str">
        <f>HYPERLINK("http://stackoverflow.com/users/1023091", "zonyitoo")</f>
        <v>zonyitoo</v>
      </c>
      <c r="D2591" t="s">
        <v>21</v>
      </c>
      <c r="E2591">
        <v>108</v>
      </c>
    </row>
    <row r="2592" spans="1:5" x14ac:dyDescent="0.25">
      <c r="A2592">
        <v>2591</v>
      </c>
      <c r="B2592">
        <v>2998405</v>
      </c>
      <c r="C2592" s="1" t="str">
        <f>HYPERLINK("http://stackoverflow.com/users/2998405", "york")</f>
        <v>york</v>
      </c>
      <c r="D2592" t="s">
        <v>17</v>
      </c>
      <c r="E2592">
        <v>108</v>
      </c>
    </row>
    <row r="2593" spans="1:5" x14ac:dyDescent="0.25">
      <c r="A2593">
        <v>2592</v>
      </c>
      <c r="B2593">
        <v>649301</v>
      </c>
      <c r="C2593" s="1" t="str">
        <f>HYPERLINK("http://stackoverflow.com/users/649301", "askingyj")</f>
        <v>askingyj</v>
      </c>
      <c r="D2593" t="s">
        <v>108</v>
      </c>
      <c r="E2593">
        <v>108</v>
      </c>
    </row>
    <row r="2594" spans="1:5" x14ac:dyDescent="0.25">
      <c r="A2594">
        <v>2593</v>
      </c>
      <c r="B2594">
        <v>501547</v>
      </c>
      <c r="C2594" s="1" t="str">
        <f>HYPERLINK("http://stackoverflow.com/users/501547", "t3d")</f>
        <v>t3d</v>
      </c>
      <c r="D2594" t="s">
        <v>5</v>
      </c>
      <c r="E2594">
        <v>108</v>
      </c>
    </row>
    <row r="2595" spans="1:5" x14ac:dyDescent="0.25">
      <c r="A2595">
        <v>2594</v>
      </c>
      <c r="B2595">
        <v>2421698</v>
      </c>
      <c r="C2595" s="1" t="str">
        <f>HYPERLINK("http://stackoverflow.com/users/2421698", "arax")</f>
        <v>arax</v>
      </c>
      <c r="D2595" t="s">
        <v>5</v>
      </c>
      <c r="E2595">
        <v>108</v>
      </c>
    </row>
    <row r="2596" spans="1:5" x14ac:dyDescent="0.25">
      <c r="A2596">
        <v>2595</v>
      </c>
      <c r="B2596">
        <v>3841091</v>
      </c>
      <c r="C2596" s="1" t="str">
        <f>HYPERLINK("http://stackoverflow.com/users/3841091", "Boby")</f>
        <v>Boby</v>
      </c>
      <c r="D2596" t="s">
        <v>5</v>
      </c>
      <c r="E2596">
        <v>108</v>
      </c>
    </row>
    <row r="2597" spans="1:5" x14ac:dyDescent="0.25">
      <c r="A2597">
        <v>2596</v>
      </c>
      <c r="B2597">
        <v>4805962</v>
      </c>
      <c r="C2597" s="1" t="str">
        <f>HYPERLINK("http://stackoverflow.com/users/4805962", "Tangwz")</f>
        <v>Tangwz</v>
      </c>
      <c r="D2597" t="s">
        <v>21</v>
      </c>
      <c r="E2597">
        <v>108</v>
      </c>
    </row>
    <row r="2598" spans="1:5" x14ac:dyDescent="0.25">
      <c r="A2598">
        <v>2597</v>
      </c>
      <c r="B2598">
        <v>557911</v>
      </c>
      <c r="C2598" s="1" t="str">
        <f>HYPERLINK("http://stackoverflow.com/users/557911", "qiuping345")</f>
        <v>qiuping345</v>
      </c>
      <c r="D2598" t="s">
        <v>5</v>
      </c>
      <c r="E2598">
        <v>108</v>
      </c>
    </row>
    <row r="2599" spans="1:5" x14ac:dyDescent="0.25">
      <c r="A2599">
        <v>2598</v>
      </c>
      <c r="B2599">
        <v>2575575</v>
      </c>
      <c r="C2599" s="1" t="str">
        <f>HYPERLINK("http://stackoverflow.com/users/2575575", "armysheng")</f>
        <v>armysheng</v>
      </c>
      <c r="D2599" t="s">
        <v>4</v>
      </c>
      <c r="E2599">
        <v>108</v>
      </c>
    </row>
    <row r="2600" spans="1:5" x14ac:dyDescent="0.25">
      <c r="A2600">
        <v>2599</v>
      </c>
      <c r="B2600">
        <v>5554329</v>
      </c>
      <c r="C2600" s="1" t="str">
        <f>HYPERLINK("http://stackoverflow.com/users/5554329", "meiyl")</f>
        <v>meiyl</v>
      </c>
      <c r="D2600" t="s">
        <v>5</v>
      </c>
      <c r="E2600">
        <v>108</v>
      </c>
    </row>
    <row r="2601" spans="1:5" x14ac:dyDescent="0.25">
      <c r="A2601">
        <v>2600</v>
      </c>
      <c r="B2601">
        <v>1956667</v>
      </c>
      <c r="C2601" s="1" t="str">
        <f>HYPERLINK("http://stackoverflow.com/users/1956667", "Vienta")</f>
        <v>Vienta</v>
      </c>
      <c r="D2601" t="s">
        <v>12</v>
      </c>
      <c r="E2601">
        <v>108</v>
      </c>
    </row>
    <row r="2602" spans="1:5" x14ac:dyDescent="0.25">
      <c r="A2602">
        <v>2601</v>
      </c>
      <c r="B2602">
        <v>2901650</v>
      </c>
      <c r="C2602" s="1" t="str">
        <f>HYPERLINK("http://stackoverflow.com/users/2901650", "Incarnation P. Lee")</f>
        <v>Incarnation P. Lee</v>
      </c>
      <c r="D2602" t="s">
        <v>4</v>
      </c>
      <c r="E2602">
        <v>108</v>
      </c>
    </row>
    <row r="2603" spans="1:5" x14ac:dyDescent="0.25">
      <c r="A2603">
        <v>2602</v>
      </c>
      <c r="B2603">
        <v>1906567</v>
      </c>
      <c r="C2603" s="1" t="str">
        <f>HYPERLINK("http://stackoverflow.com/users/1906567", "Perret")</f>
        <v>Perret</v>
      </c>
      <c r="D2603" t="s">
        <v>4</v>
      </c>
      <c r="E2603">
        <v>108</v>
      </c>
    </row>
    <row r="2604" spans="1:5" x14ac:dyDescent="0.25">
      <c r="A2604">
        <v>2603</v>
      </c>
      <c r="B2604">
        <v>7596362</v>
      </c>
      <c r="C2604" s="1" t="str">
        <f>HYPERLINK("http://stackoverflow.com/users/7596362", "lorneli")</f>
        <v>lorneli</v>
      </c>
      <c r="D2604" t="s">
        <v>5</v>
      </c>
      <c r="E2604">
        <v>107</v>
      </c>
    </row>
    <row r="2605" spans="1:5" x14ac:dyDescent="0.25">
      <c r="A2605">
        <v>2604</v>
      </c>
      <c r="B2605">
        <v>7372823</v>
      </c>
      <c r="C2605" s="1" t="str">
        <f>HYPERLINK("http://stackoverflow.com/users/7372823", "Bhargav Joshi")</f>
        <v>Bhargav Joshi</v>
      </c>
      <c r="D2605" t="s">
        <v>4</v>
      </c>
      <c r="E2605">
        <v>107</v>
      </c>
    </row>
    <row r="2606" spans="1:5" x14ac:dyDescent="0.25">
      <c r="A2606">
        <v>2605</v>
      </c>
      <c r="B2606">
        <v>964786</v>
      </c>
      <c r="C2606" s="1" t="str">
        <f>HYPERLINK("http://stackoverflow.com/users/964786", "paul")</f>
        <v>paul</v>
      </c>
      <c r="D2606" t="s">
        <v>22</v>
      </c>
      <c r="E2606">
        <v>107</v>
      </c>
    </row>
    <row r="2607" spans="1:5" x14ac:dyDescent="0.25">
      <c r="A2607">
        <v>2606</v>
      </c>
      <c r="B2607">
        <v>4838971</v>
      </c>
      <c r="C2607" s="1" t="str">
        <f>HYPERLINK("http://stackoverflow.com/users/4838971", "Low-in-Sky")</f>
        <v>Low-in-Sky</v>
      </c>
      <c r="D2607" t="s">
        <v>5</v>
      </c>
      <c r="E2607">
        <v>107</v>
      </c>
    </row>
    <row r="2608" spans="1:5" x14ac:dyDescent="0.25">
      <c r="A2608">
        <v>2607</v>
      </c>
      <c r="B2608">
        <v>3871776</v>
      </c>
      <c r="C2608" s="1" t="str">
        <f>HYPERLINK("http://stackoverflow.com/users/3871776", "std4453")</f>
        <v>std4453</v>
      </c>
      <c r="D2608" t="s">
        <v>4</v>
      </c>
      <c r="E2608">
        <v>107</v>
      </c>
    </row>
    <row r="2609" spans="1:5" x14ac:dyDescent="0.25">
      <c r="A2609">
        <v>2608</v>
      </c>
      <c r="B2609">
        <v>537656</v>
      </c>
      <c r="C2609" s="1" t="str">
        <f>HYPERLINK("http://stackoverflow.com/users/537656", "Larry")</f>
        <v>Larry</v>
      </c>
      <c r="D2609" t="s">
        <v>5</v>
      </c>
      <c r="E2609">
        <v>107</v>
      </c>
    </row>
    <row r="2610" spans="1:5" x14ac:dyDescent="0.25">
      <c r="A2610">
        <v>2609</v>
      </c>
      <c r="B2610">
        <v>6342053</v>
      </c>
      <c r="C2610" s="1" t="str">
        <f>HYPERLINK("http://stackoverflow.com/users/6342053", "Martin Liu")</f>
        <v>Martin Liu</v>
      </c>
      <c r="D2610" t="s">
        <v>4</v>
      </c>
      <c r="E2610">
        <v>107</v>
      </c>
    </row>
    <row r="2611" spans="1:5" x14ac:dyDescent="0.25">
      <c r="A2611">
        <v>2610</v>
      </c>
      <c r="B2611">
        <v>4561854</v>
      </c>
      <c r="C2611" s="1" t="str">
        <f>HYPERLINK("http://stackoverflow.com/users/4561854", "Michael Rize")</f>
        <v>Michael Rize</v>
      </c>
      <c r="D2611" t="s">
        <v>22</v>
      </c>
      <c r="E2611">
        <v>107</v>
      </c>
    </row>
    <row r="2612" spans="1:5" x14ac:dyDescent="0.25">
      <c r="A2612">
        <v>2611</v>
      </c>
      <c r="B2612">
        <v>2361350</v>
      </c>
      <c r="C2612" s="1" t="str">
        <f>HYPERLINK("http://stackoverflow.com/users/2361350", "emitle")</f>
        <v>emitle</v>
      </c>
      <c r="D2612" t="s">
        <v>5</v>
      </c>
      <c r="E2612">
        <v>107</v>
      </c>
    </row>
    <row r="2613" spans="1:5" x14ac:dyDescent="0.25">
      <c r="A2613">
        <v>2612</v>
      </c>
      <c r="B2613">
        <v>2561048</v>
      </c>
      <c r="C2613" s="1" t="str">
        <f>HYPERLINK("http://stackoverflow.com/users/2561048", "ryanking")</f>
        <v>ryanking</v>
      </c>
      <c r="D2613" t="s">
        <v>4</v>
      </c>
      <c r="E2613">
        <v>107</v>
      </c>
    </row>
    <row r="2614" spans="1:5" x14ac:dyDescent="0.25">
      <c r="A2614">
        <v>2613</v>
      </c>
      <c r="B2614">
        <v>1479464</v>
      </c>
      <c r="C2614" s="1" t="str">
        <f>HYPERLINK("http://stackoverflow.com/users/1479464", "Aerodonkey")</f>
        <v>Aerodonkey</v>
      </c>
      <c r="D2614" t="s">
        <v>5</v>
      </c>
      <c r="E2614">
        <v>107</v>
      </c>
    </row>
    <row r="2615" spans="1:5" x14ac:dyDescent="0.25">
      <c r="A2615">
        <v>2614</v>
      </c>
      <c r="B2615">
        <v>1709114</v>
      </c>
      <c r="C2615" s="1" t="str">
        <f>HYPERLINK("http://stackoverflow.com/users/1709114", "Frank Hu")</f>
        <v>Frank Hu</v>
      </c>
      <c r="D2615" t="s">
        <v>12</v>
      </c>
      <c r="E2615">
        <v>106</v>
      </c>
    </row>
    <row r="2616" spans="1:5" x14ac:dyDescent="0.25">
      <c r="A2616">
        <v>2615</v>
      </c>
      <c r="B2616">
        <v>6038310</v>
      </c>
      <c r="C2616" s="1" t="str">
        <f>HYPERLINK("http://stackoverflow.com/users/6038310", "onewh")</f>
        <v>onewh</v>
      </c>
      <c r="D2616" t="s">
        <v>7</v>
      </c>
      <c r="E2616">
        <v>106</v>
      </c>
    </row>
    <row r="2617" spans="1:5" x14ac:dyDescent="0.25">
      <c r="A2617">
        <v>2616</v>
      </c>
      <c r="B2617">
        <v>501706</v>
      </c>
      <c r="C2617" s="1" t="str">
        <f>HYPERLINK("http://stackoverflow.com/users/501706", "Zirui Wang")</f>
        <v>Zirui Wang</v>
      </c>
      <c r="D2617" t="s">
        <v>180</v>
      </c>
      <c r="E2617">
        <v>106</v>
      </c>
    </row>
    <row r="2618" spans="1:5" x14ac:dyDescent="0.25">
      <c r="A2618">
        <v>2617</v>
      </c>
      <c r="B2618">
        <v>864821</v>
      </c>
      <c r="C2618" s="1" t="str">
        <f>HYPERLINK("http://stackoverflow.com/users/864821", "barcahead")</f>
        <v>barcahead</v>
      </c>
      <c r="D2618" t="s">
        <v>12</v>
      </c>
      <c r="E2618">
        <v>106</v>
      </c>
    </row>
    <row r="2619" spans="1:5" x14ac:dyDescent="0.25">
      <c r="A2619">
        <v>2618</v>
      </c>
      <c r="B2619">
        <v>2168255</v>
      </c>
      <c r="C2619" s="1" t="str">
        <f>HYPERLINK("http://stackoverflow.com/users/2168255", "Devin Zhang")</f>
        <v>Devin Zhang</v>
      </c>
      <c r="D2619" t="s">
        <v>22</v>
      </c>
      <c r="E2619">
        <v>106</v>
      </c>
    </row>
    <row r="2620" spans="1:5" x14ac:dyDescent="0.25">
      <c r="A2620">
        <v>2619</v>
      </c>
      <c r="B2620">
        <v>2211878</v>
      </c>
      <c r="C2620" s="1" t="str">
        <f>HYPERLINK("http://stackoverflow.com/users/2211878", "Crystal Jake")</f>
        <v>Crystal Jake</v>
      </c>
      <c r="D2620" t="s">
        <v>5</v>
      </c>
      <c r="E2620">
        <v>106</v>
      </c>
    </row>
    <row r="2621" spans="1:5" x14ac:dyDescent="0.25">
      <c r="A2621">
        <v>2620</v>
      </c>
      <c r="B2621">
        <v>3671444</v>
      </c>
      <c r="C2621" s="1" t="str">
        <f>HYPERLINK("http://stackoverflow.com/users/3671444", "sumy")</f>
        <v>sumy</v>
      </c>
      <c r="D2621" t="s">
        <v>5</v>
      </c>
      <c r="E2621">
        <v>106</v>
      </c>
    </row>
    <row r="2622" spans="1:5" x14ac:dyDescent="0.25">
      <c r="A2622">
        <v>2621</v>
      </c>
      <c r="B2622">
        <v>3577916</v>
      </c>
      <c r="C2622" s="1" t="str">
        <f>HYPERLINK("http://stackoverflow.com/users/3577916", "lauthu")</f>
        <v>lauthu</v>
      </c>
      <c r="D2622" t="s">
        <v>5</v>
      </c>
      <c r="E2622">
        <v>106</v>
      </c>
    </row>
    <row r="2623" spans="1:5" x14ac:dyDescent="0.25">
      <c r="A2623">
        <v>2622</v>
      </c>
      <c r="B2623">
        <v>4840051</v>
      </c>
      <c r="C2623" s="1" t="str">
        <f>HYPERLINK("http://stackoverflow.com/users/4840051", "MegaTyX")</f>
        <v>MegaTyX</v>
      </c>
      <c r="D2623" t="s">
        <v>4</v>
      </c>
      <c r="E2623">
        <v>106</v>
      </c>
    </row>
    <row r="2624" spans="1:5" x14ac:dyDescent="0.25">
      <c r="A2624">
        <v>2623</v>
      </c>
      <c r="B2624">
        <v>252620</v>
      </c>
      <c r="C2624" s="1" t="str">
        <f>HYPERLINK("http://stackoverflow.com/users/252620", "wolfg")</f>
        <v>wolfg</v>
      </c>
      <c r="D2624" t="s">
        <v>5</v>
      </c>
      <c r="E2624">
        <v>106</v>
      </c>
    </row>
    <row r="2625" spans="1:5" x14ac:dyDescent="0.25">
      <c r="A2625">
        <v>2624</v>
      </c>
      <c r="B2625">
        <v>5188940</v>
      </c>
      <c r="C2625" s="1" t="str">
        <f>HYPERLINK("http://stackoverflow.com/users/5188940", "Sheldon Xia")</f>
        <v>Sheldon Xia</v>
      </c>
      <c r="D2625" t="s">
        <v>5</v>
      </c>
      <c r="E2625">
        <v>106</v>
      </c>
    </row>
    <row r="2626" spans="1:5" x14ac:dyDescent="0.25">
      <c r="A2626">
        <v>2625</v>
      </c>
      <c r="B2626">
        <v>1415561</v>
      </c>
      <c r="C2626" s="1" t="str">
        <f>HYPERLINK("http://stackoverflow.com/users/1415561", "wenhm")</f>
        <v>wenhm</v>
      </c>
      <c r="D2626" t="s">
        <v>4</v>
      </c>
      <c r="E2626">
        <v>106</v>
      </c>
    </row>
    <row r="2627" spans="1:5" x14ac:dyDescent="0.25">
      <c r="A2627">
        <v>2626</v>
      </c>
      <c r="B2627">
        <v>1059601</v>
      </c>
      <c r="C2627" s="1" t="str">
        <f>HYPERLINK("http://stackoverflow.com/users/1059601", "cyrus zhou")</f>
        <v>cyrus zhou</v>
      </c>
      <c r="D2627" t="s">
        <v>17</v>
      </c>
      <c r="E2627">
        <v>106</v>
      </c>
    </row>
    <row r="2628" spans="1:5" x14ac:dyDescent="0.25">
      <c r="A2628">
        <v>2627</v>
      </c>
      <c r="B2628">
        <v>1629972</v>
      </c>
      <c r="C2628" s="1" t="str">
        <f>HYPERLINK("http://stackoverflow.com/users/1629972", "yuzebin")</f>
        <v>yuzebin</v>
      </c>
      <c r="D2628" t="s">
        <v>5</v>
      </c>
      <c r="E2628">
        <v>106</v>
      </c>
    </row>
    <row r="2629" spans="1:5" x14ac:dyDescent="0.25">
      <c r="A2629">
        <v>2628</v>
      </c>
      <c r="B2629">
        <v>917422</v>
      </c>
      <c r="C2629" s="1" t="str">
        <f>HYPERLINK("http://stackoverflow.com/users/917422", "deltamaster")</f>
        <v>deltamaster</v>
      </c>
      <c r="D2629" t="s">
        <v>4</v>
      </c>
      <c r="E2629">
        <v>106</v>
      </c>
    </row>
    <row r="2630" spans="1:5" x14ac:dyDescent="0.25">
      <c r="A2630">
        <v>2629</v>
      </c>
      <c r="B2630">
        <v>1224865</v>
      </c>
      <c r="C2630" s="1" t="str">
        <f>HYPERLINK("http://stackoverflow.com/users/1224865", "vinjn")</f>
        <v>vinjn</v>
      </c>
      <c r="D2630" t="s">
        <v>4</v>
      </c>
      <c r="E2630">
        <v>106</v>
      </c>
    </row>
    <row r="2631" spans="1:5" x14ac:dyDescent="0.25">
      <c r="A2631">
        <v>2630</v>
      </c>
      <c r="B2631">
        <v>3960548</v>
      </c>
      <c r="C2631" s="1" t="str">
        <f>HYPERLINK("http://stackoverflow.com/users/3960548", "Mike Qiu")</f>
        <v>Mike Qiu</v>
      </c>
      <c r="D2631" t="s">
        <v>11</v>
      </c>
      <c r="E2631">
        <v>106</v>
      </c>
    </row>
    <row r="2632" spans="1:5" x14ac:dyDescent="0.25">
      <c r="A2632">
        <v>2631</v>
      </c>
      <c r="B2632">
        <v>7757434</v>
      </c>
      <c r="C2632" s="1" t="str">
        <f>HYPERLINK("http://stackoverflow.com/users/7757434", "DeeHY")</f>
        <v>DeeHY</v>
      </c>
      <c r="D2632" t="s">
        <v>181</v>
      </c>
      <c r="E2632">
        <v>106</v>
      </c>
    </row>
    <row r="2633" spans="1:5" x14ac:dyDescent="0.25">
      <c r="A2633">
        <v>2632</v>
      </c>
      <c r="B2633">
        <v>5916526</v>
      </c>
      <c r="C2633" s="1" t="str">
        <f>HYPERLINK("http://stackoverflow.com/users/5916526", "Boxer Robert")</f>
        <v>Boxer Robert</v>
      </c>
      <c r="D2633" t="s">
        <v>60</v>
      </c>
      <c r="E2633">
        <v>106</v>
      </c>
    </row>
    <row r="2634" spans="1:5" x14ac:dyDescent="0.25">
      <c r="A2634">
        <v>2633</v>
      </c>
      <c r="B2634">
        <v>877723</v>
      </c>
      <c r="C2634" s="1" t="str">
        <f>HYPERLINK("http://stackoverflow.com/users/877723", "michael.shan")</f>
        <v>michael.shan</v>
      </c>
      <c r="D2634" t="s">
        <v>4</v>
      </c>
      <c r="E2634">
        <v>106</v>
      </c>
    </row>
    <row r="2635" spans="1:5" x14ac:dyDescent="0.25">
      <c r="A2635">
        <v>2634</v>
      </c>
      <c r="B2635">
        <v>7832636</v>
      </c>
      <c r="C2635" s="1" t="str">
        <f>HYPERLINK("http://stackoverflow.com/users/7832636", "Liu Zhihui")</f>
        <v>Liu Zhihui</v>
      </c>
      <c r="D2635" t="s">
        <v>33</v>
      </c>
      <c r="E2635">
        <v>106</v>
      </c>
    </row>
    <row r="2636" spans="1:5" x14ac:dyDescent="0.25">
      <c r="A2636">
        <v>2635</v>
      </c>
      <c r="B2636">
        <v>4988676</v>
      </c>
      <c r="C2636" s="1" t="str">
        <f>HYPERLINK("http://stackoverflow.com/users/4988676", "fin")</f>
        <v>fin</v>
      </c>
      <c r="D2636" t="s">
        <v>7</v>
      </c>
      <c r="E2636">
        <v>106</v>
      </c>
    </row>
    <row r="2637" spans="1:5" x14ac:dyDescent="0.25">
      <c r="A2637">
        <v>2636</v>
      </c>
      <c r="B2637">
        <v>3198960</v>
      </c>
      <c r="C2637" s="1" t="str">
        <f>HYPERLINK("http://stackoverflow.com/users/3198960", "rufushuang")</f>
        <v>rufushuang</v>
      </c>
      <c r="D2637" t="s">
        <v>4</v>
      </c>
      <c r="E2637">
        <v>105</v>
      </c>
    </row>
    <row r="2638" spans="1:5" x14ac:dyDescent="0.25">
      <c r="A2638">
        <v>2637</v>
      </c>
      <c r="B2638">
        <v>5617371</v>
      </c>
      <c r="C2638" s="1" t="str">
        <f>HYPERLINK("http://stackoverflow.com/users/5617371", "Peng Wu")</f>
        <v>Peng Wu</v>
      </c>
      <c r="D2638" t="s">
        <v>4</v>
      </c>
      <c r="E2638">
        <v>105</v>
      </c>
    </row>
    <row r="2639" spans="1:5" x14ac:dyDescent="0.25">
      <c r="A2639">
        <v>2638</v>
      </c>
      <c r="B2639">
        <v>2279781</v>
      </c>
      <c r="C2639" s="1" t="str">
        <f>HYPERLINK("http://stackoverflow.com/users/2279781", "Chu Ya'an Xiaonan")</f>
        <v>Chu Ya'an Xiaonan</v>
      </c>
      <c r="D2639" t="s">
        <v>182</v>
      </c>
      <c r="E2639">
        <v>105</v>
      </c>
    </row>
    <row r="2640" spans="1:5" x14ac:dyDescent="0.25">
      <c r="A2640">
        <v>2639</v>
      </c>
      <c r="B2640">
        <v>4806584</v>
      </c>
      <c r="C2640" s="1" t="str">
        <f>HYPERLINK("http://stackoverflow.com/users/4806584", "Dudy")</f>
        <v>Dudy</v>
      </c>
      <c r="D2640" t="s">
        <v>12</v>
      </c>
      <c r="E2640">
        <v>105</v>
      </c>
    </row>
    <row r="2641" spans="1:5" x14ac:dyDescent="0.25">
      <c r="A2641">
        <v>2640</v>
      </c>
      <c r="B2641">
        <v>1068715</v>
      </c>
      <c r="C2641" s="1" t="str">
        <f>HYPERLINK("http://stackoverflow.com/users/1068715", "Raven")</f>
        <v>Raven</v>
      </c>
      <c r="D2641" t="s">
        <v>16</v>
      </c>
      <c r="E2641">
        <v>105</v>
      </c>
    </row>
    <row r="2642" spans="1:5" x14ac:dyDescent="0.25">
      <c r="A2642">
        <v>2641</v>
      </c>
      <c r="B2642">
        <v>6511683</v>
      </c>
      <c r="C2642" s="1" t="str">
        <f>HYPERLINK("http://stackoverflow.com/users/6511683", "froger.me")</f>
        <v>froger.me</v>
      </c>
      <c r="D2642" t="s">
        <v>5</v>
      </c>
      <c r="E2642">
        <v>105</v>
      </c>
    </row>
    <row r="2643" spans="1:5" x14ac:dyDescent="0.25">
      <c r="A2643">
        <v>2642</v>
      </c>
      <c r="B2643">
        <v>3162587</v>
      </c>
      <c r="C2643" s="1" t="str">
        <f>HYPERLINK("http://stackoverflow.com/users/3162587", "user3162587")</f>
        <v>user3162587</v>
      </c>
      <c r="D2643" t="s">
        <v>54</v>
      </c>
      <c r="E2643">
        <v>105</v>
      </c>
    </row>
    <row r="2644" spans="1:5" x14ac:dyDescent="0.25">
      <c r="A2644">
        <v>2643</v>
      </c>
      <c r="B2644">
        <v>117024</v>
      </c>
      <c r="C2644" s="1" t="str">
        <f>HYPERLINK("http://stackoverflow.com/users/117024", "guitarpoet")</f>
        <v>guitarpoet</v>
      </c>
      <c r="D2644" t="s">
        <v>3</v>
      </c>
      <c r="E2644">
        <v>105</v>
      </c>
    </row>
    <row r="2645" spans="1:5" x14ac:dyDescent="0.25">
      <c r="A2645">
        <v>2644</v>
      </c>
      <c r="B2645">
        <v>1160531</v>
      </c>
      <c r="C2645" s="1" t="str">
        <f>HYPERLINK("http://stackoverflow.com/users/1160531", "alexyangfox")</f>
        <v>alexyangfox</v>
      </c>
      <c r="D2645" t="s">
        <v>22</v>
      </c>
      <c r="E2645">
        <v>105</v>
      </c>
    </row>
    <row r="2646" spans="1:5" x14ac:dyDescent="0.25">
      <c r="A2646">
        <v>2645</v>
      </c>
      <c r="B2646">
        <v>4710264</v>
      </c>
      <c r="C2646" s="1" t="str">
        <f>HYPERLINK("http://stackoverflow.com/users/4710264", "Xinyi Li")</f>
        <v>Xinyi Li</v>
      </c>
      <c r="D2646" t="s">
        <v>43</v>
      </c>
      <c r="E2646">
        <v>104</v>
      </c>
    </row>
    <row r="2647" spans="1:5" x14ac:dyDescent="0.25">
      <c r="A2647">
        <v>2646</v>
      </c>
      <c r="B2647">
        <v>5571953</v>
      </c>
      <c r="C2647" s="1" t="str">
        <f>HYPERLINK("http://stackoverflow.com/users/5571953", "吴环宇")</f>
        <v>吴环宇</v>
      </c>
      <c r="D2647" t="s">
        <v>28</v>
      </c>
      <c r="E2647">
        <v>104</v>
      </c>
    </row>
    <row r="2648" spans="1:5" x14ac:dyDescent="0.25">
      <c r="A2648">
        <v>2647</v>
      </c>
      <c r="B2648">
        <v>1493991</v>
      </c>
      <c r="C2648" s="1" t="str">
        <f>HYPERLINK("http://stackoverflow.com/users/1493991", "htynkn")</f>
        <v>htynkn</v>
      </c>
      <c r="D2648" t="s">
        <v>22</v>
      </c>
      <c r="E2648">
        <v>104</v>
      </c>
    </row>
    <row r="2649" spans="1:5" x14ac:dyDescent="0.25">
      <c r="A2649">
        <v>2648</v>
      </c>
      <c r="B2649">
        <v>6478400</v>
      </c>
      <c r="C2649" s="1" t="str">
        <f>HYPERLINK("http://stackoverflow.com/users/6478400", "J.Woo")</f>
        <v>J.Woo</v>
      </c>
      <c r="D2649" t="s">
        <v>27</v>
      </c>
      <c r="E2649">
        <v>104</v>
      </c>
    </row>
    <row r="2650" spans="1:5" x14ac:dyDescent="0.25">
      <c r="A2650">
        <v>2649</v>
      </c>
      <c r="B2650">
        <v>494309</v>
      </c>
      <c r="C2650" s="1" t="str">
        <f>HYPERLINK("http://stackoverflow.com/users/494309", "istonelee")</f>
        <v>istonelee</v>
      </c>
      <c r="D2650" t="s">
        <v>5</v>
      </c>
      <c r="E2650">
        <v>104</v>
      </c>
    </row>
    <row r="2651" spans="1:5" x14ac:dyDescent="0.25">
      <c r="A2651">
        <v>2650</v>
      </c>
      <c r="B2651">
        <v>3355097</v>
      </c>
      <c r="C2651" s="1" t="str">
        <f>HYPERLINK("http://stackoverflow.com/users/3355097", "Dongfang Zhu")</f>
        <v>Dongfang Zhu</v>
      </c>
      <c r="D2651" t="s">
        <v>5</v>
      </c>
      <c r="E2651">
        <v>104</v>
      </c>
    </row>
    <row r="2652" spans="1:5" x14ac:dyDescent="0.25">
      <c r="A2652">
        <v>2651</v>
      </c>
      <c r="B2652">
        <v>1429718</v>
      </c>
      <c r="C2652" s="1" t="str">
        <f>HYPERLINK("http://stackoverflow.com/users/1429718", "JsDoITao")</f>
        <v>JsDoITao</v>
      </c>
      <c r="D2652" t="s">
        <v>5</v>
      </c>
      <c r="E2652">
        <v>104</v>
      </c>
    </row>
    <row r="2653" spans="1:5" x14ac:dyDescent="0.25">
      <c r="A2653">
        <v>2652</v>
      </c>
      <c r="B2653">
        <v>3208881</v>
      </c>
      <c r="C2653" s="1" t="str">
        <f>HYPERLINK("http://stackoverflow.com/users/3208881", "endless")</f>
        <v>endless</v>
      </c>
      <c r="D2653" t="s">
        <v>16</v>
      </c>
      <c r="E2653">
        <v>104</v>
      </c>
    </row>
    <row r="2654" spans="1:5" x14ac:dyDescent="0.25">
      <c r="A2654">
        <v>2653</v>
      </c>
      <c r="B2654">
        <v>915026</v>
      </c>
      <c r="C2654" s="1" t="str">
        <f>HYPERLINK("http://stackoverflow.com/users/915026", "Folee")</f>
        <v>Folee</v>
      </c>
      <c r="D2654" t="s">
        <v>3</v>
      </c>
      <c r="E2654">
        <v>104</v>
      </c>
    </row>
    <row r="2655" spans="1:5" x14ac:dyDescent="0.25">
      <c r="A2655">
        <v>2654</v>
      </c>
      <c r="B2655">
        <v>6305704</v>
      </c>
      <c r="C2655" s="1" t="str">
        <f>HYPERLINK("http://stackoverflow.com/users/6305704", "Urso")</f>
        <v>Urso</v>
      </c>
      <c r="D2655" t="s">
        <v>28</v>
      </c>
      <c r="E2655">
        <v>104</v>
      </c>
    </row>
    <row r="2656" spans="1:5" x14ac:dyDescent="0.25">
      <c r="A2656">
        <v>2655</v>
      </c>
      <c r="B2656">
        <v>3552084</v>
      </c>
      <c r="C2656" s="1" t="str">
        <f>HYPERLINK("http://stackoverflow.com/users/3552084", "zhongwuzw")</f>
        <v>zhongwuzw</v>
      </c>
      <c r="D2656" t="s">
        <v>5</v>
      </c>
      <c r="E2656">
        <v>104</v>
      </c>
    </row>
    <row r="2657" spans="1:5" x14ac:dyDescent="0.25">
      <c r="A2657">
        <v>2656</v>
      </c>
      <c r="B2657">
        <v>1637650</v>
      </c>
      <c r="C2657" s="1" t="str">
        <f>HYPERLINK("http://stackoverflow.com/users/1637650", "Yitao Jiang")</f>
        <v>Yitao Jiang</v>
      </c>
      <c r="D2657" t="s">
        <v>5</v>
      </c>
      <c r="E2657">
        <v>104</v>
      </c>
    </row>
    <row r="2658" spans="1:5" x14ac:dyDescent="0.25">
      <c r="A2658">
        <v>2657</v>
      </c>
      <c r="B2658">
        <v>3288990</v>
      </c>
      <c r="C2658" s="1" t="str">
        <f>HYPERLINK("http://stackoverflow.com/users/3288990", "easynoder")</f>
        <v>easynoder</v>
      </c>
      <c r="D2658" t="s">
        <v>5</v>
      </c>
      <c r="E2658">
        <v>104</v>
      </c>
    </row>
    <row r="2659" spans="1:5" x14ac:dyDescent="0.25">
      <c r="A2659">
        <v>2658</v>
      </c>
      <c r="B2659">
        <v>935673</v>
      </c>
      <c r="C2659" s="1" t="str">
        <f>HYPERLINK("http://stackoverflow.com/users/935673", "Hui Zhang")</f>
        <v>Hui Zhang</v>
      </c>
      <c r="D2659" t="s">
        <v>183</v>
      </c>
      <c r="E2659">
        <v>103</v>
      </c>
    </row>
    <row r="2660" spans="1:5" x14ac:dyDescent="0.25">
      <c r="A2660">
        <v>2659</v>
      </c>
      <c r="B2660">
        <v>6581455</v>
      </c>
      <c r="C2660" s="1" t="str">
        <f>HYPERLINK("http://stackoverflow.com/users/6581455", "The-Han-Emperor")</f>
        <v>The-Han-Emperor</v>
      </c>
      <c r="D2660" t="s">
        <v>184</v>
      </c>
      <c r="E2660">
        <v>103</v>
      </c>
    </row>
    <row r="2661" spans="1:5" x14ac:dyDescent="0.25">
      <c r="A2661">
        <v>2660</v>
      </c>
      <c r="B2661">
        <v>7416008</v>
      </c>
      <c r="C2661" s="1" t="str">
        <f>HYPERLINK("http://stackoverflow.com/users/7416008", "Philip S")</f>
        <v>Philip S</v>
      </c>
      <c r="D2661" t="s">
        <v>7</v>
      </c>
      <c r="E2661">
        <v>103</v>
      </c>
    </row>
    <row r="2662" spans="1:5" x14ac:dyDescent="0.25">
      <c r="A2662">
        <v>2661</v>
      </c>
      <c r="B2662">
        <v>64890</v>
      </c>
      <c r="C2662" s="1" t="str">
        <f>HYPERLINK("http://stackoverflow.com/users/64890", "techolic")</f>
        <v>techolic</v>
      </c>
      <c r="D2662" t="s">
        <v>4</v>
      </c>
      <c r="E2662">
        <v>103</v>
      </c>
    </row>
    <row r="2663" spans="1:5" x14ac:dyDescent="0.25">
      <c r="A2663">
        <v>2662</v>
      </c>
      <c r="B2663">
        <v>2981586</v>
      </c>
      <c r="C2663" s="1" t="str">
        <f>HYPERLINK("http://stackoverflow.com/users/2981586", "Dotgreg")</f>
        <v>Dotgreg</v>
      </c>
      <c r="D2663" t="s">
        <v>4</v>
      </c>
      <c r="E2663">
        <v>103</v>
      </c>
    </row>
    <row r="2664" spans="1:5" x14ac:dyDescent="0.25">
      <c r="A2664">
        <v>2663</v>
      </c>
      <c r="B2664">
        <v>1404881</v>
      </c>
      <c r="C2664" s="1" t="str">
        <f>HYPERLINK("http://stackoverflow.com/users/1404881", "LiveJin")</f>
        <v>LiveJin</v>
      </c>
      <c r="D2664" t="s">
        <v>8</v>
      </c>
      <c r="E2664">
        <v>103</v>
      </c>
    </row>
    <row r="2665" spans="1:5" x14ac:dyDescent="0.25">
      <c r="A2665">
        <v>2664</v>
      </c>
      <c r="B2665">
        <v>6123511</v>
      </c>
      <c r="C2665" s="1" t="str">
        <f>HYPERLINK("http://stackoverflow.com/users/6123511", "Sarah")</f>
        <v>Sarah</v>
      </c>
      <c r="D2665" t="s">
        <v>16</v>
      </c>
      <c r="E2665">
        <v>103</v>
      </c>
    </row>
    <row r="2666" spans="1:5" x14ac:dyDescent="0.25">
      <c r="A2666">
        <v>2665</v>
      </c>
      <c r="B2666">
        <v>2563096</v>
      </c>
      <c r="C2666" s="1" t="str">
        <f>HYPERLINK("http://stackoverflow.com/users/2563096", "CeliaLi")</f>
        <v>CeliaLi</v>
      </c>
      <c r="D2666" t="s">
        <v>4</v>
      </c>
      <c r="E2666">
        <v>103</v>
      </c>
    </row>
    <row r="2667" spans="1:5" x14ac:dyDescent="0.25">
      <c r="A2667">
        <v>2666</v>
      </c>
      <c r="B2667">
        <v>2557387</v>
      </c>
      <c r="C2667" s="1" t="str">
        <f>HYPERLINK("http://stackoverflow.com/users/2557387", "Dyllian")</f>
        <v>Dyllian</v>
      </c>
      <c r="D2667" t="s">
        <v>185</v>
      </c>
      <c r="E2667">
        <v>103</v>
      </c>
    </row>
    <row r="2668" spans="1:5" x14ac:dyDescent="0.25">
      <c r="A2668">
        <v>2667</v>
      </c>
      <c r="B2668">
        <v>2571606</v>
      </c>
      <c r="C2668" s="1" t="str">
        <f>HYPERLINK("http://stackoverflow.com/users/2571606", "Robert Fan")</f>
        <v>Robert Fan</v>
      </c>
      <c r="D2668" t="s">
        <v>4</v>
      </c>
      <c r="E2668">
        <v>103</v>
      </c>
    </row>
    <row r="2669" spans="1:5" x14ac:dyDescent="0.25">
      <c r="A2669">
        <v>2668</v>
      </c>
      <c r="B2669">
        <v>4447879</v>
      </c>
      <c r="C2669" s="1" t="str">
        <f>HYPERLINK("http://stackoverflow.com/users/4447879", "iama")</f>
        <v>iama</v>
      </c>
      <c r="D2669" t="s">
        <v>56</v>
      </c>
      <c r="E2669">
        <v>103</v>
      </c>
    </row>
    <row r="2670" spans="1:5" x14ac:dyDescent="0.25">
      <c r="A2670">
        <v>2669</v>
      </c>
      <c r="B2670">
        <v>1559314</v>
      </c>
      <c r="C2670" s="1" t="str">
        <f>HYPERLINK("http://stackoverflow.com/users/1559314", "Tom Leu")</f>
        <v>Tom Leu</v>
      </c>
      <c r="D2670" t="s">
        <v>5</v>
      </c>
      <c r="E2670">
        <v>102</v>
      </c>
    </row>
    <row r="2671" spans="1:5" x14ac:dyDescent="0.25">
      <c r="A2671">
        <v>2670</v>
      </c>
      <c r="B2671">
        <v>2637826</v>
      </c>
      <c r="C2671" s="1" t="str">
        <f>HYPERLINK("http://stackoverflow.com/users/2637826", "Steffel Fenix")</f>
        <v>Steffel Fenix</v>
      </c>
      <c r="D2671" t="s">
        <v>4</v>
      </c>
      <c r="E2671">
        <v>102</v>
      </c>
    </row>
    <row r="2672" spans="1:5" x14ac:dyDescent="0.25">
      <c r="A2672">
        <v>2671</v>
      </c>
      <c r="B2672">
        <v>822215</v>
      </c>
      <c r="C2672" s="1" t="str">
        <f>HYPERLINK("http://stackoverflow.com/users/822215", "Stiekel")</f>
        <v>Stiekel</v>
      </c>
      <c r="D2672" t="s">
        <v>4</v>
      </c>
      <c r="E2672">
        <v>102</v>
      </c>
    </row>
    <row r="2673" spans="1:5" x14ac:dyDescent="0.25">
      <c r="A2673">
        <v>2672</v>
      </c>
      <c r="B2673">
        <v>8197412</v>
      </c>
      <c r="C2673" s="1" t="str">
        <f>HYPERLINK("http://stackoverflow.com/users/8197412", "Riemann")</f>
        <v>Riemann</v>
      </c>
      <c r="D2673" t="s">
        <v>54</v>
      </c>
      <c r="E2673">
        <v>101</v>
      </c>
    </row>
    <row r="2674" spans="1:5" x14ac:dyDescent="0.25">
      <c r="A2674">
        <v>2673</v>
      </c>
      <c r="B2674">
        <v>645714</v>
      </c>
      <c r="C2674" s="1" t="str">
        <f>HYPERLINK("http://stackoverflow.com/users/645714", "FarYang")</f>
        <v>FarYang</v>
      </c>
      <c r="D2674" t="s">
        <v>38</v>
      </c>
      <c r="E2674">
        <v>101</v>
      </c>
    </row>
    <row r="2675" spans="1:5" x14ac:dyDescent="0.25">
      <c r="A2675">
        <v>2674</v>
      </c>
      <c r="B2675">
        <v>645890</v>
      </c>
      <c r="C2675" s="1" t="str">
        <f>HYPERLINK("http://stackoverflow.com/users/645890", "Neo")</f>
        <v>Neo</v>
      </c>
      <c r="D2675" t="s">
        <v>4</v>
      </c>
      <c r="E2675">
        <v>101</v>
      </c>
    </row>
    <row r="2676" spans="1:5" x14ac:dyDescent="0.25">
      <c r="A2676">
        <v>2675</v>
      </c>
      <c r="B2676">
        <v>571100</v>
      </c>
      <c r="C2676" s="1" t="str">
        <f>HYPERLINK("http://stackoverflow.com/users/571100", "Chex")</f>
        <v>Chex</v>
      </c>
      <c r="D2676" t="s">
        <v>5</v>
      </c>
      <c r="E2676">
        <v>101</v>
      </c>
    </row>
    <row r="2677" spans="1:5" x14ac:dyDescent="0.25">
      <c r="A2677">
        <v>2676</v>
      </c>
      <c r="B2677">
        <v>539269</v>
      </c>
      <c r="C2677" s="1" t="str">
        <f>HYPERLINK("http://stackoverflow.com/users/539269", "AlexisXu")</f>
        <v>AlexisXu</v>
      </c>
      <c r="D2677" t="s">
        <v>4</v>
      </c>
      <c r="E2677">
        <v>101</v>
      </c>
    </row>
    <row r="2678" spans="1:5" x14ac:dyDescent="0.25">
      <c r="A2678">
        <v>2677</v>
      </c>
      <c r="B2678">
        <v>1374390</v>
      </c>
      <c r="C2678" s="1" t="str">
        <f>HYPERLINK("http://stackoverflow.com/users/1374390", "yulinlinyu")</f>
        <v>yulinlinyu</v>
      </c>
      <c r="D2678" t="s">
        <v>5</v>
      </c>
      <c r="E2678">
        <v>101</v>
      </c>
    </row>
    <row r="2679" spans="1:5" x14ac:dyDescent="0.25">
      <c r="A2679">
        <v>2678</v>
      </c>
      <c r="B2679">
        <v>1336328</v>
      </c>
      <c r="C2679" s="1" t="str">
        <f>HYPERLINK("http://stackoverflow.com/users/1336328", "scottmacd")</f>
        <v>scottmacd</v>
      </c>
      <c r="D2679" t="s">
        <v>5</v>
      </c>
      <c r="E2679">
        <v>101</v>
      </c>
    </row>
    <row r="2680" spans="1:5" x14ac:dyDescent="0.25">
      <c r="A2680">
        <v>2679</v>
      </c>
      <c r="B2680">
        <v>3643490</v>
      </c>
      <c r="C2680" s="1" t="str">
        <f>HYPERLINK("http://stackoverflow.com/users/3643490", "Arith")</f>
        <v>Arith</v>
      </c>
      <c r="D2680" t="s">
        <v>4</v>
      </c>
      <c r="E2680">
        <v>101</v>
      </c>
    </row>
    <row r="2681" spans="1:5" x14ac:dyDescent="0.25">
      <c r="A2681">
        <v>2680</v>
      </c>
      <c r="B2681">
        <v>5353143</v>
      </c>
      <c r="C2681" s="1" t="str">
        <f>HYPERLINK("http://stackoverflow.com/users/5353143", "krizex")</f>
        <v>krizex</v>
      </c>
      <c r="D2681" t="s">
        <v>55</v>
      </c>
      <c r="E2681">
        <v>101</v>
      </c>
    </row>
    <row r="2682" spans="1:5" x14ac:dyDescent="0.25">
      <c r="A2682">
        <v>2681</v>
      </c>
      <c r="B2682">
        <v>5349541</v>
      </c>
      <c r="C2682" s="1" t="str">
        <f>HYPERLINK("http://stackoverflow.com/users/5349541", "zkywalker")</f>
        <v>zkywalker</v>
      </c>
      <c r="D2682" t="s">
        <v>5</v>
      </c>
      <c r="E2682">
        <v>101</v>
      </c>
    </row>
    <row r="2683" spans="1:5" x14ac:dyDescent="0.25">
      <c r="A2683">
        <v>2682</v>
      </c>
      <c r="B2683">
        <v>3909064</v>
      </c>
      <c r="C2683" s="1" t="str">
        <f>HYPERLINK("http://stackoverflow.com/users/3909064", "templefox")</f>
        <v>templefox</v>
      </c>
      <c r="D2683" t="s">
        <v>4</v>
      </c>
      <c r="E2683">
        <v>101</v>
      </c>
    </row>
    <row r="2684" spans="1:5" x14ac:dyDescent="0.25">
      <c r="A2684">
        <v>2683</v>
      </c>
      <c r="B2684">
        <v>3905374</v>
      </c>
      <c r="C2684" s="1" t="str">
        <f>HYPERLINK("http://stackoverflow.com/users/3905374", "azc")</f>
        <v>azc</v>
      </c>
      <c r="D2684" t="s">
        <v>186</v>
      </c>
      <c r="E2684">
        <v>101</v>
      </c>
    </row>
    <row r="2685" spans="1:5" x14ac:dyDescent="0.25">
      <c r="A2685">
        <v>2684</v>
      </c>
      <c r="B2685">
        <v>5519402</v>
      </c>
      <c r="C2685" s="1" t="str">
        <f>HYPERLINK("http://stackoverflow.com/users/5519402", "hiperboreo")</f>
        <v>hiperboreo</v>
      </c>
      <c r="D2685" t="s">
        <v>4</v>
      </c>
      <c r="E2685">
        <v>101</v>
      </c>
    </row>
    <row r="2686" spans="1:5" x14ac:dyDescent="0.25">
      <c r="A2686">
        <v>2685</v>
      </c>
      <c r="B2686">
        <v>1960692</v>
      </c>
      <c r="C2686" s="1" t="str">
        <f>HYPERLINK("http://stackoverflow.com/users/1960692", "Nathaniel Ding")</f>
        <v>Nathaniel Ding</v>
      </c>
      <c r="D2686" t="s">
        <v>5</v>
      </c>
      <c r="E2686">
        <v>101</v>
      </c>
    </row>
    <row r="2687" spans="1:5" x14ac:dyDescent="0.25">
      <c r="A2687">
        <v>2686</v>
      </c>
      <c r="B2687">
        <v>4291756</v>
      </c>
      <c r="C2687" s="1" t="str">
        <f>HYPERLINK("http://stackoverflow.com/users/4291756", "vanishedzhou")</f>
        <v>vanishedzhou</v>
      </c>
      <c r="D2687" t="s">
        <v>4</v>
      </c>
      <c r="E2687">
        <v>101</v>
      </c>
    </row>
    <row r="2688" spans="1:5" x14ac:dyDescent="0.25">
      <c r="A2688">
        <v>2687</v>
      </c>
      <c r="B2688">
        <v>2131509</v>
      </c>
      <c r="C2688" s="1" t="str">
        <f>HYPERLINK("http://stackoverflow.com/users/2131509", "user2131509")</f>
        <v>user2131509</v>
      </c>
      <c r="D2688" t="s">
        <v>12</v>
      </c>
      <c r="E2688">
        <v>101</v>
      </c>
    </row>
    <row r="2689" spans="1:5" x14ac:dyDescent="0.25">
      <c r="A2689">
        <v>2688</v>
      </c>
      <c r="B2689">
        <v>2174820</v>
      </c>
      <c r="C2689" s="1" t="str">
        <f>HYPERLINK("http://stackoverflow.com/users/2174820", "Sean Don")</f>
        <v>Sean Don</v>
      </c>
      <c r="D2689" t="s">
        <v>37</v>
      </c>
      <c r="E2689">
        <v>101</v>
      </c>
    </row>
    <row r="2690" spans="1:5" x14ac:dyDescent="0.25">
      <c r="A2690">
        <v>2689</v>
      </c>
      <c r="B2690">
        <v>7299413</v>
      </c>
      <c r="C2690" s="1" t="str">
        <f>HYPERLINK("http://stackoverflow.com/users/7299413", "dfruit")</f>
        <v>dfruit</v>
      </c>
      <c r="D2690" t="s">
        <v>5</v>
      </c>
      <c r="E2690">
        <v>101</v>
      </c>
    </row>
    <row r="2691" spans="1:5" x14ac:dyDescent="0.25">
      <c r="A2691">
        <v>2690</v>
      </c>
      <c r="B2691">
        <v>4154610</v>
      </c>
      <c r="C2691" s="1" t="str">
        <f>HYPERLINK("http://stackoverflow.com/users/4154610", "Shine Mic")</f>
        <v>Shine Mic</v>
      </c>
      <c r="D2691" t="s">
        <v>4</v>
      </c>
      <c r="E2691">
        <v>101</v>
      </c>
    </row>
    <row r="2692" spans="1:5" x14ac:dyDescent="0.25">
      <c r="A2692">
        <v>2691</v>
      </c>
      <c r="B2692">
        <v>767188</v>
      </c>
      <c r="C2692" s="1" t="str">
        <f>HYPERLINK("http://stackoverflow.com/users/767188", "randall")</f>
        <v>randall</v>
      </c>
      <c r="D2692" t="s">
        <v>5</v>
      </c>
      <c r="E2692">
        <v>101</v>
      </c>
    </row>
    <row r="2693" spans="1:5" x14ac:dyDescent="0.25">
      <c r="A2693">
        <v>2692</v>
      </c>
      <c r="B2693">
        <v>4719735</v>
      </c>
      <c r="C2693" s="1" t="str">
        <f>HYPERLINK("http://stackoverflow.com/users/4719735", "everettjf")</f>
        <v>everettjf</v>
      </c>
      <c r="D2693" t="s">
        <v>5</v>
      </c>
      <c r="E2693">
        <v>101</v>
      </c>
    </row>
    <row r="2694" spans="1:5" x14ac:dyDescent="0.25">
      <c r="A2694">
        <v>2693</v>
      </c>
      <c r="B2694">
        <v>2759919</v>
      </c>
      <c r="C2694" s="1" t="str">
        <f>HYPERLINK("http://stackoverflow.com/users/2759919", "Jun Ke")</f>
        <v>Jun Ke</v>
      </c>
      <c r="D2694" t="s">
        <v>5</v>
      </c>
      <c r="E2694">
        <v>101</v>
      </c>
    </row>
    <row r="2695" spans="1:5" x14ac:dyDescent="0.25">
      <c r="A2695">
        <v>2694</v>
      </c>
      <c r="B2695">
        <v>3555925</v>
      </c>
      <c r="C2695" s="1" t="str">
        <f>HYPERLINK("http://stackoverflow.com/users/3555925", "Liao")</f>
        <v>Liao</v>
      </c>
      <c r="D2695" t="s">
        <v>5</v>
      </c>
      <c r="E2695">
        <v>101</v>
      </c>
    </row>
    <row r="2696" spans="1:5" x14ac:dyDescent="0.25">
      <c r="A2696">
        <v>2695</v>
      </c>
      <c r="B2696">
        <v>1484736</v>
      </c>
      <c r="C2696" s="1" t="str">
        <f>HYPERLINK("http://stackoverflow.com/users/1484736", "tyler")</f>
        <v>tyler</v>
      </c>
      <c r="D2696" t="s">
        <v>4</v>
      </c>
      <c r="E2696">
        <v>101</v>
      </c>
    </row>
    <row r="2697" spans="1:5" x14ac:dyDescent="0.25">
      <c r="A2697">
        <v>2696</v>
      </c>
      <c r="B2697">
        <v>4449544</v>
      </c>
      <c r="C2697" s="1" t="str">
        <f>HYPERLINK("http://stackoverflow.com/users/4449544", "ProfFan")</f>
        <v>ProfFan</v>
      </c>
      <c r="D2697" t="s">
        <v>17</v>
      </c>
      <c r="E2697">
        <v>101</v>
      </c>
    </row>
    <row r="2698" spans="1:5" x14ac:dyDescent="0.25">
      <c r="A2698">
        <v>2697</v>
      </c>
      <c r="B2698">
        <v>6207124</v>
      </c>
      <c r="C2698" s="1" t="str">
        <f>HYPERLINK("http://stackoverflow.com/users/6207124", "Li Rao")</f>
        <v>Li Rao</v>
      </c>
      <c r="D2698" t="s">
        <v>5</v>
      </c>
      <c r="E2698">
        <v>101</v>
      </c>
    </row>
    <row r="2699" spans="1:5" x14ac:dyDescent="0.25">
      <c r="A2699">
        <v>2698</v>
      </c>
      <c r="B2699">
        <v>889419</v>
      </c>
      <c r="C2699" s="1" t="str">
        <f>HYPERLINK("http://stackoverflow.com/users/889419", "Richard Ye")</f>
        <v>Richard Ye</v>
      </c>
      <c r="D2699" t="s">
        <v>54</v>
      </c>
      <c r="E2699">
        <v>101</v>
      </c>
    </row>
    <row r="2700" spans="1:5" x14ac:dyDescent="0.25">
      <c r="A2700">
        <v>2699</v>
      </c>
      <c r="B2700">
        <v>2822572</v>
      </c>
      <c r="C2700" s="1" t="str">
        <f>HYPERLINK("http://stackoverflow.com/users/2822572", "Beyond Chao")</f>
        <v>Beyond Chao</v>
      </c>
      <c r="D2700" t="s">
        <v>16</v>
      </c>
      <c r="E2700">
        <v>101</v>
      </c>
    </row>
    <row r="2701" spans="1:5" x14ac:dyDescent="0.25">
      <c r="A2701">
        <v>2700</v>
      </c>
      <c r="B2701">
        <v>8520146</v>
      </c>
      <c r="C2701" s="1" t="str">
        <f>HYPERLINK("http://stackoverflow.com/users/8520146", "XinLake")</f>
        <v>XinLake</v>
      </c>
      <c r="D2701" t="s">
        <v>7</v>
      </c>
      <c r="E2701">
        <v>101</v>
      </c>
    </row>
    <row r="2702" spans="1:5" x14ac:dyDescent="0.25">
      <c r="A2702">
        <v>2701</v>
      </c>
      <c r="B2702">
        <v>10333260</v>
      </c>
      <c r="C2702" s="1" t="str">
        <f>HYPERLINK("http://stackoverflow.com/users/10333260", "Ian Miller")</f>
        <v>Ian Miller</v>
      </c>
      <c r="D2702" t="s">
        <v>5</v>
      </c>
      <c r="E2702">
        <v>101</v>
      </c>
    </row>
    <row r="2703" spans="1:5" x14ac:dyDescent="0.25">
      <c r="A2703">
        <v>2702</v>
      </c>
      <c r="B2703">
        <v>1209135</v>
      </c>
      <c r="C2703" s="1" t="str">
        <f>HYPERLINK("http://stackoverflow.com/users/1209135", "LexTang")</f>
        <v>LexTang</v>
      </c>
      <c r="D2703" t="s">
        <v>4</v>
      </c>
      <c r="E2703">
        <v>101</v>
      </c>
    </row>
    <row r="2704" spans="1:5" x14ac:dyDescent="0.25">
      <c r="A2704">
        <v>2703</v>
      </c>
      <c r="B2704">
        <v>3444561</v>
      </c>
      <c r="C2704" s="1" t="str">
        <f>HYPERLINK("http://stackoverflow.com/users/3444561", "LoveJenny")</f>
        <v>LoveJenny</v>
      </c>
      <c r="D2704" t="s">
        <v>4</v>
      </c>
      <c r="E2704">
        <v>101</v>
      </c>
    </row>
    <row r="2705" spans="1:5" x14ac:dyDescent="0.25">
      <c r="A2705">
        <v>2704</v>
      </c>
      <c r="B2705">
        <v>9152571</v>
      </c>
      <c r="C2705" s="1" t="str">
        <f>HYPERLINK("http://stackoverflow.com/users/9152571", "harbinn")</f>
        <v>harbinn</v>
      </c>
      <c r="D2705" t="s">
        <v>19</v>
      </c>
      <c r="E2705">
        <v>101</v>
      </c>
    </row>
    <row r="2706" spans="1:5" x14ac:dyDescent="0.25">
      <c r="A2706">
        <v>2705</v>
      </c>
      <c r="B2706">
        <v>5565800</v>
      </c>
      <c r="C2706" s="1" t="str">
        <f>HYPERLINK("http://stackoverflow.com/users/5565800", "Mathis")</f>
        <v>Mathis</v>
      </c>
      <c r="D2706" t="s">
        <v>5</v>
      </c>
      <c r="E2706">
        <v>101</v>
      </c>
    </row>
    <row r="2707" spans="1:5" x14ac:dyDescent="0.25">
      <c r="A2707">
        <v>2706</v>
      </c>
      <c r="B2707">
        <v>7352085</v>
      </c>
      <c r="C2707" s="1" t="str">
        <f>HYPERLINK("http://stackoverflow.com/users/7352085", "AbnerYe")</f>
        <v>AbnerYe</v>
      </c>
      <c r="D2707" t="s">
        <v>95</v>
      </c>
      <c r="E2707">
        <v>101</v>
      </c>
    </row>
    <row r="2708" spans="1:5" x14ac:dyDescent="0.25">
      <c r="A2708">
        <v>2707</v>
      </c>
      <c r="B2708">
        <v>7216841</v>
      </c>
      <c r="C2708" s="1" t="str">
        <f>HYPERLINK("http://stackoverflow.com/users/7216841", "psitae")</f>
        <v>psitae</v>
      </c>
      <c r="D2708" t="s">
        <v>4</v>
      </c>
      <c r="E2708">
        <v>101</v>
      </c>
    </row>
    <row r="2709" spans="1:5" x14ac:dyDescent="0.25">
      <c r="A2709">
        <v>2708</v>
      </c>
      <c r="B2709">
        <v>2143228</v>
      </c>
      <c r="C2709" s="1" t="str">
        <f>HYPERLINK("http://stackoverflow.com/users/2143228", "Dracarys")</f>
        <v>Dracarys</v>
      </c>
      <c r="D2709" t="s">
        <v>17</v>
      </c>
      <c r="E2709">
        <v>101</v>
      </c>
    </row>
    <row r="2710" spans="1:5" x14ac:dyDescent="0.25">
      <c r="A2710">
        <v>2709</v>
      </c>
      <c r="B2710">
        <v>988124</v>
      </c>
      <c r="C2710" s="1" t="str">
        <f>HYPERLINK("http://stackoverflow.com/users/988124", "goovim")</f>
        <v>goovim</v>
      </c>
      <c r="D2710" t="s">
        <v>37</v>
      </c>
      <c r="E2710">
        <v>101</v>
      </c>
    </row>
    <row r="2711" spans="1:5" x14ac:dyDescent="0.25">
      <c r="A2711">
        <v>2710</v>
      </c>
      <c r="B2711">
        <v>4834369</v>
      </c>
      <c r="C2711" s="1" t="str">
        <f>HYPERLINK("http://stackoverflow.com/users/4834369", "Kinzle B")</f>
        <v>Kinzle B</v>
      </c>
      <c r="D2711" t="s">
        <v>5</v>
      </c>
      <c r="E2711">
        <v>101</v>
      </c>
    </row>
    <row r="2712" spans="1:5" x14ac:dyDescent="0.25">
      <c r="A2712">
        <v>2711</v>
      </c>
      <c r="B2712">
        <v>6667002</v>
      </c>
      <c r="C2712" s="1" t="str">
        <f>HYPERLINK("http://stackoverflow.com/users/6667002", "FrontENG")</f>
        <v>FrontENG</v>
      </c>
      <c r="D2712" t="s">
        <v>4</v>
      </c>
      <c r="E2712">
        <v>101</v>
      </c>
    </row>
    <row r="2713" spans="1:5" x14ac:dyDescent="0.25">
      <c r="A2713">
        <v>2712</v>
      </c>
      <c r="B2713">
        <v>6702781</v>
      </c>
      <c r="C2713" s="1" t="str">
        <f>HYPERLINK("http://stackoverflow.com/users/6702781", "johnny")</f>
        <v>johnny</v>
      </c>
      <c r="D2713" t="s">
        <v>10</v>
      </c>
      <c r="E2713">
        <v>101</v>
      </c>
    </row>
    <row r="2714" spans="1:5" x14ac:dyDescent="0.25">
      <c r="A2714">
        <v>2713</v>
      </c>
      <c r="B2714">
        <v>1433297</v>
      </c>
      <c r="C2714" s="1" t="str">
        <f>HYPERLINK("http://stackoverflow.com/users/1433297", "hrzhu")</f>
        <v>hrzhu</v>
      </c>
      <c r="D2714" t="s">
        <v>4</v>
      </c>
      <c r="E2714">
        <v>101</v>
      </c>
    </row>
    <row r="2715" spans="1:5" x14ac:dyDescent="0.25">
      <c r="A2715">
        <v>2714</v>
      </c>
      <c r="B2715">
        <v>1460693</v>
      </c>
      <c r="C2715" s="1" t="str">
        <f>HYPERLINK("http://stackoverflow.com/users/1460693", "caozhu")</f>
        <v>caozhu</v>
      </c>
      <c r="D2715" t="s">
        <v>5</v>
      </c>
      <c r="E2715">
        <v>101</v>
      </c>
    </row>
    <row r="2716" spans="1:5" x14ac:dyDescent="0.25">
      <c r="A2716">
        <v>2715</v>
      </c>
      <c r="B2716">
        <v>6861745</v>
      </c>
      <c r="C2716" s="1" t="str">
        <f>HYPERLINK("http://stackoverflow.com/users/6861745", "Jiang Wang")</f>
        <v>Jiang Wang</v>
      </c>
      <c r="D2716" t="s">
        <v>28</v>
      </c>
      <c r="E2716">
        <v>101</v>
      </c>
    </row>
    <row r="2717" spans="1:5" x14ac:dyDescent="0.25">
      <c r="A2717">
        <v>2716</v>
      </c>
      <c r="B2717">
        <v>5019291</v>
      </c>
      <c r="C2717" s="1" t="str">
        <f>HYPERLINK("http://stackoverflow.com/users/5019291", "Michael Wong")</f>
        <v>Michael Wong</v>
      </c>
      <c r="D2717" t="s">
        <v>4</v>
      </c>
      <c r="E2717">
        <v>101</v>
      </c>
    </row>
    <row r="2718" spans="1:5" x14ac:dyDescent="0.25">
      <c r="A2718">
        <v>2717</v>
      </c>
      <c r="B2718">
        <v>1355798</v>
      </c>
      <c r="C2718" s="1" t="str">
        <f>HYPERLINK("http://stackoverflow.com/users/1355798", "Michael Siegwarth")</f>
        <v>Michael Siegwarth</v>
      </c>
      <c r="D2718" t="s">
        <v>4</v>
      </c>
      <c r="E2718">
        <v>101</v>
      </c>
    </row>
    <row r="2719" spans="1:5" x14ac:dyDescent="0.25">
      <c r="A2719">
        <v>2718</v>
      </c>
      <c r="B2719">
        <v>5266711</v>
      </c>
      <c r="C2719" s="1" t="str">
        <f>HYPERLINK("http://stackoverflow.com/users/5266711", "ganganray")</f>
        <v>ganganray</v>
      </c>
      <c r="D2719" t="s">
        <v>4</v>
      </c>
      <c r="E2719">
        <v>101</v>
      </c>
    </row>
    <row r="2720" spans="1:5" x14ac:dyDescent="0.25">
      <c r="A2720">
        <v>2719</v>
      </c>
      <c r="B2720">
        <v>685855</v>
      </c>
      <c r="C2720" s="1" t="str">
        <f>HYPERLINK("http://stackoverflow.com/users/685855", "Hillman")</f>
        <v>Hillman</v>
      </c>
      <c r="D2720" t="s">
        <v>4</v>
      </c>
      <c r="E2720">
        <v>101</v>
      </c>
    </row>
    <row r="2721" spans="1:5" x14ac:dyDescent="0.25">
      <c r="A2721">
        <v>2720</v>
      </c>
      <c r="B2721">
        <v>9747394</v>
      </c>
      <c r="C2721" s="1" t="str">
        <f>HYPERLINK("http://stackoverflow.com/users/9747394", "idriss")</f>
        <v>idriss</v>
      </c>
      <c r="D2721" t="s">
        <v>5</v>
      </c>
      <c r="E2721">
        <v>101</v>
      </c>
    </row>
    <row r="2722" spans="1:5" x14ac:dyDescent="0.25">
      <c r="A2722">
        <v>2721</v>
      </c>
      <c r="B2722">
        <v>219996</v>
      </c>
      <c r="C2722" s="1" t="str">
        <f>HYPERLINK("http://stackoverflow.com/users/219996", "xiaolai")</f>
        <v>xiaolai</v>
      </c>
      <c r="D2722" t="s">
        <v>5</v>
      </c>
      <c r="E2722">
        <v>101</v>
      </c>
    </row>
    <row r="2723" spans="1:5" x14ac:dyDescent="0.25">
      <c r="A2723">
        <v>2722</v>
      </c>
      <c r="B2723">
        <v>220781</v>
      </c>
      <c r="C2723" s="1" t="str">
        <f>HYPERLINK("http://stackoverflow.com/users/220781", "0x44")</f>
        <v>0x44</v>
      </c>
      <c r="D2723" t="s">
        <v>12</v>
      </c>
      <c r="E2723">
        <v>101</v>
      </c>
    </row>
    <row r="2724" spans="1:5" x14ac:dyDescent="0.25">
      <c r="A2724">
        <v>2723</v>
      </c>
      <c r="B2724">
        <v>4294126</v>
      </c>
      <c r="C2724" s="1" t="str">
        <f>HYPERLINK("http://stackoverflow.com/users/4294126", "BNHSX")</f>
        <v>BNHSX</v>
      </c>
      <c r="D2724" t="s">
        <v>187</v>
      </c>
      <c r="E2724">
        <v>101</v>
      </c>
    </row>
    <row r="2725" spans="1:5" x14ac:dyDescent="0.25">
      <c r="A2725">
        <v>2724</v>
      </c>
      <c r="B2725">
        <v>3548133</v>
      </c>
      <c r="C2725" s="1" t="str">
        <f>HYPERLINK("http://stackoverflow.com/users/3548133", "asatzhh")</f>
        <v>asatzhh</v>
      </c>
      <c r="D2725" t="s">
        <v>4</v>
      </c>
      <c r="E2725">
        <v>101</v>
      </c>
    </row>
    <row r="2726" spans="1:5" x14ac:dyDescent="0.25">
      <c r="A2726">
        <v>2725</v>
      </c>
      <c r="B2726">
        <v>5140518</v>
      </c>
      <c r="C2726" s="1" t="str">
        <f>HYPERLINK("http://stackoverflow.com/users/5140518", "Yining Wang")</f>
        <v>Yining Wang</v>
      </c>
      <c r="D2726" t="s">
        <v>5</v>
      </c>
      <c r="E2726">
        <v>101</v>
      </c>
    </row>
    <row r="2727" spans="1:5" x14ac:dyDescent="0.25">
      <c r="A2727">
        <v>2726</v>
      </c>
      <c r="B2727">
        <v>1152986</v>
      </c>
      <c r="C2727" s="1" t="str">
        <f>HYPERLINK("http://stackoverflow.com/users/1152986", "zhanglongyang")</f>
        <v>zhanglongyang</v>
      </c>
      <c r="D2727" t="s">
        <v>8</v>
      </c>
      <c r="E2727">
        <v>101</v>
      </c>
    </row>
    <row r="2728" spans="1:5" x14ac:dyDescent="0.25">
      <c r="A2728">
        <v>2727</v>
      </c>
      <c r="B2728">
        <v>5952926</v>
      </c>
      <c r="C2728" s="1" t="str">
        <f>HYPERLINK("http://stackoverflow.com/users/5952926", "Lei Wang")</f>
        <v>Lei Wang</v>
      </c>
      <c r="D2728" t="s">
        <v>5</v>
      </c>
      <c r="E2728">
        <v>101</v>
      </c>
    </row>
    <row r="2729" spans="1:5" x14ac:dyDescent="0.25">
      <c r="A2729">
        <v>2728</v>
      </c>
      <c r="B2729">
        <v>2723782</v>
      </c>
      <c r="C2729" s="1" t="str">
        <f>HYPERLINK("http://stackoverflow.com/users/2723782", "Bayonetta")</f>
        <v>Bayonetta</v>
      </c>
      <c r="D2729" t="s">
        <v>5</v>
      </c>
      <c r="E2729">
        <v>101</v>
      </c>
    </row>
    <row r="2730" spans="1:5" x14ac:dyDescent="0.25">
      <c r="A2730">
        <v>2729</v>
      </c>
      <c r="B2730">
        <v>827017</v>
      </c>
      <c r="C2730" s="1" t="str">
        <f>HYPERLINK("http://stackoverflow.com/users/827017", "Leo Liu")</f>
        <v>Leo Liu</v>
      </c>
      <c r="D2730" t="s">
        <v>5</v>
      </c>
      <c r="E2730">
        <v>101</v>
      </c>
    </row>
    <row r="2731" spans="1:5" x14ac:dyDescent="0.25">
      <c r="A2731">
        <v>2730</v>
      </c>
      <c r="B2731">
        <v>3830027</v>
      </c>
      <c r="C2731" s="1" t="str">
        <f>HYPERLINK("http://stackoverflow.com/users/3830027", "zhaojingbo")</f>
        <v>zhaojingbo</v>
      </c>
      <c r="D2731" t="s">
        <v>5</v>
      </c>
      <c r="E2731">
        <v>101</v>
      </c>
    </row>
    <row r="2732" spans="1:5" x14ac:dyDescent="0.25">
      <c r="A2732">
        <v>2731</v>
      </c>
      <c r="B2732">
        <v>2159046</v>
      </c>
      <c r="C2732" s="1" t="str">
        <f>HYPERLINK("http://stackoverflow.com/users/2159046", "LI Bing")</f>
        <v>LI Bing</v>
      </c>
      <c r="D2732" t="s">
        <v>188</v>
      </c>
      <c r="E2732">
        <v>101</v>
      </c>
    </row>
    <row r="2733" spans="1:5" x14ac:dyDescent="0.25">
      <c r="A2733">
        <v>2732</v>
      </c>
      <c r="B2733">
        <v>2172863</v>
      </c>
      <c r="C2733" s="1" t="str">
        <f>HYPERLINK("http://stackoverflow.com/users/2172863", "rwxrwxrwx")</f>
        <v>rwxrwxrwx</v>
      </c>
      <c r="D2733" t="s">
        <v>4</v>
      </c>
      <c r="E2733">
        <v>101</v>
      </c>
    </row>
    <row r="2734" spans="1:5" x14ac:dyDescent="0.25">
      <c r="A2734">
        <v>2733</v>
      </c>
      <c r="B2734">
        <v>4147958</v>
      </c>
      <c r="C2734" s="1" t="str">
        <f>HYPERLINK("http://stackoverflow.com/users/4147958", "Rex L")</f>
        <v>Rex L</v>
      </c>
      <c r="D2734" t="s">
        <v>12</v>
      </c>
      <c r="E2734">
        <v>101</v>
      </c>
    </row>
    <row r="2735" spans="1:5" x14ac:dyDescent="0.25">
      <c r="A2735">
        <v>2734</v>
      </c>
      <c r="B2735">
        <v>2419396</v>
      </c>
      <c r="C2735" s="1" t="str">
        <f>HYPERLINK("http://stackoverflow.com/users/2419396", "Will")</f>
        <v>Will</v>
      </c>
      <c r="D2735" t="s">
        <v>54</v>
      </c>
      <c r="E2735">
        <v>101</v>
      </c>
    </row>
    <row r="2736" spans="1:5" x14ac:dyDescent="0.25">
      <c r="A2736">
        <v>2735</v>
      </c>
      <c r="B2736">
        <v>6027625</v>
      </c>
      <c r="C2736" s="1" t="str">
        <f>HYPERLINK("http://stackoverflow.com/users/6027625", "Rick Ai")</f>
        <v>Rick Ai</v>
      </c>
      <c r="D2736" t="s">
        <v>5</v>
      </c>
      <c r="E2736">
        <v>101</v>
      </c>
    </row>
    <row r="2737" spans="1:5" x14ac:dyDescent="0.25">
      <c r="A2737">
        <v>2736</v>
      </c>
      <c r="B2737">
        <v>2582309</v>
      </c>
      <c r="C2737" s="1" t="str">
        <f>HYPERLINK("http://stackoverflow.com/users/2582309", "Jian  Zhang")</f>
        <v>Jian  Zhang</v>
      </c>
      <c r="D2737" t="s">
        <v>4</v>
      </c>
      <c r="E2737">
        <v>101</v>
      </c>
    </row>
    <row r="2738" spans="1:5" x14ac:dyDescent="0.25">
      <c r="A2738">
        <v>2737</v>
      </c>
      <c r="B2738">
        <v>4786221</v>
      </c>
      <c r="C2738" s="1" t="str">
        <f>HYPERLINK("http://stackoverflow.com/users/4786221", "Huibean Luo")</f>
        <v>Huibean Luo</v>
      </c>
      <c r="D2738" t="s">
        <v>21</v>
      </c>
      <c r="E2738">
        <v>101</v>
      </c>
    </row>
    <row r="2739" spans="1:5" x14ac:dyDescent="0.25">
      <c r="A2739">
        <v>2738</v>
      </c>
      <c r="B2739">
        <v>501175</v>
      </c>
      <c r="C2739" s="1" t="str">
        <f>HYPERLINK("http://stackoverflow.com/users/501175", "zijing07")</f>
        <v>zijing07</v>
      </c>
      <c r="D2739" t="s">
        <v>4</v>
      </c>
      <c r="E2739">
        <v>101</v>
      </c>
    </row>
    <row r="2740" spans="1:5" x14ac:dyDescent="0.25">
      <c r="A2740">
        <v>2739</v>
      </c>
      <c r="B2740">
        <v>518994</v>
      </c>
      <c r="C2740" s="1" t="str">
        <f>HYPERLINK("http://stackoverflow.com/users/518994", "Harvey")</f>
        <v>Harvey</v>
      </c>
      <c r="D2740" t="s">
        <v>17</v>
      </c>
      <c r="E2740">
        <v>101</v>
      </c>
    </row>
    <row r="2741" spans="1:5" x14ac:dyDescent="0.25">
      <c r="A2741">
        <v>2740</v>
      </c>
      <c r="B2741">
        <v>3106689</v>
      </c>
      <c r="C2741" s="1" t="str">
        <f>HYPERLINK("http://stackoverflow.com/users/3106689", "xiangmao")</f>
        <v>xiangmao</v>
      </c>
      <c r="D2741" t="s">
        <v>22</v>
      </c>
      <c r="E2741">
        <v>101</v>
      </c>
    </row>
    <row r="2742" spans="1:5" x14ac:dyDescent="0.25">
      <c r="A2742">
        <v>2741</v>
      </c>
      <c r="B2742">
        <v>1688876</v>
      </c>
      <c r="C2742" s="1" t="str">
        <f>HYPERLINK("http://stackoverflow.com/users/1688876", "Ezra")</f>
        <v>Ezra</v>
      </c>
      <c r="D2742" t="s">
        <v>4</v>
      </c>
      <c r="E2742">
        <v>101</v>
      </c>
    </row>
    <row r="2743" spans="1:5" x14ac:dyDescent="0.25">
      <c r="A2743">
        <v>2742</v>
      </c>
      <c r="B2743">
        <v>1353700</v>
      </c>
      <c r="C2743" s="1" t="str">
        <f>HYPERLINK("http://stackoverflow.com/users/1353700", "W.Hao")</f>
        <v>W.Hao</v>
      </c>
      <c r="D2743" t="s">
        <v>5</v>
      </c>
      <c r="E2743">
        <v>101</v>
      </c>
    </row>
    <row r="2744" spans="1:5" x14ac:dyDescent="0.25">
      <c r="A2744">
        <v>2743</v>
      </c>
      <c r="B2744">
        <v>2049198</v>
      </c>
      <c r="C2744" s="1" t="str">
        <f>HYPERLINK("http://stackoverflow.com/users/2049198", "brendanc")</f>
        <v>brendanc</v>
      </c>
      <c r="D2744" t="s">
        <v>4</v>
      </c>
      <c r="E2744">
        <v>101</v>
      </c>
    </row>
    <row r="2745" spans="1:5" x14ac:dyDescent="0.25">
      <c r="A2745">
        <v>2744</v>
      </c>
      <c r="B2745">
        <v>5479869</v>
      </c>
      <c r="C2745" s="1" t="str">
        <f>HYPERLINK("http://stackoverflow.com/users/5479869", "chaokunyang")</f>
        <v>chaokunyang</v>
      </c>
      <c r="D2745" t="s">
        <v>7</v>
      </c>
      <c r="E2745">
        <v>101</v>
      </c>
    </row>
    <row r="2746" spans="1:5" x14ac:dyDescent="0.25">
      <c r="A2746">
        <v>2745</v>
      </c>
      <c r="B2746">
        <v>554685</v>
      </c>
      <c r="C2746" s="1" t="str">
        <f>HYPERLINK("http://stackoverflow.com/users/554685", "davient")</f>
        <v>davient</v>
      </c>
      <c r="D2746" t="s">
        <v>5</v>
      </c>
      <c r="E2746">
        <v>100</v>
      </c>
    </row>
    <row r="2747" spans="1:5" x14ac:dyDescent="0.25">
      <c r="A2747">
        <v>2746</v>
      </c>
      <c r="B2747">
        <v>797275</v>
      </c>
      <c r="C2747" s="1" t="str">
        <f>HYPERLINK("http://stackoverflow.com/users/797275", "flykobe")</f>
        <v>flykobe</v>
      </c>
      <c r="D2747" t="s">
        <v>5</v>
      </c>
      <c r="E2747">
        <v>100</v>
      </c>
    </row>
    <row r="2748" spans="1:5" x14ac:dyDescent="0.25">
      <c r="A2748">
        <v>2747</v>
      </c>
      <c r="B2748">
        <v>6491988</v>
      </c>
      <c r="C2748" s="1" t="str">
        <f>HYPERLINK("http://stackoverflow.com/users/6491988", "秃德666")</f>
        <v>秃德666</v>
      </c>
      <c r="D2748" t="s">
        <v>189</v>
      </c>
      <c r="E2748">
        <v>100</v>
      </c>
    </row>
    <row r="2749" spans="1:5" x14ac:dyDescent="0.25">
      <c r="A2749">
        <v>2748</v>
      </c>
      <c r="B2749">
        <v>2519641</v>
      </c>
      <c r="C2749" s="1" t="str">
        <f>HYPERLINK("http://stackoverflow.com/users/2519641", "uronce")</f>
        <v>uronce</v>
      </c>
      <c r="D2749" t="s">
        <v>5</v>
      </c>
      <c r="E2749">
        <v>100</v>
      </c>
    </row>
    <row r="2750" spans="1:5" x14ac:dyDescent="0.25">
      <c r="A2750">
        <v>2749</v>
      </c>
      <c r="B2750">
        <v>8893251</v>
      </c>
      <c r="C2750" s="1" t="str">
        <f>HYPERLINK("http://stackoverflow.com/users/8893251", "CandyCrusher")</f>
        <v>CandyCrusher</v>
      </c>
      <c r="D2750" t="s">
        <v>5</v>
      </c>
      <c r="E2750">
        <v>100</v>
      </c>
    </row>
    <row r="2751" spans="1:5" x14ac:dyDescent="0.25">
      <c r="A2751">
        <v>2750</v>
      </c>
      <c r="B2751">
        <v>535136</v>
      </c>
      <c r="C2751" s="1" t="str">
        <f>HYPERLINK("http://stackoverflow.com/users/535136", "treblam")</f>
        <v>treblam</v>
      </c>
      <c r="D2751" t="s">
        <v>17</v>
      </c>
      <c r="E2751">
        <v>100</v>
      </c>
    </row>
    <row r="2752" spans="1:5" x14ac:dyDescent="0.25">
      <c r="A2752">
        <v>2751</v>
      </c>
      <c r="B2752">
        <v>2674236</v>
      </c>
      <c r="C2752" s="1" t="str">
        <f>HYPERLINK("http://stackoverflow.com/users/2674236", "FlurryWInd")</f>
        <v>FlurryWInd</v>
      </c>
      <c r="D2752" t="s">
        <v>4</v>
      </c>
      <c r="E2752">
        <v>100</v>
      </c>
    </row>
    <row r="2753" spans="1:5" x14ac:dyDescent="0.25">
      <c r="A2753">
        <v>2752</v>
      </c>
      <c r="B2753">
        <v>4977258</v>
      </c>
      <c r="C2753" s="1" t="str">
        <f>HYPERLINK("http://stackoverflow.com/users/4977258", "Jianglong Chen")</f>
        <v>Jianglong Chen</v>
      </c>
      <c r="D2753" t="s">
        <v>5</v>
      </c>
      <c r="E2753">
        <v>100</v>
      </c>
    </row>
    <row r="2754" spans="1:5" x14ac:dyDescent="0.25">
      <c r="A2754">
        <v>2753</v>
      </c>
      <c r="B2754">
        <v>2674690</v>
      </c>
      <c r="C2754" s="1" t="str">
        <f>HYPERLINK("http://stackoverflow.com/users/2674690", "Charles Bao")</f>
        <v>Charles Bao</v>
      </c>
      <c r="D2754" t="s">
        <v>4</v>
      </c>
      <c r="E2754">
        <v>100</v>
      </c>
    </row>
    <row r="2755" spans="1:5" x14ac:dyDescent="0.25">
      <c r="A2755">
        <v>2754</v>
      </c>
      <c r="B2755">
        <v>2584139</v>
      </c>
      <c r="C2755" s="1" t="str">
        <f>HYPERLINK("http://stackoverflow.com/users/2584139", "eastdog")</f>
        <v>eastdog</v>
      </c>
      <c r="D2755" t="s">
        <v>4</v>
      </c>
      <c r="E2755">
        <v>100</v>
      </c>
    </row>
    <row r="2756" spans="1:5" x14ac:dyDescent="0.25">
      <c r="A2756">
        <v>2755</v>
      </c>
      <c r="B2756">
        <v>2357456</v>
      </c>
      <c r="C2756" s="1" t="str">
        <f>HYPERLINK("http://stackoverflow.com/users/2357456", "www.tonitech.com的站长")</f>
        <v>www.tonitech.com的站长</v>
      </c>
      <c r="D2756" t="s">
        <v>12</v>
      </c>
      <c r="E2756">
        <v>100</v>
      </c>
    </row>
    <row r="2757" spans="1:5" x14ac:dyDescent="0.25">
      <c r="A2757">
        <v>2756</v>
      </c>
      <c r="B2757">
        <v>2151452</v>
      </c>
      <c r="C2757" s="1" t="str">
        <f>HYPERLINK("http://stackoverflow.com/users/2151452", "Will Hu")</f>
        <v>Will Hu</v>
      </c>
      <c r="D2757" t="s">
        <v>4</v>
      </c>
      <c r="E2757">
        <v>100</v>
      </c>
    </row>
    <row r="2758" spans="1:5" x14ac:dyDescent="0.25">
      <c r="A2758">
        <v>2757</v>
      </c>
      <c r="B2758">
        <v>3321444</v>
      </c>
      <c r="C2758" s="1" t="str">
        <f>HYPERLINK("http://stackoverflow.com/users/3321444", "TonyAdo")</f>
        <v>TonyAdo</v>
      </c>
      <c r="D2758" t="s">
        <v>4</v>
      </c>
      <c r="E2758">
        <v>99</v>
      </c>
    </row>
    <row r="2759" spans="1:5" x14ac:dyDescent="0.25">
      <c r="A2759">
        <v>2758</v>
      </c>
      <c r="B2759">
        <v>646587</v>
      </c>
      <c r="C2759" s="1" t="str">
        <f>HYPERLINK("http://stackoverflow.com/users/646587", "Fan Yang")</f>
        <v>Fan Yang</v>
      </c>
      <c r="D2759" t="s">
        <v>4</v>
      </c>
      <c r="E2759">
        <v>99</v>
      </c>
    </row>
    <row r="2760" spans="1:5" x14ac:dyDescent="0.25">
      <c r="A2760">
        <v>2759</v>
      </c>
      <c r="B2760">
        <v>6164387</v>
      </c>
      <c r="C2760" s="1" t="str">
        <f>HYPERLINK("http://stackoverflow.com/users/6164387", "Eric_zhang")</f>
        <v>Eric_zhang</v>
      </c>
      <c r="D2760" t="s">
        <v>28</v>
      </c>
      <c r="E2760">
        <v>99</v>
      </c>
    </row>
    <row r="2761" spans="1:5" x14ac:dyDescent="0.25">
      <c r="A2761">
        <v>2760</v>
      </c>
      <c r="B2761">
        <v>4911448</v>
      </c>
      <c r="C2761" s="1" t="str">
        <f>HYPERLINK("http://stackoverflow.com/users/4911448", "Gjson")</f>
        <v>Gjson</v>
      </c>
      <c r="D2761" t="s">
        <v>4</v>
      </c>
      <c r="E2761">
        <v>99</v>
      </c>
    </row>
    <row r="2762" spans="1:5" x14ac:dyDescent="0.25">
      <c r="A2762">
        <v>2761</v>
      </c>
      <c r="B2762">
        <v>4939725</v>
      </c>
      <c r="C2762" s="1" t="str">
        <f>HYPERLINK("http://stackoverflow.com/users/4939725", "Frank Jiao")</f>
        <v>Frank Jiao</v>
      </c>
      <c r="D2762" t="s">
        <v>5</v>
      </c>
      <c r="E2762">
        <v>99</v>
      </c>
    </row>
    <row r="2763" spans="1:5" x14ac:dyDescent="0.25">
      <c r="A2763">
        <v>2762</v>
      </c>
      <c r="B2763">
        <v>2865213</v>
      </c>
      <c r="C2763" s="1" t="str">
        <f>HYPERLINK("http://stackoverflow.com/users/2865213", "Phil")</f>
        <v>Phil</v>
      </c>
      <c r="D2763" t="s">
        <v>5</v>
      </c>
      <c r="E2763">
        <v>99</v>
      </c>
    </row>
    <row r="2764" spans="1:5" x14ac:dyDescent="0.25">
      <c r="A2764">
        <v>2763</v>
      </c>
      <c r="B2764">
        <v>4945406</v>
      </c>
      <c r="C2764" s="1" t="str">
        <f>HYPERLINK("http://stackoverflow.com/users/4945406", "side")</f>
        <v>side</v>
      </c>
      <c r="D2764" t="s">
        <v>21</v>
      </c>
      <c r="E2764">
        <v>99</v>
      </c>
    </row>
    <row r="2765" spans="1:5" x14ac:dyDescent="0.25">
      <c r="A2765">
        <v>2764</v>
      </c>
      <c r="B2765">
        <v>723366</v>
      </c>
      <c r="C2765" s="1" t="str">
        <f>HYPERLINK("http://stackoverflow.com/users/723366", "Masson")</f>
        <v>Masson</v>
      </c>
      <c r="D2765" t="s">
        <v>21</v>
      </c>
      <c r="E2765">
        <v>99</v>
      </c>
    </row>
    <row r="2766" spans="1:5" x14ac:dyDescent="0.25">
      <c r="A2766">
        <v>2765</v>
      </c>
      <c r="B2766">
        <v>744715</v>
      </c>
      <c r="C2766" s="1" t="str">
        <f>HYPERLINK("http://stackoverflow.com/users/744715", "Leslie Zhu")</f>
        <v>Leslie Zhu</v>
      </c>
      <c r="D2766" t="s">
        <v>5</v>
      </c>
      <c r="E2766">
        <v>99</v>
      </c>
    </row>
    <row r="2767" spans="1:5" x14ac:dyDescent="0.25">
      <c r="A2767">
        <v>2766</v>
      </c>
      <c r="B2767">
        <v>121051</v>
      </c>
      <c r="C2767" s="1" t="str">
        <f>HYPERLINK("http://stackoverflow.com/users/121051", "cppguy")</f>
        <v>cppguy</v>
      </c>
      <c r="D2767" t="s">
        <v>37</v>
      </c>
      <c r="E2767">
        <v>99</v>
      </c>
    </row>
    <row r="2768" spans="1:5" x14ac:dyDescent="0.25">
      <c r="A2768">
        <v>2767</v>
      </c>
      <c r="B2768">
        <v>5619736</v>
      </c>
      <c r="C2768" s="1" t="str">
        <f>HYPERLINK("http://stackoverflow.com/users/5619736", "skywalkerytx")</f>
        <v>skywalkerytx</v>
      </c>
      <c r="D2768" t="s">
        <v>4</v>
      </c>
      <c r="E2768">
        <v>99</v>
      </c>
    </row>
    <row r="2769" spans="1:5" x14ac:dyDescent="0.25">
      <c r="A2769">
        <v>2768</v>
      </c>
      <c r="B2769">
        <v>3917179</v>
      </c>
      <c r="C2769" s="1" t="str">
        <f>HYPERLINK("http://stackoverflow.com/users/3917179", "Troy Young")</f>
        <v>Troy Young</v>
      </c>
      <c r="D2769" t="s">
        <v>22</v>
      </c>
      <c r="E2769">
        <v>99</v>
      </c>
    </row>
    <row r="2770" spans="1:5" x14ac:dyDescent="0.25">
      <c r="A2770">
        <v>2769</v>
      </c>
      <c r="B2770">
        <v>1665375</v>
      </c>
      <c r="C2770" s="1" t="str">
        <f>HYPERLINK("http://stackoverflow.com/users/1665375", "user1665375")</f>
        <v>user1665375</v>
      </c>
      <c r="D2770" t="s">
        <v>190</v>
      </c>
      <c r="E2770">
        <v>99</v>
      </c>
    </row>
    <row r="2771" spans="1:5" x14ac:dyDescent="0.25">
      <c r="A2771">
        <v>2770</v>
      </c>
      <c r="B2771">
        <v>11006608</v>
      </c>
      <c r="C2771" s="1" t="str">
        <f>HYPERLINK("http://stackoverflow.com/users/11006608", "Michael")</f>
        <v>Michael</v>
      </c>
      <c r="D2771" t="s">
        <v>5</v>
      </c>
      <c r="E2771">
        <v>99</v>
      </c>
    </row>
    <row r="2772" spans="1:5" x14ac:dyDescent="0.25">
      <c r="A2772">
        <v>2771</v>
      </c>
      <c r="B2772">
        <v>3603764</v>
      </c>
      <c r="C2772" s="1" t="str">
        <f>HYPERLINK("http://stackoverflow.com/users/3603764", "tixie")</f>
        <v>tixie</v>
      </c>
      <c r="D2772" t="s">
        <v>4</v>
      </c>
      <c r="E2772">
        <v>99</v>
      </c>
    </row>
    <row r="2773" spans="1:5" x14ac:dyDescent="0.25">
      <c r="A2773">
        <v>2772</v>
      </c>
      <c r="B2773">
        <v>2951876</v>
      </c>
      <c r="C2773" s="1" t="str">
        <f>HYPERLINK("http://stackoverflow.com/users/2951876", "Daniel D")</f>
        <v>Daniel D</v>
      </c>
      <c r="D2773" t="s">
        <v>7</v>
      </c>
      <c r="E2773">
        <v>99</v>
      </c>
    </row>
    <row r="2774" spans="1:5" x14ac:dyDescent="0.25">
      <c r="A2774">
        <v>2773</v>
      </c>
      <c r="B2774">
        <v>3855577</v>
      </c>
      <c r="C2774" s="1" t="str">
        <f>HYPERLINK("http://stackoverflow.com/users/3855577", "Beta")</f>
        <v>Beta</v>
      </c>
      <c r="D2774" t="s">
        <v>12</v>
      </c>
      <c r="E2774">
        <v>99</v>
      </c>
    </row>
    <row r="2775" spans="1:5" x14ac:dyDescent="0.25">
      <c r="A2775">
        <v>2774</v>
      </c>
      <c r="B2775">
        <v>2403851</v>
      </c>
      <c r="C2775" s="1" t="str">
        <f>HYPERLINK("http://stackoverflow.com/users/2403851", "Merlin")</f>
        <v>Merlin</v>
      </c>
      <c r="D2775" t="s">
        <v>17</v>
      </c>
      <c r="E2775">
        <v>98</v>
      </c>
    </row>
    <row r="2776" spans="1:5" x14ac:dyDescent="0.25">
      <c r="A2776">
        <v>2775</v>
      </c>
      <c r="B2776">
        <v>4976170</v>
      </c>
      <c r="C2776" s="1" t="str">
        <f>HYPERLINK("http://stackoverflow.com/users/4976170", "wangli_64604")</f>
        <v>wangli_64604</v>
      </c>
      <c r="D2776" t="s">
        <v>22</v>
      </c>
      <c r="E2776">
        <v>98</v>
      </c>
    </row>
    <row r="2777" spans="1:5" x14ac:dyDescent="0.25">
      <c r="A2777">
        <v>2776</v>
      </c>
      <c r="B2777">
        <v>1745158</v>
      </c>
      <c r="C2777" s="1" t="str">
        <f>HYPERLINK("http://stackoverflow.com/users/1745158", "John Tai")</f>
        <v>John Tai</v>
      </c>
      <c r="D2777" t="s">
        <v>135</v>
      </c>
      <c r="E2777">
        <v>98</v>
      </c>
    </row>
    <row r="2778" spans="1:5" x14ac:dyDescent="0.25">
      <c r="A2778">
        <v>2777</v>
      </c>
      <c r="B2778">
        <v>806098</v>
      </c>
      <c r="C2778" s="1" t="str">
        <f>HYPERLINK("http://stackoverflow.com/users/806098", "Cody")</f>
        <v>Cody</v>
      </c>
      <c r="D2778" t="s">
        <v>191</v>
      </c>
      <c r="E2778">
        <v>98</v>
      </c>
    </row>
    <row r="2779" spans="1:5" x14ac:dyDescent="0.25">
      <c r="A2779">
        <v>2778</v>
      </c>
      <c r="B2779">
        <v>4085698</v>
      </c>
      <c r="C2779" s="1" t="str">
        <f>HYPERLINK("http://stackoverflow.com/users/4085698", "prime_tang")</f>
        <v>prime_tang</v>
      </c>
      <c r="D2779" t="s">
        <v>5</v>
      </c>
      <c r="E2779">
        <v>98</v>
      </c>
    </row>
    <row r="2780" spans="1:5" x14ac:dyDescent="0.25">
      <c r="A2780">
        <v>2779</v>
      </c>
      <c r="B2780">
        <v>475253</v>
      </c>
      <c r="C2780" s="1" t="str">
        <f>HYPERLINK("http://stackoverflow.com/users/475253", "reniaL")</f>
        <v>reniaL</v>
      </c>
      <c r="D2780" t="s">
        <v>21</v>
      </c>
      <c r="E2780">
        <v>98</v>
      </c>
    </row>
    <row r="2781" spans="1:5" x14ac:dyDescent="0.25">
      <c r="A2781">
        <v>2780</v>
      </c>
      <c r="B2781">
        <v>2973417</v>
      </c>
      <c r="C2781" s="1" t="str">
        <f>HYPERLINK("http://stackoverflow.com/users/2973417", "Zjmainstay")</f>
        <v>Zjmainstay</v>
      </c>
      <c r="D2781" t="s">
        <v>5</v>
      </c>
      <c r="E2781">
        <v>98</v>
      </c>
    </row>
    <row r="2782" spans="1:5" x14ac:dyDescent="0.25">
      <c r="A2782">
        <v>2781</v>
      </c>
      <c r="B2782">
        <v>7638509</v>
      </c>
      <c r="C2782" s="1" t="str">
        <f>HYPERLINK("http://stackoverflow.com/users/7638509", "Javan")</f>
        <v>Javan</v>
      </c>
      <c r="D2782" t="s">
        <v>192</v>
      </c>
      <c r="E2782">
        <v>98</v>
      </c>
    </row>
    <row r="2783" spans="1:5" x14ac:dyDescent="0.25">
      <c r="A2783">
        <v>2782</v>
      </c>
      <c r="B2783">
        <v>1901048</v>
      </c>
      <c r="C2783" s="1" t="str">
        <f>HYPERLINK("http://stackoverflow.com/users/1901048", "Bill Wang")</f>
        <v>Bill Wang</v>
      </c>
      <c r="D2783" t="s">
        <v>4</v>
      </c>
      <c r="E2783">
        <v>97</v>
      </c>
    </row>
    <row r="2784" spans="1:5" x14ac:dyDescent="0.25">
      <c r="A2784">
        <v>2783</v>
      </c>
      <c r="B2784">
        <v>3496304</v>
      </c>
      <c r="C2784" s="1" t="str">
        <f>HYPERLINK("http://stackoverflow.com/users/3496304", "Peter Liang")</f>
        <v>Peter Liang</v>
      </c>
      <c r="D2784" t="s">
        <v>17</v>
      </c>
      <c r="E2784">
        <v>97</v>
      </c>
    </row>
    <row r="2785" spans="1:5" x14ac:dyDescent="0.25">
      <c r="A2785">
        <v>2784</v>
      </c>
      <c r="B2785">
        <v>5822375</v>
      </c>
      <c r="C2785" s="1" t="str">
        <f>HYPERLINK("http://stackoverflow.com/users/5822375", "Daveedo")</f>
        <v>Daveedo</v>
      </c>
      <c r="D2785" t="s">
        <v>62</v>
      </c>
      <c r="E2785">
        <v>97</v>
      </c>
    </row>
    <row r="2786" spans="1:5" x14ac:dyDescent="0.25">
      <c r="A2786">
        <v>2785</v>
      </c>
      <c r="B2786">
        <v>583998</v>
      </c>
      <c r="C2786" s="1" t="str">
        <f>HYPERLINK("http://stackoverflow.com/users/583998", "Bao")</f>
        <v>Bao</v>
      </c>
      <c r="D2786" t="s">
        <v>4</v>
      </c>
      <c r="E2786">
        <v>97</v>
      </c>
    </row>
    <row r="2787" spans="1:5" x14ac:dyDescent="0.25">
      <c r="A2787">
        <v>2786</v>
      </c>
      <c r="B2787">
        <v>4997270</v>
      </c>
      <c r="C2787" s="1" t="str">
        <f>HYPERLINK("http://stackoverflow.com/users/4997270", "Yin Shudi")</f>
        <v>Yin Shudi</v>
      </c>
      <c r="D2787" t="s">
        <v>21</v>
      </c>
      <c r="E2787">
        <v>97</v>
      </c>
    </row>
    <row r="2788" spans="1:5" x14ac:dyDescent="0.25">
      <c r="A2788">
        <v>2787</v>
      </c>
      <c r="B2788">
        <v>1130578</v>
      </c>
      <c r="C2788" s="1" t="str">
        <f>HYPERLINK("http://stackoverflow.com/users/1130578", "hongbin")</f>
        <v>hongbin</v>
      </c>
      <c r="D2788" t="s">
        <v>4</v>
      </c>
      <c r="E2788">
        <v>97</v>
      </c>
    </row>
    <row r="2789" spans="1:5" x14ac:dyDescent="0.25">
      <c r="A2789">
        <v>2788</v>
      </c>
      <c r="B2789">
        <v>3736709</v>
      </c>
      <c r="C2789" s="1" t="str">
        <f>HYPERLINK("http://stackoverflow.com/users/3736709", "Photunix")</f>
        <v>Photunix</v>
      </c>
      <c r="D2789" t="s">
        <v>5</v>
      </c>
      <c r="E2789">
        <v>97</v>
      </c>
    </row>
    <row r="2790" spans="1:5" x14ac:dyDescent="0.25">
      <c r="A2790">
        <v>2789</v>
      </c>
      <c r="B2790">
        <v>5969163</v>
      </c>
      <c r="C2790" s="1" t="str">
        <f>HYPERLINK("http://stackoverflow.com/users/5969163", "xiayouxue")</f>
        <v>xiayouxue</v>
      </c>
      <c r="D2790" t="s">
        <v>5</v>
      </c>
      <c r="E2790">
        <v>97</v>
      </c>
    </row>
    <row r="2791" spans="1:5" x14ac:dyDescent="0.25">
      <c r="A2791">
        <v>2790</v>
      </c>
      <c r="B2791">
        <v>2322908</v>
      </c>
      <c r="C2791" s="1" t="str">
        <f>HYPERLINK("http://stackoverflow.com/users/2322908", "wangsquirrel")</f>
        <v>wangsquirrel</v>
      </c>
      <c r="D2791" t="s">
        <v>5</v>
      </c>
      <c r="E2791">
        <v>97</v>
      </c>
    </row>
    <row r="2792" spans="1:5" x14ac:dyDescent="0.25">
      <c r="A2792">
        <v>2791</v>
      </c>
      <c r="B2792">
        <v>2199458</v>
      </c>
      <c r="C2792" s="1" t="str">
        <f>HYPERLINK("http://stackoverflow.com/users/2199458", "styxyang")</f>
        <v>styxyang</v>
      </c>
      <c r="D2792" t="s">
        <v>4</v>
      </c>
      <c r="E2792">
        <v>96</v>
      </c>
    </row>
    <row r="2793" spans="1:5" x14ac:dyDescent="0.25">
      <c r="A2793">
        <v>2792</v>
      </c>
      <c r="B2793">
        <v>1115857</v>
      </c>
      <c r="C2793" s="1" t="str">
        <f>HYPERLINK("http://stackoverflow.com/users/1115857", "amyangfei")</f>
        <v>amyangfei</v>
      </c>
      <c r="D2793" t="s">
        <v>5</v>
      </c>
      <c r="E2793">
        <v>96</v>
      </c>
    </row>
    <row r="2794" spans="1:5" x14ac:dyDescent="0.25">
      <c r="A2794">
        <v>2793</v>
      </c>
      <c r="B2794">
        <v>3064170</v>
      </c>
      <c r="C2794" s="1" t="str">
        <f>HYPERLINK("http://stackoverflow.com/users/3064170", "TossPig")</f>
        <v>TossPig</v>
      </c>
      <c r="D2794" t="s">
        <v>22</v>
      </c>
      <c r="E2794">
        <v>96</v>
      </c>
    </row>
    <row r="2795" spans="1:5" x14ac:dyDescent="0.25">
      <c r="A2795">
        <v>2794</v>
      </c>
      <c r="B2795">
        <v>2465937</v>
      </c>
      <c r="C2795" s="1" t="str">
        <f>HYPERLINK("http://stackoverflow.com/users/2465937", "Hunter")</f>
        <v>Hunter</v>
      </c>
      <c r="D2795" t="s">
        <v>37</v>
      </c>
      <c r="E2795">
        <v>96</v>
      </c>
    </row>
    <row r="2796" spans="1:5" x14ac:dyDescent="0.25">
      <c r="A2796">
        <v>2795</v>
      </c>
      <c r="B2796">
        <v>3659453</v>
      </c>
      <c r="C2796" s="1" t="str">
        <f>HYPERLINK("http://stackoverflow.com/users/3659453", "feiyuw")</f>
        <v>feiyuw</v>
      </c>
      <c r="D2796" t="s">
        <v>12</v>
      </c>
      <c r="E2796">
        <v>96</v>
      </c>
    </row>
    <row r="2797" spans="1:5" x14ac:dyDescent="0.25">
      <c r="A2797">
        <v>2796</v>
      </c>
      <c r="B2797">
        <v>1118641</v>
      </c>
      <c r="C2797" s="1" t="str">
        <f>HYPERLINK("http://stackoverflow.com/users/1118641", "Benjamin Li")</f>
        <v>Benjamin Li</v>
      </c>
      <c r="D2797" t="s">
        <v>4</v>
      </c>
      <c r="E2797">
        <v>96</v>
      </c>
    </row>
    <row r="2798" spans="1:5" x14ac:dyDescent="0.25">
      <c r="A2798">
        <v>2797</v>
      </c>
      <c r="B2798">
        <v>1111479</v>
      </c>
      <c r="C2798" s="1" t="str">
        <f>HYPERLINK("http://stackoverflow.com/users/1111479", "stoneyang")</f>
        <v>stoneyang</v>
      </c>
      <c r="D2798" t="s">
        <v>5</v>
      </c>
      <c r="E2798">
        <v>96</v>
      </c>
    </row>
    <row r="2799" spans="1:5" x14ac:dyDescent="0.25">
      <c r="A2799">
        <v>2798</v>
      </c>
      <c r="B2799">
        <v>1242027</v>
      </c>
      <c r="C2799" s="1" t="str">
        <f>HYPERLINK("http://stackoverflow.com/users/1242027", "Wei JingNing")</f>
        <v>Wei JingNing</v>
      </c>
      <c r="D2799" t="s">
        <v>5</v>
      </c>
      <c r="E2799">
        <v>96</v>
      </c>
    </row>
    <row r="2800" spans="1:5" x14ac:dyDescent="0.25">
      <c r="A2800">
        <v>2799</v>
      </c>
      <c r="B2800">
        <v>1179401</v>
      </c>
      <c r="C2800" s="1" t="str">
        <f>HYPERLINK("http://stackoverflow.com/users/1179401", "Ello")</f>
        <v>Ello</v>
      </c>
      <c r="D2800" t="s">
        <v>35</v>
      </c>
      <c r="E2800">
        <v>96</v>
      </c>
    </row>
    <row r="2801" spans="1:5" x14ac:dyDescent="0.25">
      <c r="A2801">
        <v>2800</v>
      </c>
      <c r="B2801">
        <v>675986</v>
      </c>
      <c r="C2801" s="1" t="str">
        <f>HYPERLINK("http://stackoverflow.com/users/675986", "eggcaker")</f>
        <v>eggcaker</v>
      </c>
      <c r="D2801" t="s">
        <v>5</v>
      </c>
      <c r="E2801">
        <v>96</v>
      </c>
    </row>
    <row r="2802" spans="1:5" x14ac:dyDescent="0.25">
      <c r="A2802">
        <v>2801</v>
      </c>
      <c r="B2802">
        <v>238055</v>
      </c>
      <c r="C2802" s="1" t="str">
        <f>HYPERLINK("http://stackoverflow.com/users/238055", "pootow")</f>
        <v>pootow</v>
      </c>
      <c r="D2802" t="s">
        <v>5</v>
      </c>
      <c r="E2802">
        <v>96</v>
      </c>
    </row>
    <row r="2803" spans="1:5" x14ac:dyDescent="0.25">
      <c r="A2803">
        <v>2802</v>
      </c>
      <c r="B2803">
        <v>2549064</v>
      </c>
      <c r="C2803" s="1" t="str">
        <f>HYPERLINK("http://stackoverflow.com/users/2549064", "West")</f>
        <v>West</v>
      </c>
      <c r="D2803" t="s">
        <v>4</v>
      </c>
      <c r="E2803">
        <v>96</v>
      </c>
    </row>
    <row r="2804" spans="1:5" x14ac:dyDescent="0.25">
      <c r="A2804">
        <v>2803</v>
      </c>
      <c r="B2804">
        <v>4451784</v>
      </c>
      <c r="C2804" s="1" t="str">
        <f>HYPERLINK("http://stackoverflow.com/users/4451784", "Aaron")</f>
        <v>Aaron</v>
      </c>
      <c r="D2804" t="s">
        <v>4</v>
      </c>
      <c r="E2804">
        <v>96</v>
      </c>
    </row>
    <row r="2805" spans="1:5" x14ac:dyDescent="0.25">
      <c r="A2805">
        <v>2804</v>
      </c>
      <c r="B2805">
        <v>723166</v>
      </c>
      <c r="C2805" s="1" t="str">
        <f>HYPERLINK("http://stackoverflow.com/users/723166", "Contra")</f>
        <v>Contra</v>
      </c>
      <c r="D2805" t="s">
        <v>43</v>
      </c>
      <c r="E2805">
        <v>96</v>
      </c>
    </row>
    <row r="2806" spans="1:5" x14ac:dyDescent="0.25">
      <c r="A2806">
        <v>2805</v>
      </c>
      <c r="B2806">
        <v>1490421</v>
      </c>
      <c r="C2806" s="1" t="str">
        <f>HYPERLINK("http://stackoverflow.com/users/1490421", "xiez")</f>
        <v>xiez</v>
      </c>
      <c r="D2806" t="s">
        <v>5</v>
      </c>
      <c r="E2806">
        <v>96</v>
      </c>
    </row>
    <row r="2807" spans="1:5" x14ac:dyDescent="0.25">
      <c r="A2807">
        <v>2806</v>
      </c>
      <c r="B2807">
        <v>3001175</v>
      </c>
      <c r="C2807" s="1" t="str">
        <f>HYPERLINK("http://stackoverflow.com/users/3001175", "Azam Rafique")</f>
        <v>Azam Rafique</v>
      </c>
      <c r="D2807" t="s">
        <v>4</v>
      </c>
      <c r="E2807">
        <v>96</v>
      </c>
    </row>
    <row r="2808" spans="1:5" x14ac:dyDescent="0.25">
      <c r="A2808">
        <v>2807</v>
      </c>
      <c r="B2808">
        <v>707089</v>
      </c>
      <c r="C2808" s="1" t="str">
        <f>HYPERLINK("http://stackoverflow.com/users/707089", "kenny")</f>
        <v>kenny</v>
      </c>
      <c r="D2808" t="s">
        <v>35</v>
      </c>
      <c r="E2808">
        <v>96</v>
      </c>
    </row>
    <row r="2809" spans="1:5" x14ac:dyDescent="0.25">
      <c r="A2809">
        <v>2808</v>
      </c>
      <c r="B2809">
        <v>2615292</v>
      </c>
      <c r="C2809" s="1" t="str">
        <f>HYPERLINK("http://stackoverflow.com/users/2615292", "Yuanchao Tang")</f>
        <v>Yuanchao Tang</v>
      </c>
      <c r="D2809" t="s">
        <v>4</v>
      </c>
      <c r="E2809">
        <v>96</v>
      </c>
    </row>
    <row r="2810" spans="1:5" x14ac:dyDescent="0.25">
      <c r="A2810">
        <v>2809</v>
      </c>
      <c r="B2810">
        <v>6178674</v>
      </c>
      <c r="C2810" s="1" t="str">
        <f>HYPERLINK("http://stackoverflow.com/users/6178674", "tellxp")</f>
        <v>tellxp</v>
      </c>
      <c r="D2810" t="s">
        <v>28</v>
      </c>
      <c r="E2810">
        <v>96</v>
      </c>
    </row>
    <row r="2811" spans="1:5" x14ac:dyDescent="0.25">
      <c r="A2811">
        <v>2810</v>
      </c>
      <c r="B2811">
        <v>162820</v>
      </c>
      <c r="C2811" s="1" t="str">
        <f>HYPERLINK("http://stackoverflow.com/users/162820", "Lei Yang")</f>
        <v>Lei Yang</v>
      </c>
      <c r="D2811" t="s">
        <v>4</v>
      </c>
      <c r="E2811">
        <v>96</v>
      </c>
    </row>
    <row r="2812" spans="1:5" x14ac:dyDescent="0.25">
      <c r="A2812">
        <v>2811</v>
      </c>
      <c r="B2812">
        <v>1828799</v>
      </c>
      <c r="C2812" s="1" t="str">
        <f>HYPERLINK("http://stackoverflow.com/users/1828799", "skymoney")</f>
        <v>skymoney</v>
      </c>
      <c r="D2812" t="s">
        <v>37</v>
      </c>
      <c r="E2812">
        <v>96</v>
      </c>
    </row>
    <row r="2813" spans="1:5" x14ac:dyDescent="0.25">
      <c r="A2813">
        <v>2812</v>
      </c>
      <c r="B2813">
        <v>210629</v>
      </c>
      <c r="C2813" s="1" t="str">
        <f>HYPERLINK("http://stackoverflow.com/users/210629", "Mountain")</f>
        <v>Mountain</v>
      </c>
      <c r="D2813" t="s">
        <v>5</v>
      </c>
      <c r="E2813">
        <v>96</v>
      </c>
    </row>
    <row r="2814" spans="1:5" x14ac:dyDescent="0.25">
      <c r="A2814">
        <v>2813</v>
      </c>
      <c r="B2814">
        <v>714454</v>
      </c>
      <c r="C2814" s="1" t="str">
        <f>HYPERLINK("http://stackoverflow.com/users/714454", "Simon Shi")</f>
        <v>Simon Shi</v>
      </c>
      <c r="D2814" t="s">
        <v>12</v>
      </c>
      <c r="E2814">
        <v>96</v>
      </c>
    </row>
    <row r="2815" spans="1:5" x14ac:dyDescent="0.25">
      <c r="A2815">
        <v>2814</v>
      </c>
      <c r="B2815">
        <v>828349</v>
      </c>
      <c r="C2815" s="1" t="str">
        <f>HYPERLINK("http://stackoverflow.com/users/828349", "shengfengli")</f>
        <v>shengfengli</v>
      </c>
      <c r="D2815" t="s">
        <v>5</v>
      </c>
      <c r="E2815">
        <v>96</v>
      </c>
    </row>
    <row r="2816" spans="1:5" x14ac:dyDescent="0.25">
      <c r="A2816">
        <v>2815</v>
      </c>
      <c r="B2816">
        <v>974646</v>
      </c>
      <c r="C2816" s="1" t="str">
        <f>HYPERLINK("http://stackoverflow.com/users/974646", "imDingo")</f>
        <v>imDingo</v>
      </c>
      <c r="D2816" t="s">
        <v>5</v>
      </c>
      <c r="E2816">
        <v>96</v>
      </c>
    </row>
    <row r="2817" spans="1:5" x14ac:dyDescent="0.25">
      <c r="A2817">
        <v>2816</v>
      </c>
      <c r="B2817">
        <v>506874</v>
      </c>
      <c r="C2817" s="1" t="str">
        <f>HYPERLINK("http://stackoverflow.com/users/506874", "MouJian")</f>
        <v>MouJian</v>
      </c>
      <c r="D2817" t="s">
        <v>4</v>
      </c>
      <c r="E2817">
        <v>96</v>
      </c>
    </row>
    <row r="2818" spans="1:5" x14ac:dyDescent="0.25">
      <c r="A2818">
        <v>2817</v>
      </c>
      <c r="B2818">
        <v>3104051</v>
      </c>
      <c r="C2818" s="1" t="str">
        <f>HYPERLINK("http://stackoverflow.com/users/3104051", "Z.L.Chen")</f>
        <v>Z.L.Chen</v>
      </c>
      <c r="D2818" t="s">
        <v>21</v>
      </c>
      <c r="E2818">
        <v>96</v>
      </c>
    </row>
    <row r="2819" spans="1:5" x14ac:dyDescent="0.25">
      <c r="A2819">
        <v>2818</v>
      </c>
      <c r="B2819">
        <v>1215744</v>
      </c>
      <c r="C2819" s="1" t="str">
        <f>HYPERLINK("http://stackoverflow.com/users/1215744", "chenakira")</f>
        <v>chenakira</v>
      </c>
      <c r="D2819" t="s">
        <v>4</v>
      </c>
      <c r="E2819">
        <v>96</v>
      </c>
    </row>
    <row r="2820" spans="1:5" x14ac:dyDescent="0.25">
      <c r="A2820">
        <v>2819</v>
      </c>
      <c r="B2820">
        <v>4757521</v>
      </c>
      <c r="C2820" s="1" t="str">
        <f>HYPERLINK("http://stackoverflow.com/users/4757521", "Bluethon")</f>
        <v>Bluethon</v>
      </c>
      <c r="D2820" t="s">
        <v>5</v>
      </c>
      <c r="E2820">
        <v>95</v>
      </c>
    </row>
    <row r="2821" spans="1:5" x14ac:dyDescent="0.25">
      <c r="A2821">
        <v>2820</v>
      </c>
      <c r="B2821">
        <v>3235493</v>
      </c>
      <c r="C2821" s="1" t="str">
        <f>HYPERLINK("http://stackoverflow.com/users/3235493", "WilliamZang")</f>
        <v>WilliamZang</v>
      </c>
      <c r="D2821" t="s">
        <v>5</v>
      </c>
      <c r="E2821">
        <v>95</v>
      </c>
    </row>
    <row r="2822" spans="1:5" x14ac:dyDescent="0.25">
      <c r="A2822">
        <v>2821</v>
      </c>
      <c r="B2822">
        <v>4192175</v>
      </c>
      <c r="C2822" s="1" t="str">
        <f>HYPERLINK("http://stackoverflow.com/users/4192175", "luotao")</f>
        <v>luotao</v>
      </c>
      <c r="D2822" t="s">
        <v>4</v>
      </c>
      <c r="E2822">
        <v>95</v>
      </c>
    </row>
    <row r="2823" spans="1:5" x14ac:dyDescent="0.25">
      <c r="A2823">
        <v>2822</v>
      </c>
      <c r="B2823">
        <v>6877663</v>
      </c>
      <c r="C2823" s="1" t="str">
        <f>HYPERLINK("http://stackoverflow.com/users/6877663", "qining.shi")</f>
        <v>qining.shi</v>
      </c>
      <c r="D2823" t="s">
        <v>5</v>
      </c>
      <c r="E2823">
        <v>95</v>
      </c>
    </row>
    <row r="2824" spans="1:5" x14ac:dyDescent="0.25">
      <c r="A2824">
        <v>2823</v>
      </c>
      <c r="B2824">
        <v>2825613</v>
      </c>
      <c r="C2824" s="1" t="str">
        <f>HYPERLINK("http://stackoverflow.com/users/2825613", "iCrany")</f>
        <v>iCrany</v>
      </c>
      <c r="D2824" t="s">
        <v>21</v>
      </c>
      <c r="E2824">
        <v>95</v>
      </c>
    </row>
    <row r="2825" spans="1:5" x14ac:dyDescent="0.25">
      <c r="A2825">
        <v>2824</v>
      </c>
      <c r="B2825">
        <v>947973</v>
      </c>
      <c r="C2825" s="1" t="str">
        <f>HYPERLINK("http://stackoverflow.com/users/947973", "Timothy")</f>
        <v>Timothy</v>
      </c>
      <c r="D2825" t="s">
        <v>4</v>
      </c>
      <c r="E2825">
        <v>95</v>
      </c>
    </row>
    <row r="2826" spans="1:5" x14ac:dyDescent="0.25">
      <c r="A2826">
        <v>2825</v>
      </c>
      <c r="B2826">
        <v>6417547</v>
      </c>
      <c r="C2826" s="1" t="str">
        <f>HYPERLINK("http://stackoverflow.com/users/6417547", "Chen Jiling")</f>
        <v>Chen Jiling</v>
      </c>
      <c r="D2826" t="s">
        <v>16</v>
      </c>
      <c r="E2826">
        <v>95</v>
      </c>
    </row>
    <row r="2827" spans="1:5" x14ac:dyDescent="0.25">
      <c r="A2827">
        <v>2826</v>
      </c>
      <c r="B2827">
        <v>4942829</v>
      </c>
      <c r="C2827" s="1" t="str">
        <f>HYPERLINK("http://stackoverflow.com/users/4942829", "C_Y")</f>
        <v>C_Y</v>
      </c>
      <c r="D2827" t="s">
        <v>8</v>
      </c>
      <c r="E2827">
        <v>95</v>
      </c>
    </row>
    <row r="2828" spans="1:5" x14ac:dyDescent="0.25">
      <c r="A2828">
        <v>2827</v>
      </c>
      <c r="B2828">
        <v>9304616</v>
      </c>
      <c r="C2828" s="1" t="str">
        <f>HYPERLINK("http://stackoverflow.com/users/9304616", "Lebecca")</f>
        <v>Lebecca</v>
      </c>
      <c r="D2828" t="s">
        <v>192</v>
      </c>
      <c r="E2828">
        <v>95</v>
      </c>
    </row>
    <row r="2829" spans="1:5" x14ac:dyDescent="0.25">
      <c r="A2829">
        <v>2828</v>
      </c>
      <c r="B2829">
        <v>4699195</v>
      </c>
      <c r="C2829" s="1" t="str">
        <f>HYPERLINK("http://stackoverflow.com/users/4699195", "arslan2012")</f>
        <v>arslan2012</v>
      </c>
      <c r="D2829" t="s">
        <v>5</v>
      </c>
      <c r="E2829">
        <v>95</v>
      </c>
    </row>
    <row r="2830" spans="1:5" x14ac:dyDescent="0.25">
      <c r="A2830">
        <v>2829</v>
      </c>
      <c r="B2830">
        <v>553038</v>
      </c>
      <c r="C2830" s="1" t="str">
        <f>HYPERLINK("http://stackoverflow.com/users/553038", "Huangzy")</f>
        <v>Huangzy</v>
      </c>
      <c r="D2830" t="s">
        <v>5</v>
      </c>
      <c r="E2830">
        <v>94</v>
      </c>
    </row>
    <row r="2831" spans="1:5" x14ac:dyDescent="0.25">
      <c r="A2831">
        <v>2830</v>
      </c>
      <c r="B2831">
        <v>2531985</v>
      </c>
      <c r="C2831" s="1" t="str">
        <f>HYPERLINK("http://stackoverflow.com/users/2531985", "Jiaheng")</f>
        <v>Jiaheng</v>
      </c>
      <c r="D2831" t="s">
        <v>5</v>
      </c>
      <c r="E2831">
        <v>94</v>
      </c>
    </row>
    <row r="2832" spans="1:5" x14ac:dyDescent="0.25">
      <c r="A2832">
        <v>2831</v>
      </c>
      <c r="B2832">
        <v>1061106</v>
      </c>
      <c r="C2832" s="1" t="str">
        <f>HYPERLINK("http://stackoverflow.com/users/1061106", "peter")</f>
        <v>peter</v>
      </c>
      <c r="D2832" t="s">
        <v>5</v>
      </c>
      <c r="E2832">
        <v>94</v>
      </c>
    </row>
    <row r="2833" spans="1:5" x14ac:dyDescent="0.25">
      <c r="A2833">
        <v>2832</v>
      </c>
      <c r="B2833">
        <v>5439068</v>
      </c>
      <c r="C2833" s="1" t="str">
        <f>HYPERLINK("http://stackoverflow.com/users/5439068", "Zhifei")</f>
        <v>Zhifei</v>
      </c>
      <c r="D2833" t="s">
        <v>4</v>
      </c>
      <c r="E2833">
        <v>94</v>
      </c>
    </row>
    <row r="2834" spans="1:5" x14ac:dyDescent="0.25">
      <c r="A2834">
        <v>2833</v>
      </c>
      <c r="B2834">
        <v>7630831</v>
      </c>
      <c r="C2834" s="1" t="str">
        <f>HYPERLINK("http://stackoverflow.com/users/7630831", "abuccts")</f>
        <v>abuccts</v>
      </c>
      <c r="D2834" t="s">
        <v>5</v>
      </c>
      <c r="E2834">
        <v>94</v>
      </c>
    </row>
    <row r="2835" spans="1:5" x14ac:dyDescent="0.25">
      <c r="A2835">
        <v>2834</v>
      </c>
      <c r="B2835">
        <v>1152749</v>
      </c>
      <c r="C2835" s="1" t="str">
        <f>HYPERLINK("http://stackoverflow.com/users/1152749", "CedSha")</f>
        <v>CedSha</v>
      </c>
      <c r="D2835" t="s">
        <v>4</v>
      </c>
      <c r="E2835">
        <v>94</v>
      </c>
    </row>
    <row r="2836" spans="1:5" x14ac:dyDescent="0.25">
      <c r="A2836">
        <v>2835</v>
      </c>
      <c r="B2836">
        <v>1118630</v>
      </c>
      <c r="C2836" s="1" t="str">
        <f>HYPERLINK("http://stackoverflow.com/users/1118630", "jonah_w")</f>
        <v>jonah_w</v>
      </c>
      <c r="D2836" t="s">
        <v>4</v>
      </c>
      <c r="E2836">
        <v>94</v>
      </c>
    </row>
    <row r="2837" spans="1:5" x14ac:dyDescent="0.25">
      <c r="A2837">
        <v>2836</v>
      </c>
      <c r="B2837">
        <v>4372926</v>
      </c>
      <c r="C2837" s="1" t="str">
        <f>HYPERLINK("http://stackoverflow.com/users/4372926", "Isaac Zhi")</f>
        <v>Isaac Zhi</v>
      </c>
      <c r="D2837" t="s">
        <v>5</v>
      </c>
      <c r="E2837">
        <v>94</v>
      </c>
    </row>
    <row r="2838" spans="1:5" x14ac:dyDescent="0.25">
      <c r="A2838">
        <v>2837</v>
      </c>
      <c r="B2838">
        <v>2247946</v>
      </c>
      <c r="C2838" s="1" t="str">
        <f>HYPERLINK("http://stackoverflow.com/users/2247946", "Yuntao Wang")</f>
        <v>Yuntao Wang</v>
      </c>
      <c r="D2838" t="s">
        <v>5</v>
      </c>
      <c r="E2838">
        <v>94</v>
      </c>
    </row>
    <row r="2839" spans="1:5" x14ac:dyDescent="0.25">
      <c r="A2839">
        <v>2838</v>
      </c>
      <c r="B2839">
        <v>5829260</v>
      </c>
      <c r="C2839" s="1" t="str">
        <f>HYPERLINK("http://stackoverflow.com/users/5829260", "Alex")</f>
        <v>Alex</v>
      </c>
      <c r="D2839" t="s">
        <v>4</v>
      </c>
      <c r="E2839">
        <v>94</v>
      </c>
    </row>
    <row r="2840" spans="1:5" x14ac:dyDescent="0.25">
      <c r="A2840">
        <v>2839</v>
      </c>
      <c r="B2840">
        <v>4042093</v>
      </c>
      <c r="C2840" s="1" t="str">
        <f>HYPERLINK("http://stackoverflow.com/users/4042093", "翟桂锋")</f>
        <v>翟桂锋</v>
      </c>
      <c r="D2840" t="s">
        <v>55</v>
      </c>
      <c r="E2840">
        <v>94</v>
      </c>
    </row>
    <row r="2841" spans="1:5" x14ac:dyDescent="0.25">
      <c r="A2841">
        <v>2840</v>
      </c>
      <c r="B2841">
        <v>5709320</v>
      </c>
      <c r="C2841" s="1" t="str">
        <f>HYPERLINK("http://stackoverflow.com/users/5709320", "Bo Wang")</f>
        <v>Bo Wang</v>
      </c>
      <c r="D2841" t="s">
        <v>4</v>
      </c>
      <c r="E2841">
        <v>94</v>
      </c>
    </row>
    <row r="2842" spans="1:5" x14ac:dyDescent="0.25">
      <c r="A2842">
        <v>2841</v>
      </c>
      <c r="B2842">
        <v>1208262</v>
      </c>
      <c r="C2842" s="1" t="str">
        <f>HYPERLINK("http://stackoverflow.com/users/1208262", "Frek")</f>
        <v>Frek</v>
      </c>
      <c r="D2842" t="s">
        <v>57</v>
      </c>
      <c r="E2842">
        <v>94</v>
      </c>
    </row>
    <row r="2843" spans="1:5" x14ac:dyDescent="0.25">
      <c r="A2843">
        <v>2842</v>
      </c>
      <c r="B2843">
        <v>5315511</v>
      </c>
      <c r="C2843" s="1" t="str">
        <f>HYPERLINK("http://stackoverflow.com/users/5315511", "Jelly")</f>
        <v>Jelly</v>
      </c>
      <c r="D2843" t="s">
        <v>5</v>
      </c>
      <c r="E2843">
        <v>94</v>
      </c>
    </row>
    <row r="2844" spans="1:5" x14ac:dyDescent="0.25">
      <c r="A2844">
        <v>2843</v>
      </c>
      <c r="B2844">
        <v>2657616</v>
      </c>
      <c r="C2844" s="1" t="str">
        <f>HYPERLINK("http://stackoverflow.com/users/2657616", "Ali")</f>
        <v>Ali</v>
      </c>
      <c r="D2844" t="s">
        <v>7</v>
      </c>
      <c r="E2844">
        <v>94</v>
      </c>
    </row>
    <row r="2845" spans="1:5" x14ac:dyDescent="0.25">
      <c r="A2845">
        <v>2844</v>
      </c>
      <c r="B2845">
        <v>1335621</v>
      </c>
      <c r="C2845" s="1" t="str">
        <f>HYPERLINK("http://stackoverflow.com/users/1335621", "Bing")</f>
        <v>Bing</v>
      </c>
      <c r="D2845" t="s">
        <v>5</v>
      </c>
      <c r="E2845">
        <v>94</v>
      </c>
    </row>
    <row r="2846" spans="1:5" x14ac:dyDescent="0.25">
      <c r="A2846">
        <v>2845</v>
      </c>
      <c r="B2846">
        <v>7377570</v>
      </c>
      <c r="C2846" s="1" t="str">
        <f>HYPERLINK("http://stackoverflow.com/users/7377570", "user7377570")</f>
        <v>user7377570</v>
      </c>
      <c r="D2846" t="s">
        <v>5</v>
      </c>
      <c r="E2846">
        <v>94</v>
      </c>
    </row>
    <row r="2847" spans="1:5" x14ac:dyDescent="0.25">
      <c r="A2847">
        <v>2846</v>
      </c>
      <c r="B2847">
        <v>1837553</v>
      </c>
      <c r="C2847" s="1" t="str">
        <f>HYPERLINK("http://stackoverflow.com/users/1837553", "Friedmannn")</f>
        <v>Friedmannn</v>
      </c>
      <c r="D2847" t="s">
        <v>37</v>
      </c>
      <c r="E2847">
        <v>93</v>
      </c>
    </row>
    <row r="2848" spans="1:5" x14ac:dyDescent="0.25">
      <c r="A2848">
        <v>2847</v>
      </c>
      <c r="B2848">
        <v>2810189</v>
      </c>
      <c r="C2848" s="1" t="str">
        <f>HYPERLINK("http://stackoverflow.com/users/2810189", "niushuai")</f>
        <v>niushuai</v>
      </c>
      <c r="D2848" t="s">
        <v>5</v>
      </c>
      <c r="E2848">
        <v>93</v>
      </c>
    </row>
    <row r="2849" spans="1:5" x14ac:dyDescent="0.25">
      <c r="A2849">
        <v>2848</v>
      </c>
      <c r="B2849">
        <v>2532743</v>
      </c>
      <c r="C2849" s="1" t="str">
        <f>HYPERLINK("http://stackoverflow.com/users/2532743", "Tac Huang")</f>
        <v>Tac Huang</v>
      </c>
      <c r="D2849" t="s">
        <v>4</v>
      </c>
      <c r="E2849">
        <v>93</v>
      </c>
    </row>
    <row r="2850" spans="1:5" x14ac:dyDescent="0.25">
      <c r="A2850">
        <v>2849</v>
      </c>
      <c r="B2850">
        <v>1118584</v>
      </c>
      <c r="C2850" s="1" t="str">
        <f>HYPERLINK("http://stackoverflow.com/users/1118584", "shenli3514")</f>
        <v>shenli3514</v>
      </c>
      <c r="D2850" t="s">
        <v>5</v>
      </c>
      <c r="E2850">
        <v>93</v>
      </c>
    </row>
    <row r="2851" spans="1:5" x14ac:dyDescent="0.25">
      <c r="A2851">
        <v>2850</v>
      </c>
      <c r="B2851">
        <v>992966</v>
      </c>
      <c r="C2851" s="1" t="str">
        <f>HYPERLINK("http://stackoverflow.com/users/992966", "Jason Wong")</f>
        <v>Jason Wong</v>
      </c>
      <c r="D2851" t="s">
        <v>5</v>
      </c>
      <c r="E2851">
        <v>93</v>
      </c>
    </row>
    <row r="2852" spans="1:5" x14ac:dyDescent="0.25">
      <c r="A2852">
        <v>2851</v>
      </c>
      <c r="B2852">
        <v>2582560</v>
      </c>
      <c r="C2852" s="1" t="str">
        <f>HYPERLINK("http://stackoverflow.com/users/2582560", "helloworld")</f>
        <v>helloworld</v>
      </c>
      <c r="D2852" t="s">
        <v>5</v>
      </c>
      <c r="E2852">
        <v>93</v>
      </c>
    </row>
    <row r="2853" spans="1:5" x14ac:dyDescent="0.25">
      <c r="A2853">
        <v>2852</v>
      </c>
      <c r="B2853">
        <v>7964561</v>
      </c>
      <c r="C2853" s="1" t="str">
        <f>HYPERLINK("http://stackoverflow.com/users/7964561", "uchuhimo")</f>
        <v>uchuhimo</v>
      </c>
      <c r="D2853" t="s">
        <v>4</v>
      </c>
      <c r="E2853">
        <v>93</v>
      </c>
    </row>
    <row r="2854" spans="1:5" x14ac:dyDescent="0.25">
      <c r="A2854">
        <v>2853</v>
      </c>
      <c r="B2854">
        <v>5008274</v>
      </c>
      <c r="C2854" s="1" t="str">
        <f>HYPERLINK("http://stackoverflow.com/users/5008274", "XBroder")</f>
        <v>XBroder</v>
      </c>
      <c r="D2854" t="s">
        <v>5</v>
      </c>
      <c r="E2854">
        <v>92</v>
      </c>
    </row>
    <row r="2855" spans="1:5" x14ac:dyDescent="0.25">
      <c r="A2855">
        <v>2854</v>
      </c>
      <c r="B2855">
        <v>8356710</v>
      </c>
      <c r="C2855" s="1" t="str">
        <f>HYPERLINK("http://stackoverflow.com/users/8356710", "jerry")</f>
        <v>jerry</v>
      </c>
      <c r="D2855" t="s">
        <v>25</v>
      </c>
      <c r="E2855">
        <v>92</v>
      </c>
    </row>
    <row r="2856" spans="1:5" x14ac:dyDescent="0.25">
      <c r="A2856">
        <v>2855</v>
      </c>
      <c r="B2856">
        <v>288089</v>
      </c>
      <c r="C2856" s="1" t="str">
        <f>HYPERLINK("http://stackoverflow.com/users/288089", "Cofyc")</f>
        <v>Cofyc</v>
      </c>
      <c r="D2856" t="s">
        <v>4</v>
      </c>
      <c r="E2856">
        <v>92</v>
      </c>
    </row>
    <row r="2857" spans="1:5" x14ac:dyDescent="0.25">
      <c r="A2857">
        <v>2856</v>
      </c>
      <c r="B2857">
        <v>598262</v>
      </c>
      <c r="C2857" s="1" t="str">
        <f>HYPERLINK("http://stackoverflow.com/users/598262", "Andy Song")</f>
        <v>Andy Song</v>
      </c>
      <c r="D2857" t="s">
        <v>5</v>
      </c>
      <c r="E2857">
        <v>92</v>
      </c>
    </row>
    <row r="2858" spans="1:5" x14ac:dyDescent="0.25">
      <c r="A2858">
        <v>2857</v>
      </c>
      <c r="B2858">
        <v>1414436</v>
      </c>
      <c r="C2858" s="1" t="str">
        <f>HYPERLINK("http://stackoverflow.com/users/1414436", "Chao Peng")</f>
        <v>Chao Peng</v>
      </c>
      <c r="D2858" t="s">
        <v>5</v>
      </c>
      <c r="E2858">
        <v>92</v>
      </c>
    </row>
    <row r="2859" spans="1:5" x14ac:dyDescent="0.25">
      <c r="A2859">
        <v>2858</v>
      </c>
      <c r="B2859">
        <v>1527222</v>
      </c>
      <c r="C2859" s="1" t="str">
        <f>HYPERLINK("http://stackoverflow.com/users/1527222", "huuang")</f>
        <v>huuang</v>
      </c>
      <c r="D2859" t="s">
        <v>193</v>
      </c>
      <c r="E2859">
        <v>92</v>
      </c>
    </row>
    <row r="2860" spans="1:5" x14ac:dyDescent="0.25">
      <c r="A2860">
        <v>2859</v>
      </c>
      <c r="B2860">
        <v>1374396</v>
      </c>
      <c r="C2860" s="1" t="str">
        <f>HYPERLINK("http://stackoverflow.com/users/1374396", "Tim")</f>
        <v>Tim</v>
      </c>
      <c r="D2860" t="s">
        <v>194</v>
      </c>
      <c r="E2860">
        <v>91</v>
      </c>
    </row>
    <row r="2861" spans="1:5" x14ac:dyDescent="0.25">
      <c r="A2861">
        <v>2860</v>
      </c>
      <c r="B2861">
        <v>1369114</v>
      </c>
      <c r="C2861" s="1" t="str">
        <f>HYPERLINK("http://stackoverflow.com/users/1369114", "Fizz")</f>
        <v>Fizz</v>
      </c>
      <c r="D2861" t="s">
        <v>12</v>
      </c>
      <c r="E2861">
        <v>91</v>
      </c>
    </row>
    <row r="2862" spans="1:5" x14ac:dyDescent="0.25">
      <c r="A2862">
        <v>2861</v>
      </c>
      <c r="B2862">
        <v>8482126</v>
      </c>
      <c r="C2862" s="1" t="str">
        <f>HYPERLINK("http://stackoverflow.com/users/8482126", "Jason Zang")</f>
        <v>Jason Zang</v>
      </c>
      <c r="D2862" t="s">
        <v>4</v>
      </c>
      <c r="E2862">
        <v>91</v>
      </c>
    </row>
    <row r="2863" spans="1:5" x14ac:dyDescent="0.25">
      <c r="A2863">
        <v>2862</v>
      </c>
      <c r="B2863">
        <v>2800131</v>
      </c>
      <c r="C2863" s="1" t="str">
        <f>HYPERLINK("http://stackoverflow.com/users/2800131", "ning")</f>
        <v>ning</v>
      </c>
      <c r="D2863" t="s">
        <v>5</v>
      </c>
      <c r="E2863">
        <v>91</v>
      </c>
    </row>
    <row r="2864" spans="1:5" x14ac:dyDescent="0.25">
      <c r="A2864">
        <v>2863</v>
      </c>
      <c r="B2864">
        <v>423840</v>
      </c>
      <c r="C2864" s="1" t="str">
        <f>HYPERLINK("http://stackoverflow.com/users/423840", "Ben Li")</f>
        <v>Ben Li</v>
      </c>
      <c r="D2864" t="s">
        <v>5</v>
      </c>
      <c r="E2864">
        <v>91</v>
      </c>
    </row>
    <row r="2865" spans="1:5" x14ac:dyDescent="0.25">
      <c r="A2865">
        <v>2864</v>
      </c>
      <c r="B2865">
        <v>911660</v>
      </c>
      <c r="C2865" s="1" t="str">
        <f>HYPERLINK("http://stackoverflow.com/users/911660", "WZY")</f>
        <v>WZY</v>
      </c>
      <c r="D2865" t="s">
        <v>195</v>
      </c>
      <c r="E2865">
        <v>91</v>
      </c>
    </row>
    <row r="2866" spans="1:5" x14ac:dyDescent="0.25">
      <c r="A2866">
        <v>2865</v>
      </c>
      <c r="B2866">
        <v>4899219</v>
      </c>
      <c r="C2866" s="1" t="str">
        <f>HYPERLINK("http://stackoverflow.com/users/4899219", "Mingjie Li")</f>
        <v>Mingjie Li</v>
      </c>
      <c r="D2866" t="s">
        <v>5</v>
      </c>
      <c r="E2866">
        <v>91</v>
      </c>
    </row>
    <row r="2867" spans="1:5" x14ac:dyDescent="0.25">
      <c r="A2867">
        <v>2866</v>
      </c>
      <c r="B2867">
        <v>1997326</v>
      </c>
      <c r="C2867" s="1" t="str">
        <f>HYPERLINK("http://stackoverflow.com/users/1997326", "CloudBSD")</f>
        <v>CloudBSD</v>
      </c>
      <c r="D2867" t="s">
        <v>4</v>
      </c>
      <c r="E2867">
        <v>91</v>
      </c>
    </row>
    <row r="2868" spans="1:5" x14ac:dyDescent="0.25">
      <c r="A2868">
        <v>2867</v>
      </c>
      <c r="B2868">
        <v>4291857</v>
      </c>
      <c r="C2868" s="1" t="str">
        <f>HYPERLINK("http://stackoverflow.com/users/4291857", "fredzzt")</f>
        <v>fredzzt</v>
      </c>
      <c r="D2868" t="s">
        <v>5</v>
      </c>
      <c r="E2868">
        <v>91</v>
      </c>
    </row>
    <row r="2869" spans="1:5" x14ac:dyDescent="0.25">
      <c r="A2869">
        <v>2868</v>
      </c>
      <c r="B2869">
        <v>3556351</v>
      </c>
      <c r="C2869" s="1" t="str">
        <f>HYPERLINK("http://stackoverflow.com/users/3556351", "yingshanliu")</f>
        <v>yingshanliu</v>
      </c>
      <c r="D2869" t="s">
        <v>17</v>
      </c>
      <c r="E2869">
        <v>91</v>
      </c>
    </row>
    <row r="2870" spans="1:5" x14ac:dyDescent="0.25">
      <c r="A2870">
        <v>2869</v>
      </c>
      <c r="B2870">
        <v>3497160</v>
      </c>
      <c r="C2870" s="1" t="str">
        <f>HYPERLINK("http://stackoverflow.com/users/3497160", "david")</f>
        <v>david</v>
      </c>
      <c r="D2870" t="s">
        <v>5</v>
      </c>
      <c r="E2870">
        <v>91</v>
      </c>
    </row>
    <row r="2871" spans="1:5" x14ac:dyDescent="0.25">
      <c r="A2871">
        <v>2870</v>
      </c>
      <c r="B2871">
        <v>1139994</v>
      </c>
      <c r="C2871" s="1" t="str">
        <f>HYPERLINK("http://stackoverflow.com/users/1139994", "acjialiren")</f>
        <v>acjialiren</v>
      </c>
      <c r="D2871" t="s">
        <v>12</v>
      </c>
      <c r="E2871">
        <v>91</v>
      </c>
    </row>
    <row r="2872" spans="1:5" x14ac:dyDescent="0.25">
      <c r="A2872">
        <v>2871</v>
      </c>
      <c r="B2872">
        <v>6698986</v>
      </c>
      <c r="C2872" s="1" t="str">
        <f>HYPERLINK("http://stackoverflow.com/users/6698986", "Vaycent")</f>
        <v>Vaycent</v>
      </c>
      <c r="D2872" t="s">
        <v>25</v>
      </c>
      <c r="E2872">
        <v>91</v>
      </c>
    </row>
    <row r="2873" spans="1:5" x14ac:dyDescent="0.25">
      <c r="A2873">
        <v>2872</v>
      </c>
      <c r="B2873">
        <v>1232403</v>
      </c>
      <c r="C2873" s="1" t="str">
        <f>HYPERLINK("http://stackoverflow.com/users/1232403", "cuter44")</f>
        <v>cuter44</v>
      </c>
      <c r="D2873" t="s">
        <v>21</v>
      </c>
      <c r="E2873">
        <v>91</v>
      </c>
    </row>
    <row r="2874" spans="1:5" x14ac:dyDescent="0.25">
      <c r="A2874">
        <v>2873</v>
      </c>
      <c r="B2874">
        <v>1501494</v>
      </c>
      <c r="C2874" s="1" t="str">
        <f>HYPERLINK("http://stackoverflow.com/users/1501494", "wangxinalex")</f>
        <v>wangxinalex</v>
      </c>
      <c r="D2874" t="s">
        <v>4</v>
      </c>
      <c r="E2874">
        <v>91</v>
      </c>
    </row>
    <row r="2875" spans="1:5" x14ac:dyDescent="0.25">
      <c r="A2875">
        <v>2874</v>
      </c>
      <c r="B2875">
        <v>2960600</v>
      </c>
      <c r="C2875" s="1" t="str">
        <f>HYPERLINK("http://stackoverflow.com/users/2960600", "suoxd123")</f>
        <v>suoxd123</v>
      </c>
      <c r="D2875" t="s">
        <v>21</v>
      </c>
      <c r="E2875">
        <v>91</v>
      </c>
    </row>
    <row r="2876" spans="1:5" x14ac:dyDescent="0.25">
      <c r="A2876">
        <v>2875</v>
      </c>
      <c r="B2876">
        <v>2193256</v>
      </c>
      <c r="C2876" s="1" t="str">
        <f>HYPERLINK("http://stackoverflow.com/users/2193256", "seamaner")</f>
        <v>seamaner</v>
      </c>
      <c r="D2876" t="s">
        <v>5</v>
      </c>
      <c r="E2876">
        <v>91</v>
      </c>
    </row>
    <row r="2877" spans="1:5" x14ac:dyDescent="0.25">
      <c r="A2877">
        <v>2876</v>
      </c>
      <c r="B2877">
        <v>3429749</v>
      </c>
      <c r="C2877" s="1" t="str">
        <f>HYPERLINK("http://stackoverflow.com/users/3429749", "Spy")</f>
        <v>Spy</v>
      </c>
      <c r="D2877" t="s">
        <v>21</v>
      </c>
      <c r="E2877">
        <v>91</v>
      </c>
    </row>
    <row r="2878" spans="1:5" x14ac:dyDescent="0.25">
      <c r="A2878">
        <v>2877</v>
      </c>
      <c r="B2878">
        <v>187118</v>
      </c>
      <c r="C2878" s="1" t="str">
        <f>HYPERLINK("http://stackoverflow.com/users/187118", "dlundqvist")</f>
        <v>dlundqvist</v>
      </c>
      <c r="D2878" t="s">
        <v>4</v>
      </c>
      <c r="E2878">
        <v>91</v>
      </c>
    </row>
    <row r="2879" spans="1:5" x14ac:dyDescent="0.25">
      <c r="A2879">
        <v>2878</v>
      </c>
      <c r="B2879">
        <v>238412</v>
      </c>
      <c r="C2879" s="1" t="str">
        <f>HYPERLINK("http://stackoverflow.com/users/238412", "fullreset")</f>
        <v>fullreset</v>
      </c>
      <c r="D2879" t="s">
        <v>4</v>
      </c>
      <c r="E2879">
        <v>91</v>
      </c>
    </row>
    <row r="2880" spans="1:5" x14ac:dyDescent="0.25">
      <c r="A2880">
        <v>2879</v>
      </c>
      <c r="B2880">
        <v>6056702</v>
      </c>
      <c r="C2880" s="1" t="str">
        <f>HYPERLINK("http://stackoverflow.com/users/6056702", "Dean Wong")</f>
        <v>Dean Wong</v>
      </c>
      <c r="D2880" t="s">
        <v>7</v>
      </c>
      <c r="E2880">
        <v>91</v>
      </c>
    </row>
    <row r="2881" spans="1:5" x14ac:dyDescent="0.25">
      <c r="A2881">
        <v>2880</v>
      </c>
      <c r="B2881">
        <v>2328618</v>
      </c>
      <c r="C2881" s="1" t="str">
        <f>HYPERLINK("http://stackoverflow.com/users/2328618", "LinJI")</f>
        <v>LinJI</v>
      </c>
      <c r="D2881" t="s">
        <v>17</v>
      </c>
      <c r="E2881">
        <v>91</v>
      </c>
    </row>
    <row r="2882" spans="1:5" x14ac:dyDescent="0.25">
      <c r="A2882">
        <v>2881</v>
      </c>
      <c r="B2882">
        <v>4241948</v>
      </c>
      <c r="C2882" s="1" t="str">
        <f>HYPERLINK("http://stackoverflow.com/users/4241948", "Xu ChangJian")</f>
        <v>Xu ChangJian</v>
      </c>
      <c r="D2882" t="s">
        <v>17</v>
      </c>
      <c r="E2882">
        <v>91</v>
      </c>
    </row>
    <row r="2883" spans="1:5" x14ac:dyDescent="0.25">
      <c r="A2883">
        <v>2882</v>
      </c>
      <c r="B2883">
        <v>2826028</v>
      </c>
      <c r="C2883" s="1" t="str">
        <f>HYPERLINK("http://stackoverflow.com/users/2826028", "Guosheng")</f>
        <v>Guosheng</v>
      </c>
      <c r="D2883" t="s">
        <v>196</v>
      </c>
      <c r="E2883">
        <v>91</v>
      </c>
    </row>
    <row r="2884" spans="1:5" x14ac:dyDescent="0.25">
      <c r="A2884">
        <v>2883</v>
      </c>
      <c r="B2884">
        <v>6324094</v>
      </c>
      <c r="C2884" s="1" t="str">
        <f>HYPERLINK("http://stackoverflow.com/users/6324094", "Sharpeli")</f>
        <v>Sharpeli</v>
      </c>
      <c r="D2884" t="s">
        <v>4</v>
      </c>
      <c r="E2884">
        <v>91</v>
      </c>
    </row>
    <row r="2885" spans="1:5" x14ac:dyDescent="0.25">
      <c r="A2885">
        <v>2884</v>
      </c>
      <c r="B2885">
        <v>1555605</v>
      </c>
      <c r="C2885" s="1" t="str">
        <f>HYPERLINK("http://stackoverflow.com/users/1555605", "Rubén Illodo Brea")</f>
        <v>Rubén Illodo Brea</v>
      </c>
      <c r="D2885" t="s">
        <v>4</v>
      </c>
      <c r="E2885">
        <v>91</v>
      </c>
    </row>
    <row r="2886" spans="1:5" x14ac:dyDescent="0.25">
      <c r="A2886">
        <v>2885</v>
      </c>
      <c r="B2886">
        <v>10878616</v>
      </c>
      <c r="C2886" s="1" t="str">
        <f>HYPERLINK("http://stackoverflow.com/users/10878616", "Nana Sun")</f>
        <v>Nana Sun</v>
      </c>
      <c r="D2886" t="s">
        <v>4</v>
      </c>
      <c r="E2886">
        <v>91</v>
      </c>
    </row>
    <row r="2887" spans="1:5" x14ac:dyDescent="0.25">
      <c r="A2887">
        <v>2886</v>
      </c>
      <c r="B2887">
        <v>1779325</v>
      </c>
      <c r="C2887" s="1" t="str">
        <f>HYPERLINK("http://stackoverflow.com/users/1779325", "Pluto")</f>
        <v>Pluto</v>
      </c>
      <c r="D2887" t="s">
        <v>5</v>
      </c>
      <c r="E2887">
        <v>91</v>
      </c>
    </row>
    <row r="2888" spans="1:5" x14ac:dyDescent="0.25">
      <c r="A2888">
        <v>2887</v>
      </c>
      <c r="B2888">
        <v>8942358</v>
      </c>
      <c r="C2888" s="1" t="str">
        <f>HYPERLINK("http://stackoverflow.com/users/8942358", "danny")</f>
        <v>danny</v>
      </c>
      <c r="D2888" t="s">
        <v>5</v>
      </c>
      <c r="E2888">
        <v>91</v>
      </c>
    </row>
    <row r="2889" spans="1:5" x14ac:dyDescent="0.25">
      <c r="A2889">
        <v>2888</v>
      </c>
      <c r="B2889">
        <v>1948596</v>
      </c>
      <c r="C2889" s="1" t="str">
        <f>HYPERLINK("http://stackoverflow.com/users/1948596", "andrew young")</f>
        <v>andrew young</v>
      </c>
      <c r="D2889" t="s">
        <v>4</v>
      </c>
      <c r="E2889">
        <v>91</v>
      </c>
    </row>
    <row r="2890" spans="1:5" x14ac:dyDescent="0.25">
      <c r="A2890">
        <v>2889</v>
      </c>
      <c r="B2890">
        <v>6247462</v>
      </c>
      <c r="C2890" s="1" t="str">
        <f>HYPERLINK("http://stackoverflow.com/users/6247462", "SherlockSun")</f>
        <v>SherlockSun</v>
      </c>
      <c r="D2890" t="s">
        <v>34</v>
      </c>
      <c r="E2890">
        <v>91</v>
      </c>
    </row>
    <row r="2891" spans="1:5" x14ac:dyDescent="0.25">
      <c r="A2891">
        <v>2890</v>
      </c>
      <c r="B2891">
        <v>1319979</v>
      </c>
      <c r="C2891" s="1" t="str">
        <f>HYPERLINK("http://stackoverflow.com/users/1319979", "StevenTan")</f>
        <v>StevenTan</v>
      </c>
      <c r="D2891" t="s">
        <v>5</v>
      </c>
      <c r="E2891">
        <v>91</v>
      </c>
    </row>
    <row r="2892" spans="1:5" x14ac:dyDescent="0.25">
      <c r="A2892">
        <v>2891</v>
      </c>
      <c r="B2892">
        <v>6618636</v>
      </c>
      <c r="C2892" s="1" t="str">
        <f>HYPERLINK("http://stackoverflow.com/users/6618636", "bestshop24h")</f>
        <v>bestshop24h</v>
      </c>
      <c r="D2892" t="s">
        <v>15</v>
      </c>
      <c r="E2892">
        <v>91</v>
      </c>
    </row>
    <row r="2893" spans="1:5" x14ac:dyDescent="0.25">
      <c r="A2893">
        <v>2892</v>
      </c>
      <c r="B2893">
        <v>1015065</v>
      </c>
      <c r="C2893" s="1" t="str">
        <f>HYPERLINK("http://stackoverflow.com/users/1015065", "Crazy Bear")</f>
        <v>Crazy Bear</v>
      </c>
      <c r="D2893" t="s">
        <v>5</v>
      </c>
      <c r="E2893">
        <v>91</v>
      </c>
    </row>
    <row r="2894" spans="1:5" x14ac:dyDescent="0.25">
      <c r="A2894">
        <v>2893</v>
      </c>
      <c r="B2894">
        <v>629842</v>
      </c>
      <c r="C2894" s="1" t="str">
        <f>HYPERLINK("http://stackoverflow.com/users/629842", "rexsheng")</f>
        <v>rexsheng</v>
      </c>
      <c r="D2894" t="s">
        <v>4</v>
      </c>
      <c r="E2894">
        <v>91</v>
      </c>
    </row>
    <row r="2895" spans="1:5" x14ac:dyDescent="0.25">
      <c r="A2895">
        <v>2894</v>
      </c>
      <c r="B2895">
        <v>809522</v>
      </c>
      <c r="C2895" s="1" t="str">
        <f>HYPERLINK("http://stackoverflow.com/users/809522", "Boris")</f>
        <v>Boris</v>
      </c>
      <c r="D2895" t="s">
        <v>21</v>
      </c>
      <c r="E2895">
        <v>91</v>
      </c>
    </row>
    <row r="2896" spans="1:5" x14ac:dyDescent="0.25">
      <c r="A2896">
        <v>2895</v>
      </c>
      <c r="B2896">
        <v>3013618</v>
      </c>
      <c r="C2896" s="1" t="str">
        <f>HYPERLINK("http://stackoverflow.com/users/3013618", "johnsonzhj")</f>
        <v>johnsonzhj</v>
      </c>
      <c r="D2896" t="s">
        <v>12</v>
      </c>
      <c r="E2896">
        <v>91</v>
      </c>
    </row>
    <row r="2897" spans="1:5" x14ac:dyDescent="0.25">
      <c r="A2897">
        <v>2896</v>
      </c>
      <c r="B2897">
        <v>2168459</v>
      </c>
      <c r="C2897" s="1" t="str">
        <f>HYPERLINK("http://stackoverflow.com/users/2168459", "zhi cheng")</f>
        <v>zhi cheng</v>
      </c>
      <c r="D2897" t="s">
        <v>17</v>
      </c>
      <c r="E2897">
        <v>91</v>
      </c>
    </row>
    <row r="2898" spans="1:5" x14ac:dyDescent="0.25">
      <c r="A2898">
        <v>2897</v>
      </c>
      <c r="B2898">
        <v>2390302</v>
      </c>
      <c r="C2898" s="1" t="str">
        <f>HYPERLINK("http://stackoverflow.com/users/2390302", "Athan")</f>
        <v>Athan</v>
      </c>
      <c r="D2898" t="s">
        <v>4</v>
      </c>
      <c r="E2898">
        <v>91</v>
      </c>
    </row>
    <row r="2899" spans="1:5" x14ac:dyDescent="0.25">
      <c r="A2899">
        <v>2898</v>
      </c>
      <c r="B2899">
        <v>5975046</v>
      </c>
      <c r="C2899" s="1" t="str">
        <f>HYPERLINK("http://stackoverflow.com/users/5975046", "Ken Chen")</f>
        <v>Ken Chen</v>
      </c>
      <c r="D2899" t="s">
        <v>4</v>
      </c>
      <c r="E2899">
        <v>91</v>
      </c>
    </row>
    <row r="2900" spans="1:5" x14ac:dyDescent="0.25">
      <c r="A2900">
        <v>2899</v>
      </c>
      <c r="B2900">
        <v>3839186</v>
      </c>
      <c r="C2900" s="1" t="str">
        <f>HYPERLINK("http://stackoverflow.com/users/3839186", "cherrot")</f>
        <v>cherrot</v>
      </c>
      <c r="D2900" t="s">
        <v>5</v>
      </c>
      <c r="E2900">
        <v>90</v>
      </c>
    </row>
    <row r="2901" spans="1:5" x14ac:dyDescent="0.25">
      <c r="A2901">
        <v>2900</v>
      </c>
      <c r="B2901">
        <v>853394</v>
      </c>
      <c r="C2901" s="1" t="str">
        <f>HYPERLINK("http://stackoverflow.com/users/853394", "EthanZ")</f>
        <v>EthanZ</v>
      </c>
      <c r="D2901" t="s">
        <v>4</v>
      </c>
      <c r="E2901">
        <v>90</v>
      </c>
    </row>
    <row r="2902" spans="1:5" x14ac:dyDescent="0.25">
      <c r="A2902">
        <v>2901</v>
      </c>
      <c r="B2902">
        <v>165897</v>
      </c>
      <c r="C2902" s="1" t="str">
        <f>HYPERLINK("http://stackoverflow.com/users/165897", "ShadowDancer")</f>
        <v>ShadowDancer</v>
      </c>
      <c r="D2902" t="s">
        <v>4</v>
      </c>
      <c r="E2902">
        <v>90</v>
      </c>
    </row>
    <row r="2903" spans="1:5" x14ac:dyDescent="0.25">
      <c r="A2903">
        <v>2902</v>
      </c>
      <c r="B2903">
        <v>1910370</v>
      </c>
      <c r="C2903" s="1" t="str">
        <f>HYPERLINK("http://stackoverflow.com/users/1910370", "ma nicolas")</f>
        <v>ma nicolas</v>
      </c>
      <c r="D2903" t="s">
        <v>4</v>
      </c>
      <c r="E2903">
        <v>90</v>
      </c>
    </row>
    <row r="2904" spans="1:5" x14ac:dyDescent="0.25">
      <c r="A2904">
        <v>2903</v>
      </c>
      <c r="B2904">
        <v>5751712</v>
      </c>
      <c r="C2904" s="1" t="str">
        <f>HYPERLINK("http://stackoverflow.com/users/5751712", "qingdaojunzuo")</f>
        <v>qingdaojunzuo</v>
      </c>
      <c r="D2904" t="s">
        <v>55</v>
      </c>
      <c r="E2904">
        <v>90</v>
      </c>
    </row>
    <row r="2905" spans="1:5" x14ac:dyDescent="0.25">
      <c r="A2905">
        <v>2904</v>
      </c>
      <c r="B2905">
        <v>2482012</v>
      </c>
      <c r="C2905" s="1" t="str">
        <f>HYPERLINK("http://stackoverflow.com/users/2482012", "miskcoo")</f>
        <v>miskcoo</v>
      </c>
      <c r="D2905" t="s">
        <v>5</v>
      </c>
      <c r="E2905">
        <v>90</v>
      </c>
    </row>
    <row r="2906" spans="1:5" x14ac:dyDescent="0.25">
      <c r="A2906">
        <v>2905</v>
      </c>
      <c r="B2906">
        <v>1455497</v>
      </c>
      <c r="C2906" s="1" t="str">
        <f>HYPERLINK("http://stackoverflow.com/users/1455497", "ZHANG Cheng")</f>
        <v>ZHANG Cheng</v>
      </c>
      <c r="D2906" t="s">
        <v>5</v>
      </c>
      <c r="E2906">
        <v>90</v>
      </c>
    </row>
    <row r="2907" spans="1:5" x14ac:dyDescent="0.25">
      <c r="A2907">
        <v>2906</v>
      </c>
      <c r="B2907">
        <v>1317816</v>
      </c>
      <c r="C2907" s="1" t="str">
        <f>HYPERLINK("http://stackoverflow.com/users/1317816", "Liang Zhao")</f>
        <v>Liang Zhao</v>
      </c>
      <c r="D2907" t="s">
        <v>5</v>
      </c>
      <c r="E2907">
        <v>90</v>
      </c>
    </row>
    <row r="2908" spans="1:5" x14ac:dyDescent="0.25">
      <c r="A2908">
        <v>2907</v>
      </c>
      <c r="B2908">
        <v>5080177</v>
      </c>
      <c r="C2908" s="1" t="str">
        <f>HYPERLINK("http://stackoverflow.com/users/5080177", "sighingnow")</f>
        <v>sighingnow</v>
      </c>
      <c r="D2908" t="s">
        <v>5</v>
      </c>
      <c r="E2908">
        <v>90</v>
      </c>
    </row>
    <row r="2909" spans="1:5" x14ac:dyDescent="0.25">
      <c r="A2909">
        <v>2908</v>
      </c>
      <c r="B2909">
        <v>8571900</v>
      </c>
      <c r="C2909" s="1" t="str">
        <f>HYPERLINK("http://stackoverflow.com/users/8571900", "Marshall Fate")</f>
        <v>Marshall Fate</v>
      </c>
      <c r="D2909" t="s">
        <v>4</v>
      </c>
      <c r="E2909">
        <v>90</v>
      </c>
    </row>
    <row r="2910" spans="1:5" x14ac:dyDescent="0.25">
      <c r="A2910">
        <v>2909</v>
      </c>
      <c r="B2910">
        <v>6016767</v>
      </c>
      <c r="C2910" s="1" t="str">
        <f>HYPERLINK("http://stackoverflow.com/users/6016767", "Tony Luo")</f>
        <v>Tony Luo</v>
      </c>
      <c r="D2910" t="s">
        <v>4</v>
      </c>
      <c r="E2910">
        <v>90</v>
      </c>
    </row>
    <row r="2911" spans="1:5" x14ac:dyDescent="0.25">
      <c r="A2911">
        <v>2910</v>
      </c>
      <c r="B2911">
        <v>2978327</v>
      </c>
      <c r="C2911" s="1" t="str">
        <f>HYPERLINK("http://stackoverflow.com/users/2978327", "shangxinbo")</f>
        <v>shangxinbo</v>
      </c>
      <c r="D2911" t="s">
        <v>5</v>
      </c>
      <c r="E2911">
        <v>90</v>
      </c>
    </row>
    <row r="2912" spans="1:5" x14ac:dyDescent="0.25">
      <c r="A2912">
        <v>2911</v>
      </c>
      <c r="B2912">
        <v>841865</v>
      </c>
      <c r="C2912" s="1" t="str">
        <f>HYPERLINK("http://stackoverflow.com/users/841865", "William.Zhou")</f>
        <v>William.Zhou</v>
      </c>
      <c r="D2912" t="s">
        <v>3</v>
      </c>
      <c r="E2912">
        <v>89</v>
      </c>
    </row>
    <row r="2913" spans="1:5" x14ac:dyDescent="0.25">
      <c r="A2913">
        <v>2912</v>
      </c>
      <c r="B2913">
        <v>5470510</v>
      </c>
      <c r="C2913" s="1" t="str">
        <f>HYPERLINK("http://stackoverflow.com/users/5470510", "iOnesmile")</f>
        <v>iOnesmile</v>
      </c>
      <c r="D2913" t="s">
        <v>17</v>
      </c>
      <c r="E2913">
        <v>89</v>
      </c>
    </row>
    <row r="2914" spans="1:5" x14ac:dyDescent="0.25">
      <c r="A2914">
        <v>2913</v>
      </c>
      <c r="B2914">
        <v>1787318</v>
      </c>
      <c r="C2914" s="1" t="str">
        <f>HYPERLINK("http://stackoverflow.com/users/1787318", "Mervyn")</f>
        <v>Mervyn</v>
      </c>
      <c r="D2914" t="s">
        <v>5</v>
      </c>
      <c r="E2914">
        <v>89</v>
      </c>
    </row>
    <row r="2915" spans="1:5" x14ac:dyDescent="0.25">
      <c r="A2915">
        <v>2914</v>
      </c>
      <c r="B2915">
        <v>862685</v>
      </c>
      <c r="C2915" s="1" t="str">
        <f>HYPERLINK("http://stackoverflow.com/users/862685", "clark yu")</f>
        <v>clark yu</v>
      </c>
      <c r="D2915" t="s">
        <v>4</v>
      </c>
      <c r="E2915">
        <v>89</v>
      </c>
    </row>
    <row r="2916" spans="1:5" x14ac:dyDescent="0.25">
      <c r="A2916">
        <v>2915</v>
      </c>
      <c r="B2916">
        <v>1069497</v>
      </c>
      <c r="C2916" s="1" t="str">
        <f>HYPERLINK("http://stackoverflow.com/users/1069497", "behe")</f>
        <v>behe</v>
      </c>
      <c r="D2916" t="s">
        <v>5</v>
      </c>
      <c r="E2916">
        <v>89</v>
      </c>
    </row>
    <row r="2917" spans="1:5" x14ac:dyDescent="0.25">
      <c r="A2917">
        <v>2916</v>
      </c>
      <c r="B2917">
        <v>6024288</v>
      </c>
      <c r="C2917" s="1" t="str">
        <f>HYPERLINK("http://stackoverflow.com/users/6024288", "Zhang Xiang")</f>
        <v>Zhang Xiang</v>
      </c>
      <c r="D2917" t="s">
        <v>5</v>
      </c>
      <c r="E2917">
        <v>89</v>
      </c>
    </row>
    <row r="2918" spans="1:5" x14ac:dyDescent="0.25">
      <c r="A2918">
        <v>2917</v>
      </c>
      <c r="B2918">
        <v>1323041</v>
      </c>
      <c r="C2918" s="1" t="str">
        <f>HYPERLINK("http://stackoverflow.com/users/1323041", "wenbo qiu")</f>
        <v>wenbo qiu</v>
      </c>
      <c r="D2918" t="s">
        <v>4</v>
      </c>
      <c r="E2918">
        <v>89</v>
      </c>
    </row>
    <row r="2919" spans="1:5" x14ac:dyDescent="0.25">
      <c r="A2919">
        <v>2918</v>
      </c>
      <c r="B2919">
        <v>6747018</v>
      </c>
      <c r="C2919" s="1" t="str">
        <f>HYPERLINK("http://stackoverflow.com/users/6747018", "innerpeace")</f>
        <v>innerpeace</v>
      </c>
      <c r="D2919" t="s">
        <v>27</v>
      </c>
      <c r="E2919">
        <v>89</v>
      </c>
    </row>
    <row r="2920" spans="1:5" x14ac:dyDescent="0.25">
      <c r="A2920">
        <v>2919</v>
      </c>
      <c r="B2920">
        <v>5041759</v>
      </c>
      <c r="C2920" s="1" t="str">
        <f>HYPERLINK("http://stackoverflow.com/users/5041759", "Muhammad Ashfaq")</f>
        <v>Muhammad Ashfaq</v>
      </c>
      <c r="D2920" t="s">
        <v>197</v>
      </c>
      <c r="E2920">
        <v>89</v>
      </c>
    </row>
    <row r="2921" spans="1:5" x14ac:dyDescent="0.25">
      <c r="A2921">
        <v>2920</v>
      </c>
      <c r="B2921">
        <v>263331</v>
      </c>
      <c r="C2921" s="1" t="str">
        <f>HYPERLINK("http://stackoverflow.com/users/263331", "c2j")</f>
        <v>c2j</v>
      </c>
      <c r="D2921" t="s">
        <v>4</v>
      </c>
      <c r="E2921">
        <v>89</v>
      </c>
    </row>
    <row r="2922" spans="1:5" x14ac:dyDescent="0.25">
      <c r="A2922">
        <v>2921</v>
      </c>
      <c r="B2922">
        <v>6515101</v>
      </c>
      <c r="C2922" s="1" t="str">
        <f>HYPERLINK("http://stackoverflow.com/users/6515101", "Jinmiao Luo")</f>
        <v>Jinmiao Luo</v>
      </c>
      <c r="D2922" t="s">
        <v>25</v>
      </c>
      <c r="E2922">
        <v>89</v>
      </c>
    </row>
    <row r="2923" spans="1:5" x14ac:dyDescent="0.25">
      <c r="A2923">
        <v>2922</v>
      </c>
      <c r="B2923">
        <v>1753484</v>
      </c>
      <c r="C2923" s="1" t="str">
        <f>HYPERLINK("http://stackoverflow.com/users/1753484", "stonestrong")</f>
        <v>stonestrong</v>
      </c>
      <c r="D2923" t="s">
        <v>4</v>
      </c>
      <c r="E2923">
        <v>89</v>
      </c>
    </row>
    <row r="2924" spans="1:5" x14ac:dyDescent="0.25">
      <c r="A2924">
        <v>2923</v>
      </c>
      <c r="B2924">
        <v>902582</v>
      </c>
      <c r="C2924" s="1" t="str">
        <f>HYPERLINK("http://stackoverflow.com/users/902582", "Felix Ding")</f>
        <v>Felix Ding</v>
      </c>
      <c r="D2924" t="s">
        <v>4</v>
      </c>
      <c r="E2924">
        <v>89</v>
      </c>
    </row>
    <row r="2925" spans="1:5" x14ac:dyDescent="0.25">
      <c r="A2925">
        <v>2924</v>
      </c>
      <c r="B2925">
        <v>5308069</v>
      </c>
      <c r="C2925" s="1" t="str">
        <f>HYPERLINK("http://stackoverflow.com/users/5308069", "Pavle Li")</f>
        <v>Pavle Li</v>
      </c>
      <c r="D2925" t="s">
        <v>17</v>
      </c>
      <c r="E2925">
        <v>89</v>
      </c>
    </row>
    <row r="2926" spans="1:5" x14ac:dyDescent="0.25">
      <c r="A2926">
        <v>2925</v>
      </c>
      <c r="B2926">
        <v>5657884</v>
      </c>
      <c r="C2926" s="1" t="str">
        <f>HYPERLINK("http://stackoverflow.com/users/5657884", "iceblue")</f>
        <v>iceblue</v>
      </c>
      <c r="D2926" t="s">
        <v>4</v>
      </c>
      <c r="E2926">
        <v>89</v>
      </c>
    </row>
    <row r="2927" spans="1:5" x14ac:dyDescent="0.25">
      <c r="A2927">
        <v>2926</v>
      </c>
      <c r="B2927">
        <v>2480701</v>
      </c>
      <c r="C2927" s="1" t="str">
        <f>HYPERLINK("http://stackoverflow.com/users/2480701", "muzizongheng")</f>
        <v>muzizongheng</v>
      </c>
      <c r="D2927" t="s">
        <v>4</v>
      </c>
      <c r="E2927">
        <v>89</v>
      </c>
    </row>
    <row r="2928" spans="1:5" x14ac:dyDescent="0.25">
      <c r="A2928">
        <v>2927</v>
      </c>
      <c r="B2928">
        <v>865393</v>
      </c>
      <c r="C2928" s="1" t="str">
        <f>HYPERLINK("http://stackoverflow.com/users/865393", "tym1193")</f>
        <v>tym1193</v>
      </c>
      <c r="D2928" t="s">
        <v>4</v>
      </c>
      <c r="E2928">
        <v>89</v>
      </c>
    </row>
    <row r="2929" spans="1:5" x14ac:dyDescent="0.25">
      <c r="A2929">
        <v>2928</v>
      </c>
      <c r="B2929">
        <v>3087154</v>
      </c>
      <c r="C2929" s="1" t="str">
        <f>HYPERLINK("http://stackoverflow.com/users/3087154", "zhubch")</f>
        <v>zhubch</v>
      </c>
      <c r="D2929" t="s">
        <v>5</v>
      </c>
      <c r="E2929">
        <v>89</v>
      </c>
    </row>
    <row r="2930" spans="1:5" x14ac:dyDescent="0.25">
      <c r="A2930">
        <v>2929</v>
      </c>
      <c r="B2930">
        <v>1013829</v>
      </c>
      <c r="C2930" s="1" t="str">
        <f>HYPERLINK("http://stackoverflow.com/users/1013829", "whb_zju")</f>
        <v>whb_zju</v>
      </c>
      <c r="D2930" t="s">
        <v>12</v>
      </c>
      <c r="E2930">
        <v>88</v>
      </c>
    </row>
    <row r="2931" spans="1:5" x14ac:dyDescent="0.25">
      <c r="A2931">
        <v>2930</v>
      </c>
      <c r="B2931">
        <v>809577</v>
      </c>
      <c r="C2931" s="1" t="str">
        <f>HYPERLINK("http://stackoverflow.com/users/809577", "Sam Niu")</f>
        <v>Sam Niu</v>
      </c>
      <c r="D2931" t="s">
        <v>17</v>
      </c>
      <c r="E2931">
        <v>88</v>
      </c>
    </row>
    <row r="2932" spans="1:5" x14ac:dyDescent="0.25">
      <c r="A2932">
        <v>2931</v>
      </c>
      <c r="B2932">
        <v>136735</v>
      </c>
      <c r="C2932" s="1" t="str">
        <f>HYPERLINK("http://stackoverflow.com/users/136735", "Lionel")</f>
        <v>Lionel</v>
      </c>
      <c r="D2932" t="s">
        <v>5</v>
      </c>
      <c r="E2932">
        <v>88</v>
      </c>
    </row>
    <row r="2933" spans="1:5" x14ac:dyDescent="0.25">
      <c r="A2933">
        <v>2932</v>
      </c>
      <c r="B2933">
        <v>2493639</v>
      </c>
      <c r="C2933" s="1" t="str">
        <f>HYPERLINK("http://stackoverflow.com/users/2493639", "Uyas")</f>
        <v>Uyas</v>
      </c>
      <c r="D2933" t="s">
        <v>4</v>
      </c>
      <c r="E2933">
        <v>88</v>
      </c>
    </row>
    <row r="2934" spans="1:5" x14ac:dyDescent="0.25">
      <c r="A2934">
        <v>2933</v>
      </c>
      <c r="B2934">
        <v>735776</v>
      </c>
      <c r="C2934" s="1" t="str">
        <f>HYPERLINK("http://stackoverflow.com/users/735776", "woosley. xu")</f>
        <v>woosley. xu</v>
      </c>
      <c r="D2934" t="s">
        <v>25</v>
      </c>
      <c r="E2934">
        <v>88</v>
      </c>
    </row>
    <row r="2935" spans="1:5" x14ac:dyDescent="0.25">
      <c r="A2935">
        <v>2934</v>
      </c>
      <c r="B2935">
        <v>520832</v>
      </c>
      <c r="C2935" s="1" t="str">
        <f>HYPERLINK("http://stackoverflow.com/users/520832", "wangdong")</f>
        <v>wangdong</v>
      </c>
      <c r="D2935" t="s">
        <v>59</v>
      </c>
      <c r="E2935">
        <v>88</v>
      </c>
    </row>
    <row r="2936" spans="1:5" x14ac:dyDescent="0.25">
      <c r="A2936">
        <v>2935</v>
      </c>
      <c r="B2936">
        <v>4942773</v>
      </c>
      <c r="C2936" s="1" t="str">
        <f>HYPERLINK("http://stackoverflow.com/users/4942773", "liuwin7")</f>
        <v>liuwin7</v>
      </c>
      <c r="D2936" t="s">
        <v>5</v>
      </c>
      <c r="E2936">
        <v>88</v>
      </c>
    </row>
    <row r="2937" spans="1:5" x14ac:dyDescent="0.25">
      <c r="A2937">
        <v>2936</v>
      </c>
      <c r="B2937">
        <v>1220375</v>
      </c>
      <c r="C2937" s="1" t="str">
        <f>HYPERLINK("http://stackoverflow.com/users/1220375", "Mellong Lau")</f>
        <v>Mellong Lau</v>
      </c>
      <c r="D2937" t="s">
        <v>42</v>
      </c>
      <c r="E2937">
        <v>88</v>
      </c>
    </row>
    <row r="2938" spans="1:5" x14ac:dyDescent="0.25">
      <c r="A2938">
        <v>2937</v>
      </c>
      <c r="B2938">
        <v>1645100</v>
      </c>
      <c r="C2938" s="1" t="str">
        <f>HYPERLINK("http://stackoverflow.com/users/1645100", "Ethan Wang")</f>
        <v>Ethan Wang</v>
      </c>
      <c r="D2938" t="s">
        <v>4</v>
      </c>
      <c r="E2938">
        <v>88</v>
      </c>
    </row>
    <row r="2939" spans="1:5" x14ac:dyDescent="0.25">
      <c r="A2939">
        <v>2938</v>
      </c>
      <c r="B2939">
        <v>1530450</v>
      </c>
      <c r="C2939" s="1" t="str">
        <f>HYPERLINK("http://stackoverflow.com/users/1530450", "Josephchan")</f>
        <v>Josephchan</v>
      </c>
      <c r="D2939" t="s">
        <v>4</v>
      </c>
      <c r="E2939">
        <v>88</v>
      </c>
    </row>
    <row r="2940" spans="1:5" x14ac:dyDescent="0.25">
      <c r="A2940">
        <v>2939</v>
      </c>
      <c r="B2940">
        <v>1519894</v>
      </c>
      <c r="C2940" s="1" t="str">
        <f>HYPERLINK("http://stackoverflow.com/users/1519894", "samluthebrave")</f>
        <v>samluthebrave</v>
      </c>
      <c r="D2940" t="s">
        <v>38</v>
      </c>
      <c r="E2940">
        <v>88</v>
      </c>
    </row>
    <row r="2941" spans="1:5" x14ac:dyDescent="0.25">
      <c r="A2941">
        <v>2940</v>
      </c>
      <c r="B2941">
        <v>1890785</v>
      </c>
      <c r="C2941" s="1" t="str">
        <f>HYPERLINK("http://stackoverflow.com/users/1890785", "lanyusea")</f>
        <v>lanyusea</v>
      </c>
      <c r="D2941" t="s">
        <v>17</v>
      </c>
      <c r="E2941">
        <v>88</v>
      </c>
    </row>
    <row r="2942" spans="1:5" x14ac:dyDescent="0.25">
      <c r="A2942">
        <v>2941</v>
      </c>
      <c r="B2942">
        <v>1935822</v>
      </c>
      <c r="C2942" s="1" t="str">
        <f>HYPERLINK("http://stackoverflow.com/users/1935822", "XIO")</f>
        <v>XIO</v>
      </c>
      <c r="D2942" t="s">
        <v>4</v>
      </c>
      <c r="E2942">
        <v>88</v>
      </c>
    </row>
    <row r="2943" spans="1:5" x14ac:dyDescent="0.25">
      <c r="A2943">
        <v>2942</v>
      </c>
      <c r="B2943">
        <v>1886382</v>
      </c>
      <c r="C2943" s="1" t="str">
        <f>HYPERLINK("http://stackoverflow.com/users/1886382", "Joyee")</f>
        <v>Joyee</v>
      </c>
      <c r="D2943" t="s">
        <v>21</v>
      </c>
      <c r="E2943">
        <v>88</v>
      </c>
    </row>
    <row r="2944" spans="1:5" x14ac:dyDescent="0.25">
      <c r="A2944">
        <v>2943</v>
      </c>
      <c r="B2944">
        <v>617872</v>
      </c>
      <c r="C2944" s="1" t="str">
        <f>HYPERLINK("http://stackoverflow.com/users/617872", "Bir")</f>
        <v>Bir</v>
      </c>
      <c r="D2944" t="s">
        <v>4</v>
      </c>
      <c r="E2944">
        <v>88</v>
      </c>
    </row>
    <row r="2945" spans="1:5" x14ac:dyDescent="0.25">
      <c r="A2945">
        <v>2944</v>
      </c>
      <c r="B2945">
        <v>2328505</v>
      </c>
      <c r="C2945" s="1" t="str">
        <f>HYPERLINK("http://stackoverflow.com/users/2328505", "Snowwolf")</f>
        <v>Snowwolf</v>
      </c>
      <c r="D2945" t="s">
        <v>5</v>
      </c>
      <c r="E2945">
        <v>88</v>
      </c>
    </row>
    <row r="2946" spans="1:5" x14ac:dyDescent="0.25">
      <c r="A2946">
        <v>2945</v>
      </c>
      <c r="B2946">
        <v>2582150</v>
      </c>
      <c r="C2946" s="1" t="str">
        <f>HYPERLINK("http://stackoverflow.com/users/2582150", "Ganiks")</f>
        <v>Ganiks</v>
      </c>
      <c r="D2946" t="s">
        <v>4</v>
      </c>
      <c r="E2946">
        <v>88</v>
      </c>
    </row>
    <row r="2947" spans="1:5" x14ac:dyDescent="0.25">
      <c r="A2947">
        <v>2946</v>
      </c>
      <c r="B2947">
        <v>1122742</v>
      </c>
      <c r="C2947" s="1" t="str">
        <f>HYPERLINK("http://stackoverflow.com/users/1122742", "Phoenix Luo")</f>
        <v>Phoenix Luo</v>
      </c>
      <c r="D2947" t="s">
        <v>17</v>
      </c>
      <c r="E2947">
        <v>88</v>
      </c>
    </row>
    <row r="2948" spans="1:5" x14ac:dyDescent="0.25">
      <c r="A2948">
        <v>2947</v>
      </c>
      <c r="B2948">
        <v>1235102</v>
      </c>
      <c r="C2948" s="1" t="str">
        <f>HYPERLINK("http://stackoverflow.com/users/1235102", "Martin")</f>
        <v>Martin</v>
      </c>
      <c r="D2948" t="s">
        <v>4</v>
      </c>
      <c r="E2948">
        <v>88</v>
      </c>
    </row>
    <row r="2949" spans="1:5" x14ac:dyDescent="0.25">
      <c r="A2949">
        <v>2948</v>
      </c>
      <c r="B2949">
        <v>3359236</v>
      </c>
      <c r="C2949" s="1" t="str">
        <f>HYPERLINK("http://stackoverflow.com/users/3359236", "Farwell_Liu")</f>
        <v>Farwell_Liu</v>
      </c>
      <c r="D2949" t="s">
        <v>4</v>
      </c>
      <c r="E2949">
        <v>88</v>
      </c>
    </row>
    <row r="2950" spans="1:5" x14ac:dyDescent="0.25">
      <c r="A2950">
        <v>2949</v>
      </c>
      <c r="B2950">
        <v>3007708</v>
      </c>
      <c r="C2950" s="1" t="str">
        <f>HYPERLINK("http://stackoverflow.com/users/3007708", "LiQIang.Feng")</f>
        <v>LiQIang.Feng</v>
      </c>
      <c r="D2950" t="s">
        <v>5</v>
      </c>
      <c r="E2950">
        <v>88</v>
      </c>
    </row>
    <row r="2951" spans="1:5" x14ac:dyDescent="0.25">
      <c r="A2951">
        <v>2950</v>
      </c>
      <c r="B2951">
        <v>3901285</v>
      </c>
      <c r="C2951" s="1" t="str">
        <f>HYPERLINK("http://stackoverflow.com/users/3901285", "elevenights")</f>
        <v>elevenights</v>
      </c>
      <c r="D2951" t="s">
        <v>16</v>
      </c>
      <c r="E2951">
        <v>88</v>
      </c>
    </row>
    <row r="2952" spans="1:5" x14ac:dyDescent="0.25">
      <c r="A2952">
        <v>2951</v>
      </c>
      <c r="B2952">
        <v>884468</v>
      </c>
      <c r="C2952" s="1" t="str">
        <f>HYPERLINK("http://stackoverflow.com/users/884468", "robi")</f>
        <v>robi</v>
      </c>
      <c r="D2952" t="s">
        <v>5</v>
      </c>
      <c r="E2952">
        <v>87</v>
      </c>
    </row>
    <row r="2953" spans="1:5" x14ac:dyDescent="0.25">
      <c r="A2953">
        <v>2952</v>
      </c>
      <c r="B2953">
        <v>1543756</v>
      </c>
      <c r="C2953" s="1" t="str">
        <f>HYPERLINK("http://stackoverflow.com/users/1543756", "hohohmm")</f>
        <v>hohohmm</v>
      </c>
      <c r="D2953" t="s">
        <v>17</v>
      </c>
      <c r="E2953">
        <v>87</v>
      </c>
    </row>
    <row r="2954" spans="1:5" x14ac:dyDescent="0.25">
      <c r="A2954">
        <v>2953</v>
      </c>
      <c r="B2954">
        <v>1589768</v>
      </c>
      <c r="C2954" s="1" t="str">
        <f>HYPERLINK("http://stackoverflow.com/users/1589768", "Raven")</f>
        <v>Raven</v>
      </c>
      <c r="D2954" t="s">
        <v>5</v>
      </c>
      <c r="E2954">
        <v>87</v>
      </c>
    </row>
    <row r="2955" spans="1:5" x14ac:dyDescent="0.25">
      <c r="A2955">
        <v>2954</v>
      </c>
      <c r="B2955">
        <v>1845168</v>
      </c>
      <c r="C2955" s="1" t="str">
        <f>HYPERLINK("http://stackoverflow.com/users/1845168", "Junyu Wu")</f>
        <v>Junyu Wu</v>
      </c>
      <c r="D2955" t="s">
        <v>5</v>
      </c>
      <c r="E2955">
        <v>87</v>
      </c>
    </row>
    <row r="2956" spans="1:5" x14ac:dyDescent="0.25">
      <c r="A2956">
        <v>2955</v>
      </c>
      <c r="B2956">
        <v>5359105</v>
      </c>
      <c r="C2956" s="1" t="str">
        <f>HYPERLINK("http://stackoverflow.com/users/5359105", "Ben Lee")</f>
        <v>Ben Lee</v>
      </c>
      <c r="D2956" t="s">
        <v>5</v>
      </c>
      <c r="E2956">
        <v>87</v>
      </c>
    </row>
    <row r="2957" spans="1:5" x14ac:dyDescent="0.25">
      <c r="A2957">
        <v>2956</v>
      </c>
      <c r="B2957">
        <v>2500103</v>
      </c>
      <c r="C2957" s="1" t="str">
        <f>HYPERLINK("http://stackoverflow.com/users/2500103", "AsterOcclu")</f>
        <v>AsterOcclu</v>
      </c>
      <c r="D2957" t="s">
        <v>57</v>
      </c>
      <c r="E2957">
        <v>87</v>
      </c>
    </row>
    <row r="2958" spans="1:5" x14ac:dyDescent="0.25">
      <c r="A2958">
        <v>2957</v>
      </c>
      <c r="B2958">
        <v>6133601</v>
      </c>
      <c r="C2958" s="1" t="str">
        <f>HYPERLINK("http://stackoverflow.com/users/6133601", "xander-ye")</f>
        <v>xander-ye</v>
      </c>
      <c r="D2958" t="s">
        <v>28</v>
      </c>
      <c r="E2958">
        <v>87</v>
      </c>
    </row>
    <row r="2959" spans="1:5" x14ac:dyDescent="0.25">
      <c r="A2959">
        <v>2958</v>
      </c>
      <c r="B2959">
        <v>2530456</v>
      </c>
      <c r="C2959" s="1" t="str">
        <f>HYPERLINK("http://stackoverflow.com/users/2530456", "inaircastle")</f>
        <v>inaircastle</v>
      </c>
      <c r="D2959" t="s">
        <v>5</v>
      </c>
      <c r="E2959">
        <v>86</v>
      </c>
    </row>
    <row r="2960" spans="1:5" x14ac:dyDescent="0.25">
      <c r="A2960">
        <v>2959</v>
      </c>
      <c r="B2960">
        <v>6196671</v>
      </c>
      <c r="C2960" s="1" t="str">
        <f>HYPERLINK("http://stackoverflow.com/users/6196671", "baijunyao")</f>
        <v>baijunyao</v>
      </c>
      <c r="D2960" t="s">
        <v>5</v>
      </c>
      <c r="E2960">
        <v>86</v>
      </c>
    </row>
    <row r="2961" spans="1:5" x14ac:dyDescent="0.25">
      <c r="A2961">
        <v>2960</v>
      </c>
      <c r="B2961">
        <v>2959465</v>
      </c>
      <c r="C2961" s="1" t="str">
        <f>HYPERLINK("http://stackoverflow.com/users/2959465", "heramerom")</f>
        <v>heramerom</v>
      </c>
      <c r="D2961" t="s">
        <v>5</v>
      </c>
      <c r="E2961">
        <v>86</v>
      </c>
    </row>
    <row r="2962" spans="1:5" x14ac:dyDescent="0.25">
      <c r="A2962">
        <v>2961</v>
      </c>
      <c r="B2962">
        <v>1116500</v>
      </c>
      <c r="C2962" s="1" t="str">
        <f>HYPERLINK("http://stackoverflow.com/users/1116500", "Pengfei Liu")</f>
        <v>Pengfei Liu</v>
      </c>
      <c r="D2962" t="s">
        <v>21</v>
      </c>
      <c r="E2962">
        <v>86</v>
      </c>
    </row>
    <row r="2963" spans="1:5" x14ac:dyDescent="0.25">
      <c r="A2963">
        <v>2962</v>
      </c>
      <c r="B2963">
        <v>7224145</v>
      </c>
      <c r="C2963" s="1" t="str">
        <f>HYPERLINK("http://stackoverflow.com/users/7224145", "Karl Xu")</f>
        <v>Karl Xu</v>
      </c>
      <c r="D2963" t="s">
        <v>43</v>
      </c>
      <c r="E2963">
        <v>86</v>
      </c>
    </row>
    <row r="2964" spans="1:5" x14ac:dyDescent="0.25">
      <c r="A2964">
        <v>2963</v>
      </c>
      <c r="B2964">
        <v>2878241</v>
      </c>
      <c r="C2964" s="1" t="str">
        <f>HYPERLINK("http://stackoverflow.com/users/2878241", "windc")</f>
        <v>windc</v>
      </c>
      <c r="D2964" t="s">
        <v>4</v>
      </c>
      <c r="E2964">
        <v>86</v>
      </c>
    </row>
    <row r="2965" spans="1:5" x14ac:dyDescent="0.25">
      <c r="A2965">
        <v>2964</v>
      </c>
      <c r="B2965">
        <v>1015773</v>
      </c>
      <c r="C2965" s="1" t="str">
        <f>HYPERLINK("http://stackoverflow.com/users/1015773", "yanqian")</f>
        <v>yanqian</v>
      </c>
      <c r="D2965" t="s">
        <v>4</v>
      </c>
      <c r="E2965">
        <v>86</v>
      </c>
    </row>
    <row r="2966" spans="1:5" x14ac:dyDescent="0.25">
      <c r="A2966">
        <v>2965</v>
      </c>
      <c r="B2966">
        <v>1070484</v>
      </c>
      <c r="C2966" s="1" t="str">
        <f>HYPERLINK("http://stackoverflow.com/users/1070484", "Xiaocong")</f>
        <v>Xiaocong</v>
      </c>
      <c r="D2966" t="s">
        <v>5</v>
      </c>
      <c r="E2966">
        <v>86</v>
      </c>
    </row>
    <row r="2967" spans="1:5" x14ac:dyDescent="0.25">
      <c r="A2967">
        <v>2966</v>
      </c>
      <c r="B2967">
        <v>5474902</v>
      </c>
      <c r="C2967" s="1" t="str">
        <f>HYPERLINK("http://stackoverflow.com/users/5474902", "Qinghao.Hu")</f>
        <v>Qinghao.Hu</v>
      </c>
      <c r="D2967" t="s">
        <v>5</v>
      </c>
      <c r="E2967">
        <v>86</v>
      </c>
    </row>
    <row r="2968" spans="1:5" x14ac:dyDescent="0.25">
      <c r="A2968">
        <v>2967</v>
      </c>
      <c r="B2968">
        <v>2392221</v>
      </c>
      <c r="C2968" s="1" t="str">
        <f>HYPERLINK("http://stackoverflow.com/users/2392221", "iforwms")</f>
        <v>iforwms</v>
      </c>
      <c r="D2968" t="s">
        <v>198</v>
      </c>
      <c r="E2968">
        <v>86</v>
      </c>
    </row>
    <row r="2969" spans="1:5" x14ac:dyDescent="0.25">
      <c r="A2969">
        <v>2968</v>
      </c>
      <c r="B2969">
        <v>1123834</v>
      </c>
      <c r="C2969" s="1" t="str">
        <f>HYPERLINK("http://stackoverflow.com/users/1123834", "Mofei Zhu")</f>
        <v>Mofei Zhu</v>
      </c>
      <c r="D2969" t="s">
        <v>4</v>
      </c>
      <c r="E2969">
        <v>86</v>
      </c>
    </row>
    <row r="2970" spans="1:5" x14ac:dyDescent="0.25">
      <c r="A2970">
        <v>2969</v>
      </c>
      <c r="B2970">
        <v>4333767</v>
      </c>
      <c r="C2970" s="1" t="str">
        <f>HYPERLINK("http://stackoverflow.com/users/4333767", "ShuangSong")</f>
        <v>ShuangSong</v>
      </c>
      <c r="D2970" t="s">
        <v>4</v>
      </c>
      <c r="E2970">
        <v>86</v>
      </c>
    </row>
    <row r="2971" spans="1:5" x14ac:dyDescent="0.25">
      <c r="A2971">
        <v>2970</v>
      </c>
      <c r="B2971">
        <v>228578</v>
      </c>
      <c r="C2971" s="1" t="str">
        <f>HYPERLINK("http://stackoverflow.com/users/228578", "Cary")</f>
        <v>Cary</v>
      </c>
      <c r="D2971" t="s">
        <v>4</v>
      </c>
      <c r="E2971">
        <v>86</v>
      </c>
    </row>
    <row r="2972" spans="1:5" x14ac:dyDescent="0.25">
      <c r="A2972">
        <v>2971</v>
      </c>
      <c r="B2972">
        <v>278613</v>
      </c>
      <c r="C2972" s="1" t="str">
        <f>HYPERLINK("http://stackoverflow.com/users/278613", "Pu Wang")</f>
        <v>Pu Wang</v>
      </c>
      <c r="D2972" t="s">
        <v>5</v>
      </c>
      <c r="E2972">
        <v>86</v>
      </c>
    </row>
    <row r="2973" spans="1:5" x14ac:dyDescent="0.25">
      <c r="A2973">
        <v>2972</v>
      </c>
      <c r="B2973">
        <v>319209</v>
      </c>
      <c r="C2973" s="1" t="str">
        <f>HYPERLINK("http://stackoverflow.com/users/319209", "ufengzh")</f>
        <v>ufengzh</v>
      </c>
      <c r="D2973" t="s">
        <v>17</v>
      </c>
      <c r="E2973">
        <v>86</v>
      </c>
    </row>
    <row r="2974" spans="1:5" x14ac:dyDescent="0.25">
      <c r="A2974">
        <v>2973</v>
      </c>
      <c r="B2974">
        <v>2711411</v>
      </c>
      <c r="C2974" s="1" t="str">
        <f>HYPERLINK("http://stackoverflow.com/users/2711411", "Joseph Guan")</f>
        <v>Joseph Guan</v>
      </c>
      <c r="D2974" t="s">
        <v>17</v>
      </c>
      <c r="E2974">
        <v>86</v>
      </c>
    </row>
    <row r="2975" spans="1:5" x14ac:dyDescent="0.25">
      <c r="A2975">
        <v>2974</v>
      </c>
      <c r="B2975">
        <v>603067</v>
      </c>
      <c r="C2975" s="1" t="str">
        <f>HYPERLINK("http://stackoverflow.com/users/603067", "onesuper")</f>
        <v>onesuper</v>
      </c>
      <c r="D2975" t="s">
        <v>4</v>
      </c>
      <c r="E2975">
        <v>86</v>
      </c>
    </row>
    <row r="2976" spans="1:5" x14ac:dyDescent="0.25">
      <c r="A2976">
        <v>2975</v>
      </c>
      <c r="B2976">
        <v>1609999</v>
      </c>
      <c r="C2976" s="1" t="str">
        <f>HYPERLINK("http://stackoverflow.com/users/1609999", "wonderflow")</f>
        <v>wonderflow</v>
      </c>
      <c r="D2976" t="s">
        <v>12</v>
      </c>
      <c r="E2976">
        <v>86</v>
      </c>
    </row>
    <row r="2977" spans="1:5" x14ac:dyDescent="0.25">
      <c r="A2977">
        <v>2976</v>
      </c>
      <c r="B2977">
        <v>3118708</v>
      </c>
      <c r="C2977" s="1" t="str">
        <f>HYPERLINK("http://stackoverflow.com/users/3118708", "Malcolm")</f>
        <v>Malcolm</v>
      </c>
      <c r="D2977" t="s">
        <v>4</v>
      </c>
      <c r="E2977">
        <v>86</v>
      </c>
    </row>
    <row r="2978" spans="1:5" x14ac:dyDescent="0.25">
      <c r="A2978">
        <v>2977</v>
      </c>
      <c r="B2978">
        <v>1127396</v>
      </c>
      <c r="C2978" s="1" t="str">
        <f>HYPERLINK("http://stackoverflow.com/users/1127396", "ThomasTsang")</f>
        <v>ThomasTsang</v>
      </c>
      <c r="D2978" t="s">
        <v>199</v>
      </c>
      <c r="E2978">
        <v>86</v>
      </c>
    </row>
    <row r="2979" spans="1:5" x14ac:dyDescent="0.25">
      <c r="A2979">
        <v>2978</v>
      </c>
      <c r="B2979">
        <v>5852277</v>
      </c>
      <c r="C2979" s="1" t="str">
        <f>HYPERLINK("http://stackoverflow.com/users/5852277", "MarcuX")</f>
        <v>MarcuX</v>
      </c>
      <c r="D2979" t="s">
        <v>200</v>
      </c>
      <c r="E2979">
        <v>86</v>
      </c>
    </row>
    <row r="2980" spans="1:5" x14ac:dyDescent="0.25">
      <c r="A2980">
        <v>2979</v>
      </c>
      <c r="B2980">
        <v>2291264</v>
      </c>
      <c r="C2980" s="1" t="str">
        <f>HYPERLINK("http://stackoverflow.com/users/2291264", "Stone Shi")</f>
        <v>Stone Shi</v>
      </c>
      <c r="D2980" t="s">
        <v>4</v>
      </c>
      <c r="E2980">
        <v>86</v>
      </c>
    </row>
    <row r="2981" spans="1:5" x14ac:dyDescent="0.25">
      <c r="A2981">
        <v>2980</v>
      </c>
      <c r="B2981">
        <v>1937578</v>
      </c>
      <c r="C2981" s="1" t="str">
        <f>HYPERLINK("http://stackoverflow.com/users/1937578", "Kidd Liu")</f>
        <v>Kidd Liu</v>
      </c>
      <c r="D2981" t="s">
        <v>17</v>
      </c>
      <c r="E2981">
        <v>86</v>
      </c>
    </row>
    <row r="2982" spans="1:5" x14ac:dyDescent="0.25">
      <c r="A2982">
        <v>2981</v>
      </c>
      <c r="B2982">
        <v>1915064</v>
      </c>
      <c r="C2982" s="1" t="str">
        <f>HYPERLINK("http://stackoverflow.com/users/1915064", "Belleve Invis")</f>
        <v>Belleve Invis</v>
      </c>
      <c r="D2982" t="s">
        <v>31</v>
      </c>
      <c r="E2982">
        <v>86</v>
      </c>
    </row>
    <row r="2983" spans="1:5" x14ac:dyDescent="0.25">
      <c r="A2983">
        <v>2982</v>
      </c>
      <c r="B2983">
        <v>4201477</v>
      </c>
      <c r="C2983" s="1" t="str">
        <f>HYPERLINK("http://stackoverflow.com/users/4201477", "qudongfang")</f>
        <v>qudongfang</v>
      </c>
      <c r="D2983" t="s">
        <v>5</v>
      </c>
      <c r="E2983">
        <v>86</v>
      </c>
    </row>
    <row r="2984" spans="1:5" x14ac:dyDescent="0.25">
      <c r="A2984">
        <v>2983</v>
      </c>
      <c r="B2984">
        <v>4010135</v>
      </c>
      <c r="C2984" s="1" t="str">
        <f>HYPERLINK("http://stackoverflow.com/users/4010135", "Zili FENG")</f>
        <v>Zili FENG</v>
      </c>
      <c r="D2984" t="s">
        <v>5</v>
      </c>
      <c r="E2984">
        <v>86</v>
      </c>
    </row>
    <row r="2985" spans="1:5" x14ac:dyDescent="0.25">
      <c r="A2985">
        <v>2984</v>
      </c>
      <c r="B2985">
        <v>5629327</v>
      </c>
      <c r="C2985" s="1" t="str">
        <f>HYPERLINK("http://stackoverflow.com/users/5629327", "Lauren.Liuling")</f>
        <v>Lauren.Liuling</v>
      </c>
      <c r="D2985" t="s">
        <v>17</v>
      </c>
      <c r="E2985">
        <v>86</v>
      </c>
    </row>
    <row r="2986" spans="1:5" x14ac:dyDescent="0.25">
      <c r="A2986">
        <v>2985</v>
      </c>
      <c r="B2986">
        <v>4797039</v>
      </c>
      <c r="C2986" s="1" t="str">
        <f>HYPERLINK("http://stackoverflow.com/users/4797039", "Hao")</f>
        <v>Hao</v>
      </c>
      <c r="D2986" t="s">
        <v>201</v>
      </c>
      <c r="E2986">
        <v>86</v>
      </c>
    </row>
    <row r="2987" spans="1:5" x14ac:dyDescent="0.25">
      <c r="A2987">
        <v>2986</v>
      </c>
      <c r="B2987">
        <v>741506</v>
      </c>
      <c r="C2987" s="1" t="str">
        <f>HYPERLINK("http://stackoverflow.com/users/741506", "robin.lo")</f>
        <v>robin.lo</v>
      </c>
      <c r="D2987" t="s">
        <v>5</v>
      </c>
      <c r="E2987">
        <v>86</v>
      </c>
    </row>
    <row r="2988" spans="1:5" x14ac:dyDescent="0.25">
      <c r="A2988">
        <v>2987</v>
      </c>
      <c r="B2988">
        <v>4715098</v>
      </c>
      <c r="C2988" s="1" t="str">
        <f>HYPERLINK("http://stackoverflow.com/users/4715098", "Hooks Zhang")</f>
        <v>Hooks Zhang</v>
      </c>
      <c r="D2988" t="s">
        <v>4</v>
      </c>
      <c r="E2988">
        <v>86</v>
      </c>
    </row>
    <row r="2989" spans="1:5" x14ac:dyDescent="0.25">
      <c r="A2989">
        <v>2988</v>
      </c>
      <c r="B2989">
        <v>397853</v>
      </c>
      <c r="C2989" s="1" t="str">
        <f>HYPERLINK("http://stackoverflow.com/users/397853", "risent")</f>
        <v>risent</v>
      </c>
      <c r="D2989" t="s">
        <v>4</v>
      </c>
      <c r="E2989">
        <v>86</v>
      </c>
    </row>
    <row r="2990" spans="1:5" x14ac:dyDescent="0.25">
      <c r="A2990">
        <v>2989</v>
      </c>
      <c r="B2990">
        <v>2117531</v>
      </c>
      <c r="C2990" s="1" t="str">
        <f>HYPERLINK("http://stackoverflow.com/users/2117531", "Lei Zhao")</f>
        <v>Lei Zhao</v>
      </c>
      <c r="D2990" t="s">
        <v>4</v>
      </c>
      <c r="E2990">
        <v>86</v>
      </c>
    </row>
    <row r="2991" spans="1:5" x14ac:dyDescent="0.25">
      <c r="A2991">
        <v>2990</v>
      </c>
      <c r="B2991">
        <v>9134276</v>
      </c>
      <c r="C2991" s="1" t="str">
        <f>HYPERLINK("http://stackoverflow.com/users/9134276", "Yang")</f>
        <v>Yang</v>
      </c>
      <c r="D2991" t="s">
        <v>193</v>
      </c>
      <c r="E2991">
        <v>86</v>
      </c>
    </row>
    <row r="2992" spans="1:5" x14ac:dyDescent="0.25">
      <c r="A2992">
        <v>2991</v>
      </c>
      <c r="B2992">
        <v>4015691</v>
      </c>
      <c r="C2992" s="1" t="str">
        <f>HYPERLINK("http://stackoverflow.com/users/4015691", "SimonShyu")</f>
        <v>SimonShyu</v>
      </c>
      <c r="D2992" t="s">
        <v>4</v>
      </c>
      <c r="E2992">
        <v>85</v>
      </c>
    </row>
    <row r="2993" spans="1:5" x14ac:dyDescent="0.25">
      <c r="A2993">
        <v>2992</v>
      </c>
      <c r="B2993">
        <v>1635229</v>
      </c>
      <c r="C2993" s="1" t="str">
        <f>HYPERLINK("http://stackoverflow.com/users/1635229", "kevinjom")</f>
        <v>kevinjom</v>
      </c>
      <c r="D2993" t="s">
        <v>131</v>
      </c>
      <c r="E2993">
        <v>85</v>
      </c>
    </row>
    <row r="2994" spans="1:5" x14ac:dyDescent="0.25">
      <c r="A2994">
        <v>2993</v>
      </c>
      <c r="B2994">
        <v>2979378</v>
      </c>
      <c r="C2994" s="1" t="str">
        <f>HYPERLINK("http://stackoverflow.com/users/2979378", "shuaiming")</f>
        <v>shuaiming</v>
      </c>
      <c r="D2994" t="s">
        <v>12</v>
      </c>
      <c r="E2994">
        <v>85</v>
      </c>
    </row>
    <row r="2995" spans="1:5" x14ac:dyDescent="0.25">
      <c r="A2995">
        <v>2994</v>
      </c>
      <c r="B2995">
        <v>5343689</v>
      </c>
      <c r="C2995" s="1" t="str">
        <f>HYPERLINK("http://stackoverflow.com/users/5343689", "CFSO6459")</f>
        <v>CFSO6459</v>
      </c>
      <c r="D2995" t="s">
        <v>17</v>
      </c>
      <c r="E2995">
        <v>85</v>
      </c>
    </row>
    <row r="2996" spans="1:5" x14ac:dyDescent="0.25">
      <c r="A2996">
        <v>2995</v>
      </c>
      <c r="B2996">
        <v>7132090</v>
      </c>
      <c r="C2996" s="1" t="str">
        <f>HYPERLINK("http://stackoverflow.com/users/7132090", "Arhoo")</f>
        <v>Arhoo</v>
      </c>
      <c r="D2996" t="s">
        <v>12</v>
      </c>
      <c r="E2996">
        <v>85</v>
      </c>
    </row>
    <row r="2997" spans="1:5" x14ac:dyDescent="0.25">
      <c r="A2997">
        <v>2996</v>
      </c>
      <c r="B2997">
        <v>495025</v>
      </c>
      <c r="C2997" s="1" t="str">
        <f>HYPERLINK("http://stackoverflow.com/users/495025", "viperchaos")</f>
        <v>viperchaos</v>
      </c>
      <c r="D2997" t="s">
        <v>22</v>
      </c>
      <c r="E2997">
        <v>85</v>
      </c>
    </row>
    <row r="2998" spans="1:5" x14ac:dyDescent="0.25">
      <c r="A2998">
        <v>2997</v>
      </c>
      <c r="B2998">
        <v>42170</v>
      </c>
      <c r="C2998" s="1" t="str">
        <f>HYPERLINK("http://stackoverflow.com/users/42170", "Favo Yang")</f>
        <v>Favo Yang</v>
      </c>
      <c r="D2998" t="s">
        <v>5</v>
      </c>
      <c r="E2998">
        <v>85</v>
      </c>
    </row>
    <row r="2999" spans="1:5" x14ac:dyDescent="0.25">
      <c r="A2999">
        <v>2998</v>
      </c>
      <c r="B2999">
        <v>2138613</v>
      </c>
      <c r="C2999" s="1" t="str">
        <f>HYPERLINK("http://stackoverflow.com/users/2138613", "Lenville")</f>
        <v>Lenville</v>
      </c>
      <c r="D2999" t="s">
        <v>79</v>
      </c>
      <c r="E2999">
        <v>85</v>
      </c>
    </row>
    <row r="3000" spans="1:5" x14ac:dyDescent="0.25">
      <c r="A3000">
        <v>2999</v>
      </c>
      <c r="B3000">
        <v>3053930</v>
      </c>
      <c r="C3000" s="1" t="str">
        <f>HYPERLINK("http://stackoverflow.com/users/3053930", "wenshin")</f>
        <v>wenshin</v>
      </c>
      <c r="D3000" t="s">
        <v>5</v>
      </c>
      <c r="E3000">
        <v>85</v>
      </c>
    </row>
    <row r="3001" spans="1:5" x14ac:dyDescent="0.25">
      <c r="A3001">
        <v>3000</v>
      </c>
      <c r="B3001">
        <v>3349827</v>
      </c>
      <c r="C3001" s="1" t="str">
        <f>HYPERLINK("http://stackoverflow.com/users/3349827", "Mike")</f>
        <v>Mike</v>
      </c>
      <c r="D3001" t="s">
        <v>5</v>
      </c>
      <c r="E3001">
        <v>85</v>
      </c>
    </row>
    <row r="3002" spans="1:5" x14ac:dyDescent="0.25">
      <c r="A3002">
        <v>3001</v>
      </c>
      <c r="B3002">
        <v>434689</v>
      </c>
      <c r="C3002" s="1" t="str">
        <f>HYPERLINK("http://stackoverflow.com/users/434689", "juliet")</f>
        <v>juliet</v>
      </c>
      <c r="D3002" t="s">
        <v>108</v>
      </c>
      <c r="E3002">
        <v>85</v>
      </c>
    </row>
    <row r="3003" spans="1:5" x14ac:dyDescent="0.25">
      <c r="A3003">
        <v>3002</v>
      </c>
      <c r="B3003">
        <v>6318003</v>
      </c>
      <c r="C3003" s="1" t="str">
        <f>HYPERLINK("http://stackoverflow.com/users/6318003", "Robin Du")</f>
        <v>Robin Du</v>
      </c>
      <c r="D3003" t="s">
        <v>5</v>
      </c>
      <c r="E3003">
        <v>84</v>
      </c>
    </row>
    <row r="3004" spans="1:5" x14ac:dyDescent="0.25">
      <c r="A3004">
        <v>3003</v>
      </c>
      <c r="B3004">
        <v>7424298</v>
      </c>
      <c r="C3004" s="1" t="str">
        <f>HYPERLINK("http://stackoverflow.com/users/7424298", "jerliol")</f>
        <v>jerliol</v>
      </c>
      <c r="D3004" t="s">
        <v>5</v>
      </c>
      <c r="E3004">
        <v>84</v>
      </c>
    </row>
    <row r="3005" spans="1:5" x14ac:dyDescent="0.25">
      <c r="A3005">
        <v>3004</v>
      </c>
      <c r="B3005">
        <v>5553085</v>
      </c>
      <c r="C3005" s="1" t="str">
        <f>HYPERLINK("http://stackoverflow.com/users/5553085", "Better")</f>
        <v>Better</v>
      </c>
      <c r="D3005" t="s">
        <v>7</v>
      </c>
      <c r="E3005">
        <v>84</v>
      </c>
    </row>
    <row r="3006" spans="1:5" x14ac:dyDescent="0.25">
      <c r="A3006">
        <v>3005</v>
      </c>
      <c r="B3006">
        <v>4840690</v>
      </c>
      <c r="C3006" s="1" t="str">
        <f>HYPERLINK("http://stackoverflow.com/users/4840690", "Jason Christ")</f>
        <v>Jason Christ</v>
      </c>
      <c r="D3006" t="s">
        <v>4</v>
      </c>
      <c r="E3006">
        <v>84</v>
      </c>
    </row>
    <row r="3007" spans="1:5" x14ac:dyDescent="0.25">
      <c r="A3007">
        <v>3006</v>
      </c>
      <c r="B3007">
        <v>5200161</v>
      </c>
      <c r="C3007" s="1" t="str">
        <f>HYPERLINK("http://stackoverflow.com/users/5200161", "KID94")</f>
        <v>KID94</v>
      </c>
      <c r="D3007" t="s">
        <v>47</v>
      </c>
      <c r="E3007">
        <v>84</v>
      </c>
    </row>
    <row r="3008" spans="1:5" x14ac:dyDescent="0.25">
      <c r="A3008">
        <v>3007</v>
      </c>
      <c r="B3008">
        <v>2442753</v>
      </c>
      <c r="C3008" s="1" t="str">
        <f>HYPERLINK("http://stackoverflow.com/users/2442753", "Jonny Chen")</f>
        <v>Jonny Chen</v>
      </c>
      <c r="D3008" t="s">
        <v>4</v>
      </c>
      <c r="E3008">
        <v>84</v>
      </c>
    </row>
    <row r="3009" spans="1:5" x14ac:dyDescent="0.25">
      <c r="A3009">
        <v>3008</v>
      </c>
      <c r="B3009">
        <v>6539153</v>
      </c>
      <c r="C3009" s="1" t="str">
        <f>HYPERLINK("http://stackoverflow.com/users/6539153", "Bai Bing")</f>
        <v>Bai Bing</v>
      </c>
      <c r="D3009" t="s">
        <v>28</v>
      </c>
      <c r="E3009">
        <v>84</v>
      </c>
    </row>
    <row r="3010" spans="1:5" x14ac:dyDescent="0.25">
      <c r="A3010">
        <v>3009</v>
      </c>
      <c r="B3010">
        <v>7556675</v>
      </c>
      <c r="C3010" s="1" t="str">
        <f>HYPERLINK("http://stackoverflow.com/users/7556675", "Dale.Che")</f>
        <v>Dale.Che</v>
      </c>
      <c r="D3010" t="s">
        <v>202</v>
      </c>
      <c r="E3010">
        <v>84</v>
      </c>
    </row>
    <row r="3011" spans="1:5" x14ac:dyDescent="0.25">
      <c r="A3011">
        <v>3010</v>
      </c>
      <c r="B3011">
        <v>7197834</v>
      </c>
      <c r="C3011" s="1" t="str">
        <f>HYPERLINK("http://stackoverflow.com/users/7197834", "Myrfy")</f>
        <v>Myrfy</v>
      </c>
      <c r="D3011" t="s">
        <v>5</v>
      </c>
      <c r="E3011">
        <v>84</v>
      </c>
    </row>
    <row r="3012" spans="1:5" x14ac:dyDescent="0.25">
      <c r="A3012">
        <v>3011</v>
      </c>
      <c r="B3012">
        <v>2964727</v>
      </c>
      <c r="C3012" s="1" t="str">
        <f>HYPERLINK("http://stackoverflow.com/users/2964727", "jamiewq")</f>
        <v>jamiewq</v>
      </c>
      <c r="D3012" t="s">
        <v>12</v>
      </c>
      <c r="E3012">
        <v>84</v>
      </c>
    </row>
    <row r="3013" spans="1:5" x14ac:dyDescent="0.25">
      <c r="A3013">
        <v>3012</v>
      </c>
      <c r="B3013">
        <v>1543963</v>
      </c>
      <c r="C3013" s="1" t="str">
        <f>HYPERLINK("http://stackoverflow.com/users/1543963", "Aaron")</f>
        <v>Aaron</v>
      </c>
      <c r="D3013" t="s">
        <v>4</v>
      </c>
      <c r="E3013">
        <v>84</v>
      </c>
    </row>
    <row r="3014" spans="1:5" x14ac:dyDescent="0.25">
      <c r="A3014">
        <v>3013</v>
      </c>
      <c r="B3014">
        <v>8835204</v>
      </c>
      <c r="C3014" s="1" t="str">
        <f>HYPERLINK("http://stackoverflow.com/users/8835204", "renhel")</f>
        <v>renhel</v>
      </c>
      <c r="D3014" t="s">
        <v>4</v>
      </c>
      <c r="E3014">
        <v>84</v>
      </c>
    </row>
    <row r="3015" spans="1:5" x14ac:dyDescent="0.25">
      <c r="A3015">
        <v>3014</v>
      </c>
      <c r="B3015">
        <v>6919549</v>
      </c>
      <c r="C3015" s="1" t="str">
        <f>HYPERLINK("http://stackoverflow.com/users/6919549", "Alan Dawkins")</f>
        <v>Alan Dawkins</v>
      </c>
      <c r="D3015" t="s">
        <v>5</v>
      </c>
      <c r="E3015">
        <v>84</v>
      </c>
    </row>
    <row r="3016" spans="1:5" x14ac:dyDescent="0.25">
      <c r="A3016">
        <v>3015</v>
      </c>
      <c r="B3016">
        <v>711833</v>
      </c>
      <c r="C3016" s="1" t="str">
        <f>HYPERLINK("http://stackoverflow.com/users/711833", "Helium")</f>
        <v>Helium</v>
      </c>
      <c r="D3016" t="s">
        <v>5</v>
      </c>
      <c r="E3016">
        <v>83</v>
      </c>
    </row>
    <row r="3017" spans="1:5" x14ac:dyDescent="0.25">
      <c r="A3017">
        <v>3016</v>
      </c>
      <c r="B3017">
        <v>5836863</v>
      </c>
      <c r="C3017" s="1" t="str">
        <f>HYPERLINK("http://stackoverflow.com/users/5836863", "wangt0907")</f>
        <v>wangt0907</v>
      </c>
      <c r="D3017" t="s">
        <v>12</v>
      </c>
      <c r="E3017">
        <v>83</v>
      </c>
    </row>
    <row r="3018" spans="1:5" x14ac:dyDescent="0.25">
      <c r="A3018">
        <v>3017</v>
      </c>
      <c r="B3018">
        <v>3896387</v>
      </c>
      <c r="C3018" s="1" t="str">
        <f>HYPERLINK("http://stackoverflow.com/users/3896387", "jan")</f>
        <v>jan</v>
      </c>
      <c r="D3018" t="s">
        <v>4</v>
      </c>
      <c r="E3018">
        <v>83</v>
      </c>
    </row>
    <row r="3019" spans="1:5" x14ac:dyDescent="0.25">
      <c r="A3019">
        <v>3018</v>
      </c>
      <c r="B3019">
        <v>1343536</v>
      </c>
      <c r="C3019" s="1" t="str">
        <f>HYPERLINK("http://stackoverflow.com/users/1343536", "shuan")</f>
        <v>shuan</v>
      </c>
      <c r="D3019" t="s">
        <v>203</v>
      </c>
      <c r="E3019">
        <v>83</v>
      </c>
    </row>
    <row r="3020" spans="1:5" x14ac:dyDescent="0.25">
      <c r="A3020">
        <v>3019</v>
      </c>
      <c r="B3020">
        <v>3404614</v>
      </c>
      <c r="C3020" s="1" t="str">
        <f>HYPERLINK("http://stackoverflow.com/users/3404614", "junfx")</f>
        <v>junfx</v>
      </c>
      <c r="D3020" t="s">
        <v>16</v>
      </c>
      <c r="E3020">
        <v>83</v>
      </c>
    </row>
    <row r="3021" spans="1:5" x14ac:dyDescent="0.25">
      <c r="A3021">
        <v>3020</v>
      </c>
      <c r="B3021">
        <v>1427782</v>
      </c>
      <c r="C3021" s="1" t="str">
        <f>HYPERLINK("http://stackoverflow.com/users/1427782", "pprain")</f>
        <v>pprain</v>
      </c>
      <c r="D3021" t="s">
        <v>22</v>
      </c>
      <c r="E3021">
        <v>83</v>
      </c>
    </row>
    <row r="3022" spans="1:5" x14ac:dyDescent="0.25">
      <c r="A3022">
        <v>3021</v>
      </c>
      <c r="B3022">
        <v>3868484</v>
      </c>
      <c r="C3022" s="1" t="str">
        <f>HYPERLINK("http://stackoverflow.com/users/3868484", "LeoTao")</f>
        <v>LeoTao</v>
      </c>
      <c r="D3022" t="s">
        <v>5</v>
      </c>
      <c r="E3022">
        <v>83</v>
      </c>
    </row>
    <row r="3023" spans="1:5" x14ac:dyDescent="0.25">
      <c r="A3023">
        <v>3022</v>
      </c>
      <c r="B3023">
        <v>1933841</v>
      </c>
      <c r="C3023" s="1" t="str">
        <f>HYPERLINK("http://stackoverflow.com/users/1933841", "ruibin")</f>
        <v>ruibin</v>
      </c>
      <c r="D3023" t="s">
        <v>5</v>
      </c>
      <c r="E3023">
        <v>83</v>
      </c>
    </row>
    <row r="3024" spans="1:5" x14ac:dyDescent="0.25">
      <c r="A3024">
        <v>3023</v>
      </c>
      <c r="B3024">
        <v>246401</v>
      </c>
      <c r="C3024" s="1" t="str">
        <f>HYPERLINK("http://stackoverflow.com/users/246401", "Bo Xiao")</f>
        <v>Bo Xiao</v>
      </c>
      <c r="D3024" t="s">
        <v>86</v>
      </c>
      <c r="E3024">
        <v>83</v>
      </c>
    </row>
    <row r="3025" spans="1:5" x14ac:dyDescent="0.25">
      <c r="A3025">
        <v>3024</v>
      </c>
      <c r="B3025">
        <v>5625434</v>
      </c>
      <c r="C3025" s="1" t="str">
        <f>HYPERLINK("http://stackoverflow.com/users/5625434", "Mitchell Chu")</f>
        <v>Mitchell Chu</v>
      </c>
      <c r="D3025" t="s">
        <v>4</v>
      </c>
      <c r="E3025">
        <v>82</v>
      </c>
    </row>
    <row r="3026" spans="1:5" x14ac:dyDescent="0.25">
      <c r="A3026">
        <v>3025</v>
      </c>
      <c r="B3026">
        <v>1687527</v>
      </c>
      <c r="C3026" s="1" t="str">
        <f>HYPERLINK("http://stackoverflow.com/users/1687527", "Keep Thinking")</f>
        <v>Keep Thinking</v>
      </c>
      <c r="D3026" t="s">
        <v>17</v>
      </c>
      <c r="E3026">
        <v>82</v>
      </c>
    </row>
    <row r="3027" spans="1:5" x14ac:dyDescent="0.25">
      <c r="A3027">
        <v>3026</v>
      </c>
      <c r="B3027">
        <v>3234726</v>
      </c>
      <c r="C3027" s="1" t="str">
        <f>HYPERLINK("http://stackoverflow.com/users/3234726", "Hengqi Chen")</f>
        <v>Hengqi Chen</v>
      </c>
      <c r="D3027" t="s">
        <v>21</v>
      </c>
      <c r="E3027">
        <v>82</v>
      </c>
    </row>
    <row r="3028" spans="1:5" x14ac:dyDescent="0.25">
      <c r="A3028">
        <v>3027</v>
      </c>
      <c r="B3028">
        <v>1123947</v>
      </c>
      <c r="C3028" s="1" t="str">
        <f>HYPERLINK("http://stackoverflow.com/users/1123947", "Tim")</f>
        <v>Tim</v>
      </c>
      <c r="D3028" t="s">
        <v>5</v>
      </c>
      <c r="E3028">
        <v>82</v>
      </c>
    </row>
    <row r="3029" spans="1:5" x14ac:dyDescent="0.25">
      <c r="A3029">
        <v>3028</v>
      </c>
      <c r="B3029">
        <v>5491981</v>
      </c>
      <c r="C3029" s="1" t="str">
        <f>HYPERLINK("http://stackoverflow.com/users/5491981", "lanx86")</f>
        <v>lanx86</v>
      </c>
      <c r="D3029" t="s">
        <v>136</v>
      </c>
      <c r="E3029">
        <v>82</v>
      </c>
    </row>
    <row r="3030" spans="1:5" x14ac:dyDescent="0.25">
      <c r="A3030">
        <v>3029</v>
      </c>
      <c r="B3030">
        <v>6325806</v>
      </c>
      <c r="C3030" s="1" t="str">
        <f>HYPERLINK("http://stackoverflow.com/users/6325806", "Tao Hu")</f>
        <v>Tao Hu</v>
      </c>
      <c r="D3030" t="s">
        <v>108</v>
      </c>
      <c r="E3030">
        <v>82</v>
      </c>
    </row>
    <row r="3031" spans="1:5" x14ac:dyDescent="0.25">
      <c r="A3031">
        <v>3030</v>
      </c>
      <c r="B3031">
        <v>5542073</v>
      </c>
      <c r="C3031" s="1" t="str">
        <f>HYPERLINK("http://stackoverflow.com/users/5542073", "Xheldon Cao")</f>
        <v>Xheldon Cao</v>
      </c>
      <c r="D3031" t="s">
        <v>5</v>
      </c>
      <c r="E3031">
        <v>82</v>
      </c>
    </row>
    <row r="3032" spans="1:5" x14ac:dyDescent="0.25">
      <c r="A3032">
        <v>3031</v>
      </c>
      <c r="B3032">
        <v>7321251</v>
      </c>
      <c r="C3032" s="1" t="str">
        <f>HYPERLINK("http://stackoverflow.com/users/7321251", "Saeron Meng")</f>
        <v>Saeron Meng</v>
      </c>
      <c r="D3032" t="s">
        <v>62</v>
      </c>
      <c r="E3032">
        <v>82</v>
      </c>
    </row>
    <row r="3033" spans="1:5" x14ac:dyDescent="0.25">
      <c r="A3033">
        <v>3032</v>
      </c>
      <c r="B3033">
        <v>7350840</v>
      </c>
      <c r="C3033" s="1" t="str">
        <f>HYPERLINK("http://stackoverflow.com/users/7350840", "MoYummy")</f>
        <v>MoYummy</v>
      </c>
      <c r="D3033" t="s">
        <v>4</v>
      </c>
      <c r="E3033">
        <v>82</v>
      </c>
    </row>
    <row r="3034" spans="1:5" x14ac:dyDescent="0.25">
      <c r="A3034">
        <v>3033</v>
      </c>
      <c r="B3034">
        <v>4402090</v>
      </c>
      <c r="C3034" s="1" t="str">
        <f>HYPERLINK("http://stackoverflow.com/users/4402090", "童仲毅")</f>
        <v>童仲毅</v>
      </c>
      <c r="D3034" t="s">
        <v>4</v>
      </c>
      <c r="E3034">
        <v>82</v>
      </c>
    </row>
    <row r="3035" spans="1:5" x14ac:dyDescent="0.25">
      <c r="A3035">
        <v>3034</v>
      </c>
      <c r="B3035">
        <v>6493106</v>
      </c>
      <c r="C3035" s="1" t="str">
        <f>HYPERLINK("http://stackoverflow.com/users/6493106", "Ray Chen")</f>
        <v>Ray Chen</v>
      </c>
      <c r="D3035" t="s">
        <v>4</v>
      </c>
      <c r="E3035">
        <v>82</v>
      </c>
    </row>
    <row r="3036" spans="1:5" x14ac:dyDescent="0.25">
      <c r="A3036">
        <v>3035</v>
      </c>
      <c r="B3036">
        <v>8456875</v>
      </c>
      <c r="C3036" s="1" t="str">
        <f>HYPERLINK("http://stackoverflow.com/users/8456875", "Feng Zhang")</f>
        <v>Feng Zhang</v>
      </c>
      <c r="D3036" t="s">
        <v>7</v>
      </c>
      <c r="E3036">
        <v>81</v>
      </c>
    </row>
    <row r="3037" spans="1:5" x14ac:dyDescent="0.25">
      <c r="A3037">
        <v>3036</v>
      </c>
      <c r="B3037">
        <v>539597</v>
      </c>
      <c r="C3037" s="1" t="str">
        <f>HYPERLINK("http://stackoverflow.com/users/539597", "loushizan")</f>
        <v>loushizan</v>
      </c>
      <c r="D3037" t="s">
        <v>4</v>
      </c>
      <c r="E3037">
        <v>81</v>
      </c>
    </row>
    <row r="3038" spans="1:5" x14ac:dyDescent="0.25">
      <c r="A3038">
        <v>3037</v>
      </c>
      <c r="B3038">
        <v>1605963</v>
      </c>
      <c r="C3038" s="1" t="str">
        <f>HYPERLINK("http://stackoverflow.com/users/1605963", "yao lu")</f>
        <v>yao lu</v>
      </c>
      <c r="D3038" t="s">
        <v>5</v>
      </c>
      <c r="E3038">
        <v>81</v>
      </c>
    </row>
    <row r="3039" spans="1:5" x14ac:dyDescent="0.25">
      <c r="A3039">
        <v>3038</v>
      </c>
      <c r="B3039">
        <v>5344914</v>
      </c>
      <c r="C3039" s="1" t="str">
        <f>HYPERLINK("http://stackoverflow.com/users/5344914", "Addison")</f>
        <v>Addison</v>
      </c>
      <c r="D3039" t="s">
        <v>4</v>
      </c>
      <c r="E3039">
        <v>81</v>
      </c>
    </row>
    <row r="3040" spans="1:5" x14ac:dyDescent="0.25">
      <c r="A3040">
        <v>3039</v>
      </c>
      <c r="B3040">
        <v>5480850</v>
      </c>
      <c r="C3040" s="1" t="str">
        <f>HYPERLINK("http://stackoverflow.com/users/5480850", "龚成玥")</f>
        <v>龚成玥</v>
      </c>
      <c r="D3040" t="s">
        <v>5</v>
      </c>
      <c r="E3040">
        <v>81</v>
      </c>
    </row>
    <row r="3041" spans="1:5" x14ac:dyDescent="0.25">
      <c r="A3041">
        <v>3040</v>
      </c>
      <c r="B3041">
        <v>1432342</v>
      </c>
      <c r="C3041" s="1" t="str">
        <f>HYPERLINK("http://stackoverflow.com/users/1432342", "Ralph Shane")</f>
        <v>Ralph Shane</v>
      </c>
      <c r="D3041" t="s">
        <v>5</v>
      </c>
      <c r="E3041">
        <v>81</v>
      </c>
    </row>
    <row r="3042" spans="1:5" x14ac:dyDescent="0.25">
      <c r="A3042">
        <v>3041</v>
      </c>
      <c r="B3042">
        <v>1973972</v>
      </c>
      <c r="C3042" s="1" t="str">
        <f>HYPERLINK("http://stackoverflow.com/users/1973972", "Peiyun")</f>
        <v>Peiyun</v>
      </c>
      <c r="D3042" t="s">
        <v>5</v>
      </c>
      <c r="E3042">
        <v>81</v>
      </c>
    </row>
    <row r="3043" spans="1:5" x14ac:dyDescent="0.25">
      <c r="A3043">
        <v>3042</v>
      </c>
      <c r="B3043">
        <v>3741582</v>
      </c>
      <c r="C3043" s="1" t="str">
        <f>HYPERLINK("http://stackoverflow.com/users/3741582", "adri")</f>
        <v>adri</v>
      </c>
      <c r="D3043" t="s">
        <v>4</v>
      </c>
      <c r="E3043">
        <v>81</v>
      </c>
    </row>
    <row r="3044" spans="1:5" x14ac:dyDescent="0.25">
      <c r="A3044">
        <v>3043</v>
      </c>
      <c r="B3044">
        <v>2272490</v>
      </c>
      <c r="C3044" s="1" t="str">
        <f>HYPERLINK("http://stackoverflow.com/users/2272490", "francis")</f>
        <v>francis</v>
      </c>
      <c r="D3044" t="s">
        <v>4</v>
      </c>
      <c r="E3044">
        <v>81</v>
      </c>
    </row>
    <row r="3045" spans="1:5" x14ac:dyDescent="0.25">
      <c r="A3045">
        <v>3044</v>
      </c>
      <c r="B3045">
        <v>2735606</v>
      </c>
      <c r="C3045" s="1" t="str">
        <f>HYPERLINK("http://stackoverflow.com/users/2735606", "Weili Zhao")</f>
        <v>Weili Zhao</v>
      </c>
      <c r="D3045" t="s">
        <v>4</v>
      </c>
      <c r="E3045">
        <v>81</v>
      </c>
    </row>
    <row r="3046" spans="1:5" x14ac:dyDescent="0.25">
      <c r="A3046">
        <v>3045</v>
      </c>
      <c r="B3046">
        <v>935940</v>
      </c>
      <c r="C3046" s="1" t="str">
        <f>HYPERLINK("http://stackoverflow.com/users/935940", "Madcat")</f>
        <v>Madcat</v>
      </c>
      <c r="D3046" t="s">
        <v>4</v>
      </c>
      <c r="E3046">
        <v>81</v>
      </c>
    </row>
    <row r="3047" spans="1:5" x14ac:dyDescent="0.25">
      <c r="A3047">
        <v>3046</v>
      </c>
      <c r="B3047">
        <v>1437408</v>
      </c>
      <c r="C3047" s="1" t="str">
        <f>HYPERLINK("http://stackoverflow.com/users/1437408", "Jiajun")</f>
        <v>Jiajun</v>
      </c>
      <c r="D3047" t="s">
        <v>5</v>
      </c>
      <c r="E3047">
        <v>81</v>
      </c>
    </row>
    <row r="3048" spans="1:5" x14ac:dyDescent="0.25">
      <c r="A3048">
        <v>3047</v>
      </c>
      <c r="B3048">
        <v>2087391</v>
      </c>
      <c r="C3048" s="1" t="str">
        <f>HYPERLINK("http://stackoverflow.com/users/2087391", "Yì Yáng")</f>
        <v>Yì Yáng</v>
      </c>
      <c r="D3048" t="s">
        <v>5</v>
      </c>
      <c r="E3048">
        <v>81</v>
      </c>
    </row>
    <row r="3049" spans="1:5" x14ac:dyDescent="0.25">
      <c r="A3049">
        <v>3048</v>
      </c>
      <c r="B3049">
        <v>1084946</v>
      </c>
      <c r="C3049" s="1" t="str">
        <f>HYPERLINK("http://stackoverflow.com/users/1084946", "Arbipher")</f>
        <v>Arbipher</v>
      </c>
      <c r="D3049" t="s">
        <v>4</v>
      </c>
      <c r="E3049">
        <v>81</v>
      </c>
    </row>
    <row r="3050" spans="1:5" x14ac:dyDescent="0.25">
      <c r="A3050">
        <v>3049</v>
      </c>
      <c r="B3050">
        <v>1175444</v>
      </c>
      <c r="C3050" s="1" t="str">
        <f>HYPERLINK("http://stackoverflow.com/users/1175444", "nemo931102")</f>
        <v>nemo931102</v>
      </c>
      <c r="D3050" t="s">
        <v>17</v>
      </c>
      <c r="E3050">
        <v>81</v>
      </c>
    </row>
    <row r="3051" spans="1:5" x14ac:dyDescent="0.25">
      <c r="A3051">
        <v>3050</v>
      </c>
      <c r="B3051">
        <v>1176110</v>
      </c>
      <c r="C3051" s="1" t="str">
        <f>HYPERLINK("http://stackoverflow.com/users/1176110", "RookieCy")</f>
        <v>RookieCy</v>
      </c>
      <c r="D3051" t="s">
        <v>12</v>
      </c>
      <c r="E3051">
        <v>81</v>
      </c>
    </row>
    <row r="3052" spans="1:5" x14ac:dyDescent="0.25">
      <c r="A3052">
        <v>3051</v>
      </c>
      <c r="B3052">
        <v>6254921</v>
      </c>
      <c r="C3052" s="1" t="str">
        <f>HYPERLINK("http://stackoverflow.com/users/6254921", "Shawn.G")</f>
        <v>Shawn.G</v>
      </c>
      <c r="D3052" t="s">
        <v>4</v>
      </c>
      <c r="E3052">
        <v>81</v>
      </c>
    </row>
    <row r="3053" spans="1:5" x14ac:dyDescent="0.25">
      <c r="A3053">
        <v>3052</v>
      </c>
      <c r="B3053">
        <v>8301218</v>
      </c>
      <c r="C3053" s="1" t="str">
        <f>HYPERLINK("http://stackoverflow.com/users/8301218", "Mr.True")</f>
        <v>Mr.True</v>
      </c>
      <c r="D3053" t="s">
        <v>204</v>
      </c>
      <c r="E3053">
        <v>81</v>
      </c>
    </row>
    <row r="3054" spans="1:5" x14ac:dyDescent="0.25">
      <c r="A3054">
        <v>3053</v>
      </c>
      <c r="B3054">
        <v>5514311</v>
      </c>
      <c r="C3054" s="1" t="str">
        <f>HYPERLINK("http://stackoverflow.com/users/5514311", "Sue Su")</f>
        <v>Sue Su</v>
      </c>
      <c r="D3054" t="s">
        <v>59</v>
      </c>
      <c r="E3054">
        <v>81</v>
      </c>
    </row>
    <row r="3055" spans="1:5" x14ac:dyDescent="0.25">
      <c r="A3055">
        <v>3054</v>
      </c>
      <c r="B3055">
        <v>3762183</v>
      </c>
      <c r="C3055" s="1" t="str">
        <f>HYPERLINK("http://stackoverflow.com/users/3762183", "xLight")</f>
        <v>xLight</v>
      </c>
      <c r="D3055" t="s">
        <v>5</v>
      </c>
      <c r="E3055">
        <v>81</v>
      </c>
    </row>
    <row r="3056" spans="1:5" x14ac:dyDescent="0.25">
      <c r="A3056">
        <v>3055</v>
      </c>
      <c r="B3056">
        <v>4299243</v>
      </c>
      <c r="C3056" s="1" t="str">
        <f>HYPERLINK("http://stackoverflow.com/users/4299243", "awill")</f>
        <v>awill</v>
      </c>
      <c r="D3056" t="s">
        <v>4</v>
      </c>
      <c r="E3056">
        <v>81</v>
      </c>
    </row>
    <row r="3057" spans="1:5" x14ac:dyDescent="0.25">
      <c r="A3057">
        <v>3056</v>
      </c>
      <c r="B3057">
        <v>9471416</v>
      </c>
      <c r="C3057" s="1" t="str">
        <f>HYPERLINK("http://stackoverflow.com/users/9471416", "Tengfei Li")</f>
        <v>Tengfei Li</v>
      </c>
      <c r="D3057" t="s">
        <v>4</v>
      </c>
      <c r="E3057">
        <v>81</v>
      </c>
    </row>
    <row r="3058" spans="1:5" x14ac:dyDescent="0.25">
      <c r="A3058">
        <v>3057</v>
      </c>
      <c r="B3058">
        <v>1294900</v>
      </c>
      <c r="C3058" s="1" t="str">
        <f>HYPERLINK("http://stackoverflow.com/users/1294900", "Rocky Zhang")</f>
        <v>Rocky Zhang</v>
      </c>
      <c r="D3058" t="s">
        <v>4</v>
      </c>
      <c r="E3058">
        <v>81</v>
      </c>
    </row>
    <row r="3059" spans="1:5" x14ac:dyDescent="0.25">
      <c r="A3059">
        <v>3058</v>
      </c>
      <c r="B3059">
        <v>1322120</v>
      </c>
      <c r="C3059" s="1" t="str">
        <f>HYPERLINK("http://stackoverflow.com/users/1322120", "tony")</f>
        <v>tony</v>
      </c>
      <c r="D3059" t="s">
        <v>205</v>
      </c>
      <c r="E3059">
        <v>81</v>
      </c>
    </row>
    <row r="3060" spans="1:5" x14ac:dyDescent="0.25">
      <c r="A3060">
        <v>3059</v>
      </c>
      <c r="B3060">
        <v>5227717</v>
      </c>
      <c r="C3060" s="1" t="str">
        <f>HYPERLINK("http://stackoverflow.com/users/5227717", "i_82")</f>
        <v>i_82</v>
      </c>
      <c r="D3060" t="s">
        <v>4</v>
      </c>
      <c r="E3060">
        <v>81</v>
      </c>
    </row>
    <row r="3061" spans="1:5" x14ac:dyDescent="0.25">
      <c r="A3061">
        <v>3060</v>
      </c>
      <c r="B3061">
        <v>1059241</v>
      </c>
      <c r="C3061" s="1" t="str">
        <f>HYPERLINK("http://stackoverflow.com/users/1059241", "laiwenjie")</f>
        <v>laiwenjie</v>
      </c>
      <c r="D3061" t="s">
        <v>22</v>
      </c>
      <c r="E3061">
        <v>81</v>
      </c>
    </row>
    <row r="3062" spans="1:5" x14ac:dyDescent="0.25">
      <c r="A3062">
        <v>3061</v>
      </c>
      <c r="B3062">
        <v>1039066</v>
      </c>
      <c r="C3062" s="1" t="str">
        <f>HYPERLINK("http://stackoverflow.com/users/1039066", "xeonwell")</f>
        <v>xeonwell</v>
      </c>
      <c r="D3062" t="s">
        <v>17</v>
      </c>
      <c r="E3062">
        <v>81</v>
      </c>
    </row>
    <row r="3063" spans="1:5" x14ac:dyDescent="0.25">
      <c r="A3063">
        <v>3062</v>
      </c>
      <c r="B3063">
        <v>4353631</v>
      </c>
      <c r="C3063" s="1" t="str">
        <f>HYPERLINK("http://stackoverflow.com/users/4353631", "kofwang")</f>
        <v>kofwang</v>
      </c>
      <c r="D3063" t="s">
        <v>5</v>
      </c>
      <c r="E3063">
        <v>81</v>
      </c>
    </row>
    <row r="3064" spans="1:5" x14ac:dyDescent="0.25">
      <c r="A3064">
        <v>3063</v>
      </c>
      <c r="B3064">
        <v>293629</v>
      </c>
      <c r="C3064" s="1" t="str">
        <f>HYPERLINK("http://stackoverflow.com/users/293629", "bbriandet")</f>
        <v>bbriandet</v>
      </c>
      <c r="D3064" t="s">
        <v>4</v>
      </c>
      <c r="E3064">
        <v>81</v>
      </c>
    </row>
    <row r="3065" spans="1:5" x14ac:dyDescent="0.25">
      <c r="A3065">
        <v>3064</v>
      </c>
      <c r="B3065">
        <v>494250</v>
      </c>
      <c r="C3065" s="1" t="str">
        <f>HYPERLINK("http://stackoverflow.com/users/494250", "Calvin Kwok")</f>
        <v>Calvin Kwok</v>
      </c>
      <c r="D3065" t="s">
        <v>4</v>
      </c>
      <c r="E3065">
        <v>81</v>
      </c>
    </row>
    <row r="3066" spans="1:5" x14ac:dyDescent="0.25">
      <c r="A3066">
        <v>3065</v>
      </c>
      <c r="B3066">
        <v>6354155</v>
      </c>
      <c r="C3066" s="1" t="str">
        <f>HYPERLINK("http://stackoverflow.com/users/6354155", "Shen Yu")</f>
        <v>Shen Yu</v>
      </c>
      <c r="D3066" t="s">
        <v>4</v>
      </c>
      <c r="E3066">
        <v>81</v>
      </c>
    </row>
    <row r="3067" spans="1:5" x14ac:dyDescent="0.25">
      <c r="A3067">
        <v>3066</v>
      </c>
      <c r="B3067">
        <v>3701358</v>
      </c>
      <c r="C3067" s="1" t="str">
        <f>HYPERLINK("http://stackoverflow.com/users/3701358", "ZFY")</f>
        <v>ZFY</v>
      </c>
      <c r="D3067" t="s">
        <v>4</v>
      </c>
      <c r="E3067">
        <v>81</v>
      </c>
    </row>
    <row r="3068" spans="1:5" x14ac:dyDescent="0.25">
      <c r="A3068">
        <v>3067</v>
      </c>
      <c r="B3068">
        <v>1878540</v>
      </c>
      <c r="C3068" s="1" t="str">
        <f>HYPERLINK("http://stackoverflow.com/users/1878540", "GuoJing")</f>
        <v>GuoJing</v>
      </c>
      <c r="D3068" t="s">
        <v>5</v>
      </c>
      <c r="E3068">
        <v>81</v>
      </c>
    </row>
    <row r="3069" spans="1:5" x14ac:dyDescent="0.25">
      <c r="A3069">
        <v>3068</v>
      </c>
      <c r="B3069">
        <v>118010</v>
      </c>
      <c r="C3069" s="1" t="str">
        <f>HYPERLINK("http://stackoverflow.com/users/118010", "yichun")</f>
        <v>yichun</v>
      </c>
      <c r="D3069" t="s">
        <v>4</v>
      </c>
      <c r="E3069">
        <v>81</v>
      </c>
    </row>
    <row r="3070" spans="1:5" x14ac:dyDescent="0.25">
      <c r="A3070">
        <v>3069</v>
      </c>
      <c r="B3070">
        <v>4318846</v>
      </c>
      <c r="C3070" s="1" t="str">
        <f>HYPERLINK("http://stackoverflow.com/users/4318846", "iengchen")</f>
        <v>iengchen</v>
      </c>
      <c r="D3070" t="s">
        <v>4</v>
      </c>
      <c r="E3070">
        <v>81</v>
      </c>
    </row>
    <row r="3071" spans="1:5" x14ac:dyDescent="0.25">
      <c r="A3071">
        <v>3070</v>
      </c>
      <c r="B3071">
        <v>1468269</v>
      </c>
      <c r="C3071" s="1" t="str">
        <f>HYPERLINK("http://stackoverflow.com/users/1468269", "One Double")</f>
        <v>One Double</v>
      </c>
      <c r="D3071" t="s">
        <v>4</v>
      </c>
      <c r="E3071">
        <v>81</v>
      </c>
    </row>
    <row r="3072" spans="1:5" x14ac:dyDescent="0.25">
      <c r="A3072">
        <v>3071</v>
      </c>
      <c r="B3072">
        <v>5060291</v>
      </c>
      <c r="C3072" s="1" t="str">
        <f>HYPERLINK("http://stackoverflow.com/users/5060291", "LinaInverce")</f>
        <v>LinaInverce</v>
      </c>
      <c r="D3072" t="s">
        <v>4</v>
      </c>
      <c r="E3072">
        <v>81</v>
      </c>
    </row>
    <row r="3073" spans="1:5" x14ac:dyDescent="0.25">
      <c r="A3073">
        <v>3072</v>
      </c>
      <c r="B3073">
        <v>2951251</v>
      </c>
      <c r="C3073" s="1" t="str">
        <f>HYPERLINK("http://stackoverflow.com/users/2951251", "Dryice Liu")</f>
        <v>Dryice Liu</v>
      </c>
      <c r="D3073" t="s">
        <v>15</v>
      </c>
      <c r="E3073">
        <v>81</v>
      </c>
    </row>
    <row r="3074" spans="1:5" x14ac:dyDescent="0.25">
      <c r="A3074">
        <v>3073</v>
      </c>
      <c r="B3074">
        <v>3156331</v>
      </c>
      <c r="C3074" s="1" t="str">
        <f>HYPERLINK("http://stackoverflow.com/users/3156331", "jiangchunzhi")</f>
        <v>jiangchunzhi</v>
      </c>
      <c r="D3074" t="s">
        <v>5</v>
      </c>
      <c r="E3074">
        <v>81</v>
      </c>
    </row>
    <row r="3075" spans="1:5" x14ac:dyDescent="0.25">
      <c r="A3075">
        <v>3074</v>
      </c>
      <c r="B3075">
        <v>1296972</v>
      </c>
      <c r="C3075" s="1" t="str">
        <f>HYPERLINK("http://stackoverflow.com/users/1296972", "rensq")</f>
        <v>rensq</v>
      </c>
      <c r="D3075" t="s">
        <v>8</v>
      </c>
      <c r="E3075">
        <v>81</v>
      </c>
    </row>
    <row r="3076" spans="1:5" x14ac:dyDescent="0.25">
      <c r="A3076">
        <v>3075</v>
      </c>
      <c r="B3076">
        <v>4407363</v>
      </c>
      <c r="C3076" s="1" t="str">
        <f>HYPERLINK("http://stackoverflow.com/users/4407363", "Gavin Gong")</f>
        <v>Gavin Gong</v>
      </c>
      <c r="D3076" t="s">
        <v>97</v>
      </c>
      <c r="E3076">
        <v>81</v>
      </c>
    </row>
    <row r="3077" spans="1:5" x14ac:dyDescent="0.25">
      <c r="A3077">
        <v>3076</v>
      </c>
      <c r="B3077">
        <v>2555626</v>
      </c>
      <c r="C3077" s="1" t="str">
        <f>HYPERLINK("http://stackoverflow.com/users/2555626", "suyanlu")</f>
        <v>suyanlu</v>
      </c>
      <c r="D3077" t="s">
        <v>37</v>
      </c>
      <c r="E3077">
        <v>81</v>
      </c>
    </row>
    <row r="3078" spans="1:5" x14ac:dyDescent="0.25">
      <c r="A3078">
        <v>3077</v>
      </c>
      <c r="B3078">
        <v>127953</v>
      </c>
      <c r="C3078" s="1" t="str">
        <f>HYPERLINK("http://stackoverflow.com/users/127953", "Bigfei")</f>
        <v>Bigfei</v>
      </c>
      <c r="D3078" t="s">
        <v>5</v>
      </c>
      <c r="E3078">
        <v>81</v>
      </c>
    </row>
    <row r="3079" spans="1:5" x14ac:dyDescent="0.25">
      <c r="A3079">
        <v>3078</v>
      </c>
      <c r="B3079">
        <v>797207</v>
      </c>
      <c r="C3079" s="1" t="str">
        <f>HYPERLINK("http://stackoverflow.com/users/797207", "Hadwin Zheng")</f>
        <v>Hadwin Zheng</v>
      </c>
      <c r="D3079" t="s">
        <v>4</v>
      </c>
      <c r="E3079">
        <v>81</v>
      </c>
    </row>
    <row r="3080" spans="1:5" x14ac:dyDescent="0.25">
      <c r="A3080">
        <v>3079</v>
      </c>
      <c r="B3080">
        <v>1145694</v>
      </c>
      <c r="C3080" s="1" t="str">
        <f>HYPERLINK("http://stackoverflow.com/users/1145694", "sunzhuoshi")</f>
        <v>sunzhuoshi</v>
      </c>
      <c r="D3080" t="s">
        <v>4</v>
      </c>
      <c r="E3080">
        <v>81</v>
      </c>
    </row>
    <row r="3081" spans="1:5" x14ac:dyDescent="0.25">
      <c r="A3081">
        <v>3080</v>
      </c>
      <c r="B3081">
        <v>3300605</v>
      </c>
      <c r="C3081" s="1" t="str">
        <f>HYPERLINK("http://stackoverflow.com/users/3300605", "Haiyang Xu")</f>
        <v>Haiyang Xu</v>
      </c>
      <c r="D3081" t="s">
        <v>8</v>
      </c>
      <c r="E3081">
        <v>81</v>
      </c>
    </row>
    <row r="3082" spans="1:5" x14ac:dyDescent="0.25">
      <c r="A3082">
        <v>3081</v>
      </c>
      <c r="B3082">
        <v>5471347</v>
      </c>
      <c r="C3082" s="1" t="str">
        <f>HYPERLINK("http://stackoverflow.com/users/5471347", "Cheng.Lee")</f>
        <v>Cheng.Lee</v>
      </c>
      <c r="D3082" t="s">
        <v>5</v>
      </c>
      <c r="E3082">
        <v>81</v>
      </c>
    </row>
    <row r="3083" spans="1:5" x14ac:dyDescent="0.25">
      <c r="A3083">
        <v>3082</v>
      </c>
      <c r="B3083">
        <v>7004844</v>
      </c>
      <c r="C3083" s="1" t="str">
        <f>HYPERLINK("http://stackoverflow.com/users/7004844", "haroldT")</f>
        <v>haroldT</v>
      </c>
      <c r="D3083" t="s">
        <v>7</v>
      </c>
      <c r="E3083">
        <v>80</v>
      </c>
    </row>
    <row r="3084" spans="1:5" x14ac:dyDescent="0.25">
      <c r="A3084">
        <v>3083</v>
      </c>
      <c r="B3084">
        <v>3344863</v>
      </c>
      <c r="C3084" s="1" t="str">
        <f>HYPERLINK("http://stackoverflow.com/users/3344863", "FeiFei")</f>
        <v>FeiFei</v>
      </c>
      <c r="D3084" t="s">
        <v>22</v>
      </c>
      <c r="E3084">
        <v>80</v>
      </c>
    </row>
    <row r="3085" spans="1:5" x14ac:dyDescent="0.25">
      <c r="A3085">
        <v>3084</v>
      </c>
      <c r="B3085">
        <v>4748305</v>
      </c>
      <c r="C3085" s="1" t="str">
        <f>HYPERLINK("http://stackoverflow.com/users/4748305", "Su Cheung")</f>
        <v>Su Cheung</v>
      </c>
      <c r="D3085" t="s">
        <v>4</v>
      </c>
      <c r="E3085">
        <v>80</v>
      </c>
    </row>
    <row r="3086" spans="1:5" x14ac:dyDescent="0.25">
      <c r="A3086">
        <v>3085</v>
      </c>
      <c r="B3086">
        <v>5336056</v>
      </c>
      <c r="C3086" s="1" t="str">
        <f>HYPERLINK("http://stackoverflow.com/users/5336056", "alex10")</f>
        <v>alex10</v>
      </c>
      <c r="D3086" t="s">
        <v>4</v>
      </c>
      <c r="E3086">
        <v>80</v>
      </c>
    </row>
    <row r="3087" spans="1:5" x14ac:dyDescent="0.25">
      <c r="A3087">
        <v>3086</v>
      </c>
      <c r="B3087">
        <v>1889635</v>
      </c>
      <c r="C3087" s="1" t="str">
        <f>HYPERLINK("http://stackoverflow.com/users/1889635", "Zhineng")</f>
        <v>Zhineng</v>
      </c>
      <c r="D3087" t="s">
        <v>21</v>
      </c>
      <c r="E3087">
        <v>80</v>
      </c>
    </row>
    <row r="3088" spans="1:5" x14ac:dyDescent="0.25">
      <c r="A3088">
        <v>3087</v>
      </c>
      <c r="B3088">
        <v>3247139</v>
      </c>
      <c r="C3088" s="1" t="str">
        <f>HYPERLINK("http://stackoverflow.com/users/3247139", "LostBenjamin")</f>
        <v>LostBenjamin</v>
      </c>
      <c r="D3088" t="s">
        <v>12</v>
      </c>
      <c r="E3088">
        <v>80</v>
      </c>
    </row>
    <row r="3089" spans="1:5" x14ac:dyDescent="0.25">
      <c r="A3089">
        <v>3088</v>
      </c>
      <c r="B3089">
        <v>7583919</v>
      </c>
      <c r="C3089" s="1" t="str">
        <f>HYPERLINK("http://stackoverflow.com/users/7583919", "ComplicatedPhenomenon")</f>
        <v>ComplicatedPhenomenon</v>
      </c>
      <c r="D3089" t="s">
        <v>5</v>
      </c>
      <c r="E3089">
        <v>80</v>
      </c>
    </row>
    <row r="3090" spans="1:5" x14ac:dyDescent="0.25">
      <c r="A3090">
        <v>3089</v>
      </c>
      <c r="B3090">
        <v>5242876</v>
      </c>
      <c r="C3090" s="1" t="str">
        <f>HYPERLINK("http://stackoverflow.com/users/5242876", "Lei Chi")</f>
        <v>Lei Chi</v>
      </c>
      <c r="D3090" t="s">
        <v>5</v>
      </c>
      <c r="E3090">
        <v>80</v>
      </c>
    </row>
    <row r="3091" spans="1:5" x14ac:dyDescent="0.25">
      <c r="A3091">
        <v>3090</v>
      </c>
      <c r="B3091">
        <v>2097809</v>
      </c>
      <c r="C3091" s="1" t="str">
        <f>HYPERLINK("http://stackoverflow.com/users/2097809", "風一樣的男子")</f>
        <v>風一樣的男子</v>
      </c>
      <c r="D3091" t="s">
        <v>17</v>
      </c>
      <c r="E3091">
        <v>80</v>
      </c>
    </row>
    <row r="3092" spans="1:5" x14ac:dyDescent="0.25">
      <c r="A3092">
        <v>3091</v>
      </c>
      <c r="B3092">
        <v>5067683</v>
      </c>
      <c r="C3092" s="1" t="str">
        <f>HYPERLINK("http://stackoverflow.com/users/5067683", "liyj144")</f>
        <v>liyj144</v>
      </c>
      <c r="D3092" t="s">
        <v>4</v>
      </c>
      <c r="E3092">
        <v>80</v>
      </c>
    </row>
    <row r="3093" spans="1:5" x14ac:dyDescent="0.25">
      <c r="A3093">
        <v>3092</v>
      </c>
      <c r="B3093">
        <v>1306089</v>
      </c>
      <c r="C3093" s="1" t="str">
        <f>HYPERLINK("http://stackoverflow.com/users/1306089", "SunRunAway")</f>
        <v>SunRunAway</v>
      </c>
      <c r="D3093" t="s">
        <v>4</v>
      </c>
      <c r="E3093">
        <v>80</v>
      </c>
    </row>
    <row r="3094" spans="1:5" x14ac:dyDescent="0.25">
      <c r="A3094">
        <v>3093</v>
      </c>
      <c r="B3094">
        <v>1191452</v>
      </c>
      <c r="C3094" s="1" t="str">
        <f>HYPERLINK("http://stackoverflow.com/users/1191452", "zclmoon")</f>
        <v>zclmoon</v>
      </c>
      <c r="D3094" t="s">
        <v>4</v>
      </c>
      <c r="E3094">
        <v>79</v>
      </c>
    </row>
    <row r="3095" spans="1:5" x14ac:dyDescent="0.25">
      <c r="A3095">
        <v>3094</v>
      </c>
      <c r="B3095">
        <v>7324721</v>
      </c>
      <c r="C3095" s="1" t="str">
        <f>HYPERLINK("http://stackoverflow.com/users/7324721", "Zehao Shi")</f>
        <v>Zehao Shi</v>
      </c>
      <c r="D3095" t="s">
        <v>28</v>
      </c>
      <c r="E3095">
        <v>79</v>
      </c>
    </row>
    <row r="3096" spans="1:5" x14ac:dyDescent="0.25">
      <c r="A3096">
        <v>3095</v>
      </c>
      <c r="B3096">
        <v>5272743</v>
      </c>
      <c r="C3096" s="1" t="str">
        <f>HYPERLINK("http://stackoverflow.com/users/5272743", "Tneciv")</f>
        <v>Tneciv</v>
      </c>
      <c r="D3096" t="s">
        <v>131</v>
      </c>
      <c r="E3096">
        <v>79</v>
      </c>
    </row>
    <row r="3097" spans="1:5" x14ac:dyDescent="0.25">
      <c r="A3097">
        <v>3096</v>
      </c>
      <c r="B3097">
        <v>2755602</v>
      </c>
      <c r="C3097" s="1" t="str">
        <f>HYPERLINK("http://stackoverflow.com/users/2755602", "YFdyh000")</f>
        <v>YFdyh000</v>
      </c>
      <c r="D3097" t="s">
        <v>5</v>
      </c>
      <c r="E3097">
        <v>79</v>
      </c>
    </row>
    <row r="3098" spans="1:5" x14ac:dyDescent="0.25">
      <c r="A3098">
        <v>3097</v>
      </c>
      <c r="B3098">
        <v>5792954</v>
      </c>
      <c r="C3098" s="1" t="str">
        <f>HYPERLINK("http://stackoverflow.com/users/5792954", "ChenZheChina")</f>
        <v>ChenZheChina</v>
      </c>
      <c r="D3098" t="s">
        <v>206</v>
      </c>
      <c r="E3098">
        <v>79</v>
      </c>
    </row>
    <row r="3099" spans="1:5" x14ac:dyDescent="0.25">
      <c r="A3099">
        <v>3098</v>
      </c>
      <c r="B3099">
        <v>1926158</v>
      </c>
      <c r="C3099" s="1" t="str">
        <f>HYPERLINK("http://stackoverflow.com/users/1926158", "mannnnerd")</f>
        <v>mannnnerd</v>
      </c>
      <c r="D3099" t="s">
        <v>5</v>
      </c>
      <c r="E3099">
        <v>79</v>
      </c>
    </row>
    <row r="3100" spans="1:5" x14ac:dyDescent="0.25">
      <c r="A3100">
        <v>3099</v>
      </c>
      <c r="B3100">
        <v>421788</v>
      </c>
      <c r="C3100" s="1" t="str">
        <f>HYPERLINK("http://stackoverflow.com/users/421788", "Mercy")</f>
        <v>Mercy</v>
      </c>
      <c r="D3100" t="s">
        <v>97</v>
      </c>
      <c r="E3100">
        <v>79</v>
      </c>
    </row>
    <row r="3101" spans="1:5" x14ac:dyDescent="0.25">
      <c r="A3101">
        <v>3100</v>
      </c>
      <c r="B3101">
        <v>9034313</v>
      </c>
      <c r="C3101" s="1" t="str">
        <f>HYPERLINK("http://stackoverflow.com/users/9034313", "Jim Tang")</f>
        <v>Jim Tang</v>
      </c>
      <c r="D3101" t="s">
        <v>7</v>
      </c>
      <c r="E3101">
        <v>79</v>
      </c>
    </row>
    <row r="3102" spans="1:5" x14ac:dyDescent="0.25">
      <c r="A3102">
        <v>3101</v>
      </c>
      <c r="B3102">
        <v>8046487</v>
      </c>
      <c r="C3102" s="1" t="str">
        <f>HYPERLINK("http://stackoverflow.com/users/8046487", "Mathieu Rey")</f>
        <v>Mathieu Rey</v>
      </c>
      <c r="D3102" t="s">
        <v>4</v>
      </c>
      <c r="E3102">
        <v>79</v>
      </c>
    </row>
    <row r="3103" spans="1:5" x14ac:dyDescent="0.25">
      <c r="A3103">
        <v>3102</v>
      </c>
      <c r="B3103">
        <v>4314002</v>
      </c>
      <c r="C3103" s="1" t="str">
        <f>HYPERLINK("http://stackoverflow.com/users/4314002", "HuanHuang")</f>
        <v>HuanHuang</v>
      </c>
      <c r="D3103" t="s">
        <v>17</v>
      </c>
      <c r="E3103">
        <v>79</v>
      </c>
    </row>
    <row r="3104" spans="1:5" x14ac:dyDescent="0.25">
      <c r="A3104">
        <v>3103</v>
      </c>
      <c r="B3104">
        <v>4666524</v>
      </c>
      <c r="C3104" s="1" t="str">
        <f>HYPERLINK("http://stackoverflow.com/users/4666524", "hotzenplotz")</f>
        <v>hotzenplotz</v>
      </c>
      <c r="D3104" t="s">
        <v>4</v>
      </c>
      <c r="E3104">
        <v>79</v>
      </c>
    </row>
    <row r="3105" spans="1:5" x14ac:dyDescent="0.25">
      <c r="A3105">
        <v>3104</v>
      </c>
      <c r="B3105">
        <v>490808</v>
      </c>
      <c r="C3105" s="1" t="str">
        <f>HYPERLINK("http://stackoverflow.com/users/490808", "Harry")</f>
        <v>Harry</v>
      </c>
      <c r="D3105" t="s">
        <v>35</v>
      </c>
      <c r="E3105">
        <v>79</v>
      </c>
    </row>
    <row r="3106" spans="1:5" x14ac:dyDescent="0.25">
      <c r="A3106">
        <v>3105</v>
      </c>
      <c r="B3106">
        <v>1586413</v>
      </c>
      <c r="C3106" s="1" t="str">
        <f>HYPERLINK("http://stackoverflow.com/users/1586413", "Feng Stone")</f>
        <v>Feng Stone</v>
      </c>
      <c r="D3106" t="s">
        <v>4</v>
      </c>
      <c r="E3106">
        <v>79</v>
      </c>
    </row>
    <row r="3107" spans="1:5" x14ac:dyDescent="0.25">
      <c r="A3107">
        <v>3106</v>
      </c>
      <c r="B3107">
        <v>3003415</v>
      </c>
      <c r="C3107" s="1" t="str">
        <f>HYPERLINK("http://stackoverflow.com/users/3003415", "mrljdx")</f>
        <v>mrljdx</v>
      </c>
      <c r="D3107" t="s">
        <v>4</v>
      </c>
      <c r="E3107">
        <v>79</v>
      </c>
    </row>
    <row r="3108" spans="1:5" x14ac:dyDescent="0.25">
      <c r="A3108">
        <v>3107</v>
      </c>
      <c r="B3108">
        <v>7068637</v>
      </c>
      <c r="C3108" s="1" t="str">
        <f>HYPERLINK("http://stackoverflow.com/users/7068637", "littledog")</f>
        <v>littledog</v>
      </c>
      <c r="D3108" t="s">
        <v>5</v>
      </c>
      <c r="E3108">
        <v>79</v>
      </c>
    </row>
    <row r="3109" spans="1:5" x14ac:dyDescent="0.25">
      <c r="A3109">
        <v>3108</v>
      </c>
      <c r="B3109">
        <v>1351928</v>
      </c>
      <c r="C3109" s="1" t="str">
        <f>HYPERLINK("http://stackoverflow.com/users/1351928", "shuxiong")</f>
        <v>shuxiong</v>
      </c>
      <c r="D3109" t="s">
        <v>5</v>
      </c>
      <c r="E3109">
        <v>78</v>
      </c>
    </row>
    <row r="3110" spans="1:5" x14ac:dyDescent="0.25">
      <c r="A3110">
        <v>3109</v>
      </c>
      <c r="B3110">
        <v>604355</v>
      </c>
      <c r="C3110" s="1" t="str">
        <f>HYPERLINK("http://stackoverflow.com/users/604355", "day")</f>
        <v>day</v>
      </c>
      <c r="D3110" t="s">
        <v>5</v>
      </c>
      <c r="E3110">
        <v>78</v>
      </c>
    </row>
    <row r="3111" spans="1:5" x14ac:dyDescent="0.25">
      <c r="A3111">
        <v>3110</v>
      </c>
      <c r="B3111">
        <v>4556353</v>
      </c>
      <c r="C3111" s="1" t="str">
        <f>HYPERLINK("http://stackoverflow.com/users/4556353", "Pober Wong")</f>
        <v>Pober Wong</v>
      </c>
      <c r="D3111" t="s">
        <v>5</v>
      </c>
      <c r="E3111">
        <v>78</v>
      </c>
    </row>
    <row r="3112" spans="1:5" x14ac:dyDescent="0.25">
      <c r="A3112">
        <v>3111</v>
      </c>
      <c r="B3112">
        <v>2582449</v>
      </c>
      <c r="C3112" s="1" t="str">
        <f>HYPERLINK("http://stackoverflow.com/users/2582449", "Yingchun")</f>
        <v>Yingchun</v>
      </c>
      <c r="D3112" t="s">
        <v>5</v>
      </c>
      <c r="E3112">
        <v>78</v>
      </c>
    </row>
    <row r="3113" spans="1:5" x14ac:dyDescent="0.25">
      <c r="A3113">
        <v>3112</v>
      </c>
      <c r="B3113">
        <v>5459095</v>
      </c>
      <c r="C3113" s="1" t="str">
        <f>HYPERLINK("http://stackoverflow.com/users/5459095", "Klaus Ma")</f>
        <v>Klaus Ma</v>
      </c>
      <c r="D3113" t="s">
        <v>5</v>
      </c>
      <c r="E3113">
        <v>78</v>
      </c>
    </row>
    <row r="3114" spans="1:5" x14ac:dyDescent="0.25">
      <c r="A3114">
        <v>3113</v>
      </c>
      <c r="B3114">
        <v>7313509</v>
      </c>
      <c r="C3114" s="1" t="str">
        <f>HYPERLINK("http://stackoverflow.com/users/7313509", "gaotongfei")</f>
        <v>gaotongfei</v>
      </c>
      <c r="D3114" t="s">
        <v>4</v>
      </c>
      <c r="E3114">
        <v>78</v>
      </c>
    </row>
    <row r="3115" spans="1:5" x14ac:dyDescent="0.25">
      <c r="A3115">
        <v>3114</v>
      </c>
      <c r="B3115">
        <v>7308811</v>
      </c>
      <c r="C3115" s="1" t="str">
        <f>HYPERLINK("http://stackoverflow.com/users/7308811", "liangju")</f>
        <v>liangju</v>
      </c>
      <c r="D3115" t="s">
        <v>66</v>
      </c>
      <c r="E3115">
        <v>78</v>
      </c>
    </row>
    <row r="3116" spans="1:5" x14ac:dyDescent="0.25">
      <c r="A3116">
        <v>3115</v>
      </c>
      <c r="B3116">
        <v>3739932</v>
      </c>
      <c r="C3116" s="1" t="str">
        <f>HYPERLINK("http://stackoverflow.com/users/3739932", "Codisan")</f>
        <v>Codisan</v>
      </c>
      <c r="D3116" t="s">
        <v>7</v>
      </c>
      <c r="E3116">
        <v>78</v>
      </c>
    </row>
    <row r="3117" spans="1:5" x14ac:dyDescent="0.25">
      <c r="A3117">
        <v>3116</v>
      </c>
      <c r="B3117">
        <v>3890719</v>
      </c>
      <c r="C3117" s="1" t="str">
        <f>HYPERLINK("http://stackoverflow.com/users/3890719", "hisen")</f>
        <v>hisen</v>
      </c>
      <c r="D3117" t="s">
        <v>5</v>
      </c>
      <c r="E3117">
        <v>78</v>
      </c>
    </row>
    <row r="3118" spans="1:5" x14ac:dyDescent="0.25">
      <c r="A3118">
        <v>3117</v>
      </c>
      <c r="B3118">
        <v>6160536</v>
      </c>
      <c r="C3118" s="1" t="str">
        <f>HYPERLINK("http://stackoverflow.com/users/6160536", "John")</f>
        <v>John</v>
      </c>
      <c r="D3118" t="s">
        <v>15</v>
      </c>
      <c r="E3118">
        <v>78</v>
      </c>
    </row>
    <row r="3119" spans="1:5" x14ac:dyDescent="0.25">
      <c r="A3119">
        <v>3118</v>
      </c>
      <c r="B3119">
        <v>1059279</v>
      </c>
      <c r="C3119" s="1" t="str">
        <f>HYPERLINK("http://stackoverflow.com/users/1059279", "kirisetsz")</f>
        <v>kirisetsz</v>
      </c>
      <c r="D3119" t="s">
        <v>5</v>
      </c>
      <c r="E3119">
        <v>78</v>
      </c>
    </row>
    <row r="3120" spans="1:5" x14ac:dyDescent="0.25">
      <c r="A3120">
        <v>3119</v>
      </c>
      <c r="B3120">
        <v>1127795</v>
      </c>
      <c r="C3120" s="1" t="str">
        <f>HYPERLINK("http://stackoverflow.com/users/1127795", "Greatvia")</f>
        <v>Greatvia</v>
      </c>
      <c r="D3120" t="s">
        <v>5</v>
      </c>
      <c r="E3120">
        <v>78</v>
      </c>
    </row>
    <row r="3121" spans="1:5" x14ac:dyDescent="0.25">
      <c r="A3121">
        <v>3120</v>
      </c>
      <c r="B3121">
        <v>3172508</v>
      </c>
      <c r="C3121" s="1" t="str">
        <f>HYPERLINK("http://stackoverflow.com/users/3172508", "FatGhosta")</f>
        <v>FatGhosta</v>
      </c>
      <c r="D3121" t="s">
        <v>5</v>
      </c>
      <c r="E3121">
        <v>78</v>
      </c>
    </row>
    <row r="3122" spans="1:5" x14ac:dyDescent="0.25">
      <c r="A3122">
        <v>3121</v>
      </c>
      <c r="B3122">
        <v>163893</v>
      </c>
      <c r="C3122" s="1" t="str">
        <f>HYPERLINK("http://stackoverflow.com/users/163893", "sagasw")</f>
        <v>sagasw</v>
      </c>
      <c r="D3122" t="s">
        <v>35</v>
      </c>
      <c r="E3122">
        <v>78</v>
      </c>
    </row>
    <row r="3123" spans="1:5" x14ac:dyDescent="0.25">
      <c r="A3123">
        <v>3122</v>
      </c>
      <c r="B3123">
        <v>1402372</v>
      </c>
      <c r="C3123" s="1" t="str">
        <f>HYPERLINK("http://stackoverflow.com/users/1402372", "meeming")</f>
        <v>meeming</v>
      </c>
      <c r="D3123" t="s">
        <v>4</v>
      </c>
      <c r="E3123">
        <v>78</v>
      </c>
    </row>
    <row r="3124" spans="1:5" x14ac:dyDescent="0.25">
      <c r="A3124">
        <v>3123</v>
      </c>
      <c r="B3124">
        <v>1711300</v>
      </c>
      <c r="C3124" s="1" t="str">
        <f>HYPERLINK("http://stackoverflow.com/users/1711300", "yang.gnay")</f>
        <v>yang.gnay</v>
      </c>
      <c r="D3124" t="s">
        <v>5</v>
      </c>
      <c r="E3124">
        <v>78</v>
      </c>
    </row>
    <row r="3125" spans="1:5" x14ac:dyDescent="0.25">
      <c r="A3125">
        <v>3124</v>
      </c>
      <c r="B3125">
        <v>2039439</v>
      </c>
      <c r="C3125" s="1" t="str">
        <f>HYPERLINK("http://stackoverflow.com/users/2039439", "suertang")</f>
        <v>suertang</v>
      </c>
      <c r="D3125" t="s">
        <v>207</v>
      </c>
      <c r="E3125">
        <v>78</v>
      </c>
    </row>
    <row r="3126" spans="1:5" x14ac:dyDescent="0.25">
      <c r="A3126">
        <v>3125</v>
      </c>
      <c r="B3126">
        <v>2279231</v>
      </c>
      <c r="C3126" s="1" t="str">
        <f>HYPERLINK("http://stackoverflow.com/users/2279231", "KingMario")</f>
        <v>KingMario</v>
      </c>
      <c r="D3126" t="s">
        <v>4</v>
      </c>
      <c r="E3126">
        <v>78</v>
      </c>
    </row>
    <row r="3127" spans="1:5" x14ac:dyDescent="0.25">
      <c r="A3127">
        <v>3126</v>
      </c>
      <c r="B3127">
        <v>4423292</v>
      </c>
      <c r="C3127" s="1" t="str">
        <f>HYPERLINK("http://stackoverflow.com/users/4423292", "Trevor Wang")</f>
        <v>Trevor Wang</v>
      </c>
      <c r="D3127" t="s">
        <v>4</v>
      </c>
      <c r="E3127">
        <v>78</v>
      </c>
    </row>
    <row r="3128" spans="1:5" x14ac:dyDescent="0.25">
      <c r="A3128">
        <v>3127</v>
      </c>
      <c r="B3128">
        <v>957596</v>
      </c>
      <c r="C3128" s="1" t="str">
        <f>HYPERLINK("http://stackoverflow.com/users/957596", "dwu")</f>
        <v>dwu</v>
      </c>
      <c r="D3128" t="s">
        <v>5</v>
      </c>
      <c r="E3128">
        <v>78</v>
      </c>
    </row>
    <row r="3129" spans="1:5" x14ac:dyDescent="0.25">
      <c r="A3129">
        <v>3128</v>
      </c>
      <c r="B3129">
        <v>3090060</v>
      </c>
      <c r="C3129" s="1" t="str">
        <f>HYPERLINK("http://stackoverflow.com/users/3090060", "pdwjun")</f>
        <v>pdwjun</v>
      </c>
      <c r="D3129" t="s">
        <v>4</v>
      </c>
      <c r="E3129">
        <v>78</v>
      </c>
    </row>
    <row r="3130" spans="1:5" x14ac:dyDescent="0.25">
      <c r="A3130">
        <v>3129</v>
      </c>
      <c r="B3130">
        <v>3435086</v>
      </c>
      <c r="C3130" s="1" t="str">
        <f>HYPERLINK("http://stackoverflow.com/users/3435086", "Zhiliang")</f>
        <v>Zhiliang</v>
      </c>
      <c r="D3130" t="s">
        <v>4</v>
      </c>
      <c r="E3130">
        <v>78</v>
      </c>
    </row>
    <row r="3131" spans="1:5" x14ac:dyDescent="0.25">
      <c r="A3131">
        <v>3130</v>
      </c>
      <c r="B3131">
        <v>1494457</v>
      </c>
      <c r="C3131" s="1" t="str">
        <f>HYPERLINK("http://stackoverflow.com/users/1494457", "caiying")</f>
        <v>caiying</v>
      </c>
      <c r="D3131" t="s">
        <v>5</v>
      </c>
      <c r="E3131">
        <v>78</v>
      </c>
    </row>
    <row r="3132" spans="1:5" x14ac:dyDescent="0.25">
      <c r="A3132">
        <v>3131</v>
      </c>
      <c r="B3132">
        <v>1758969</v>
      </c>
      <c r="C3132" s="1" t="str">
        <f>HYPERLINK("http://stackoverflow.com/users/1758969", "freshyy")</f>
        <v>freshyy</v>
      </c>
      <c r="D3132" t="s">
        <v>5</v>
      </c>
      <c r="E3132">
        <v>78</v>
      </c>
    </row>
    <row r="3133" spans="1:5" x14ac:dyDescent="0.25">
      <c r="A3133">
        <v>3132</v>
      </c>
      <c r="B3133">
        <v>794921</v>
      </c>
      <c r="C3133" s="1" t="str">
        <f>HYPERLINK("http://stackoverflow.com/users/794921", "closure")</f>
        <v>closure</v>
      </c>
      <c r="D3133" t="s">
        <v>5</v>
      </c>
      <c r="E3133">
        <v>78</v>
      </c>
    </row>
    <row r="3134" spans="1:5" x14ac:dyDescent="0.25">
      <c r="A3134">
        <v>3133</v>
      </c>
      <c r="B3134">
        <v>6742624</v>
      </c>
      <c r="C3134" s="1" t="str">
        <f>HYPERLINK("http://stackoverflow.com/users/6742624", "YjyJeff")</f>
        <v>YjyJeff</v>
      </c>
      <c r="D3134" t="s">
        <v>4</v>
      </c>
      <c r="E3134">
        <v>77</v>
      </c>
    </row>
    <row r="3135" spans="1:5" x14ac:dyDescent="0.25">
      <c r="A3135">
        <v>3134</v>
      </c>
      <c r="B3135">
        <v>295531</v>
      </c>
      <c r="C3135" s="1" t="str">
        <f>HYPERLINK("http://stackoverflow.com/users/295531", "tuesday")</f>
        <v>tuesday</v>
      </c>
      <c r="D3135" t="s">
        <v>17</v>
      </c>
      <c r="E3135">
        <v>77</v>
      </c>
    </row>
    <row r="3136" spans="1:5" x14ac:dyDescent="0.25">
      <c r="A3136">
        <v>3135</v>
      </c>
      <c r="B3136">
        <v>3626865</v>
      </c>
      <c r="C3136" s="1" t="str">
        <f>HYPERLINK("http://stackoverflow.com/users/3626865", "VoidBzY")</f>
        <v>VoidBzY</v>
      </c>
      <c r="D3136" t="s">
        <v>4</v>
      </c>
      <c r="E3136">
        <v>77</v>
      </c>
    </row>
    <row r="3137" spans="1:5" x14ac:dyDescent="0.25">
      <c r="A3137">
        <v>3136</v>
      </c>
      <c r="B3137">
        <v>5801369</v>
      </c>
      <c r="C3137" s="1" t="str">
        <f>HYPERLINK("http://stackoverflow.com/users/5801369", "Jarvis")</f>
        <v>Jarvis</v>
      </c>
      <c r="D3137" t="s">
        <v>12</v>
      </c>
      <c r="E3137">
        <v>77</v>
      </c>
    </row>
    <row r="3138" spans="1:5" x14ac:dyDescent="0.25">
      <c r="A3138">
        <v>3137</v>
      </c>
      <c r="B3138">
        <v>4697527</v>
      </c>
      <c r="C3138" s="1" t="str">
        <f>HYPERLINK("http://stackoverflow.com/users/4697527", "Tshunglee")</f>
        <v>Tshunglee</v>
      </c>
      <c r="D3138" t="s">
        <v>7</v>
      </c>
      <c r="E3138">
        <v>77</v>
      </c>
    </row>
    <row r="3139" spans="1:5" x14ac:dyDescent="0.25">
      <c r="A3139">
        <v>3138</v>
      </c>
      <c r="B3139">
        <v>8095324</v>
      </c>
      <c r="C3139" s="1" t="str">
        <f>HYPERLINK("http://stackoverflow.com/users/8095324", "Peter Wong")</f>
        <v>Peter Wong</v>
      </c>
      <c r="D3139" t="s">
        <v>184</v>
      </c>
      <c r="E3139">
        <v>76</v>
      </c>
    </row>
    <row r="3140" spans="1:5" x14ac:dyDescent="0.25">
      <c r="A3140">
        <v>3139</v>
      </c>
      <c r="B3140">
        <v>656428</v>
      </c>
      <c r="C3140" s="1" t="str">
        <f>HYPERLINK("http://stackoverflow.com/users/656428", "linjunpop")</f>
        <v>linjunpop</v>
      </c>
      <c r="D3140" t="s">
        <v>38</v>
      </c>
      <c r="E3140">
        <v>76</v>
      </c>
    </row>
    <row r="3141" spans="1:5" x14ac:dyDescent="0.25">
      <c r="A3141">
        <v>3140</v>
      </c>
      <c r="B3141">
        <v>8165128</v>
      </c>
      <c r="C3141" s="1" t="str">
        <f>HYPERLINK("http://stackoverflow.com/users/8165128", "Ziyang Chen")</f>
        <v>Ziyang Chen</v>
      </c>
      <c r="D3141" t="s">
        <v>25</v>
      </c>
      <c r="E3141">
        <v>76</v>
      </c>
    </row>
    <row r="3142" spans="1:5" x14ac:dyDescent="0.25">
      <c r="A3142">
        <v>3141</v>
      </c>
      <c r="B3142">
        <v>4361355</v>
      </c>
      <c r="C3142" s="1" t="str">
        <f>HYPERLINK("http://stackoverflow.com/users/4361355", "Leonardo Hammer")</f>
        <v>Leonardo Hammer</v>
      </c>
      <c r="D3142" t="s">
        <v>38</v>
      </c>
      <c r="E3142">
        <v>76</v>
      </c>
    </row>
    <row r="3143" spans="1:5" x14ac:dyDescent="0.25">
      <c r="A3143">
        <v>3142</v>
      </c>
      <c r="B3143">
        <v>233969</v>
      </c>
      <c r="C3143" s="1" t="str">
        <f>HYPERLINK("http://stackoverflow.com/users/233969", "hu.")</f>
        <v>hu.</v>
      </c>
      <c r="D3143" t="s">
        <v>4</v>
      </c>
      <c r="E3143">
        <v>76</v>
      </c>
    </row>
    <row r="3144" spans="1:5" x14ac:dyDescent="0.25">
      <c r="A3144">
        <v>3143</v>
      </c>
      <c r="B3144">
        <v>5128171</v>
      </c>
      <c r="C3144" s="1" t="str">
        <f>HYPERLINK("http://stackoverflow.com/users/5128171", "makeapp")</f>
        <v>makeapp</v>
      </c>
      <c r="D3144" t="s">
        <v>4</v>
      </c>
      <c r="E3144">
        <v>76</v>
      </c>
    </row>
    <row r="3145" spans="1:5" x14ac:dyDescent="0.25">
      <c r="A3145">
        <v>3144</v>
      </c>
      <c r="B3145">
        <v>3104592</v>
      </c>
      <c r="C3145" s="1" t="str">
        <f>HYPERLINK("http://stackoverflow.com/users/3104592", "LiuJQ")</f>
        <v>LiuJQ</v>
      </c>
      <c r="D3145" t="s">
        <v>42</v>
      </c>
      <c r="E3145">
        <v>76</v>
      </c>
    </row>
    <row r="3146" spans="1:5" x14ac:dyDescent="0.25">
      <c r="A3146">
        <v>3145</v>
      </c>
      <c r="B3146">
        <v>4943020</v>
      </c>
      <c r="C3146" s="1" t="str">
        <f>HYPERLINK("http://stackoverflow.com/users/4943020", "Troy Liu")</f>
        <v>Troy Liu</v>
      </c>
      <c r="D3146" t="s">
        <v>62</v>
      </c>
      <c r="E3146">
        <v>76</v>
      </c>
    </row>
    <row r="3147" spans="1:5" x14ac:dyDescent="0.25">
      <c r="A3147">
        <v>3146</v>
      </c>
      <c r="B3147">
        <v>1279006</v>
      </c>
      <c r="C3147" s="1" t="str">
        <f>HYPERLINK("http://stackoverflow.com/users/1279006", "Drazzi")</f>
        <v>Drazzi</v>
      </c>
      <c r="D3147" t="s">
        <v>5</v>
      </c>
      <c r="E3147">
        <v>76</v>
      </c>
    </row>
    <row r="3148" spans="1:5" x14ac:dyDescent="0.25">
      <c r="A3148">
        <v>3147</v>
      </c>
      <c r="B3148">
        <v>1804816</v>
      </c>
      <c r="C3148" s="1" t="str">
        <f>HYPERLINK("http://stackoverflow.com/users/1804816", "davenkin")</f>
        <v>davenkin</v>
      </c>
      <c r="D3148" t="s">
        <v>28</v>
      </c>
      <c r="E3148">
        <v>76</v>
      </c>
    </row>
    <row r="3149" spans="1:5" x14ac:dyDescent="0.25">
      <c r="A3149">
        <v>3148</v>
      </c>
      <c r="B3149">
        <v>1811065</v>
      </c>
      <c r="C3149" s="1" t="str">
        <f>HYPERLINK("http://stackoverflow.com/users/1811065", "comme")</f>
        <v>comme</v>
      </c>
      <c r="D3149" t="s">
        <v>17</v>
      </c>
      <c r="E3149">
        <v>76</v>
      </c>
    </row>
    <row r="3150" spans="1:5" x14ac:dyDescent="0.25">
      <c r="A3150">
        <v>3149</v>
      </c>
      <c r="B3150">
        <v>5619421</v>
      </c>
      <c r="C3150" s="1" t="str">
        <f>HYPERLINK("http://stackoverflow.com/users/5619421", "John Robbet")</f>
        <v>John Robbet</v>
      </c>
      <c r="D3150" t="s">
        <v>5</v>
      </c>
      <c r="E3150">
        <v>76</v>
      </c>
    </row>
    <row r="3151" spans="1:5" x14ac:dyDescent="0.25">
      <c r="A3151">
        <v>3150</v>
      </c>
      <c r="B3151">
        <v>2014807</v>
      </c>
      <c r="C3151" s="1" t="str">
        <f>HYPERLINK("http://stackoverflow.com/users/2014807", "james")</f>
        <v>james</v>
      </c>
      <c r="D3151" t="s">
        <v>17</v>
      </c>
      <c r="E3151">
        <v>76</v>
      </c>
    </row>
    <row r="3152" spans="1:5" x14ac:dyDescent="0.25">
      <c r="A3152">
        <v>3151</v>
      </c>
      <c r="B3152">
        <v>2313478</v>
      </c>
      <c r="C3152" s="1" t="str">
        <f>HYPERLINK("http://stackoverflow.com/users/2313478", "popkc")</f>
        <v>popkc</v>
      </c>
      <c r="D3152" t="s">
        <v>24</v>
      </c>
      <c r="E3152">
        <v>76</v>
      </c>
    </row>
    <row r="3153" spans="1:5" x14ac:dyDescent="0.25">
      <c r="A3153">
        <v>3152</v>
      </c>
      <c r="B3153">
        <v>718234</v>
      </c>
      <c r="C3153" s="1" t="str">
        <f>HYPERLINK("http://stackoverflow.com/users/718234", "zhangz")</f>
        <v>zhangz</v>
      </c>
      <c r="D3153" t="s">
        <v>5</v>
      </c>
      <c r="E3153">
        <v>76</v>
      </c>
    </row>
    <row r="3154" spans="1:5" x14ac:dyDescent="0.25">
      <c r="A3154">
        <v>3153</v>
      </c>
      <c r="B3154">
        <v>1625978</v>
      </c>
      <c r="C3154" s="1" t="str">
        <f>HYPERLINK("http://stackoverflow.com/users/1625978", "hortond")</f>
        <v>hortond</v>
      </c>
      <c r="D3154" t="s">
        <v>57</v>
      </c>
      <c r="E3154">
        <v>76</v>
      </c>
    </row>
    <row r="3155" spans="1:5" x14ac:dyDescent="0.25">
      <c r="A3155">
        <v>3154</v>
      </c>
      <c r="B3155">
        <v>7114106</v>
      </c>
      <c r="C3155" s="1" t="str">
        <f>HYPERLINK("http://stackoverflow.com/users/7114106", "TommyWhite")</f>
        <v>TommyWhite</v>
      </c>
      <c r="D3155" t="s">
        <v>28</v>
      </c>
      <c r="E3155">
        <v>76</v>
      </c>
    </row>
    <row r="3156" spans="1:5" x14ac:dyDescent="0.25">
      <c r="A3156">
        <v>3155</v>
      </c>
      <c r="B3156">
        <v>2603822</v>
      </c>
      <c r="C3156" s="1" t="str">
        <f>HYPERLINK("http://stackoverflow.com/users/2603822", "sigu")</f>
        <v>sigu</v>
      </c>
      <c r="D3156" t="s">
        <v>4</v>
      </c>
      <c r="E3156">
        <v>76</v>
      </c>
    </row>
    <row r="3157" spans="1:5" x14ac:dyDescent="0.25">
      <c r="A3157">
        <v>3156</v>
      </c>
      <c r="B3157">
        <v>444138</v>
      </c>
      <c r="C3157" s="1" t="str">
        <f>HYPERLINK("http://stackoverflow.com/users/444138", "gwokae")</f>
        <v>gwokae</v>
      </c>
      <c r="D3157" t="s">
        <v>15</v>
      </c>
      <c r="E3157">
        <v>76</v>
      </c>
    </row>
    <row r="3158" spans="1:5" x14ac:dyDescent="0.25">
      <c r="A3158">
        <v>3157</v>
      </c>
      <c r="B3158">
        <v>889582</v>
      </c>
      <c r="C3158" s="1" t="str">
        <f>HYPERLINK("http://stackoverflow.com/users/889582", "shiyj")</f>
        <v>shiyj</v>
      </c>
      <c r="D3158" t="s">
        <v>8</v>
      </c>
      <c r="E3158">
        <v>76</v>
      </c>
    </row>
    <row r="3159" spans="1:5" x14ac:dyDescent="0.25">
      <c r="A3159">
        <v>3158</v>
      </c>
      <c r="B3159">
        <v>611425</v>
      </c>
      <c r="C3159" s="1" t="str">
        <f>HYPERLINK("http://stackoverflow.com/users/611425", "maxchiu")</f>
        <v>maxchiu</v>
      </c>
      <c r="D3159" t="s">
        <v>5</v>
      </c>
      <c r="E3159">
        <v>76</v>
      </c>
    </row>
    <row r="3160" spans="1:5" x14ac:dyDescent="0.25">
      <c r="A3160">
        <v>3159</v>
      </c>
      <c r="B3160">
        <v>590636</v>
      </c>
      <c r="C3160" s="1" t="str">
        <f>HYPERLINK("http://stackoverflow.com/users/590636", "Lopakhin")</f>
        <v>Lopakhin</v>
      </c>
      <c r="D3160" t="s">
        <v>5</v>
      </c>
      <c r="E3160">
        <v>76</v>
      </c>
    </row>
    <row r="3161" spans="1:5" x14ac:dyDescent="0.25">
      <c r="A3161">
        <v>3160</v>
      </c>
      <c r="B3161">
        <v>1189076</v>
      </c>
      <c r="C3161" s="1" t="str">
        <f>HYPERLINK("http://stackoverflow.com/users/1189076", "onlyice")</f>
        <v>onlyice</v>
      </c>
      <c r="D3161" t="s">
        <v>7</v>
      </c>
      <c r="E3161">
        <v>76</v>
      </c>
    </row>
    <row r="3162" spans="1:5" x14ac:dyDescent="0.25">
      <c r="A3162">
        <v>3161</v>
      </c>
      <c r="B3162">
        <v>1142410</v>
      </c>
      <c r="C3162" s="1" t="str">
        <f>HYPERLINK("http://stackoverflow.com/users/1142410", "hypo")</f>
        <v>hypo</v>
      </c>
      <c r="D3162" t="s">
        <v>5</v>
      </c>
      <c r="E3162">
        <v>76</v>
      </c>
    </row>
    <row r="3163" spans="1:5" x14ac:dyDescent="0.25">
      <c r="A3163">
        <v>3162</v>
      </c>
      <c r="B3163">
        <v>1031825</v>
      </c>
      <c r="C3163" s="1" t="str">
        <f>HYPERLINK("http://stackoverflow.com/users/1031825", "yunfeng")</f>
        <v>yunfeng</v>
      </c>
      <c r="D3163" t="s">
        <v>21</v>
      </c>
      <c r="E3163">
        <v>76</v>
      </c>
    </row>
    <row r="3164" spans="1:5" x14ac:dyDescent="0.25">
      <c r="A3164">
        <v>3163</v>
      </c>
      <c r="B3164">
        <v>4310653</v>
      </c>
      <c r="C3164" s="1" t="str">
        <f>HYPERLINK("http://stackoverflow.com/users/4310653", "Yi Zhenfei")</f>
        <v>Yi Zhenfei</v>
      </c>
      <c r="D3164" t="s">
        <v>4</v>
      </c>
      <c r="E3164">
        <v>76</v>
      </c>
    </row>
    <row r="3165" spans="1:5" x14ac:dyDescent="0.25">
      <c r="A3165">
        <v>3164</v>
      </c>
      <c r="B3165">
        <v>102036</v>
      </c>
      <c r="C3165" s="1" t="str">
        <f>HYPERLINK("http://stackoverflow.com/users/102036", "Sam Hamilton")</f>
        <v>Sam Hamilton</v>
      </c>
      <c r="D3165" t="s">
        <v>4</v>
      </c>
      <c r="E3165">
        <v>76</v>
      </c>
    </row>
    <row r="3166" spans="1:5" x14ac:dyDescent="0.25">
      <c r="A3166">
        <v>3165</v>
      </c>
      <c r="B3166">
        <v>4767015</v>
      </c>
      <c r="C3166" s="1" t="str">
        <f>HYPERLINK("http://stackoverflow.com/users/4767015", "Smile Wei")</f>
        <v>Smile Wei</v>
      </c>
      <c r="D3166" t="s">
        <v>4</v>
      </c>
      <c r="E3166">
        <v>76</v>
      </c>
    </row>
    <row r="3167" spans="1:5" x14ac:dyDescent="0.25">
      <c r="A3167">
        <v>3166</v>
      </c>
      <c r="B3167">
        <v>751720</v>
      </c>
      <c r="C3167" s="1" t="str">
        <f>HYPERLINK("http://stackoverflow.com/users/751720", "Roc Peng")</f>
        <v>Roc Peng</v>
      </c>
      <c r="D3167" t="s">
        <v>22</v>
      </c>
      <c r="E3167">
        <v>76</v>
      </c>
    </row>
    <row r="3168" spans="1:5" x14ac:dyDescent="0.25">
      <c r="A3168">
        <v>3167</v>
      </c>
      <c r="B3168">
        <v>9140568</v>
      </c>
      <c r="C3168" s="1" t="str">
        <f>HYPERLINK("http://stackoverflow.com/users/9140568", "Aqrun")</f>
        <v>Aqrun</v>
      </c>
      <c r="D3168" t="s">
        <v>131</v>
      </c>
      <c r="E3168">
        <v>76</v>
      </c>
    </row>
    <row r="3169" spans="1:5" x14ac:dyDescent="0.25">
      <c r="A3169">
        <v>3168</v>
      </c>
      <c r="B3169">
        <v>3656364</v>
      </c>
      <c r="C3169" s="1" t="str">
        <f>HYPERLINK("http://stackoverflow.com/users/3656364", "Zhanyun Xiong")</f>
        <v>Zhanyun Xiong</v>
      </c>
      <c r="D3169" t="s">
        <v>208</v>
      </c>
      <c r="E3169">
        <v>76</v>
      </c>
    </row>
    <row r="3170" spans="1:5" x14ac:dyDescent="0.25">
      <c r="A3170">
        <v>3169</v>
      </c>
      <c r="B3170">
        <v>7471862</v>
      </c>
      <c r="C3170" s="1" t="str">
        <f>HYPERLINK("http://stackoverflow.com/users/7471862", "freyone")</f>
        <v>freyone</v>
      </c>
      <c r="D3170" t="s">
        <v>4</v>
      </c>
      <c r="E3170">
        <v>76</v>
      </c>
    </row>
    <row r="3171" spans="1:5" x14ac:dyDescent="0.25">
      <c r="A3171">
        <v>3170</v>
      </c>
      <c r="B3171">
        <v>4048584</v>
      </c>
      <c r="C3171" s="1" t="str">
        <f>HYPERLINK("http://stackoverflow.com/users/4048584", "lianbogo")</f>
        <v>lianbogo</v>
      </c>
      <c r="D3171" t="s">
        <v>4</v>
      </c>
      <c r="E3171">
        <v>76</v>
      </c>
    </row>
    <row r="3172" spans="1:5" x14ac:dyDescent="0.25">
      <c r="A3172">
        <v>3171</v>
      </c>
      <c r="B3172">
        <v>6005657</v>
      </c>
      <c r="C3172" s="1" t="str">
        <f>HYPERLINK("http://stackoverflow.com/users/6005657", "Zhimin Yu")</f>
        <v>Zhimin Yu</v>
      </c>
      <c r="D3172" t="s">
        <v>4</v>
      </c>
      <c r="E3172">
        <v>76</v>
      </c>
    </row>
    <row r="3173" spans="1:5" x14ac:dyDescent="0.25">
      <c r="A3173">
        <v>3172</v>
      </c>
      <c r="B3173">
        <v>6659643</v>
      </c>
      <c r="C3173" s="1" t="str">
        <f>HYPERLINK("http://stackoverflow.com/users/6659643", "vdonkey")</f>
        <v>vdonkey</v>
      </c>
      <c r="D3173" t="s">
        <v>7</v>
      </c>
      <c r="E3173">
        <v>76</v>
      </c>
    </row>
    <row r="3174" spans="1:5" x14ac:dyDescent="0.25">
      <c r="A3174">
        <v>3173</v>
      </c>
      <c r="B3174">
        <v>1081971</v>
      </c>
      <c r="C3174" s="1" t="str">
        <f>HYPERLINK("http://stackoverflow.com/users/1081971", "Allopopo")</f>
        <v>Allopopo</v>
      </c>
      <c r="D3174" t="s">
        <v>12</v>
      </c>
      <c r="E3174">
        <v>76</v>
      </c>
    </row>
    <row r="3175" spans="1:5" x14ac:dyDescent="0.25">
      <c r="A3175">
        <v>3174</v>
      </c>
      <c r="B3175">
        <v>2630689</v>
      </c>
      <c r="C3175" s="1" t="str">
        <f>HYPERLINK("http://stackoverflow.com/users/2630689", "Soon")</f>
        <v>Soon</v>
      </c>
      <c r="D3175" t="s">
        <v>22</v>
      </c>
      <c r="E3175">
        <v>76</v>
      </c>
    </row>
    <row r="3176" spans="1:5" x14ac:dyDescent="0.25">
      <c r="A3176">
        <v>3175</v>
      </c>
      <c r="B3176">
        <v>397227</v>
      </c>
      <c r="C3176" s="1" t="str">
        <f>HYPERLINK("http://stackoverflow.com/users/397227", "nouse")</f>
        <v>nouse</v>
      </c>
      <c r="D3176" t="s">
        <v>4</v>
      </c>
      <c r="E3176">
        <v>76</v>
      </c>
    </row>
    <row r="3177" spans="1:5" x14ac:dyDescent="0.25">
      <c r="A3177">
        <v>3176</v>
      </c>
      <c r="B3177">
        <v>3148158</v>
      </c>
      <c r="C3177" s="1" t="str">
        <f>HYPERLINK("http://stackoverflow.com/users/3148158", "James")</f>
        <v>James</v>
      </c>
      <c r="D3177" t="s">
        <v>21</v>
      </c>
      <c r="E3177">
        <v>76</v>
      </c>
    </row>
    <row r="3178" spans="1:5" x14ac:dyDescent="0.25">
      <c r="A3178">
        <v>3177</v>
      </c>
      <c r="B3178">
        <v>431509</v>
      </c>
      <c r="C3178" s="1" t="str">
        <f>HYPERLINK("http://stackoverflow.com/users/431509", "Xiantao Jiao")</f>
        <v>Xiantao Jiao</v>
      </c>
      <c r="D3178" t="s">
        <v>12</v>
      </c>
      <c r="E3178">
        <v>76</v>
      </c>
    </row>
    <row r="3179" spans="1:5" x14ac:dyDescent="0.25">
      <c r="A3179">
        <v>3178</v>
      </c>
      <c r="B3179">
        <v>2193351</v>
      </c>
      <c r="C3179" s="1" t="str">
        <f>HYPERLINK("http://stackoverflow.com/users/2193351", "Roger Madsen")</f>
        <v>Roger Madsen</v>
      </c>
      <c r="D3179" t="s">
        <v>5</v>
      </c>
      <c r="E3179">
        <v>76</v>
      </c>
    </row>
    <row r="3180" spans="1:5" x14ac:dyDescent="0.25">
      <c r="A3180">
        <v>3179</v>
      </c>
      <c r="B3180">
        <v>1893300</v>
      </c>
      <c r="C3180" s="1" t="str">
        <f>HYPERLINK("http://stackoverflow.com/users/1893300", "ryan007")</f>
        <v>ryan007</v>
      </c>
      <c r="D3180" t="s">
        <v>5</v>
      </c>
      <c r="E3180">
        <v>75</v>
      </c>
    </row>
    <row r="3181" spans="1:5" x14ac:dyDescent="0.25">
      <c r="A3181">
        <v>3180</v>
      </c>
      <c r="B3181">
        <v>956000</v>
      </c>
      <c r="C3181" s="1" t="str">
        <f>HYPERLINK("http://stackoverflow.com/users/956000", "Jan Zhen")</f>
        <v>Jan Zhen</v>
      </c>
      <c r="D3181" t="s">
        <v>21</v>
      </c>
      <c r="E3181">
        <v>75</v>
      </c>
    </row>
    <row r="3182" spans="1:5" x14ac:dyDescent="0.25">
      <c r="A3182">
        <v>3181</v>
      </c>
      <c r="B3182">
        <v>5383548</v>
      </c>
      <c r="C3182" s="1" t="str">
        <f>HYPERLINK("http://stackoverflow.com/users/5383548", "Wang Ke")</f>
        <v>Wang Ke</v>
      </c>
      <c r="D3182" t="s">
        <v>209</v>
      </c>
      <c r="E3182">
        <v>75</v>
      </c>
    </row>
    <row r="3183" spans="1:5" x14ac:dyDescent="0.25">
      <c r="A3183">
        <v>3182</v>
      </c>
      <c r="B3183">
        <v>82079</v>
      </c>
      <c r="C3183" s="1" t="str">
        <f>HYPERLINK("http://stackoverflow.com/users/82079", "freevictor")</f>
        <v>freevictor</v>
      </c>
      <c r="D3183" t="s">
        <v>5</v>
      </c>
      <c r="E3183">
        <v>75</v>
      </c>
    </row>
    <row r="3184" spans="1:5" x14ac:dyDescent="0.25">
      <c r="A3184">
        <v>3183</v>
      </c>
      <c r="B3184">
        <v>2596199</v>
      </c>
      <c r="C3184" s="1" t="str">
        <f>HYPERLINK("http://stackoverflow.com/users/2596199", "Best Water")</f>
        <v>Best Water</v>
      </c>
      <c r="D3184" t="s">
        <v>200</v>
      </c>
      <c r="E3184">
        <v>75</v>
      </c>
    </row>
    <row r="3185" spans="1:5" x14ac:dyDescent="0.25">
      <c r="A3185">
        <v>3184</v>
      </c>
      <c r="B3185">
        <v>6234190</v>
      </c>
      <c r="C3185" s="1" t="str">
        <f>HYPERLINK("http://stackoverflow.com/users/6234190", "X.S. Wang")</f>
        <v>X.S. Wang</v>
      </c>
      <c r="D3185" t="s">
        <v>28</v>
      </c>
      <c r="E3185">
        <v>75</v>
      </c>
    </row>
    <row r="3186" spans="1:5" x14ac:dyDescent="0.25">
      <c r="A3186">
        <v>3185</v>
      </c>
      <c r="B3186">
        <v>988722</v>
      </c>
      <c r="C3186" s="1" t="str">
        <f>HYPERLINK("http://stackoverflow.com/users/988722", "kimi")</f>
        <v>kimi</v>
      </c>
      <c r="D3186" t="s">
        <v>5</v>
      </c>
      <c r="E3186">
        <v>75</v>
      </c>
    </row>
    <row r="3187" spans="1:5" x14ac:dyDescent="0.25">
      <c r="A3187">
        <v>3186</v>
      </c>
      <c r="B3187">
        <v>3180915</v>
      </c>
      <c r="C3187" s="1" t="str">
        <f>HYPERLINK("http://stackoverflow.com/users/3180915", "TheStupidOne")</f>
        <v>TheStupidOne</v>
      </c>
      <c r="D3187" t="s">
        <v>5</v>
      </c>
      <c r="E3187">
        <v>75</v>
      </c>
    </row>
    <row r="3188" spans="1:5" x14ac:dyDescent="0.25">
      <c r="A3188">
        <v>3187</v>
      </c>
      <c r="B3188">
        <v>2880892</v>
      </c>
      <c r="C3188" s="1" t="str">
        <f>HYPERLINK("http://stackoverflow.com/users/2880892", "Sai")</f>
        <v>Sai</v>
      </c>
      <c r="D3188" t="s">
        <v>5</v>
      </c>
      <c r="E3188">
        <v>75</v>
      </c>
    </row>
    <row r="3189" spans="1:5" x14ac:dyDescent="0.25">
      <c r="A3189">
        <v>3188</v>
      </c>
      <c r="B3189">
        <v>4308149</v>
      </c>
      <c r="C3189" s="1" t="str">
        <f>HYPERLINK("http://stackoverflow.com/users/4308149", "Tan")</f>
        <v>Tan</v>
      </c>
      <c r="D3189" t="s">
        <v>7</v>
      </c>
      <c r="E3189">
        <v>75</v>
      </c>
    </row>
    <row r="3190" spans="1:5" x14ac:dyDescent="0.25">
      <c r="A3190">
        <v>3189</v>
      </c>
      <c r="B3190">
        <v>2442559</v>
      </c>
      <c r="C3190" s="1" t="str">
        <f>HYPERLINK("http://stackoverflow.com/users/2442559", "daixfnwpu")</f>
        <v>daixfnwpu</v>
      </c>
      <c r="D3190" t="s">
        <v>22</v>
      </c>
      <c r="E3190">
        <v>75</v>
      </c>
    </row>
    <row r="3191" spans="1:5" x14ac:dyDescent="0.25">
      <c r="A3191">
        <v>3190</v>
      </c>
      <c r="B3191">
        <v>1778973</v>
      </c>
      <c r="C3191" s="1" t="str">
        <f>HYPERLINK("http://stackoverflow.com/users/1778973", "xyguo")</f>
        <v>xyguo</v>
      </c>
      <c r="D3191" t="s">
        <v>55</v>
      </c>
      <c r="E3191">
        <v>75</v>
      </c>
    </row>
    <row r="3192" spans="1:5" x14ac:dyDescent="0.25">
      <c r="A3192">
        <v>3191</v>
      </c>
      <c r="B3192">
        <v>7675468</v>
      </c>
      <c r="C3192" s="1" t="str">
        <f>HYPERLINK("http://stackoverflow.com/users/7675468", "Benjamin Yan")</f>
        <v>Benjamin Yan</v>
      </c>
      <c r="D3192" t="s">
        <v>28</v>
      </c>
      <c r="E3192">
        <v>74</v>
      </c>
    </row>
    <row r="3193" spans="1:5" x14ac:dyDescent="0.25">
      <c r="A3193">
        <v>3192</v>
      </c>
      <c r="B3193">
        <v>1192467</v>
      </c>
      <c r="C3193" s="1" t="str">
        <f>HYPERLINK("http://stackoverflow.com/users/1192467", "Changqi Cai")</f>
        <v>Changqi Cai</v>
      </c>
      <c r="D3193" t="s">
        <v>17</v>
      </c>
      <c r="E3193">
        <v>74</v>
      </c>
    </row>
    <row r="3194" spans="1:5" x14ac:dyDescent="0.25">
      <c r="A3194">
        <v>3193</v>
      </c>
      <c r="B3194">
        <v>1900886</v>
      </c>
      <c r="C3194" s="1" t="str">
        <f>HYPERLINK("http://stackoverflow.com/users/1900886", "Longxing Wei")</f>
        <v>Longxing Wei</v>
      </c>
      <c r="D3194" t="s">
        <v>5</v>
      </c>
      <c r="E3194">
        <v>74</v>
      </c>
    </row>
    <row r="3195" spans="1:5" x14ac:dyDescent="0.25">
      <c r="A3195">
        <v>3194</v>
      </c>
      <c r="B3195">
        <v>3405656</v>
      </c>
      <c r="C3195" s="1" t="str">
        <f>HYPERLINK("http://stackoverflow.com/users/3405656", "Jason")</f>
        <v>Jason</v>
      </c>
      <c r="D3195" t="s">
        <v>210</v>
      </c>
      <c r="E3195">
        <v>74</v>
      </c>
    </row>
    <row r="3196" spans="1:5" x14ac:dyDescent="0.25">
      <c r="A3196">
        <v>3195</v>
      </c>
      <c r="B3196">
        <v>3069208</v>
      </c>
      <c r="C3196" s="1" t="str">
        <f>HYPERLINK("http://stackoverflow.com/users/3069208", "jerrypy")</f>
        <v>jerrypy</v>
      </c>
      <c r="D3196" t="s">
        <v>108</v>
      </c>
      <c r="E3196">
        <v>74</v>
      </c>
    </row>
    <row r="3197" spans="1:5" x14ac:dyDescent="0.25">
      <c r="A3197">
        <v>3196</v>
      </c>
      <c r="B3197">
        <v>6661776</v>
      </c>
      <c r="C3197" s="1" t="str">
        <f>HYPERLINK("http://stackoverflow.com/users/6661776", "Motee")</f>
        <v>Motee</v>
      </c>
      <c r="D3197" t="s">
        <v>211</v>
      </c>
      <c r="E3197">
        <v>74</v>
      </c>
    </row>
    <row r="3198" spans="1:5" x14ac:dyDescent="0.25">
      <c r="A3198">
        <v>3197</v>
      </c>
      <c r="B3198">
        <v>681532</v>
      </c>
      <c r="C3198" s="1" t="str">
        <f>HYPERLINK("http://stackoverflow.com/users/681532", "Celery01")</f>
        <v>Celery01</v>
      </c>
      <c r="D3198" t="s">
        <v>4</v>
      </c>
      <c r="E3198">
        <v>74</v>
      </c>
    </row>
    <row r="3199" spans="1:5" x14ac:dyDescent="0.25">
      <c r="A3199">
        <v>3198</v>
      </c>
      <c r="B3199">
        <v>1874088</v>
      </c>
      <c r="C3199" s="1" t="str">
        <f>HYPERLINK("http://stackoverflow.com/users/1874088", "escray")</f>
        <v>escray</v>
      </c>
      <c r="D3199" t="s">
        <v>5</v>
      </c>
      <c r="E3199">
        <v>74</v>
      </c>
    </row>
    <row r="3200" spans="1:5" x14ac:dyDescent="0.25">
      <c r="A3200">
        <v>3199</v>
      </c>
      <c r="B3200">
        <v>4302477</v>
      </c>
      <c r="C3200" s="1" t="str">
        <f>HYPERLINK("http://stackoverflow.com/users/4302477", "Deron Lee")</f>
        <v>Deron Lee</v>
      </c>
      <c r="D3200" t="s">
        <v>28</v>
      </c>
      <c r="E3200">
        <v>74</v>
      </c>
    </row>
    <row r="3201" spans="1:5" x14ac:dyDescent="0.25">
      <c r="A3201">
        <v>3200</v>
      </c>
      <c r="B3201">
        <v>3097818</v>
      </c>
      <c r="C3201" s="1" t="str">
        <f>HYPERLINK("http://stackoverflow.com/users/3097818", "Sparkmorry")</f>
        <v>Sparkmorry</v>
      </c>
      <c r="D3201" t="s">
        <v>12</v>
      </c>
      <c r="E3201">
        <v>74</v>
      </c>
    </row>
    <row r="3202" spans="1:5" x14ac:dyDescent="0.25">
      <c r="A3202">
        <v>3201</v>
      </c>
      <c r="B3202">
        <v>1705668</v>
      </c>
      <c r="C3202" s="1" t="str">
        <f>HYPERLINK("http://stackoverflow.com/users/1705668", "useprxf")</f>
        <v>useprxf</v>
      </c>
      <c r="D3202" t="s">
        <v>15</v>
      </c>
      <c r="E3202">
        <v>74</v>
      </c>
    </row>
    <row r="3203" spans="1:5" x14ac:dyDescent="0.25">
      <c r="A3203">
        <v>3202</v>
      </c>
      <c r="B3203">
        <v>1179910</v>
      </c>
      <c r="C3203" s="1" t="str">
        <f>HYPERLINK("http://stackoverflow.com/users/1179910", "little白")</f>
        <v>little白</v>
      </c>
      <c r="D3203" t="s">
        <v>5</v>
      </c>
      <c r="E3203">
        <v>73</v>
      </c>
    </row>
    <row r="3204" spans="1:5" x14ac:dyDescent="0.25">
      <c r="A3204">
        <v>3203</v>
      </c>
      <c r="B3204">
        <v>656445</v>
      </c>
      <c r="C3204" s="1" t="str">
        <f>HYPERLINK("http://stackoverflow.com/users/656445", "MadCrazy")</f>
        <v>MadCrazy</v>
      </c>
      <c r="D3204" t="s">
        <v>5</v>
      </c>
      <c r="E3204">
        <v>73</v>
      </c>
    </row>
    <row r="3205" spans="1:5" x14ac:dyDescent="0.25">
      <c r="A3205">
        <v>3204</v>
      </c>
      <c r="B3205">
        <v>769424</v>
      </c>
      <c r="C3205" s="1" t="str">
        <f>HYPERLINK("http://stackoverflow.com/users/769424", "JeOam")</f>
        <v>JeOam</v>
      </c>
      <c r="D3205" t="s">
        <v>21</v>
      </c>
      <c r="E3205">
        <v>73</v>
      </c>
    </row>
    <row r="3206" spans="1:5" x14ac:dyDescent="0.25">
      <c r="A3206">
        <v>3205</v>
      </c>
      <c r="B3206">
        <v>2671683</v>
      </c>
      <c r="C3206" s="1" t="str">
        <f>HYPERLINK("http://stackoverflow.com/users/2671683", "shanechiu")</f>
        <v>shanechiu</v>
      </c>
      <c r="D3206" t="s">
        <v>5</v>
      </c>
      <c r="E3206">
        <v>73</v>
      </c>
    </row>
    <row r="3207" spans="1:5" x14ac:dyDescent="0.25">
      <c r="A3207">
        <v>3206</v>
      </c>
      <c r="B3207">
        <v>100730</v>
      </c>
      <c r="C3207" s="1" t="str">
        <f>HYPERLINK("http://stackoverflow.com/users/100730", "Hank")</f>
        <v>Hank</v>
      </c>
      <c r="D3207" t="s">
        <v>5</v>
      </c>
      <c r="E3207">
        <v>73</v>
      </c>
    </row>
    <row r="3208" spans="1:5" x14ac:dyDescent="0.25">
      <c r="A3208">
        <v>3207</v>
      </c>
      <c r="B3208">
        <v>5089147</v>
      </c>
      <c r="C3208" s="1" t="str">
        <f>HYPERLINK("http://stackoverflow.com/users/5089147", "dvorak4tzx")</f>
        <v>dvorak4tzx</v>
      </c>
      <c r="D3208" t="s">
        <v>5</v>
      </c>
      <c r="E3208">
        <v>73</v>
      </c>
    </row>
    <row r="3209" spans="1:5" x14ac:dyDescent="0.25">
      <c r="A3209">
        <v>3208</v>
      </c>
      <c r="B3209">
        <v>965359</v>
      </c>
      <c r="C3209" s="1" t="str">
        <f>HYPERLINK("http://stackoverflow.com/users/965359", "smartegg")</f>
        <v>smartegg</v>
      </c>
      <c r="D3209" t="s">
        <v>22</v>
      </c>
      <c r="E3209">
        <v>73</v>
      </c>
    </row>
    <row r="3210" spans="1:5" x14ac:dyDescent="0.25">
      <c r="A3210">
        <v>3209</v>
      </c>
      <c r="B3210">
        <v>880352</v>
      </c>
      <c r="C3210" s="1" t="str">
        <f>HYPERLINK("http://stackoverflow.com/users/880352", "JinruiDu")</f>
        <v>JinruiDu</v>
      </c>
      <c r="D3210" t="s">
        <v>4</v>
      </c>
      <c r="E3210">
        <v>73</v>
      </c>
    </row>
    <row r="3211" spans="1:5" x14ac:dyDescent="0.25">
      <c r="A3211">
        <v>3210</v>
      </c>
      <c r="B3211">
        <v>714596</v>
      </c>
      <c r="C3211" s="1" t="str">
        <f>HYPERLINK("http://stackoverflow.com/users/714596", "noar")</f>
        <v>noar</v>
      </c>
      <c r="D3211" t="s">
        <v>5</v>
      </c>
      <c r="E3211">
        <v>73</v>
      </c>
    </row>
    <row r="3212" spans="1:5" x14ac:dyDescent="0.25">
      <c r="A3212">
        <v>3211</v>
      </c>
      <c r="B3212">
        <v>1799100</v>
      </c>
      <c r="C3212" s="1" t="str">
        <f>HYPERLINK("http://stackoverflow.com/users/1799100", "Kevin")</f>
        <v>Kevin</v>
      </c>
      <c r="D3212" t="s">
        <v>4</v>
      </c>
      <c r="E3212">
        <v>73</v>
      </c>
    </row>
    <row r="3213" spans="1:5" x14ac:dyDescent="0.25">
      <c r="A3213">
        <v>3212</v>
      </c>
      <c r="B3213">
        <v>6080738</v>
      </c>
      <c r="C3213" s="1" t="str">
        <f>HYPERLINK("http://stackoverflow.com/users/6080738", "Andre")</f>
        <v>Andre</v>
      </c>
      <c r="D3213" t="s">
        <v>212</v>
      </c>
      <c r="E3213">
        <v>73</v>
      </c>
    </row>
    <row r="3214" spans="1:5" x14ac:dyDescent="0.25">
      <c r="A3214">
        <v>3213</v>
      </c>
      <c r="B3214">
        <v>3085134</v>
      </c>
      <c r="C3214" s="1" t="str">
        <f>HYPERLINK("http://stackoverflow.com/users/3085134", "Septenary")</f>
        <v>Septenary</v>
      </c>
      <c r="D3214" t="s">
        <v>4</v>
      </c>
      <c r="E3214">
        <v>73</v>
      </c>
    </row>
    <row r="3215" spans="1:5" x14ac:dyDescent="0.25">
      <c r="A3215">
        <v>3214</v>
      </c>
      <c r="B3215">
        <v>798765</v>
      </c>
      <c r="C3215" s="1" t="str">
        <f>HYPERLINK("http://stackoverflow.com/users/798765", "stcui")</f>
        <v>stcui</v>
      </c>
      <c r="D3215" t="s">
        <v>5</v>
      </c>
      <c r="E3215">
        <v>73</v>
      </c>
    </row>
    <row r="3216" spans="1:5" x14ac:dyDescent="0.25">
      <c r="A3216">
        <v>3215</v>
      </c>
      <c r="B3216">
        <v>3444606</v>
      </c>
      <c r="C3216" s="1" t="str">
        <f>HYPERLINK("http://stackoverflow.com/users/3444606", "wtiandong")</f>
        <v>wtiandong</v>
      </c>
      <c r="D3216" t="s">
        <v>5</v>
      </c>
      <c r="E3216">
        <v>73</v>
      </c>
    </row>
    <row r="3217" spans="1:5" x14ac:dyDescent="0.25">
      <c r="A3217">
        <v>3216</v>
      </c>
      <c r="B3217">
        <v>2135264</v>
      </c>
      <c r="C3217" s="1" t="str">
        <f>HYPERLINK("http://stackoverflow.com/users/2135264", "NSFish")</f>
        <v>NSFish</v>
      </c>
      <c r="D3217" t="s">
        <v>213</v>
      </c>
      <c r="E3217">
        <v>73</v>
      </c>
    </row>
    <row r="3218" spans="1:5" x14ac:dyDescent="0.25">
      <c r="A3218">
        <v>3217</v>
      </c>
      <c r="B3218">
        <v>1915089</v>
      </c>
      <c r="C3218" s="1" t="str">
        <f>HYPERLINK("http://stackoverflow.com/users/1915089", "BonderWu")</f>
        <v>BonderWu</v>
      </c>
      <c r="D3218" t="s">
        <v>5</v>
      </c>
      <c r="E3218">
        <v>73</v>
      </c>
    </row>
    <row r="3219" spans="1:5" x14ac:dyDescent="0.25">
      <c r="A3219">
        <v>3218</v>
      </c>
      <c r="B3219">
        <v>1931135</v>
      </c>
      <c r="C3219" s="1" t="str">
        <f>HYPERLINK("http://stackoverflow.com/users/1931135", "ailms")</f>
        <v>ailms</v>
      </c>
      <c r="D3219" t="s">
        <v>21</v>
      </c>
      <c r="E3219">
        <v>72</v>
      </c>
    </row>
    <row r="3220" spans="1:5" x14ac:dyDescent="0.25">
      <c r="A3220">
        <v>3219</v>
      </c>
      <c r="B3220">
        <v>5327633</v>
      </c>
      <c r="C3220" s="1" t="str">
        <f>HYPERLINK("http://stackoverflow.com/users/5327633", "lingjin.w")</f>
        <v>lingjin.w</v>
      </c>
      <c r="D3220" t="s">
        <v>214</v>
      </c>
      <c r="E3220">
        <v>72</v>
      </c>
    </row>
    <row r="3221" spans="1:5" x14ac:dyDescent="0.25">
      <c r="A3221">
        <v>3220</v>
      </c>
      <c r="B3221">
        <v>1251411</v>
      </c>
      <c r="C3221" s="1" t="str">
        <f>HYPERLINK("http://stackoverflow.com/users/1251411", "Michaelzh")</f>
        <v>Michaelzh</v>
      </c>
      <c r="D3221" t="s">
        <v>5</v>
      </c>
      <c r="E3221">
        <v>72</v>
      </c>
    </row>
    <row r="3222" spans="1:5" x14ac:dyDescent="0.25">
      <c r="A3222">
        <v>3221</v>
      </c>
      <c r="B3222">
        <v>6211801</v>
      </c>
      <c r="C3222" s="1" t="str">
        <f>HYPERLINK("http://stackoverflow.com/users/6211801", "fishu")</f>
        <v>fishu</v>
      </c>
      <c r="D3222" t="s">
        <v>4</v>
      </c>
      <c r="E3222">
        <v>72</v>
      </c>
    </row>
    <row r="3223" spans="1:5" x14ac:dyDescent="0.25">
      <c r="A3223">
        <v>3222</v>
      </c>
      <c r="B3223">
        <v>9650643</v>
      </c>
      <c r="C3223" s="1" t="str">
        <f>HYPERLINK("http://stackoverflow.com/users/9650643", "Usha phulwani")</f>
        <v>Usha phulwani</v>
      </c>
      <c r="D3223" t="s">
        <v>25</v>
      </c>
      <c r="E3223">
        <v>72</v>
      </c>
    </row>
    <row r="3224" spans="1:5" x14ac:dyDescent="0.25">
      <c r="A3224">
        <v>3223</v>
      </c>
      <c r="B3224">
        <v>175386</v>
      </c>
      <c r="C3224" s="1" t="str">
        <f>HYPERLINK("http://stackoverflow.com/users/175386", "Avalon")</f>
        <v>Avalon</v>
      </c>
      <c r="D3224" t="s">
        <v>4</v>
      </c>
      <c r="E3224">
        <v>72</v>
      </c>
    </row>
    <row r="3225" spans="1:5" x14ac:dyDescent="0.25">
      <c r="A3225">
        <v>3224</v>
      </c>
      <c r="B3225">
        <v>1673396</v>
      </c>
      <c r="C3225" s="1" t="str">
        <f>HYPERLINK("http://stackoverflow.com/users/1673396", "Michael Zheng")</f>
        <v>Michael Zheng</v>
      </c>
      <c r="D3225" t="s">
        <v>12</v>
      </c>
      <c r="E3225">
        <v>72</v>
      </c>
    </row>
    <row r="3226" spans="1:5" x14ac:dyDescent="0.25">
      <c r="A3226">
        <v>3225</v>
      </c>
      <c r="B3226">
        <v>3331908</v>
      </c>
      <c r="C3226" s="1" t="str">
        <f>HYPERLINK("http://stackoverflow.com/users/3331908", "promenade")</f>
        <v>promenade</v>
      </c>
      <c r="D3226" t="s">
        <v>5</v>
      </c>
      <c r="E3226">
        <v>72</v>
      </c>
    </row>
    <row r="3227" spans="1:5" x14ac:dyDescent="0.25">
      <c r="A3227">
        <v>3226</v>
      </c>
      <c r="B3227">
        <v>4749410</v>
      </c>
      <c r="C3227" s="1" t="str">
        <f>HYPERLINK("http://stackoverflow.com/users/4749410", "kevin wu")</f>
        <v>kevin wu</v>
      </c>
      <c r="D3227" t="s">
        <v>4</v>
      </c>
      <c r="E3227">
        <v>72</v>
      </c>
    </row>
    <row r="3228" spans="1:5" x14ac:dyDescent="0.25">
      <c r="A3228">
        <v>3227</v>
      </c>
      <c r="B3228">
        <v>5603856</v>
      </c>
      <c r="C3228" s="1" t="str">
        <f>HYPERLINK("http://stackoverflow.com/users/5603856", "Superxy")</f>
        <v>Superxy</v>
      </c>
      <c r="D3228" t="s">
        <v>8</v>
      </c>
      <c r="E3228">
        <v>72</v>
      </c>
    </row>
    <row r="3229" spans="1:5" x14ac:dyDescent="0.25">
      <c r="A3229">
        <v>3228</v>
      </c>
      <c r="B3229">
        <v>1452594</v>
      </c>
      <c r="C3229" s="1" t="str">
        <f>HYPERLINK("http://stackoverflow.com/users/1452594", "vanshu")</f>
        <v>vanshu</v>
      </c>
      <c r="D3229" t="s">
        <v>4</v>
      </c>
      <c r="E3229">
        <v>72</v>
      </c>
    </row>
    <row r="3230" spans="1:5" x14ac:dyDescent="0.25">
      <c r="A3230">
        <v>3229</v>
      </c>
      <c r="B3230">
        <v>4869482</v>
      </c>
      <c r="C3230" s="1" t="str">
        <f>HYPERLINK("http://stackoverflow.com/users/4869482", "仲耀晖")</f>
        <v>仲耀晖</v>
      </c>
      <c r="D3230" t="s">
        <v>37</v>
      </c>
      <c r="E3230">
        <v>72</v>
      </c>
    </row>
    <row r="3231" spans="1:5" x14ac:dyDescent="0.25">
      <c r="A3231">
        <v>3230</v>
      </c>
      <c r="B3231">
        <v>4132805</v>
      </c>
      <c r="C3231" s="1" t="str">
        <f>HYPERLINK("http://stackoverflow.com/users/4132805", "Yifei")</f>
        <v>Yifei</v>
      </c>
      <c r="D3231" t="s">
        <v>4</v>
      </c>
      <c r="E3231">
        <v>72</v>
      </c>
    </row>
    <row r="3232" spans="1:5" x14ac:dyDescent="0.25">
      <c r="A3232">
        <v>3231</v>
      </c>
      <c r="B3232">
        <v>3673077</v>
      </c>
      <c r="C3232" s="1" t="str">
        <f>HYPERLINK("http://stackoverflow.com/users/3673077", "Joshua Bemenderfer")</f>
        <v>Joshua Bemenderfer</v>
      </c>
      <c r="D3232" t="s">
        <v>215</v>
      </c>
      <c r="E3232">
        <v>71</v>
      </c>
    </row>
    <row r="3233" spans="1:5" x14ac:dyDescent="0.25">
      <c r="A3233">
        <v>3232</v>
      </c>
      <c r="B3233">
        <v>4854570</v>
      </c>
      <c r="C3233" s="1" t="str">
        <f>HYPERLINK("http://stackoverflow.com/users/4854570", "SenZhang")</f>
        <v>SenZhang</v>
      </c>
      <c r="D3233" t="s">
        <v>52</v>
      </c>
      <c r="E3233">
        <v>71</v>
      </c>
    </row>
    <row r="3234" spans="1:5" x14ac:dyDescent="0.25">
      <c r="A3234">
        <v>3233</v>
      </c>
      <c r="B3234">
        <v>3201050</v>
      </c>
      <c r="C3234" s="1" t="str">
        <f>HYPERLINK("http://stackoverflow.com/users/3201050", "zitsen")</f>
        <v>zitsen</v>
      </c>
      <c r="D3234" t="s">
        <v>5</v>
      </c>
      <c r="E3234">
        <v>71</v>
      </c>
    </row>
    <row r="3235" spans="1:5" x14ac:dyDescent="0.25">
      <c r="A3235">
        <v>3234</v>
      </c>
      <c r="B3235">
        <v>364334</v>
      </c>
      <c r="C3235" s="1" t="str">
        <f>HYPERLINK("http://stackoverflow.com/users/364334", "chen3feng")</f>
        <v>chen3feng</v>
      </c>
      <c r="D3235" t="s">
        <v>17</v>
      </c>
      <c r="E3235">
        <v>71</v>
      </c>
    </row>
    <row r="3236" spans="1:5" x14ac:dyDescent="0.25">
      <c r="A3236">
        <v>3235</v>
      </c>
      <c r="B3236">
        <v>738158</v>
      </c>
      <c r="C3236" s="1" t="str">
        <f>HYPERLINK("http://stackoverflow.com/users/738158", "flaugh")</f>
        <v>flaugh</v>
      </c>
      <c r="D3236" t="s">
        <v>5</v>
      </c>
      <c r="E3236">
        <v>71</v>
      </c>
    </row>
    <row r="3237" spans="1:5" x14ac:dyDescent="0.25">
      <c r="A3237">
        <v>3236</v>
      </c>
      <c r="B3237">
        <v>633919</v>
      </c>
      <c r="C3237" s="1" t="str">
        <f>HYPERLINK("http://stackoverflow.com/users/633919", "chundong")</f>
        <v>chundong</v>
      </c>
      <c r="D3237" t="s">
        <v>5</v>
      </c>
      <c r="E3237">
        <v>71</v>
      </c>
    </row>
    <row r="3238" spans="1:5" x14ac:dyDescent="0.25">
      <c r="A3238">
        <v>3237</v>
      </c>
      <c r="B3238">
        <v>681303</v>
      </c>
      <c r="C3238" s="1" t="str">
        <f>HYPERLINK("http://stackoverflow.com/users/681303", "dingzhihu")</f>
        <v>dingzhihu</v>
      </c>
      <c r="D3238" t="s">
        <v>5</v>
      </c>
      <c r="E3238">
        <v>71</v>
      </c>
    </row>
    <row r="3239" spans="1:5" x14ac:dyDescent="0.25">
      <c r="A3239">
        <v>3238</v>
      </c>
      <c r="B3239">
        <v>795767</v>
      </c>
      <c r="C3239" s="1" t="str">
        <f>HYPERLINK("http://stackoverflow.com/users/795767", "TecToN")</f>
        <v>TecToN</v>
      </c>
      <c r="D3239" t="s">
        <v>4</v>
      </c>
      <c r="E3239">
        <v>71</v>
      </c>
    </row>
    <row r="3240" spans="1:5" x14ac:dyDescent="0.25">
      <c r="A3240">
        <v>3239</v>
      </c>
      <c r="B3240">
        <v>804141</v>
      </c>
      <c r="C3240" s="1" t="str">
        <f>HYPERLINK("http://stackoverflow.com/users/804141", "Jaylee")</f>
        <v>Jaylee</v>
      </c>
      <c r="D3240" t="s">
        <v>53</v>
      </c>
      <c r="E3240">
        <v>71</v>
      </c>
    </row>
    <row r="3241" spans="1:5" x14ac:dyDescent="0.25">
      <c r="A3241">
        <v>3240</v>
      </c>
      <c r="B3241">
        <v>8086472</v>
      </c>
      <c r="C3241" s="1" t="str">
        <f>HYPERLINK("http://stackoverflow.com/users/8086472", "Joshua Maddox")</f>
        <v>Joshua Maddox</v>
      </c>
      <c r="D3241" t="s">
        <v>55</v>
      </c>
      <c r="E3241">
        <v>71</v>
      </c>
    </row>
    <row r="3242" spans="1:5" x14ac:dyDescent="0.25">
      <c r="A3242">
        <v>3241</v>
      </c>
      <c r="B3242">
        <v>1279968</v>
      </c>
      <c r="C3242" s="1" t="str">
        <f>HYPERLINK("http://stackoverflow.com/users/1279968", "user1279968")</f>
        <v>user1279968</v>
      </c>
      <c r="D3242" t="s">
        <v>57</v>
      </c>
      <c r="E3242">
        <v>71</v>
      </c>
    </row>
    <row r="3243" spans="1:5" x14ac:dyDescent="0.25">
      <c r="A3243">
        <v>3242</v>
      </c>
      <c r="B3243">
        <v>1332757</v>
      </c>
      <c r="C3243" s="1" t="str">
        <f>HYPERLINK("http://stackoverflow.com/users/1332757", "joooohnli")</f>
        <v>joooohnli</v>
      </c>
      <c r="D3243" t="s">
        <v>7</v>
      </c>
      <c r="E3243">
        <v>71</v>
      </c>
    </row>
    <row r="3244" spans="1:5" x14ac:dyDescent="0.25">
      <c r="A3244">
        <v>3243</v>
      </c>
      <c r="B3244">
        <v>6776818</v>
      </c>
      <c r="C3244" s="1" t="str">
        <f>HYPERLINK("http://stackoverflow.com/users/6776818", "Nick Zhang")</f>
        <v>Nick Zhang</v>
      </c>
      <c r="D3244" t="s">
        <v>5</v>
      </c>
      <c r="E3244">
        <v>71</v>
      </c>
    </row>
    <row r="3245" spans="1:5" x14ac:dyDescent="0.25">
      <c r="A3245">
        <v>3244</v>
      </c>
      <c r="B3245">
        <v>2078461</v>
      </c>
      <c r="C3245" s="1" t="str">
        <f>HYPERLINK("http://stackoverflow.com/users/2078461", "lispc")</f>
        <v>lispc</v>
      </c>
      <c r="D3245" t="s">
        <v>5</v>
      </c>
      <c r="E3245">
        <v>71</v>
      </c>
    </row>
    <row r="3246" spans="1:5" x14ac:dyDescent="0.25">
      <c r="A3246">
        <v>3245</v>
      </c>
      <c r="B3246">
        <v>7392747</v>
      </c>
      <c r="C3246" s="1" t="str">
        <f>HYPERLINK("http://stackoverflow.com/users/7392747", "frzhen")</f>
        <v>frzhen</v>
      </c>
      <c r="D3246" t="s">
        <v>5</v>
      </c>
      <c r="E3246">
        <v>71</v>
      </c>
    </row>
    <row r="3247" spans="1:5" x14ac:dyDescent="0.25">
      <c r="A3247">
        <v>3246</v>
      </c>
      <c r="B3247">
        <v>11118151</v>
      </c>
      <c r="C3247" s="1" t="str">
        <f>HYPERLINK("http://stackoverflow.com/users/11118151", "Di Zhang")</f>
        <v>Di Zhang</v>
      </c>
      <c r="D3247" t="s">
        <v>5</v>
      </c>
      <c r="E3247">
        <v>71</v>
      </c>
    </row>
    <row r="3248" spans="1:5" x14ac:dyDescent="0.25">
      <c r="A3248">
        <v>3247</v>
      </c>
      <c r="B3248">
        <v>1851034</v>
      </c>
      <c r="C3248" s="1" t="str">
        <f>HYPERLINK("http://stackoverflow.com/users/1851034", "Charlot")</f>
        <v>Charlot</v>
      </c>
      <c r="D3248" t="s">
        <v>4</v>
      </c>
      <c r="E3248">
        <v>71</v>
      </c>
    </row>
    <row r="3249" spans="1:5" x14ac:dyDescent="0.25">
      <c r="A3249">
        <v>3248</v>
      </c>
      <c r="B3249">
        <v>1795911</v>
      </c>
      <c r="C3249" s="1" t="str">
        <f>HYPERLINK("http://stackoverflow.com/users/1795911", "SongGuang")</f>
        <v>SongGuang</v>
      </c>
      <c r="D3249" t="s">
        <v>90</v>
      </c>
      <c r="E3249">
        <v>71</v>
      </c>
    </row>
    <row r="3250" spans="1:5" x14ac:dyDescent="0.25">
      <c r="A3250">
        <v>3249</v>
      </c>
      <c r="B3250">
        <v>3535101</v>
      </c>
      <c r="C3250" s="1" t="str">
        <f>HYPERLINK("http://stackoverflow.com/users/3535101", "shuning")</f>
        <v>shuning</v>
      </c>
      <c r="D3250" t="s">
        <v>5</v>
      </c>
      <c r="E3250">
        <v>71</v>
      </c>
    </row>
    <row r="3251" spans="1:5" x14ac:dyDescent="0.25">
      <c r="A3251">
        <v>3250</v>
      </c>
      <c r="B3251">
        <v>4751658</v>
      </c>
      <c r="C3251" s="1" t="str">
        <f>HYPERLINK("http://stackoverflow.com/users/4751658", "Scott Yang")</f>
        <v>Scott Yang</v>
      </c>
      <c r="D3251" t="s">
        <v>5</v>
      </c>
      <c r="E3251">
        <v>71</v>
      </c>
    </row>
    <row r="3252" spans="1:5" x14ac:dyDescent="0.25">
      <c r="A3252">
        <v>3251</v>
      </c>
      <c r="B3252">
        <v>2930241</v>
      </c>
      <c r="C3252" s="1" t="str">
        <f>HYPERLINK("http://stackoverflow.com/users/2930241", "Leiyi.China")</f>
        <v>Leiyi.China</v>
      </c>
      <c r="D3252" t="s">
        <v>5</v>
      </c>
      <c r="E3252">
        <v>71</v>
      </c>
    </row>
    <row r="3253" spans="1:5" x14ac:dyDescent="0.25">
      <c r="A3253">
        <v>3252</v>
      </c>
      <c r="B3253">
        <v>4858194</v>
      </c>
      <c r="C3253" s="1" t="str">
        <f>HYPERLINK("http://stackoverflow.com/users/4858194", "yinwoods")</f>
        <v>yinwoods</v>
      </c>
      <c r="D3253" t="s">
        <v>5</v>
      </c>
      <c r="E3253">
        <v>71</v>
      </c>
    </row>
    <row r="3254" spans="1:5" x14ac:dyDescent="0.25">
      <c r="A3254">
        <v>3253</v>
      </c>
      <c r="B3254">
        <v>3050988</v>
      </c>
      <c r="C3254" s="1" t="str">
        <f>HYPERLINK("http://stackoverflow.com/users/3050988", "itisalex")</f>
        <v>itisalex</v>
      </c>
      <c r="D3254" t="s">
        <v>4</v>
      </c>
      <c r="E3254">
        <v>71</v>
      </c>
    </row>
    <row r="3255" spans="1:5" x14ac:dyDescent="0.25">
      <c r="A3255">
        <v>3254</v>
      </c>
      <c r="B3255">
        <v>2423520</v>
      </c>
      <c r="C3255" s="1" t="str">
        <f>HYPERLINK("http://stackoverflow.com/users/2423520", "Malcolm Yu")</f>
        <v>Malcolm Yu</v>
      </c>
      <c r="D3255" t="s">
        <v>5</v>
      </c>
      <c r="E3255">
        <v>71</v>
      </c>
    </row>
    <row r="3256" spans="1:5" x14ac:dyDescent="0.25">
      <c r="A3256">
        <v>3255</v>
      </c>
      <c r="B3256">
        <v>1979739</v>
      </c>
      <c r="C3256" s="1" t="str">
        <f>HYPERLINK("http://stackoverflow.com/users/1979739", "Elar")</f>
        <v>Elar</v>
      </c>
      <c r="D3256" t="s">
        <v>54</v>
      </c>
      <c r="E3256">
        <v>71</v>
      </c>
    </row>
    <row r="3257" spans="1:5" x14ac:dyDescent="0.25">
      <c r="A3257">
        <v>3256</v>
      </c>
      <c r="B3257">
        <v>9166874</v>
      </c>
      <c r="C3257" s="1" t="str">
        <f>HYPERLINK("http://stackoverflow.com/users/9166874", "Mien")</f>
        <v>Mien</v>
      </c>
      <c r="D3257" t="s">
        <v>5</v>
      </c>
      <c r="E3257">
        <v>71</v>
      </c>
    </row>
    <row r="3258" spans="1:5" x14ac:dyDescent="0.25">
      <c r="A3258">
        <v>3257</v>
      </c>
      <c r="B3258">
        <v>1994490</v>
      </c>
      <c r="C3258" s="1" t="str">
        <f>HYPERLINK("http://stackoverflow.com/users/1994490", "uwydoc")</f>
        <v>uwydoc</v>
      </c>
      <c r="D3258" t="s">
        <v>12</v>
      </c>
      <c r="E3258">
        <v>71</v>
      </c>
    </row>
    <row r="3259" spans="1:5" x14ac:dyDescent="0.25">
      <c r="A3259">
        <v>3258</v>
      </c>
      <c r="B3259">
        <v>2232521</v>
      </c>
      <c r="C3259" s="1" t="str">
        <f>HYPERLINK("http://stackoverflow.com/users/2232521", "Water dragon")</f>
        <v>Water dragon</v>
      </c>
      <c r="D3259" t="s">
        <v>31</v>
      </c>
      <c r="E3259">
        <v>71</v>
      </c>
    </row>
    <row r="3260" spans="1:5" x14ac:dyDescent="0.25">
      <c r="A3260">
        <v>3259</v>
      </c>
      <c r="B3260">
        <v>815239</v>
      </c>
      <c r="C3260" s="1" t="str">
        <f>HYPERLINK("http://stackoverflow.com/users/815239", "demix")</f>
        <v>demix</v>
      </c>
      <c r="D3260" t="s">
        <v>5</v>
      </c>
      <c r="E3260">
        <v>71</v>
      </c>
    </row>
    <row r="3261" spans="1:5" x14ac:dyDescent="0.25">
      <c r="A3261">
        <v>3260</v>
      </c>
      <c r="B3261">
        <v>107637</v>
      </c>
      <c r="C3261" s="1" t="str">
        <f>HYPERLINK("http://stackoverflow.com/users/107637", "cnheying")</f>
        <v>cnheying</v>
      </c>
      <c r="D3261" t="s">
        <v>62</v>
      </c>
      <c r="E3261">
        <v>71</v>
      </c>
    </row>
    <row r="3262" spans="1:5" x14ac:dyDescent="0.25">
      <c r="A3262">
        <v>3261</v>
      </c>
      <c r="B3262">
        <v>2710504</v>
      </c>
      <c r="C3262" s="1" t="str">
        <f>HYPERLINK("http://stackoverflow.com/users/2710504", "xiaojue")</f>
        <v>xiaojue</v>
      </c>
      <c r="D3262" t="s">
        <v>5</v>
      </c>
      <c r="E3262">
        <v>71</v>
      </c>
    </row>
    <row r="3263" spans="1:5" x14ac:dyDescent="0.25">
      <c r="A3263">
        <v>3262</v>
      </c>
      <c r="B3263">
        <v>1547688</v>
      </c>
      <c r="C3263" s="1" t="str">
        <f>HYPERLINK("http://stackoverflow.com/users/1547688", "user1547688")</f>
        <v>user1547688</v>
      </c>
      <c r="D3263" t="s">
        <v>4</v>
      </c>
      <c r="E3263">
        <v>71</v>
      </c>
    </row>
    <row r="3264" spans="1:5" x14ac:dyDescent="0.25">
      <c r="A3264">
        <v>3263</v>
      </c>
      <c r="B3264">
        <v>6837661</v>
      </c>
      <c r="C3264" s="1" t="str">
        <f>HYPERLINK("http://stackoverflow.com/users/6837661", "briefy")</f>
        <v>briefy</v>
      </c>
      <c r="D3264" t="s">
        <v>5</v>
      </c>
      <c r="E3264">
        <v>71</v>
      </c>
    </row>
    <row r="3265" spans="1:5" x14ac:dyDescent="0.25">
      <c r="A3265">
        <v>3264</v>
      </c>
      <c r="B3265">
        <v>2080118</v>
      </c>
      <c r="C3265" s="1" t="str">
        <f>HYPERLINK("http://stackoverflow.com/users/2080118", "ChrisChen3121")</f>
        <v>ChrisChen3121</v>
      </c>
      <c r="D3265" t="s">
        <v>4</v>
      </c>
      <c r="E3265">
        <v>71</v>
      </c>
    </row>
    <row r="3266" spans="1:5" x14ac:dyDescent="0.25">
      <c r="A3266">
        <v>3265</v>
      </c>
      <c r="B3266">
        <v>3548739</v>
      </c>
      <c r="C3266" s="1" t="str">
        <f>HYPERLINK("http://stackoverflow.com/users/3548739", "August Zhao")</f>
        <v>August Zhao</v>
      </c>
      <c r="D3266" t="s">
        <v>21</v>
      </c>
      <c r="E3266">
        <v>71</v>
      </c>
    </row>
    <row r="3267" spans="1:5" x14ac:dyDescent="0.25">
      <c r="A3267">
        <v>3266</v>
      </c>
      <c r="B3267">
        <v>5832876</v>
      </c>
      <c r="C3267" s="1" t="str">
        <f>HYPERLINK("http://stackoverflow.com/users/5832876", "izsl")</f>
        <v>izsl</v>
      </c>
      <c r="D3267" t="s">
        <v>5</v>
      </c>
      <c r="E3267">
        <v>71</v>
      </c>
    </row>
    <row r="3268" spans="1:5" x14ac:dyDescent="0.25">
      <c r="A3268">
        <v>3267</v>
      </c>
      <c r="B3268">
        <v>709390</v>
      </c>
      <c r="C3268" s="1" t="str">
        <f>HYPERLINK("http://stackoverflow.com/users/709390", "Ethan Zhong")</f>
        <v>Ethan Zhong</v>
      </c>
      <c r="D3268" t="s">
        <v>5</v>
      </c>
      <c r="E3268">
        <v>71</v>
      </c>
    </row>
    <row r="3269" spans="1:5" x14ac:dyDescent="0.25">
      <c r="A3269">
        <v>3268</v>
      </c>
      <c r="B3269">
        <v>726907</v>
      </c>
      <c r="C3269" s="1" t="str">
        <f>HYPERLINK("http://stackoverflow.com/users/726907", "Lax")</f>
        <v>Lax</v>
      </c>
      <c r="D3269" t="s">
        <v>5</v>
      </c>
      <c r="E3269">
        <v>71</v>
      </c>
    </row>
    <row r="3270" spans="1:5" x14ac:dyDescent="0.25">
      <c r="A3270">
        <v>3269</v>
      </c>
      <c r="B3270">
        <v>6298412</v>
      </c>
      <c r="C3270" s="1" t="str">
        <f>HYPERLINK("http://stackoverflow.com/users/6298412", "calvin1992")</f>
        <v>calvin1992</v>
      </c>
      <c r="D3270" t="s">
        <v>25</v>
      </c>
      <c r="E3270">
        <v>71</v>
      </c>
    </row>
    <row r="3271" spans="1:5" x14ac:dyDescent="0.25">
      <c r="A3271">
        <v>3270</v>
      </c>
      <c r="B3271">
        <v>278650</v>
      </c>
      <c r="C3271" s="1" t="str">
        <f>HYPERLINK("http://stackoverflow.com/users/278650", "syd")</f>
        <v>syd</v>
      </c>
      <c r="D3271" t="s">
        <v>5</v>
      </c>
      <c r="E3271">
        <v>71</v>
      </c>
    </row>
    <row r="3272" spans="1:5" x14ac:dyDescent="0.25">
      <c r="A3272">
        <v>3271</v>
      </c>
      <c r="B3272">
        <v>265989</v>
      </c>
      <c r="C3272" s="1" t="str">
        <f>HYPERLINK("http://stackoverflow.com/users/265989", "yc.")</f>
        <v>yc.</v>
      </c>
      <c r="D3272" t="s">
        <v>5</v>
      </c>
      <c r="E3272">
        <v>71</v>
      </c>
    </row>
    <row r="3273" spans="1:5" x14ac:dyDescent="0.25">
      <c r="A3273">
        <v>3272</v>
      </c>
      <c r="B3273">
        <v>2614518</v>
      </c>
      <c r="C3273" s="1" t="str">
        <f>HYPERLINK("http://stackoverflow.com/users/2614518", "llb")</f>
        <v>llb</v>
      </c>
      <c r="D3273" t="s">
        <v>21</v>
      </c>
      <c r="E3273">
        <v>71</v>
      </c>
    </row>
    <row r="3274" spans="1:5" x14ac:dyDescent="0.25">
      <c r="A3274">
        <v>3273</v>
      </c>
      <c r="B3274">
        <v>1579155</v>
      </c>
      <c r="C3274" s="1" t="str">
        <f>HYPERLINK("http://stackoverflow.com/users/1579155", "Jim Yin")</f>
        <v>Jim Yin</v>
      </c>
      <c r="D3274" t="s">
        <v>5</v>
      </c>
      <c r="E3274">
        <v>71</v>
      </c>
    </row>
    <row r="3275" spans="1:5" x14ac:dyDescent="0.25">
      <c r="A3275">
        <v>3274</v>
      </c>
      <c r="B3275">
        <v>1176016</v>
      </c>
      <c r="C3275" s="1" t="str">
        <f>HYPERLINK("http://stackoverflow.com/users/1176016", "subei")</f>
        <v>subei</v>
      </c>
      <c r="D3275" t="s">
        <v>4</v>
      </c>
      <c r="E3275">
        <v>71</v>
      </c>
    </row>
    <row r="3276" spans="1:5" x14ac:dyDescent="0.25">
      <c r="A3276">
        <v>3275</v>
      </c>
      <c r="B3276">
        <v>4933852</v>
      </c>
      <c r="C3276" s="1" t="str">
        <f>HYPERLINK("http://stackoverflow.com/users/4933852", "Zheng")</f>
        <v>Zheng</v>
      </c>
      <c r="D3276" t="s">
        <v>37</v>
      </c>
      <c r="E3276">
        <v>71</v>
      </c>
    </row>
    <row r="3277" spans="1:5" x14ac:dyDescent="0.25">
      <c r="A3277">
        <v>3276</v>
      </c>
      <c r="B3277">
        <v>6643564</v>
      </c>
      <c r="C3277" s="1" t="str">
        <f>HYPERLINK("http://stackoverflow.com/users/6643564", "notsyncing")</f>
        <v>notsyncing</v>
      </c>
      <c r="D3277" t="s">
        <v>22</v>
      </c>
      <c r="E3277">
        <v>71</v>
      </c>
    </row>
    <row r="3278" spans="1:5" x14ac:dyDescent="0.25">
      <c r="A3278">
        <v>3277</v>
      </c>
      <c r="B3278">
        <v>1130175</v>
      </c>
      <c r="C3278" s="1" t="str">
        <f>HYPERLINK("http://stackoverflow.com/users/1130175", "Xiao Ming")</f>
        <v>Xiao Ming</v>
      </c>
      <c r="D3278" t="s">
        <v>12</v>
      </c>
      <c r="E3278">
        <v>71</v>
      </c>
    </row>
    <row r="3279" spans="1:5" x14ac:dyDescent="0.25">
      <c r="A3279">
        <v>3278</v>
      </c>
      <c r="B3279">
        <v>2632509</v>
      </c>
      <c r="C3279" s="1" t="str">
        <f>HYPERLINK("http://stackoverflow.com/users/2632509", "lin")</f>
        <v>lin</v>
      </c>
      <c r="D3279" t="s">
        <v>12</v>
      </c>
      <c r="E3279">
        <v>71</v>
      </c>
    </row>
    <row r="3280" spans="1:5" x14ac:dyDescent="0.25">
      <c r="A3280">
        <v>3279</v>
      </c>
      <c r="B3280">
        <v>340860</v>
      </c>
      <c r="C3280" s="1" t="str">
        <f>HYPERLINK("http://stackoverflow.com/users/340860", "Leox")</f>
        <v>Leox</v>
      </c>
      <c r="D3280" t="s">
        <v>4</v>
      </c>
      <c r="E3280">
        <v>71</v>
      </c>
    </row>
    <row r="3281" spans="1:5" x14ac:dyDescent="0.25">
      <c r="A3281">
        <v>3280</v>
      </c>
      <c r="B3281">
        <v>440316</v>
      </c>
      <c r="C3281" s="1" t="str">
        <f>HYPERLINK("http://stackoverflow.com/users/440316", "gao")</f>
        <v>gao</v>
      </c>
      <c r="D3281" t="s">
        <v>5</v>
      </c>
      <c r="E3281">
        <v>71</v>
      </c>
    </row>
    <row r="3282" spans="1:5" x14ac:dyDescent="0.25">
      <c r="A3282">
        <v>3281</v>
      </c>
      <c r="B3282">
        <v>495505</v>
      </c>
      <c r="C3282" s="1" t="str">
        <f>HYPERLINK("http://stackoverflow.com/users/495505", "Chunlin Zhang")</f>
        <v>Chunlin Zhang</v>
      </c>
      <c r="D3282" t="s">
        <v>38</v>
      </c>
      <c r="E3282">
        <v>71</v>
      </c>
    </row>
    <row r="3283" spans="1:5" x14ac:dyDescent="0.25">
      <c r="A3283">
        <v>3282</v>
      </c>
      <c r="B3283">
        <v>534995</v>
      </c>
      <c r="C3283" s="1" t="str">
        <f>HYPERLINK("http://stackoverflow.com/users/534995", "ottojiang")</f>
        <v>ottojiang</v>
      </c>
      <c r="D3283" t="s">
        <v>5</v>
      </c>
      <c r="E3283">
        <v>71</v>
      </c>
    </row>
    <row r="3284" spans="1:5" x14ac:dyDescent="0.25">
      <c r="A3284">
        <v>3283</v>
      </c>
      <c r="B3284">
        <v>8484506</v>
      </c>
      <c r="C3284" s="1" t="str">
        <f>HYPERLINK("http://stackoverflow.com/users/8484506", "Lynn Han")</f>
        <v>Lynn Han</v>
      </c>
      <c r="D3284" t="s">
        <v>5</v>
      </c>
      <c r="E3284">
        <v>71</v>
      </c>
    </row>
    <row r="3285" spans="1:5" x14ac:dyDescent="0.25">
      <c r="A3285">
        <v>3284</v>
      </c>
      <c r="B3285">
        <v>3055982</v>
      </c>
      <c r="C3285" s="1" t="str">
        <f>HYPERLINK("http://stackoverflow.com/users/3055982", "kingfeng")</f>
        <v>kingfeng</v>
      </c>
      <c r="D3285" t="s">
        <v>17</v>
      </c>
      <c r="E3285">
        <v>71</v>
      </c>
    </row>
    <row r="3286" spans="1:5" x14ac:dyDescent="0.25">
      <c r="A3286">
        <v>3285</v>
      </c>
      <c r="B3286">
        <v>8408564</v>
      </c>
      <c r="C3286" s="1" t="str">
        <f>HYPERLINK("http://stackoverflow.com/users/8408564", "eye")</f>
        <v>eye</v>
      </c>
      <c r="D3286" t="s">
        <v>74</v>
      </c>
      <c r="E3286">
        <v>71</v>
      </c>
    </row>
    <row r="3287" spans="1:5" x14ac:dyDescent="0.25">
      <c r="A3287">
        <v>3286</v>
      </c>
      <c r="B3287">
        <v>5243909</v>
      </c>
      <c r="C3287" s="1" t="str">
        <f>HYPERLINK("http://stackoverflow.com/users/5243909", "xiyechushang")</f>
        <v>xiyechushang</v>
      </c>
      <c r="D3287" t="s">
        <v>5</v>
      </c>
      <c r="E3287">
        <v>71</v>
      </c>
    </row>
    <row r="3288" spans="1:5" x14ac:dyDescent="0.25">
      <c r="A3288">
        <v>3287</v>
      </c>
      <c r="B3288">
        <v>7151899</v>
      </c>
      <c r="C3288" s="1" t="str">
        <f>HYPERLINK("http://stackoverflow.com/users/7151899", "Fisher")</f>
        <v>Fisher</v>
      </c>
      <c r="D3288" t="s">
        <v>4</v>
      </c>
      <c r="E3288">
        <v>71</v>
      </c>
    </row>
    <row r="3289" spans="1:5" x14ac:dyDescent="0.25">
      <c r="A3289">
        <v>3288</v>
      </c>
      <c r="B3289">
        <v>2186150</v>
      </c>
      <c r="C3289" s="1" t="str">
        <f>HYPERLINK("http://stackoverflow.com/users/2186150", "Nolan")</f>
        <v>Nolan</v>
      </c>
      <c r="D3289" t="s">
        <v>4</v>
      </c>
      <c r="E3289">
        <v>71</v>
      </c>
    </row>
    <row r="3290" spans="1:5" x14ac:dyDescent="0.25">
      <c r="A3290">
        <v>3289</v>
      </c>
      <c r="B3290">
        <v>3963013</v>
      </c>
      <c r="C3290" s="1" t="str">
        <f>HYPERLINK("http://stackoverflow.com/users/3963013", "NormanZhu")</f>
        <v>NormanZhu</v>
      </c>
      <c r="D3290" t="s">
        <v>28</v>
      </c>
      <c r="E3290">
        <v>71</v>
      </c>
    </row>
    <row r="3291" spans="1:5" x14ac:dyDescent="0.25">
      <c r="A3291">
        <v>3290</v>
      </c>
      <c r="B3291">
        <v>5834902</v>
      </c>
      <c r="C3291" s="1" t="str">
        <f>HYPERLINK("http://stackoverflow.com/users/5834902", "forgot2015")</f>
        <v>forgot2015</v>
      </c>
      <c r="D3291" t="s">
        <v>16</v>
      </c>
      <c r="E3291">
        <v>71</v>
      </c>
    </row>
    <row r="3292" spans="1:5" x14ac:dyDescent="0.25">
      <c r="A3292">
        <v>3291</v>
      </c>
      <c r="B3292">
        <v>3988849</v>
      </c>
      <c r="C3292" s="1" t="str">
        <f>HYPERLINK("http://stackoverflow.com/users/3988849", "ZJZHOME")</f>
        <v>ZJZHOME</v>
      </c>
      <c r="D3292" t="s">
        <v>8</v>
      </c>
      <c r="E3292">
        <v>71</v>
      </c>
    </row>
    <row r="3293" spans="1:5" x14ac:dyDescent="0.25">
      <c r="A3293">
        <v>3292</v>
      </c>
      <c r="B3293">
        <v>1244240</v>
      </c>
      <c r="C3293" s="1" t="str">
        <f>HYPERLINK("http://stackoverflow.com/users/1244240", "maple")</f>
        <v>maple</v>
      </c>
      <c r="D3293" t="s">
        <v>12</v>
      </c>
      <c r="E3293">
        <v>70</v>
      </c>
    </row>
    <row r="3294" spans="1:5" x14ac:dyDescent="0.25">
      <c r="A3294">
        <v>3293</v>
      </c>
      <c r="B3294">
        <v>698554</v>
      </c>
      <c r="C3294" s="1" t="str">
        <f>HYPERLINK("http://stackoverflow.com/users/698554", "Wasif Tanveer")</f>
        <v>Wasif Tanveer</v>
      </c>
      <c r="D3294" t="s">
        <v>4</v>
      </c>
      <c r="E3294">
        <v>70</v>
      </c>
    </row>
    <row r="3295" spans="1:5" x14ac:dyDescent="0.25">
      <c r="A3295">
        <v>3294</v>
      </c>
      <c r="B3295">
        <v>6191760</v>
      </c>
      <c r="C3295" s="1" t="str">
        <f>HYPERLINK("http://stackoverflow.com/users/6191760", "terence chuen")</f>
        <v>terence chuen</v>
      </c>
      <c r="D3295" t="s">
        <v>7</v>
      </c>
      <c r="E3295">
        <v>70</v>
      </c>
    </row>
    <row r="3296" spans="1:5" x14ac:dyDescent="0.25">
      <c r="A3296">
        <v>3295</v>
      </c>
      <c r="B3296">
        <v>2710808</v>
      </c>
      <c r="C3296" s="1" t="str">
        <f>HYPERLINK("http://stackoverflow.com/users/2710808", "gangzi")</f>
        <v>gangzi</v>
      </c>
      <c r="D3296" t="s">
        <v>5</v>
      </c>
      <c r="E3296">
        <v>70</v>
      </c>
    </row>
    <row r="3297" spans="1:5" x14ac:dyDescent="0.25">
      <c r="A3297">
        <v>3296</v>
      </c>
      <c r="B3297">
        <v>670593</v>
      </c>
      <c r="C3297" s="1" t="str">
        <f>HYPERLINK("http://stackoverflow.com/users/670593", "JiangCat")</f>
        <v>JiangCat</v>
      </c>
      <c r="D3297" t="s">
        <v>5</v>
      </c>
      <c r="E3297">
        <v>70</v>
      </c>
    </row>
    <row r="3298" spans="1:5" x14ac:dyDescent="0.25">
      <c r="A3298">
        <v>3297</v>
      </c>
      <c r="B3298">
        <v>7526308</v>
      </c>
      <c r="C3298" s="1" t="str">
        <f>HYPERLINK("http://stackoverflow.com/users/7526308", "Lumaskcete")</f>
        <v>Lumaskcete</v>
      </c>
      <c r="D3298" t="s">
        <v>4</v>
      </c>
      <c r="E3298">
        <v>70</v>
      </c>
    </row>
    <row r="3299" spans="1:5" x14ac:dyDescent="0.25">
      <c r="A3299">
        <v>3298</v>
      </c>
      <c r="B3299">
        <v>4238518</v>
      </c>
      <c r="C3299" s="1" t="str">
        <f>HYPERLINK("http://stackoverflow.com/users/4238518", "Woody Wu")</f>
        <v>Woody Wu</v>
      </c>
      <c r="D3299" t="s">
        <v>42</v>
      </c>
      <c r="E3299">
        <v>70</v>
      </c>
    </row>
    <row r="3300" spans="1:5" x14ac:dyDescent="0.25">
      <c r="A3300">
        <v>3299</v>
      </c>
      <c r="B3300">
        <v>4918518</v>
      </c>
      <c r="C3300" s="1" t="str">
        <f>HYPERLINK("http://stackoverflow.com/users/4918518", "Yue Kong")</f>
        <v>Yue Kong</v>
      </c>
      <c r="D3300" t="s">
        <v>5</v>
      </c>
      <c r="E3300">
        <v>70</v>
      </c>
    </row>
    <row r="3301" spans="1:5" x14ac:dyDescent="0.25">
      <c r="A3301">
        <v>3300</v>
      </c>
      <c r="B3301">
        <v>3073273</v>
      </c>
      <c r="C3301" s="1" t="str">
        <f>HYPERLINK("http://stackoverflow.com/users/3073273", "Seeinyou")</f>
        <v>Seeinyou</v>
      </c>
      <c r="D3301" t="s">
        <v>5</v>
      </c>
      <c r="E3301">
        <v>70</v>
      </c>
    </row>
    <row r="3302" spans="1:5" x14ac:dyDescent="0.25">
      <c r="A3302">
        <v>3301</v>
      </c>
      <c r="B3302">
        <v>2536212</v>
      </c>
      <c r="C3302" s="1" t="str">
        <f>HYPERLINK("http://stackoverflow.com/users/2536212", "George")</f>
        <v>George</v>
      </c>
      <c r="D3302" t="s">
        <v>216</v>
      </c>
      <c r="E3302">
        <v>70</v>
      </c>
    </row>
    <row r="3303" spans="1:5" x14ac:dyDescent="0.25">
      <c r="A3303">
        <v>3302</v>
      </c>
      <c r="B3303">
        <v>10195317</v>
      </c>
      <c r="C3303" s="1" t="str">
        <f>HYPERLINK("http://stackoverflow.com/users/10195317", "Tony")</f>
        <v>Tony</v>
      </c>
      <c r="D3303" t="s">
        <v>4</v>
      </c>
      <c r="E3303">
        <v>70</v>
      </c>
    </row>
    <row r="3304" spans="1:5" x14ac:dyDescent="0.25">
      <c r="A3304">
        <v>3303</v>
      </c>
      <c r="B3304">
        <v>7772507</v>
      </c>
      <c r="C3304" s="1" t="str">
        <f>HYPERLINK("http://stackoverflow.com/users/7772507", "NoahCao")</f>
        <v>NoahCao</v>
      </c>
      <c r="D3304" t="s">
        <v>4</v>
      </c>
      <c r="E3304">
        <v>70</v>
      </c>
    </row>
    <row r="3305" spans="1:5" x14ac:dyDescent="0.25">
      <c r="A3305">
        <v>3304</v>
      </c>
      <c r="B3305">
        <v>2307394</v>
      </c>
      <c r="C3305" s="1" t="str">
        <f>HYPERLINK("http://stackoverflow.com/users/2307394", "Noah")</f>
        <v>Noah</v>
      </c>
      <c r="D3305" t="s">
        <v>17</v>
      </c>
      <c r="E3305">
        <v>70</v>
      </c>
    </row>
    <row r="3306" spans="1:5" x14ac:dyDescent="0.25">
      <c r="A3306">
        <v>3305</v>
      </c>
      <c r="B3306">
        <v>3084946</v>
      </c>
      <c r="C3306" s="1" t="str">
        <f>HYPERLINK("http://stackoverflow.com/users/3084946", "Shawn Rong")</f>
        <v>Shawn Rong</v>
      </c>
      <c r="D3306" t="s">
        <v>108</v>
      </c>
      <c r="E3306">
        <v>70</v>
      </c>
    </row>
    <row r="3307" spans="1:5" x14ac:dyDescent="0.25">
      <c r="A3307">
        <v>3306</v>
      </c>
      <c r="B3307">
        <v>4535844</v>
      </c>
      <c r="C3307" s="1" t="str">
        <f>HYPERLINK("http://stackoverflow.com/users/4535844", "李允智")</f>
        <v>李允智</v>
      </c>
      <c r="D3307" t="s">
        <v>4</v>
      </c>
      <c r="E3307">
        <v>70</v>
      </c>
    </row>
    <row r="3308" spans="1:5" x14ac:dyDescent="0.25">
      <c r="A3308">
        <v>3307</v>
      </c>
      <c r="B3308">
        <v>984982</v>
      </c>
      <c r="C3308" s="1" t="str">
        <f>HYPERLINK("http://stackoverflow.com/users/984982", "EggErr")</f>
        <v>EggErr</v>
      </c>
      <c r="D3308" t="s">
        <v>5</v>
      </c>
      <c r="E3308">
        <v>70</v>
      </c>
    </row>
    <row r="3309" spans="1:5" x14ac:dyDescent="0.25">
      <c r="A3309">
        <v>3308</v>
      </c>
      <c r="B3309">
        <v>9940069</v>
      </c>
      <c r="C3309" s="1" t="str">
        <f>HYPERLINK("http://stackoverflow.com/users/9940069", "Wayne Wei")</f>
        <v>Wayne Wei</v>
      </c>
      <c r="D3309" t="s">
        <v>28</v>
      </c>
      <c r="E3309">
        <v>69</v>
      </c>
    </row>
    <row r="3310" spans="1:5" x14ac:dyDescent="0.25">
      <c r="A3310">
        <v>3309</v>
      </c>
      <c r="B3310">
        <v>204413</v>
      </c>
      <c r="C3310" s="1" t="str">
        <f>HYPERLINK("http://stackoverflow.com/users/204413", "wxianfeng")</f>
        <v>wxianfeng</v>
      </c>
      <c r="D3310" t="s">
        <v>5</v>
      </c>
      <c r="E3310">
        <v>69</v>
      </c>
    </row>
    <row r="3311" spans="1:5" x14ac:dyDescent="0.25">
      <c r="A3311">
        <v>3310</v>
      </c>
      <c r="B3311">
        <v>221223</v>
      </c>
      <c r="C3311" s="1" t="str">
        <f>HYPERLINK("http://stackoverflow.com/users/221223", "cHeE")</f>
        <v>cHeE</v>
      </c>
      <c r="D3311" t="s">
        <v>217</v>
      </c>
      <c r="E3311">
        <v>69</v>
      </c>
    </row>
    <row r="3312" spans="1:5" x14ac:dyDescent="0.25">
      <c r="A3312">
        <v>3311</v>
      </c>
      <c r="B3312">
        <v>2376522</v>
      </c>
      <c r="C3312" s="1" t="str">
        <f>HYPERLINK("http://stackoverflow.com/users/2376522", "minjie")</f>
        <v>minjie</v>
      </c>
      <c r="D3312" t="s">
        <v>4</v>
      </c>
      <c r="E3312">
        <v>69</v>
      </c>
    </row>
    <row r="3313" spans="1:5" x14ac:dyDescent="0.25">
      <c r="A3313">
        <v>3312</v>
      </c>
      <c r="B3313">
        <v>5386923</v>
      </c>
      <c r="C3313" s="1" t="str">
        <f>HYPERLINK("http://stackoverflow.com/users/5386923", "selton")</f>
        <v>selton</v>
      </c>
      <c r="D3313" t="s">
        <v>17</v>
      </c>
      <c r="E3313">
        <v>69</v>
      </c>
    </row>
    <row r="3314" spans="1:5" x14ac:dyDescent="0.25">
      <c r="A3314">
        <v>3313</v>
      </c>
      <c r="B3314">
        <v>2492397</v>
      </c>
      <c r="C3314" s="1" t="str">
        <f>HYPERLINK("http://stackoverflow.com/users/2492397", "Fengbo")</f>
        <v>Fengbo</v>
      </c>
      <c r="D3314" t="s">
        <v>5</v>
      </c>
      <c r="E3314">
        <v>69</v>
      </c>
    </row>
    <row r="3315" spans="1:5" x14ac:dyDescent="0.25">
      <c r="A3315">
        <v>3314</v>
      </c>
      <c r="B3315">
        <v>5221960</v>
      </c>
      <c r="C3315" s="1" t="str">
        <f>HYPERLINK("http://stackoverflow.com/users/5221960", "baiiu")</f>
        <v>baiiu</v>
      </c>
      <c r="D3315" t="s">
        <v>5</v>
      </c>
      <c r="E3315">
        <v>69</v>
      </c>
    </row>
    <row r="3316" spans="1:5" x14ac:dyDescent="0.25">
      <c r="A3316">
        <v>3315</v>
      </c>
      <c r="B3316">
        <v>1412824</v>
      </c>
      <c r="C3316" s="1" t="str">
        <f>HYPERLINK("http://stackoverflow.com/users/1412824", "Xiaokun Zheng")</f>
        <v>Xiaokun Zheng</v>
      </c>
      <c r="D3316" t="s">
        <v>5</v>
      </c>
      <c r="E3316">
        <v>69</v>
      </c>
    </row>
    <row r="3317" spans="1:5" x14ac:dyDescent="0.25">
      <c r="A3317">
        <v>3316</v>
      </c>
      <c r="B3317">
        <v>2289240</v>
      </c>
      <c r="C3317" s="1" t="str">
        <f>HYPERLINK("http://stackoverflow.com/users/2289240", "Sunderr")</f>
        <v>Sunderr</v>
      </c>
      <c r="D3317" t="s">
        <v>22</v>
      </c>
      <c r="E3317">
        <v>69</v>
      </c>
    </row>
    <row r="3318" spans="1:5" x14ac:dyDescent="0.25">
      <c r="A3318">
        <v>3317</v>
      </c>
      <c r="B3318">
        <v>1358006</v>
      </c>
      <c r="C3318" s="1" t="str">
        <f>HYPERLINK("http://stackoverflow.com/users/1358006", "Gongxi")</f>
        <v>Gongxi</v>
      </c>
      <c r="D3318" t="s">
        <v>35</v>
      </c>
      <c r="E3318">
        <v>69</v>
      </c>
    </row>
    <row r="3319" spans="1:5" x14ac:dyDescent="0.25">
      <c r="A3319">
        <v>3318</v>
      </c>
      <c r="B3319">
        <v>7616443</v>
      </c>
      <c r="C3319" s="1" t="str">
        <f>HYPERLINK("http://stackoverflow.com/users/7616443", "Zenas Chen")</f>
        <v>Zenas Chen</v>
      </c>
      <c r="D3319" t="s">
        <v>156</v>
      </c>
      <c r="E3319">
        <v>69</v>
      </c>
    </row>
    <row r="3320" spans="1:5" x14ac:dyDescent="0.25">
      <c r="A3320">
        <v>3319</v>
      </c>
      <c r="B3320">
        <v>2164567</v>
      </c>
      <c r="C3320" s="1" t="str">
        <f>HYPERLINK("http://stackoverflow.com/users/2164567", "Willis Zhang")</f>
        <v>Willis Zhang</v>
      </c>
      <c r="D3320" t="s">
        <v>4</v>
      </c>
      <c r="E3320">
        <v>69</v>
      </c>
    </row>
    <row r="3321" spans="1:5" x14ac:dyDescent="0.25">
      <c r="A3321">
        <v>3320</v>
      </c>
      <c r="B3321">
        <v>171107</v>
      </c>
      <c r="C3321" s="1" t="str">
        <f>HYPERLINK("http://stackoverflow.com/users/171107", "milk")</f>
        <v>milk</v>
      </c>
      <c r="D3321" t="s">
        <v>5</v>
      </c>
      <c r="E3321">
        <v>69</v>
      </c>
    </row>
    <row r="3322" spans="1:5" x14ac:dyDescent="0.25">
      <c r="A3322">
        <v>3321</v>
      </c>
      <c r="B3322">
        <v>1254673</v>
      </c>
      <c r="C3322" s="1" t="str">
        <f>HYPERLINK("http://stackoverflow.com/users/1254673", "Ben.W")</f>
        <v>Ben.W</v>
      </c>
      <c r="D3322" t="s">
        <v>4</v>
      </c>
      <c r="E3322">
        <v>69</v>
      </c>
    </row>
    <row r="3323" spans="1:5" x14ac:dyDescent="0.25">
      <c r="A3323">
        <v>3322</v>
      </c>
      <c r="B3323">
        <v>3234697</v>
      </c>
      <c r="C3323" s="1" t="str">
        <f>HYPERLINK("http://stackoverflow.com/users/3234697", "Anudorannador")</f>
        <v>Anudorannador</v>
      </c>
      <c r="D3323" t="s">
        <v>7</v>
      </c>
      <c r="E3323">
        <v>69</v>
      </c>
    </row>
    <row r="3324" spans="1:5" x14ac:dyDescent="0.25">
      <c r="A3324">
        <v>3323</v>
      </c>
      <c r="B3324">
        <v>3413852</v>
      </c>
      <c r="C3324" s="1" t="str">
        <f>HYPERLINK("http://stackoverflow.com/users/3413852", "samuel.zzy220")</f>
        <v>samuel.zzy220</v>
      </c>
      <c r="D3324" t="s">
        <v>5</v>
      </c>
      <c r="E3324">
        <v>69</v>
      </c>
    </row>
    <row r="3325" spans="1:5" x14ac:dyDescent="0.25">
      <c r="A3325">
        <v>3324</v>
      </c>
      <c r="B3325">
        <v>1339263</v>
      </c>
      <c r="C3325" s="1" t="str">
        <f>HYPERLINK("http://stackoverflow.com/users/1339263", "hank511")</f>
        <v>hank511</v>
      </c>
      <c r="D3325" t="s">
        <v>17</v>
      </c>
      <c r="E3325">
        <v>69</v>
      </c>
    </row>
    <row r="3326" spans="1:5" x14ac:dyDescent="0.25">
      <c r="A3326">
        <v>3325</v>
      </c>
      <c r="B3326">
        <v>473387</v>
      </c>
      <c r="C3326" s="1" t="str">
        <f>HYPERLINK("http://stackoverflow.com/users/473387", "Serval")</f>
        <v>Serval</v>
      </c>
      <c r="D3326" t="s">
        <v>3</v>
      </c>
      <c r="E3326">
        <v>68</v>
      </c>
    </row>
    <row r="3327" spans="1:5" x14ac:dyDescent="0.25">
      <c r="A3327">
        <v>3326</v>
      </c>
      <c r="B3327">
        <v>2135921</v>
      </c>
      <c r="C3327" s="1" t="str">
        <f>HYPERLINK("http://stackoverflow.com/users/2135921", "Jing")</f>
        <v>Jing</v>
      </c>
      <c r="D3327" t="s">
        <v>5</v>
      </c>
      <c r="E3327">
        <v>68</v>
      </c>
    </row>
    <row r="3328" spans="1:5" x14ac:dyDescent="0.25">
      <c r="A3328">
        <v>3327</v>
      </c>
      <c r="B3328">
        <v>5801881</v>
      </c>
      <c r="C3328" s="1" t="str">
        <f>HYPERLINK("http://stackoverflow.com/users/5801881", "Stuart Aitken")</f>
        <v>Stuart Aitken</v>
      </c>
      <c r="D3328" t="s">
        <v>28</v>
      </c>
      <c r="E3328">
        <v>68</v>
      </c>
    </row>
    <row r="3329" spans="1:5" x14ac:dyDescent="0.25">
      <c r="A3329">
        <v>3328</v>
      </c>
      <c r="B3329">
        <v>2779181</v>
      </c>
      <c r="C3329" s="1" t="str">
        <f>HYPERLINK("http://stackoverflow.com/users/2779181", "zhy")</f>
        <v>zhy</v>
      </c>
      <c r="D3329" t="s">
        <v>37</v>
      </c>
      <c r="E3329">
        <v>68</v>
      </c>
    </row>
    <row r="3330" spans="1:5" x14ac:dyDescent="0.25">
      <c r="A3330">
        <v>3329</v>
      </c>
      <c r="B3330">
        <v>1538400</v>
      </c>
      <c r="C3330" s="1" t="str">
        <f>HYPERLINK("http://stackoverflow.com/users/1538400", "jianqiang")</f>
        <v>jianqiang</v>
      </c>
      <c r="D3330" t="s">
        <v>12</v>
      </c>
      <c r="E3330">
        <v>68</v>
      </c>
    </row>
    <row r="3331" spans="1:5" x14ac:dyDescent="0.25">
      <c r="A3331">
        <v>3330</v>
      </c>
      <c r="B3331">
        <v>84998</v>
      </c>
      <c r="C3331" s="1" t="str">
        <f>HYPERLINK("http://stackoverflow.com/users/84998", "Xiaobin")</f>
        <v>Xiaobin</v>
      </c>
      <c r="D3331" t="s">
        <v>22</v>
      </c>
      <c r="E3331">
        <v>68</v>
      </c>
    </row>
    <row r="3332" spans="1:5" x14ac:dyDescent="0.25">
      <c r="A3332">
        <v>3331</v>
      </c>
      <c r="B3332">
        <v>1939641</v>
      </c>
      <c r="C3332" s="1" t="str">
        <f>HYPERLINK("http://stackoverflow.com/users/1939641", "Chine King")</f>
        <v>Chine King</v>
      </c>
      <c r="D3332" t="s">
        <v>4</v>
      </c>
      <c r="E3332">
        <v>68</v>
      </c>
    </row>
    <row r="3333" spans="1:5" x14ac:dyDescent="0.25">
      <c r="A3333">
        <v>3332</v>
      </c>
      <c r="B3333">
        <v>1933262</v>
      </c>
      <c r="C3333" s="1" t="str">
        <f>HYPERLINK("http://stackoverflow.com/users/1933262", "Lu Qi")</f>
        <v>Lu Qi</v>
      </c>
      <c r="D3333" t="s">
        <v>34</v>
      </c>
      <c r="E3333">
        <v>68</v>
      </c>
    </row>
    <row r="3334" spans="1:5" x14ac:dyDescent="0.25">
      <c r="A3334">
        <v>3333</v>
      </c>
      <c r="B3334">
        <v>1736811</v>
      </c>
      <c r="C3334" s="1" t="str">
        <f>HYPERLINK("http://stackoverflow.com/users/1736811", "Nick Ma")</f>
        <v>Nick Ma</v>
      </c>
      <c r="D3334" t="s">
        <v>4</v>
      </c>
      <c r="E3334">
        <v>68</v>
      </c>
    </row>
    <row r="3335" spans="1:5" x14ac:dyDescent="0.25">
      <c r="A3335">
        <v>3334</v>
      </c>
      <c r="B3335">
        <v>4381027</v>
      </c>
      <c r="C3335" s="1" t="str">
        <f>HYPERLINK("http://stackoverflow.com/users/4381027", "Daniel SH")</f>
        <v>Daniel SH</v>
      </c>
      <c r="D3335" t="s">
        <v>4</v>
      </c>
      <c r="E3335">
        <v>68</v>
      </c>
    </row>
    <row r="3336" spans="1:5" x14ac:dyDescent="0.25">
      <c r="A3336">
        <v>3335</v>
      </c>
      <c r="B3336">
        <v>1109808</v>
      </c>
      <c r="C3336" s="1" t="str">
        <f>HYPERLINK("http://stackoverflow.com/users/1109808", "thundear")</f>
        <v>thundear</v>
      </c>
      <c r="D3336" t="s">
        <v>5</v>
      </c>
      <c r="E3336">
        <v>68</v>
      </c>
    </row>
    <row r="3337" spans="1:5" x14ac:dyDescent="0.25">
      <c r="A3337">
        <v>3336</v>
      </c>
      <c r="B3337">
        <v>2472278</v>
      </c>
      <c r="C3337" s="1" t="str">
        <f>HYPERLINK("http://stackoverflow.com/users/2472278", "Vau")</f>
        <v>Vau</v>
      </c>
      <c r="D3337" t="s">
        <v>4</v>
      </c>
      <c r="E3337">
        <v>67</v>
      </c>
    </row>
    <row r="3338" spans="1:5" x14ac:dyDescent="0.25">
      <c r="A3338">
        <v>3337</v>
      </c>
      <c r="B3338">
        <v>396392</v>
      </c>
      <c r="C3338" s="1" t="str">
        <f>HYPERLINK("http://stackoverflow.com/users/396392", "hyperion")</f>
        <v>hyperion</v>
      </c>
      <c r="D3338" t="s">
        <v>5</v>
      </c>
      <c r="E3338">
        <v>67</v>
      </c>
    </row>
    <row r="3339" spans="1:5" x14ac:dyDescent="0.25">
      <c r="A3339">
        <v>3338</v>
      </c>
      <c r="B3339">
        <v>553638</v>
      </c>
      <c r="C3339" s="1" t="str">
        <f>HYPERLINK("http://stackoverflow.com/users/553638", "squirrelRao")</f>
        <v>squirrelRao</v>
      </c>
      <c r="D3339" t="s">
        <v>5</v>
      </c>
      <c r="E3339">
        <v>67</v>
      </c>
    </row>
    <row r="3340" spans="1:5" x14ac:dyDescent="0.25">
      <c r="A3340">
        <v>3339</v>
      </c>
      <c r="B3340">
        <v>2431964</v>
      </c>
      <c r="C3340" s="1" t="str">
        <f>HYPERLINK("http://stackoverflow.com/users/2431964", "DaoYan.Tang")</f>
        <v>DaoYan.Tang</v>
      </c>
      <c r="D3340" t="s">
        <v>218</v>
      </c>
      <c r="E3340">
        <v>67</v>
      </c>
    </row>
    <row r="3341" spans="1:5" x14ac:dyDescent="0.25">
      <c r="A3341">
        <v>3340</v>
      </c>
      <c r="B3341">
        <v>716278</v>
      </c>
      <c r="C3341" s="1" t="str">
        <f>HYPERLINK("http://stackoverflow.com/users/716278", "6bb79df9")</f>
        <v>6bb79df9</v>
      </c>
      <c r="D3341" t="s">
        <v>37</v>
      </c>
      <c r="E3341">
        <v>67</v>
      </c>
    </row>
    <row r="3342" spans="1:5" x14ac:dyDescent="0.25">
      <c r="A3342">
        <v>3341</v>
      </c>
      <c r="B3342">
        <v>573586</v>
      </c>
      <c r="C3342" s="1" t="str">
        <f>HYPERLINK("http://stackoverflow.com/users/573586", "Anders06")</f>
        <v>Anders06</v>
      </c>
      <c r="D3342" t="s">
        <v>4</v>
      </c>
      <c r="E3342">
        <v>67</v>
      </c>
    </row>
    <row r="3343" spans="1:5" x14ac:dyDescent="0.25">
      <c r="A3343">
        <v>3342</v>
      </c>
      <c r="B3343">
        <v>1677714</v>
      </c>
      <c r="C3343" s="1" t="str">
        <f>HYPERLINK("http://stackoverflow.com/users/1677714", "Uice Stone")</f>
        <v>Uice Stone</v>
      </c>
      <c r="D3343" t="s">
        <v>4</v>
      </c>
      <c r="E3343">
        <v>67</v>
      </c>
    </row>
    <row r="3344" spans="1:5" x14ac:dyDescent="0.25">
      <c r="A3344">
        <v>3343</v>
      </c>
      <c r="B3344">
        <v>5080270</v>
      </c>
      <c r="C3344" s="1" t="str">
        <f>HYPERLINK("http://stackoverflow.com/users/5080270", "Sinyuk")</f>
        <v>Sinyuk</v>
      </c>
      <c r="D3344" t="s">
        <v>12</v>
      </c>
      <c r="E3344">
        <v>67</v>
      </c>
    </row>
    <row r="3345" spans="1:5" x14ac:dyDescent="0.25">
      <c r="A3345">
        <v>3344</v>
      </c>
      <c r="B3345">
        <v>2470452</v>
      </c>
      <c r="C3345" s="1" t="str">
        <f>HYPERLINK("http://stackoverflow.com/users/2470452", "yanni4night")</f>
        <v>yanni4night</v>
      </c>
      <c r="D3345" t="s">
        <v>5</v>
      </c>
      <c r="E3345">
        <v>67</v>
      </c>
    </row>
    <row r="3346" spans="1:5" x14ac:dyDescent="0.25">
      <c r="A3346">
        <v>3345</v>
      </c>
      <c r="B3346">
        <v>6811674</v>
      </c>
      <c r="C3346" s="1" t="str">
        <f>HYPERLINK("http://stackoverflow.com/users/6811674", "Wubin Sheng")</f>
        <v>Wubin Sheng</v>
      </c>
      <c r="D3346" t="s">
        <v>5</v>
      </c>
      <c r="E3346">
        <v>67</v>
      </c>
    </row>
    <row r="3347" spans="1:5" x14ac:dyDescent="0.25">
      <c r="A3347">
        <v>3346</v>
      </c>
      <c r="B3347">
        <v>1780465</v>
      </c>
      <c r="C3347" s="1" t="str">
        <f>HYPERLINK("http://stackoverflow.com/users/1780465", "sequoiar")</f>
        <v>sequoiar</v>
      </c>
      <c r="D3347" t="s">
        <v>4</v>
      </c>
      <c r="E3347">
        <v>67</v>
      </c>
    </row>
    <row r="3348" spans="1:5" x14ac:dyDescent="0.25">
      <c r="A3348">
        <v>3347</v>
      </c>
      <c r="B3348">
        <v>1842153</v>
      </c>
      <c r="C3348" s="1" t="str">
        <f>HYPERLINK("http://stackoverflow.com/users/1842153", "Luke Luo")</f>
        <v>Luke Luo</v>
      </c>
      <c r="D3348" t="s">
        <v>5</v>
      </c>
      <c r="E3348">
        <v>67</v>
      </c>
    </row>
    <row r="3349" spans="1:5" x14ac:dyDescent="0.25">
      <c r="A3349">
        <v>3348</v>
      </c>
      <c r="B3349">
        <v>5514222</v>
      </c>
      <c r="C3349" s="1" t="str">
        <f>HYPERLINK("http://stackoverflow.com/users/5514222", "ljl5241861")</f>
        <v>ljl5241861</v>
      </c>
      <c r="D3349" t="s">
        <v>5</v>
      </c>
      <c r="E3349">
        <v>67</v>
      </c>
    </row>
    <row r="3350" spans="1:5" x14ac:dyDescent="0.25">
      <c r="A3350">
        <v>3349</v>
      </c>
      <c r="B3350">
        <v>1075161</v>
      </c>
      <c r="C3350" s="1" t="str">
        <f>HYPERLINK("http://stackoverflow.com/users/1075161", "Queenie Wong")</f>
        <v>Queenie Wong</v>
      </c>
      <c r="D3350" t="s">
        <v>5</v>
      </c>
      <c r="E3350">
        <v>67</v>
      </c>
    </row>
    <row r="3351" spans="1:5" x14ac:dyDescent="0.25">
      <c r="A3351">
        <v>3350</v>
      </c>
      <c r="B3351">
        <v>8841322</v>
      </c>
      <c r="C3351" s="1" t="str">
        <f>HYPERLINK("http://stackoverflow.com/users/8841322", "Jagger Yu")</f>
        <v>Jagger Yu</v>
      </c>
      <c r="D3351" t="s">
        <v>5</v>
      </c>
      <c r="E3351">
        <v>67</v>
      </c>
    </row>
    <row r="3352" spans="1:5" x14ac:dyDescent="0.25">
      <c r="A3352">
        <v>3351</v>
      </c>
      <c r="B3352">
        <v>1395702</v>
      </c>
      <c r="C3352" s="1" t="str">
        <f>HYPERLINK("http://stackoverflow.com/users/1395702", "liuyork")</f>
        <v>liuyork</v>
      </c>
      <c r="D3352" t="s">
        <v>21</v>
      </c>
      <c r="E3352">
        <v>66</v>
      </c>
    </row>
    <row r="3353" spans="1:5" x14ac:dyDescent="0.25">
      <c r="A3353">
        <v>3352</v>
      </c>
      <c r="B3353">
        <v>6845760</v>
      </c>
      <c r="C3353" s="1" t="str">
        <f>HYPERLINK("http://stackoverflow.com/users/6845760", "Dermot McGrath")</f>
        <v>Dermot McGrath</v>
      </c>
      <c r="D3353" t="s">
        <v>5</v>
      </c>
      <c r="E3353">
        <v>66</v>
      </c>
    </row>
    <row r="3354" spans="1:5" x14ac:dyDescent="0.25">
      <c r="A3354">
        <v>3353</v>
      </c>
      <c r="B3354">
        <v>1294446</v>
      </c>
      <c r="C3354" s="1" t="str">
        <f>HYPERLINK("http://stackoverflow.com/users/1294446", "lee")</f>
        <v>lee</v>
      </c>
      <c r="D3354" t="s">
        <v>5</v>
      </c>
      <c r="E3354">
        <v>66</v>
      </c>
    </row>
    <row r="3355" spans="1:5" x14ac:dyDescent="0.25">
      <c r="A3355">
        <v>3354</v>
      </c>
      <c r="B3355">
        <v>872439</v>
      </c>
      <c r="C3355" s="1" t="str">
        <f>HYPERLINK("http://stackoverflow.com/users/872439", "Karson")</f>
        <v>Karson</v>
      </c>
      <c r="D3355" t="s">
        <v>17</v>
      </c>
      <c r="E3355">
        <v>66</v>
      </c>
    </row>
    <row r="3356" spans="1:5" x14ac:dyDescent="0.25">
      <c r="A3356">
        <v>3355</v>
      </c>
      <c r="B3356">
        <v>5816380</v>
      </c>
      <c r="C3356" s="1" t="str">
        <f>HYPERLINK("http://stackoverflow.com/users/5816380", "Dylan Wang")</f>
        <v>Dylan Wang</v>
      </c>
      <c r="D3356" t="s">
        <v>17</v>
      </c>
      <c r="E3356">
        <v>66</v>
      </c>
    </row>
    <row r="3357" spans="1:5" x14ac:dyDescent="0.25">
      <c r="A3357">
        <v>3356</v>
      </c>
      <c r="B3357">
        <v>1931612</v>
      </c>
      <c r="C3357" s="1" t="str">
        <f>HYPERLINK("http://stackoverflow.com/users/1931612", "bigaunt")</f>
        <v>bigaunt</v>
      </c>
      <c r="D3357" t="s">
        <v>37</v>
      </c>
      <c r="E3357">
        <v>66</v>
      </c>
    </row>
    <row r="3358" spans="1:5" x14ac:dyDescent="0.25">
      <c r="A3358">
        <v>3357</v>
      </c>
      <c r="B3358">
        <v>5258742</v>
      </c>
      <c r="C3358" s="1" t="str">
        <f>HYPERLINK("http://stackoverflow.com/users/5258742", "shengbo.zhao")</f>
        <v>shengbo.zhao</v>
      </c>
      <c r="D3358" t="s">
        <v>5</v>
      </c>
      <c r="E3358">
        <v>66</v>
      </c>
    </row>
    <row r="3359" spans="1:5" x14ac:dyDescent="0.25">
      <c r="A3359">
        <v>3358</v>
      </c>
      <c r="B3359">
        <v>284670</v>
      </c>
      <c r="C3359" s="1" t="str">
        <f>HYPERLINK("http://stackoverflow.com/users/284670", "DerekHe")</f>
        <v>DerekHe</v>
      </c>
      <c r="D3359" t="s">
        <v>5</v>
      </c>
      <c r="E3359">
        <v>66</v>
      </c>
    </row>
    <row r="3360" spans="1:5" x14ac:dyDescent="0.25">
      <c r="A3360">
        <v>3359</v>
      </c>
      <c r="B3360">
        <v>6244935</v>
      </c>
      <c r="C3360" s="1" t="str">
        <f>HYPERLINK("http://stackoverflow.com/users/6244935", "Keith")</f>
        <v>Keith</v>
      </c>
      <c r="D3360" t="s">
        <v>25</v>
      </c>
      <c r="E3360">
        <v>66</v>
      </c>
    </row>
    <row r="3361" spans="1:5" x14ac:dyDescent="0.25">
      <c r="A3361">
        <v>3360</v>
      </c>
      <c r="B3361">
        <v>4612836</v>
      </c>
      <c r="C3361" s="1" t="str">
        <f>HYPERLINK("http://stackoverflow.com/users/4612836", "Easily")</f>
        <v>Easily</v>
      </c>
      <c r="D3361" t="s">
        <v>21</v>
      </c>
      <c r="E3361">
        <v>66</v>
      </c>
    </row>
    <row r="3362" spans="1:5" x14ac:dyDescent="0.25">
      <c r="A3362">
        <v>3361</v>
      </c>
      <c r="B3362">
        <v>799411</v>
      </c>
      <c r="C3362" s="1" t="str">
        <f>HYPERLINK("http://stackoverflow.com/users/799411", "djj0809")</f>
        <v>djj0809</v>
      </c>
      <c r="D3362" t="s">
        <v>12</v>
      </c>
      <c r="E3362">
        <v>66</v>
      </c>
    </row>
    <row r="3363" spans="1:5" x14ac:dyDescent="0.25">
      <c r="A3363">
        <v>3362</v>
      </c>
      <c r="B3363">
        <v>2932001</v>
      </c>
      <c r="C3363" s="1" t="str">
        <f>HYPERLINK("http://stackoverflow.com/users/2932001", "yunfeng")</f>
        <v>yunfeng</v>
      </c>
      <c r="D3363" t="s">
        <v>5</v>
      </c>
      <c r="E3363">
        <v>66</v>
      </c>
    </row>
    <row r="3364" spans="1:5" x14ac:dyDescent="0.25">
      <c r="A3364">
        <v>3363</v>
      </c>
      <c r="B3364">
        <v>3854796</v>
      </c>
      <c r="C3364" s="1" t="str">
        <f>HYPERLINK("http://stackoverflow.com/users/3854796", "Robin Chen")</f>
        <v>Robin Chen</v>
      </c>
      <c r="D3364" t="s">
        <v>219</v>
      </c>
      <c r="E3364">
        <v>66</v>
      </c>
    </row>
    <row r="3365" spans="1:5" x14ac:dyDescent="0.25">
      <c r="A3365">
        <v>3364</v>
      </c>
      <c r="B3365">
        <v>9082220</v>
      </c>
      <c r="C3365" s="1" t="str">
        <f>HYPERLINK("http://stackoverflow.com/users/9082220", "H.C.Liu")</f>
        <v>H.C.Liu</v>
      </c>
      <c r="D3365" t="s">
        <v>5</v>
      </c>
      <c r="E3365">
        <v>66</v>
      </c>
    </row>
    <row r="3366" spans="1:5" x14ac:dyDescent="0.25">
      <c r="A3366">
        <v>3365</v>
      </c>
      <c r="B3366">
        <v>398676</v>
      </c>
      <c r="C3366" s="1" t="str">
        <f>HYPERLINK("http://stackoverflow.com/users/398676", "wildpointercs")</f>
        <v>wildpointercs</v>
      </c>
      <c r="D3366" t="s">
        <v>37</v>
      </c>
      <c r="E3366">
        <v>66</v>
      </c>
    </row>
    <row r="3367" spans="1:5" x14ac:dyDescent="0.25">
      <c r="A3367">
        <v>3366</v>
      </c>
      <c r="B3367">
        <v>654727</v>
      </c>
      <c r="C3367" s="1" t="str">
        <f>HYPERLINK("http://stackoverflow.com/users/654727", "Colin Han")</f>
        <v>Colin Han</v>
      </c>
      <c r="D3367" t="s">
        <v>54</v>
      </c>
      <c r="E3367">
        <v>66</v>
      </c>
    </row>
    <row r="3368" spans="1:5" x14ac:dyDescent="0.25">
      <c r="A3368">
        <v>3367</v>
      </c>
      <c r="B3368">
        <v>694671</v>
      </c>
      <c r="C3368" s="1" t="str">
        <f>HYPERLINK("http://stackoverflow.com/users/694671", "Billy Liu")</f>
        <v>Billy Liu</v>
      </c>
      <c r="D3368" t="s">
        <v>4</v>
      </c>
      <c r="E3368">
        <v>66</v>
      </c>
    </row>
    <row r="3369" spans="1:5" x14ac:dyDescent="0.25">
      <c r="A3369">
        <v>3368</v>
      </c>
      <c r="B3369">
        <v>969105</v>
      </c>
      <c r="C3369" s="1" t="str">
        <f>HYPERLINK("http://stackoverflow.com/users/969105", "Dawson")</f>
        <v>Dawson</v>
      </c>
      <c r="D3369" t="s">
        <v>4</v>
      </c>
      <c r="E3369">
        <v>66</v>
      </c>
    </row>
    <row r="3370" spans="1:5" x14ac:dyDescent="0.25">
      <c r="A3370">
        <v>3369</v>
      </c>
      <c r="B3370">
        <v>996866</v>
      </c>
      <c r="C3370" s="1" t="str">
        <f>HYPERLINK("http://stackoverflow.com/users/996866", "yangrenyong")</f>
        <v>yangrenyong</v>
      </c>
      <c r="D3370" t="s">
        <v>5</v>
      </c>
      <c r="E3370">
        <v>66</v>
      </c>
    </row>
    <row r="3371" spans="1:5" x14ac:dyDescent="0.25">
      <c r="A3371">
        <v>3370</v>
      </c>
      <c r="B3371">
        <v>786875</v>
      </c>
      <c r="C3371" s="1" t="str">
        <f>HYPERLINK("http://stackoverflow.com/users/786875", "Andy Ai")</f>
        <v>Andy Ai</v>
      </c>
      <c r="D3371" t="s">
        <v>5</v>
      </c>
      <c r="E3371">
        <v>66</v>
      </c>
    </row>
    <row r="3372" spans="1:5" x14ac:dyDescent="0.25">
      <c r="A3372">
        <v>3371</v>
      </c>
      <c r="B3372">
        <v>6516932</v>
      </c>
      <c r="C3372" s="1" t="str">
        <f>HYPERLINK("http://stackoverflow.com/users/6516932", "haichao hu")</f>
        <v>haichao hu</v>
      </c>
      <c r="D3372" t="s">
        <v>220</v>
      </c>
      <c r="E3372">
        <v>66</v>
      </c>
    </row>
    <row r="3373" spans="1:5" x14ac:dyDescent="0.25">
      <c r="A3373">
        <v>3372</v>
      </c>
      <c r="B3373">
        <v>4206797</v>
      </c>
      <c r="C3373" s="1" t="str">
        <f>HYPERLINK("http://stackoverflow.com/users/4206797", "Jonas Hao")</f>
        <v>Jonas Hao</v>
      </c>
      <c r="D3373" t="s">
        <v>25</v>
      </c>
      <c r="E3373">
        <v>66</v>
      </c>
    </row>
    <row r="3374" spans="1:5" x14ac:dyDescent="0.25">
      <c r="A3374">
        <v>3373</v>
      </c>
      <c r="B3374">
        <v>3873553</v>
      </c>
      <c r="C3374" s="1" t="str">
        <f>HYPERLINK("http://stackoverflow.com/users/3873553", "Jiqing Huang")</f>
        <v>Jiqing Huang</v>
      </c>
      <c r="D3374" t="s">
        <v>4</v>
      </c>
      <c r="E3374">
        <v>66</v>
      </c>
    </row>
    <row r="3375" spans="1:5" x14ac:dyDescent="0.25">
      <c r="A3375">
        <v>3374</v>
      </c>
      <c r="B3375">
        <v>2760112</v>
      </c>
      <c r="C3375" s="1" t="str">
        <f>HYPERLINK("http://stackoverflow.com/users/2760112", "kkmike999")</f>
        <v>kkmike999</v>
      </c>
      <c r="D3375" t="s">
        <v>25</v>
      </c>
      <c r="E3375">
        <v>66</v>
      </c>
    </row>
    <row r="3376" spans="1:5" x14ac:dyDescent="0.25">
      <c r="A3376">
        <v>3375</v>
      </c>
      <c r="B3376">
        <v>4723513</v>
      </c>
      <c r="C3376" s="1" t="str">
        <f>HYPERLINK("http://stackoverflow.com/users/4723513", "anjouslava")</f>
        <v>anjouslava</v>
      </c>
      <c r="D3376" t="s">
        <v>34</v>
      </c>
      <c r="E3376">
        <v>66</v>
      </c>
    </row>
    <row r="3377" spans="1:5" x14ac:dyDescent="0.25">
      <c r="A3377">
        <v>3376</v>
      </c>
      <c r="B3377">
        <v>5650334</v>
      </c>
      <c r="C3377" s="1" t="str">
        <f>HYPERLINK("http://stackoverflow.com/users/5650334", "Jonham.Chen")</f>
        <v>Jonham.Chen</v>
      </c>
      <c r="D3377" t="s">
        <v>4</v>
      </c>
      <c r="E3377">
        <v>66</v>
      </c>
    </row>
    <row r="3378" spans="1:5" x14ac:dyDescent="0.25">
      <c r="A3378">
        <v>3377</v>
      </c>
      <c r="B3378">
        <v>2039688</v>
      </c>
      <c r="C3378" s="1" t="str">
        <f>HYPERLINK("http://stackoverflow.com/users/2039688", "clark")</f>
        <v>clark</v>
      </c>
      <c r="D3378" t="s">
        <v>17</v>
      </c>
      <c r="E3378">
        <v>66</v>
      </c>
    </row>
    <row r="3379" spans="1:5" x14ac:dyDescent="0.25">
      <c r="A3379">
        <v>3378</v>
      </c>
      <c r="B3379">
        <v>882127</v>
      </c>
      <c r="C3379" s="1" t="str">
        <f>HYPERLINK("http://stackoverflow.com/users/882127", "h2ero")</f>
        <v>h2ero</v>
      </c>
      <c r="D3379" t="s">
        <v>22</v>
      </c>
      <c r="E3379">
        <v>66</v>
      </c>
    </row>
    <row r="3380" spans="1:5" x14ac:dyDescent="0.25">
      <c r="A3380">
        <v>3379</v>
      </c>
      <c r="B3380">
        <v>4840187</v>
      </c>
      <c r="C3380" s="1" t="str">
        <f>HYPERLINK("http://stackoverflow.com/users/4840187", "Tong Tracy")</f>
        <v>Tong Tracy</v>
      </c>
      <c r="D3380" t="s">
        <v>12</v>
      </c>
      <c r="E3380">
        <v>66</v>
      </c>
    </row>
    <row r="3381" spans="1:5" x14ac:dyDescent="0.25">
      <c r="A3381">
        <v>3380</v>
      </c>
      <c r="B3381">
        <v>6776842</v>
      </c>
      <c r="C3381" s="1" t="str">
        <f>HYPERLINK("http://stackoverflow.com/users/6776842", "Jedore")</f>
        <v>Jedore</v>
      </c>
      <c r="D3381" t="s">
        <v>13</v>
      </c>
      <c r="E3381">
        <v>66</v>
      </c>
    </row>
    <row r="3382" spans="1:5" x14ac:dyDescent="0.25">
      <c r="A3382">
        <v>3381</v>
      </c>
      <c r="B3382">
        <v>3329138</v>
      </c>
      <c r="C3382" s="1" t="str">
        <f>HYPERLINK("http://stackoverflow.com/users/3329138", "ipid")</f>
        <v>ipid</v>
      </c>
      <c r="D3382" t="s">
        <v>5</v>
      </c>
      <c r="E3382">
        <v>66</v>
      </c>
    </row>
    <row r="3383" spans="1:5" x14ac:dyDescent="0.25">
      <c r="A3383">
        <v>3382</v>
      </c>
      <c r="B3383">
        <v>7604775</v>
      </c>
      <c r="C3383" s="1" t="str">
        <f>HYPERLINK("http://stackoverflow.com/users/7604775", "librajt")</f>
        <v>librajt</v>
      </c>
      <c r="D3383" t="s">
        <v>5</v>
      </c>
      <c r="E3383">
        <v>66</v>
      </c>
    </row>
    <row r="3384" spans="1:5" x14ac:dyDescent="0.25">
      <c r="A3384">
        <v>3383</v>
      </c>
      <c r="B3384">
        <v>649277</v>
      </c>
      <c r="C3384" s="1" t="str">
        <f>HYPERLINK("http://stackoverflow.com/users/649277", "ljpsfree")</f>
        <v>ljpsfree</v>
      </c>
      <c r="D3384" t="s">
        <v>4</v>
      </c>
      <c r="E3384">
        <v>66</v>
      </c>
    </row>
    <row r="3385" spans="1:5" x14ac:dyDescent="0.25">
      <c r="A3385">
        <v>3384</v>
      </c>
      <c r="B3385">
        <v>2801575</v>
      </c>
      <c r="C3385" s="1" t="str">
        <f>HYPERLINK("http://stackoverflow.com/users/2801575", "lessmoon")</f>
        <v>lessmoon</v>
      </c>
      <c r="D3385" t="s">
        <v>56</v>
      </c>
      <c r="E3385">
        <v>66</v>
      </c>
    </row>
    <row r="3386" spans="1:5" x14ac:dyDescent="0.25">
      <c r="A3386">
        <v>3385</v>
      </c>
      <c r="B3386">
        <v>4799675</v>
      </c>
      <c r="C3386" s="1" t="str">
        <f>HYPERLINK("http://stackoverflow.com/users/4799675", "Futur Solo")</f>
        <v>Futur Solo</v>
      </c>
      <c r="D3386" t="s">
        <v>88</v>
      </c>
      <c r="E3386">
        <v>66</v>
      </c>
    </row>
    <row r="3387" spans="1:5" x14ac:dyDescent="0.25">
      <c r="A3387">
        <v>3386</v>
      </c>
      <c r="B3387">
        <v>1061747</v>
      </c>
      <c r="C3387" s="1" t="str">
        <f>HYPERLINK("http://stackoverflow.com/users/1061747", "Minjie Zha")</f>
        <v>Minjie Zha</v>
      </c>
      <c r="D3387" t="s">
        <v>12</v>
      </c>
      <c r="E3387">
        <v>66</v>
      </c>
    </row>
    <row r="3388" spans="1:5" x14ac:dyDescent="0.25">
      <c r="A3388">
        <v>3387</v>
      </c>
      <c r="B3388">
        <v>5164777</v>
      </c>
      <c r="C3388" s="1" t="str">
        <f>HYPERLINK("http://stackoverflow.com/users/5164777", "wuxueqian")</f>
        <v>wuxueqian</v>
      </c>
      <c r="D3388" t="s">
        <v>4</v>
      </c>
      <c r="E3388">
        <v>66</v>
      </c>
    </row>
    <row r="3389" spans="1:5" x14ac:dyDescent="0.25">
      <c r="A3389">
        <v>3388</v>
      </c>
      <c r="B3389">
        <v>2163532</v>
      </c>
      <c r="C3389" s="1" t="str">
        <f>HYPERLINK("http://stackoverflow.com/users/2163532", "Daniel Bovensiepen")</f>
        <v>Daniel Bovensiepen</v>
      </c>
      <c r="D3389" t="s">
        <v>5</v>
      </c>
      <c r="E3389">
        <v>66</v>
      </c>
    </row>
    <row r="3390" spans="1:5" x14ac:dyDescent="0.25">
      <c r="A3390">
        <v>3389</v>
      </c>
      <c r="B3390">
        <v>3910649</v>
      </c>
      <c r="C3390" s="1" t="str">
        <f>HYPERLINK("http://stackoverflow.com/users/3910649", "linroid")</f>
        <v>linroid</v>
      </c>
      <c r="D3390" t="s">
        <v>97</v>
      </c>
      <c r="E3390">
        <v>66</v>
      </c>
    </row>
    <row r="3391" spans="1:5" x14ac:dyDescent="0.25">
      <c r="A3391">
        <v>3390</v>
      </c>
      <c r="B3391">
        <v>2139588</v>
      </c>
      <c r="C3391" s="1" t="str">
        <f>HYPERLINK("http://stackoverflow.com/users/2139588", "avril23")</f>
        <v>avril23</v>
      </c>
      <c r="D3391" t="s">
        <v>5</v>
      </c>
      <c r="E3391">
        <v>66</v>
      </c>
    </row>
    <row r="3392" spans="1:5" x14ac:dyDescent="0.25">
      <c r="A3392">
        <v>3391</v>
      </c>
      <c r="B3392">
        <v>2189886</v>
      </c>
      <c r="C3392" s="1" t="str">
        <f>HYPERLINK("http://stackoverflow.com/users/2189886", "clqiao")</f>
        <v>clqiao</v>
      </c>
      <c r="D3392" t="s">
        <v>16</v>
      </c>
      <c r="E3392">
        <v>66</v>
      </c>
    </row>
    <row r="3393" spans="1:5" x14ac:dyDescent="0.25">
      <c r="A3393">
        <v>3392</v>
      </c>
      <c r="B3393">
        <v>2168802</v>
      </c>
      <c r="C3393" s="1" t="str">
        <f>HYPERLINK("http://stackoverflow.com/users/2168802", "longlee")</f>
        <v>longlee</v>
      </c>
      <c r="D3393" t="s">
        <v>4</v>
      </c>
      <c r="E3393">
        <v>66</v>
      </c>
    </row>
    <row r="3394" spans="1:5" x14ac:dyDescent="0.25">
      <c r="A3394">
        <v>3393</v>
      </c>
      <c r="B3394">
        <v>1695887</v>
      </c>
      <c r="C3394" s="1" t="str">
        <f>HYPERLINK("http://stackoverflow.com/users/1695887", "liubiqu")</f>
        <v>liubiqu</v>
      </c>
      <c r="D3394" t="s">
        <v>24</v>
      </c>
      <c r="E3394">
        <v>65</v>
      </c>
    </row>
    <row r="3395" spans="1:5" x14ac:dyDescent="0.25">
      <c r="A3395">
        <v>3394</v>
      </c>
      <c r="B3395">
        <v>577363</v>
      </c>
      <c r="C3395" s="1" t="str">
        <f>HYPERLINK("http://stackoverflow.com/users/577363", "grandproducts")</f>
        <v>grandproducts</v>
      </c>
      <c r="D3395" t="s">
        <v>129</v>
      </c>
      <c r="E3395">
        <v>65</v>
      </c>
    </row>
    <row r="3396" spans="1:5" x14ac:dyDescent="0.25">
      <c r="A3396">
        <v>3395</v>
      </c>
      <c r="B3396">
        <v>154750</v>
      </c>
      <c r="C3396" s="1" t="str">
        <f>HYPERLINK("http://stackoverflow.com/users/154750", "jyf1987")</f>
        <v>jyf1987</v>
      </c>
      <c r="D3396" t="s">
        <v>5</v>
      </c>
      <c r="E3396">
        <v>65</v>
      </c>
    </row>
    <row r="3397" spans="1:5" x14ac:dyDescent="0.25">
      <c r="A3397">
        <v>3396</v>
      </c>
      <c r="B3397">
        <v>457959</v>
      </c>
      <c r="C3397" s="1" t="str">
        <f>HYPERLINK("http://stackoverflow.com/users/457959", "Rehmetjan")</f>
        <v>Rehmetjan</v>
      </c>
      <c r="D3397" t="s">
        <v>5</v>
      </c>
      <c r="E3397">
        <v>65</v>
      </c>
    </row>
    <row r="3398" spans="1:5" x14ac:dyDescent="0.25">
      <c r="A3398">
        <v>3397</v>
      </c>
      <c r="B3398">
        <v>1077483</v>
      </c>
      <c r="C3398" s="1" t="str">
        <f>HYPERLINK("http://stackoverflow.com/users/1077483", "sun")</f>
        <v>sun</v>
      </c>
      <c r="D3398" t="s">
        <v>113</v>
      </c>
      <c r="E3398">
        <v>65</v>
      </c>
    </row>
    <row r="3399" spans="1:5" x14ac:dyDescent="0.25">
      <c r="A3399">
        <v>3398</v>
      </c>
      <c r="B3399">
        <v>3377174</v>
      </c>
      <c r="C3399" s="1" t="str">
        <f>HYPERLINK("http://stackoverflow.com/users/3377174", "hijiangtao")</f>
        <v>hijiangtao</v>
      </c>
      <c r="D3399" t="s">
        <v>5</v>
      </c>
      <c r="E3399">
        <v>65</v>
      </c>
    </row>
    <row r="3400" spans="1:5" x14ac:dyDescent="0.25">
      <c r="A3400">
        <v>3399</v>
      </c>
      <c r="B3400">
        <v>8423254</v>
      </c>
      <c r="C3400" s="1" t="str">
        <f>HYPERLINK("http://stackoverflow.com/users/8423254", "Keshawn Hsieh")</f>
        <v>Keshawn Hsieh</v>
      </c>
      <c r="D3400" t="s">
        <v>5</v>
      </c>
      <c r="E3400">
        <v>65</v>
      </c>
    </row>
    <row r="3401" spans="1:5" x14ac:dyDescent="0.25">
      <c r="A3401">
        <v>3400</v>
      </c>
      <c r="B3401">
        <v>140058</v>
      </c>
      <c r="C3401" s="1" t="str">
        <f>HYPERLINK("http://stackoverflow.com/users/140058", "Xiao Xu")</f>
        <v>Xiao Xu</v>
      </c>
      <c r="D3401" t="s">
        <v>4</v>
      </c>
      <c r="E3401">
        <v>65</v>
      </c>
    </row>
    <row r="3402" spans="1:5" x14ac:dyDescent="0.25">
      <c r="A3402">
        <v>3401</v>
      </c>
      <c r="B3402">
        <v>1613544</v>
      </c>
      <c r="C3402" s="1" t="str">
        <f>HYPERLINK("http://stackoverflow.com/users/1613544", "Leslie Li")</f>
        <v>Leslie Li</v>
      </c>
      <c r="D3402" t="s">
        <v>4</v>
      </c>
      <c r="E3402">
        <v>65</v>
      </c>
    </row>
    <row r="3403" spans="1:5" x14ac:dyDescent="0.25">
      <c r="A3403">
        <v>3402</v>
      </c>
      <c r="B3403">
        <v>1085168</v>
      </c>
      <c r="C3403" s="1" t="str">
        <f>HYPERLINK("http://stackoverflow.com/users/1085168", "damon-kwok")</f>
        <v>damon-kwok</v>
      </c>
      <c r="D3403" t="s">
        <v>4</v>
      </c>
      <c r="E3403">
        <v>65</v>
      </c>
    </row>
    <row r="3404" spans="1:5" x14ac:dyDescent="0.25">
      <c r="A3404">
        <v>3403</v>
      </c>
      <c r="B3404">
        <v>7166057</v>
      </c>
      <c r="C3404" s="1" t="str">
        <f>HYPERLINK("http://stackoverflow.com/users/7166057", "Yongfeng")</f>
        <v>Yongfeng</v>
      </c>
      <c r="D3404" t="s">
        <v>8</v>
      </c>
      <c r="E3404">
        <v>65</v>
      </c>
    </row>
    <row r="3405" spans="1:5" x14ac:dyDescent="0.25">
      <c r="A3405">
        <v>3404</v>
      </c>
      <c r="B3405">
        <v>5813701</v>
      </c>
      <c r="C3405" s="1" t="str">
        <f>HYPERLINK("http://stackoverflow.com/users/5813701", "quietcoder")</f>
        <v>quietcoder</v>
      </c>
      <c r="D3405" t="s">
        <v>221</v>
      </c>
      <c r="E3405">
        <v>65</v>
      </c>
    </row>
    <row r="3406" spans="1:5" x14ac:dyDescent="0.25">
      <c r="A3406">
        <v>3405</v>
      </c>
      <c r="B3406">
        <v>1360381</v>
      </c>
      <c r="C3406" s="1" t="str">
        <f>HYPERLINK("http://stackoverflow.com/users/1360381", "keepItSimple")</f>
        <v>keepItSimple</v>
      </c>
      <c r="D3406" t="s">
        <v>37</v>
      </c>
      <c r="E3406">
        <v>65</v>
      </c>
    </row>
    <row r="3407" spans="1:5" x14ac:dyDescent="0.25">
      <c r="A3407">
        <v>3406</v>
      </c>
      <c r="B3407">
        <v>8072966</v>
      </c>
      <c r="C3407" s="1" t="str">
        <f>HYPERLINK("http://stackoverflow.com/users/8072966", "Gavin Tsang")</f>
        <v>Gavin Tsang</v>
      </c>
      <c r="D3407" t="s">
        <v>21</v>
      </c>
      <c r="E3407">
        <v>64</v>
      </c>
    </row>
    <row r="3408" spans="1:5" x14ac:dyDescent="0.25">
      <c r="A3408">
        <v>3407</v>
      </c>
      <c r="B3408">
        <v>568596</v>
      </c>
      <c r="C3408" s="1" t="str">
        <f>HYPERLINK("http://stackoverflow.com/users/568596", "Taghvajou")</f>
        <v>Taghvajou</v>
      </c>
      <c r="D3408" t="s">
        <v>17</v>
      </c>
      <c r="E3408">
        <v>64</v>
      </c>
    </row>
    <row r="3409" spans="1:5" x14ac:dyDescent="0.25">
      <c r="A3409">
        <v>3408</v>
      </c>
      <c r="B3409">
        <v>974303</v>
      </c>
      <c r="C3409" s="1" t="str">
        <f>HYPERLINK("http://stackoverflow.com/users/974303", "Minglong")</f>
        <v>Minglong</v>
      </c>
      <c r="D3409" t="s">
        <v>222</v>
      </c>
      <c r="E3409">
        <v>64</v>
      </c>
    </row>
    <row r="3410" spans="1:5" x14ac:dyDescent="0.25">
      <c r="A3410">
        <v>3409</v>
      </c>
      <c r="B3410">
        <v>1500274</v>
      </c>
      <c r="C3410" s="1" t="str">
        <f>HYPERLINK("http://stackoverflow.com/users/1500274", "HxH.Robb")</f>
        <v>HxH.Robb</v>
      </c>
      <c r="D3410" t="s">
        <v>17</v>
      </c>
      <c r="E3410">
        <v>64</v>
      </c>
    </row>
    <row r="3411" spans="1:5" x14ac:dyDescent="0.25">
      <c r="A3411">
        <v>3410</v>
      </c>
      <c r="B3411">
        <v>1484959</v>
      </c>
      <c r="C3411" s="1" t="str">
        <f>HYPERLINK("http://stackoverflow.com/users/1484959", "Johnny WU")</f>
        <v>Johnny WU</v>
      </c>
      <c r="D3411" t="s">
        <v>3</v>
      </c>
      <c r="E3411">
        <v>64</v>
      </c>
    </row>
    <row r="3412" spans="1:5" x14ac:dyDescent="0.25">
      <c r="A3412">
        <v>3411</v>
      </c>
      <c r="B3412">
        <v>863118</v>
      </c>
      <c r="C3412" s="1" t="str">
        <f>HYPERLINK("http://stackoverflow.com/users/863118", "kerryking")</f>
        <v>kerryking</v>
      </c>
      <c r="D3412" t="s">
        <v>4</v>
      </c>
      <c r="E3412">
        <v>64</v>
      </c>
    </row>
    <row r="3413" spans="1:5" x14ac:dyDescent="0.25">
      <c r="A3413">
        <v>3412</v>
      </c>
      <c r="B3413">
        <v>7330325</v>
      </c>
      <c r="C3413" s="1" t="str">
        <f>HYPERLINK("http://stackoverflow.com/users/7330325", "Jerry")</f>
        <v>Jerry</v>
      </c>
      <c r="D3413" t="s">
        <v>4</v>
      </c>
      <c r="E3413">
        <v>64</v>
      </c>
    </row>
    <row r="3414" spans="1:5" x14ac:dyDescent="0.25">
      <c r="A3414">
        <v>3413</v>
      </c>
      <c r="B3414">
        <v>4058463</v>
      </c>
      <c r="C3414" s="1" t="str">
        <f>HYPERLINK("http://stackoverflow.com/users/4058463", "Victor Zhu")</f>
        <v>Victor Zhu</v>
      </c>
      <c r="D3414" t="s">
        <v>43</v>
      </c>
      <c r="E3414">
        <v>64</v>
      </c>
    </row>
    <row r="3415" spans="1:5" x14ac:dyDescent="0.25">
      <c r="A3415">
        <v>3414</v>
      </c>
      <c r="B3415">
        <v>3400134</v>
      </c>
      <c r="C3415" s="1" t="str">
        <f>HYPERLINK("http://stackoverflow.com/users/3400134", "Zhong Qiu")</f>
        <v>Zhong Qiu</v>
      </c>
      <c r="D3415" t="s">
        <v>4</v>
      </c>
      <c r="E3415">
        <v>64</v>
      </c>
    </row>
    <row r="3416" spans="1:5" x14ac:dyDescent="0.25">
      <c r="A3416">
        <v>3415</v>
      </c>
      <c r="B3416">
        <v>5226457</v>
      </c>
      <c r="C3416" s="1" t="str">
        <f>HYPERLINK("http://stackoverflow.com/users/5226457", "Jie")</f>
        <v>Jie</v>
      </c>
      <c r="D3416" t="s">
        <v>4</v>
      </c>
      <c r="E3416">
        <v>64</v>
      </c>
    </row>
    <row r="3417" spans="1:5" x14ac:dyDescent="0.25">
      <c r="A3417">
        <v>3416</v>
      </c>
      <c r="B3417">
        <v>1536738</v>
      </c>
      <c r="C3417" s="1" t="str">
        <f>HYPERLINK("http://stackoverflow.com/users/1536738", "Y.Huang")</f>
        <v>Y.Huang</v>
      </c>
      <c r="D3417" t="s">
        <v>12</v>
      </c>
      <c r="E3417">
        <v>64</v>
      </c>
    </row>
    <row r="3418" spans="1:5" x14ac:dyDescent="0.25">
      <c r="A3418">
        <v>3417</v>
      </c>
      <c r="B3418">
        <v>1206735</v>
      </c>
      <c r="C3418" s="1" t="str">
        <f>HYPERLINK("http://stackoverflow.com/users/1206735", "Yanjiong Wang")</f>
        <v>Yanjiong Wang</v>
      </c>
      <c r="D3418" t="s">
        <v>4</v>
      </c>
      <c r="E3418">
        <v>64</v>
      </c>
    </row>
    <row r="3419" spans="1:5" x14ac:dyDescent="0.25">
      <c r="A3419">
        <v>3418</v>
      </c>
      <c r="B3419">
        <v>736742</v>
      </c>
      <c r="C3419" s="1" t="str">
        <f>HYPERLINK("http://stackoverflow.com/users/736742", "dataviruset")</f>
        <v>dataviruset</v>
      </c>
      <c r="D3419" t="s">
        <v>5</v>
      </c>
      <c r="E3419">
        <v>64</v>
      </c>
    </row>
    <row r="3420" spans="1:5" x14ac:dyDescent="0.25">
      <c r="A3420">
        <v>3419</v>
      </c>
      <c r="B3420">
        <v>4284146</v>
      </c>
      <c r="C3420" s="1" t="str">
        <f>HYPERLINK("http://stackoverflow.com/users/4284146", "fqf555")</f>
        <v>fqf555</v>
      </c>
      <c r="D3420" t="s">
        <v>223</v>
      </c>
      <c r="E3420">
        <v>64</v>
      </c>
    </row>
    <row r="3421" spans="1:5" x14ac:dyDescent="0.25">
      <c r="A3421">
        <v>3420</v>
      </c>
      <c r="B3421">
        <v>1982190</v>
      </c>
      <c r="C3421" s="1" t="str">
        <f>HYPERLINK("http://stackoverflow.com/users/1982190", "StupidKenneth")</f>
        <v>StupidKenneth</v>
      </c>
      <c r="D3421" t="s">
        <v>6</v>
      </c>
      <c r="E3421">
        <v>64</v>
      </c>
    </row>
    <row r="3422" spans="1:5" x14ac:dyDescent="0.25">
      <c r="A3422">
        <v>3421</v>
      </c>
      <c r="B3422">
        <v>2089448</v>
      </c>
      <c r="C3422" s="1" t="str">
        <f>HYPERLINK("http://stackoverflow.com/users/2089448", "stackvoid")</f>
        <v>stackvoid</v>
      </c>
      <c r="D3422" t="s">
        <v>224</v>
      </c>
      <c r="E3422">
        <v>64</v>
      </c>
    </row>
    <row r="3423" spans="1:5" x14ac:dyDescent="0.25">
      <c r="A3423">
        <v>3422</v>
      </c>
      <c r="B3423">
        <v>3536979</v>
      </c>
      <c r="C3423" s="1" t="str">
        <f>HYPERLINK("http://stackoverflow.com/users/3536979", "逆袭的龙猫")</f>
        <v>逆袭的龙猫</v>
      </c>
      <c r="D3423" t="s">
        <v>17</v>
      </c>
      <c r="E3423">
        <v>63</v>
      </c>
    </row>
    <row r="3424" spans="1:5" x14ac:dyDescent="0.25">
      <c r="A3424">
        <v>3423</v>
      </c>
      <c r="B3424">
        <v>418307</v>
      </c>
      <c r="C3424" s="1" t="str">
        <f>HYPERLINK("http://stackoverflow.com/users/418307", "kols")</f>
        <v>kols</v>
      </c>
      <c r="D3424" t="s">
        <v>4</v>
      </c>
      <c r="E3424">
        <v>63</v>
      </c>
    </row>
    <row r="3425" spans="1:5" x14ac:dyDescent="0.25">
      <c r="A3425">
        <v>3424</v>
      </c>
      <c r="B3425">
        <v>6091244</v>
      </c>
      <c r="C3425" s="1" t="str">
        <f>HYPERLINK("http://stackoverflow.com/users/6091244", "peter_wang")</f>
        <v>peter_wang</v>
      </c>
      <c r="D3425" t="s">
        <v>4</v>
      </c>
      <c r="E3425">
        <v>63</v>
      </c>
    </row>
    <row r="3426" spans="1:5" x14ac:dyDescent="0.25">
      <c r="A3426">
        <v>3425</v>
      </c>
      <c r="B3426">
        <v>7557352</v>
      </c>
      <c r="C3426" s="1" t="str">
        <f>HYPERLINK("http://stackoverflow.com/users/7557352", "MingWen")</f>
        <v>MingWen</v>
      </c>
      <c r="D3426" t="s">
        <v>118</v>
      </c>
      <c r="E3426">
        <v>63</v>
      </c>
    </row>
    <row r="3427" spans="1:5" x14ac:dyDescent="0.25">
      <c r="A3427">
        <v>3426</v>
      </c>
      <c r="B3427">
        <v>1819824</v>
      </c>
      <c r="C3427" s="1" t="str">
        <f>HYPERLINK("http://stackoverflow.com/users/1819824", "ouxiaogu")</f>
        <v>ouxiaogu</v>
      </c>
      <c r="D3427" t="s">
        <v>17</v>
      </c>
      <c r="E3427">
        <v>63</v>
      </c>
    </row>
    <row r="3428" spans="1:5" x14ac:dyDescent="0.25">
      <c r="A3428">
        <v>3427</v>
      </c>
      <c r="B3428">
        <v>7639721</v>
      </c>
      <c r="C3428" s="1" t="str">
        <f>HYPERLINK("http://stackoverflow.com/users/7639721", "He Ming")</f>
        <v>He Ming</v>
      </c>
      <c r="D3428" t="s">
        <v>29</v>
      </c>
      <c r="E3428">
        <v>63</v>
      </c>
    </row>
    <row r="3429" spans="1:5" x14ac:dyDescent="0.25">
      <c r="A3429">
        <v>3428</v>
      </c>
      <c r="B3429">
        <v>5894027</v>
      </c>
      <c r="C3429" s="1" t="str">
        <f>HYPERLINK("http://stackoverflow.com/users/5894027", "Rick Wong")</f>
        <v>Rick Wong</v>
      </c>
      <c r="D3429" t="s">
        <v>5</v>
      </c>
      <c r="E3429">
        <v>63</v>
      </c>
    </row>
    <row r="3430" spans="1:5" x14ac:dyDescent="0.25">
      <c r="A3430">
        <v>3429</v>
      </c>
      <c r="B3430">
        <v>856490</v>
      </c>
      <c r="C3430" s="1" t="str">
        <f>HYPERLINK("http://stackoverflow.com/users/856490", "BackMountainBird")</f>
        <v>BackMountainBird</v>
      </c>
      <c r="D3430" t="s">
        <v>12</v>
      </c>
      <c r="E3430">
        <v>63</v>
      </c>
    </row>
    <row r="3431" spans="1:5" x14ac:dyDescent="0.25">
      <c r="A3431">
        <v>3430</v>
      </c>
      <c r="B3431">
        <v>223545</v>
      </c>
      <c r="C3431" s="1" t="str">
        <f>HYPERLINK("http://stackoverflow.com/users/223545", "oylbin")</f>
        <v>oylbin</v>
      </c>
      <c r="D3431" t="s">
        <v>5</v>
      </c>
      <c r="E3431">
        <v>63</v>
      </c>
    </row>
    <row r="3432" spans="1:5" x14ac:dyDescent="0.25">
      <c r="A3432">
        <v>3431</v>
      </c>
      <c r="B3432">
        <v>4955398</v>
      </c>
      <c r="C3432" s="1" t="str">
        <f>HYPERLINK("http://stackoverflow.com/users/4955398", "KnightMobile")</f>
        <v>KnightMobile</v>
      </c>
      <c r="D3432" t="s">
        <v>225</v>
      </c>
      <c r="E3432">
        <v>63</v>
      </c>
    </row>
    <row r="3433" spans="1:5" x14ac:dyDescent="0.25">
      <c r="A3433">
        <v>3432</v>
      </c>
      <c r="B3433">
        <v>3135625</v>
      </c>
      <c r="C3433" s="1" t="str">
        <f>HYPERLINK("http://stackoverflow.com/users/3135625", "Tony")</f>
        <v>Tony</v>
      </c>
      <c r="D3433" t="s">
        <v>226</v>
      </c>
      <c r="E3433">
        <v>63</v>
      </c>
    </row>
    <row r="3434" spans="1:5" x14ac:dyDescent="0.25">
      <c r="A3434">
        <v>3433</v>
      </c>
      <c r="B3434">
        <v>1564504</v>
      </c>
      <c r="C3434" s="1" t="str">
        <f>HYPERLINK("http://stackoverflow.com/users/1564504", "jguo1")</f>
        <v>jguo1</v>
      </c>
      <c r="D3434" t="s">
        <v>21</v>
      </c>
      <c r="E3434">
        <v>63</v>
      </c>
    </row>
    <row r="3435" spans="1:5" x14ac:dyDescent="0.25">
      <c r="A3435">
        <v>3434</v>
      </c>
      <c r="B3435">
        <v>883330</v>
      </c>
      <c r="C3435" s="1" t="str">
        <f>HYPERLINK("http://stackoverflow.com/users/883330", "Fang Yang")</f>
        <v>Fang Yang</v>
      </c>
      <c r="D3435" t="s">
        <v>5</v>
      </c>
      <c r="E3435">
        <v>63</v>
      </c>
    </row>
    <row r="3436" spans="1:5" x14ac:dyDescent="0.25">
      <c r="A3436">
        <v>3435</v>
      </c>
      <c r="B3436">
        <v>8035148</v>
      </c>
      <c r="C3436" s="1" t="str">
        <f>HYPERLINK("http://stackoverflow.com/users/8035148", "jeck yung")</f>
        <v>jeck yung</v>
      </c>
      <c r="D3436" t="s">
        <v>47</v>
      </c>
      <c r="E3436">
        <v>63</v>
      </c>
    </row>
    <row r="3437" spans="1:5" x14ac:dyDescent="0.25">
      <c r="A3437">
        <v>3436</v>
      </c>
      <c r="B3437">
        <v>5085641</v>
      </c>
      <c r="C3437" s="1" t="str">
        <f>HYPERLINK("http://stackoverflow.com/users/5085641", "Basten Gao")</f>
        <v>Basten Gao</v>
      </c>
      <c r="D3437" t="s">
        <v>54</v>
      </c>
      <c r="E3437">
        <v>63</v>
      </c>
    </row>
    <row r="3438" spans="1:5" x14ac:dyDescent="0.25">
      <c r="A3438">
        <v>3437</v>
      </c>
      <c r="B3438">
        <v>1959884</v>
      </c>
      <c r="C3438" s="1" t="str">
        <f>HYPERLINK("http://stackoverflow.com/users/1959884", "Xiaohong Deng")</f>
        <v>Xiaohong Deng</v>
      </c>
      <c r="D3438" t="s">
        <v>4</v>
      </c>
      <c r="E3438">
        <v>63</v>
      </c>
    </row>
    <row r="3439" spans="1:5" x14ac:dyDescent="0.25">
      <c r="A3439">
        <v>3438</v>
      </c>
      <c r="B3439">
        <v>2782428</v>
      </c>
      <c r="C3439" s="1" t="str">
        <f>HYPERLINK("http://stackoverflow.com/users/2782428", "Yinbin  Wang")</f>
        <v>Yinbin  Wang</v>
      </c>
      <c r="D3439" t="s">
        <v>5</v>
      </c>
      <c r="E3439">
        <v>63</v>
      </c>
    </row>
    <row r="3440" spans="1:5" x14ac:dyDescent="0.25">
      <c r="A3440">
        <v>3439</v>
      </c>
      <c r="B3440">
        <v>2884803</v>
      </c>
      <c r="C3440" s="1" t="str">
        <f>HYPERLINK("http://stackoverflow.com/users/2884803", "Crawford Wilde")</f>
        <v>Crawford Wilde</v>
      </c>
      <c r="D3440" t="s">
        <v>5</v>
      </c>
      <c r="E3440">
        <v>63</v>
      </c>
    </row>
    <row r="3441" spans="1:5" x14ac:dyDescent="0.25">
      <c r="A3441">
        <v>3440</v>
      </c>
      <c r="B3441">
        <v>5824267</v>
      </c>
      <c r="C3441" s="1" t="str">
        <f>HYPERLINK("http://stackoverflow.com/users/5824267", "james.peng")</f>
        <v>james.peng</v>
      </c>
      <c r="D3441" t="s">
        <v>4</v>
      </c>
      <c r="E3441">
        <v>63</v>
      </c>
    </row>
    <row r="3442" spans="1:5" x14ac:dyDescent="0.25">
      <c r="A3442">
        <v>3441</v>
      </c>
      <c r="B3442">
        <v>1127411</v>
      </c>
      <c r="C3442" s="1" t="str">
        <f>HYPERLINK("http://stackoverflow.com/users/1127411", "yuan")</f>
        <v>yuan</v>
      </c>
      <c r="D3442" t="s">
        <v>5</v>
      </c>
      <c r="E3442">
        <v>63</v>
      </c>
    </row>
    <row r="3443" spans="1:5" x14ac:dyDescent="0.25">
      <c r="A3443">
        <v>3442</v>
      </c>
      <c r="B3443">
        <v>1658289</v>
      </c>
      <c r="C3443" s="1" t="str">
        <f>HYPERLINK("http://stackoverflow.com/users/1658289", "nomorefancy")</f>
        <v>nomorefancy</v>
      </c>
      <c r="D3443" t="s">
        <v>22</v>
      </c>
      <c r="E3443">
        <v>63</v>
      </c>
    </row>
    <row r="3444" spans="1:5" x14ac:dyDescent="0.25">
      <c r="A3444">
        <v>3443</v>
      </c>
      <c r="B3444">
        <v>9437085</v>
      </c>
      <c r="C3444" s="1" t="str">
        <f>HYPERLINK("http://stackoverflow.com/users/9437085", "Ethan")</f>
        <v>Ethan</v>
      </c>
      <c r="D3444" t="s">
        <v>4</v>
      </c>
      <c r="E3444">
        <v>62</v>
      </c>
    </row>
    <row r="3445" spans="1:5" x14ac:dyDescent="0.25">
      <c r="A3445">
        <v>3444</v>
      </c>
      <c r="B3445">
        <v>2197615</v>
      </c>
      <c r="C3445" s="1" t="str">
        <f>HYPERLINK("http://stackoverflow.com/users/2197615", "navono")</f>
        <v>navono</v>
      </c>
      <c r="D3445" t="s">
        <v>12</v>
      </c>
      <c r="E3445">
        <v>62</v>
      </c>
    </row>
    <row r="3446" spans="1:5" x14ac:dyDescent="0.25">
      <c r="A3446">
        <v>3445</v>
      </c>
      <c r="B3446">
        <v>1398397</v>
      </c>
      <c r="C3446" s="1" t="str">
        <f>HYPERLINK("http://stackoverflow.com/users/1398397", "Tingting")</f>
        <v>Tingting</v>
      </c>
      <c r="D3446" t="s">
        <v>5</v>
      </c>
      <c r="E3446">
        <v>62</v>
      </c>
    </row>
    <row r="3447" spans="1:5" x14ac:dyDescent="0.25">
      <c r="A3447">
        <v>3446</v>
      </c>
      <c r="B3447">
        <v>4483021</v>
      </c>
      <c r="C3447" s="1" t="str">
        <f>HYPERLINK("http://stackoverflow.com/users/4483021", "Aaron")</f>
        <v>Aaron</v>
      </c>
      <c r="D3447" t="s">
        <v>4</v>
      </c>
      <c r="E3447">
        <v>62</v>
      </c>
    </row>
    <row r="3448" spans="1:5" x14ac:dyDescent="0.25">
      <c r="A3448">
        <v>3447</v>
      </c>
      <c r="B3448">
        <v>849289</v>
      </c>
      <c r="C3448" s="1" t="str">
        <f>HYPERLINK("http://stackoverflow.com/users/849289", "iceKing")</f>
        <v>iceKing</v>
      </c>
      <c r="D3448" t="s">
        <v>37</v>
      </c>
      <c r="E3448">
        <v>62</v>
      </c>
    </row>
    <row r="3449" spans="1:5" x14ac:dyDescent="0.25">
      <c r="A3449">
        <v>3448</v>
      </c>
      <c r="B3449">
        <v>8310382</v>
      </c>
      <c r="C3449" s="1" t="str">
        <f>HYPERLINK("http://stackoverflow.com/users/8310382", "PeiSong")</f>
        <v>PeiSong</v>
      </c>
      <c r="D3449" t="s">
        <v>4</v>
      </c>
      <c r="E3449">
        <v>62</v>
      </c>
    </row>
    <row r="3450" spans="1:5" x14ac:dyDescent="0.25">
      <c r="A3450">
        <v>3449</v>
      </c>
      <c r="B3450">
        <v>9494881</v>
      </c>
      <c r="C3450" s="1" t="str">
        <f>HYPERLINK("http://stackoverflow.com/users/9494881", "Doctor Core")</f>
        <v>Doctor Core</v>
      </c>
      <c r="D3450" t="s">
        <v>7</v>
      </c>
      <c r="E3450">
        <v>62</v>
      </c>
    </row>
    <row r="3451" spans="1:5" x14ac:dyDescent="0.25">
      <c r="A3451">
        <v>3450</v>
      </c>
      <c r="B3451">
        <v>4455870</v>
      </c>
      <c r="C3451" s="1" t="str">
        <f>HYPERLINK("http://stackoverflow.com/users/4455870", "Raymond He")</f>
        <v>Raymond He</v>
      </c>
      <c r="D3451" t="s">
        <v>4</v>
      </c>
      <c r="E3451">
        <v>62</v>
      </c>
    </row>
    <row r="3452" spans="1:5" x14ac:dyDescent="0.25">
      <c r="A3452">
        <v>3451</v>
      </c>
      <c r="B3452">
        <v>8318731</v>
      </c>
      <c r="C3452" s="1" t="str">
        <f>HYPERLINK("http://stackoverflow.com/users/8318731", "Lionel Rowe")</f>
        <v>Lionel Rowe</v>
      </c>
      <c r="D3452" t="s">
        <v>4</v>
      </c>
      <c r="E3452">
        <v>62</v>
      </c>
    </row>
    <row r="3453" spans="1:5" x14ac:dyDescent="0.25">
      <c r="A3453">
        <v>3452</v>
      </c>
      <c r="B3453">
        <v>2785887</v>
      </c>
      <c r="C3453" s="1" t="str">
        <f>HYPERLINK("http://stackoverflow.com/users/2785887", "hkongm")</f>
        <v>hkongm</v>
      </c>
      <c r="D3453" t="s">
        <v>5</v>
      </c>
      <c r="E3453">
        <v>61</v>
      </c>
    </row>
    <row r="3454" spans="1:5" x14ac:dyDescent="0.25">
      <c r="A3454">
        <v>3453</v>
      </c>
      <c r="B3454">
        <v>350513</v>
      </c>
      <c r="C3454" s="1" t="str">
        <f>HYPERLINK("http://stackoverflow.com/users/350513", "twinsant")</f>
        <v>twinsant</v>
      </c>
      <c r="D3454" t="s">
        <v>5</v>
      </c>
      <c r="E3454">
        <v>61</v>
      </c>
    </row>
    <row r="3455" spans="1:5" x14ac:dyDescent="0.25">
      <c r="A3455">
        <v>3454</v>
      </c>
      <c r="B3455">
        <v>7807426</v>
      </c>
      <c r="C3455" s="1" t="str">
        <f>HYPERLINK("http://stackoverflow.com/users/7807426", "Bruce Xie")</f>
        <v>Bruce Xie</v>
      </c>
      <c r="D3455" t="s">
        <v>5</v>
      </c>
      <c r="E3455">
        <v>61</v>
      </c>
    </row>
    <row r="3456" spans="1:5" x14ac:dyDescent="0.25">
      <c r="A3456">
        <v>3455</v>
      </c>
      <c r="B3456">
        <v>2538992</v>
      </c>
      <c r="C3456" s="1" t="str">
        <f>HYPERLINK("http://stackoverflow.com/users/2538992", "delong")</f>
        <v>delong</v>
      </c>
      <c r="D3456" t="s">
        <v>5</v>
      </c>
      <c r="E3456">
        <v>61</v>
      </c>
    </row>
    <row r="3457" spans="1:5" x14ac:dyDescent="0.25">
      <c r="A3457">
        <v>3456</v>
      </c>
      <c r="B3457">
        <v>6144033</v>
      </c>
      <c r="C3457" s="1" t="str">
        <f>HYPERLINK("http://stackoverflow.com/users/6144033", "qinghou.zui")</f>
        <v>qinghou.zui</v>
      </c>
      <c r="D3457" t="s">
        <v>4</v>
      </c>
      <c r="E3457">
        <v>61</v>
      </c>
    </row>
    <row r="3458" spans="1:5" x14ac:dyDescent="0.25">
      <c r="A3458">
        <v>3457</v>
      </c>
      <c r="B3458">
        <v>2503926</v>
      </c>
      <c r="C3458" s="1" t="str">
        <f>HYPERLINK("http://stackoverflow.com/users/2503926", "user2503926")</f>
        <v>user2503926</v>
      </c>
      <c r="D3458" t="s">
        <v>5</v>
      </c>
      <c r="E3458">
        <v>61</v>
      </c>
    </row>
    <row r="3459" spans="1:5" x14ac:dyDescent="0.25">
      <c r="A3459">
        <v>3458</v>
      </c>
      <c r="B3459">
        <v>8846388</v>
      </c>
      <c r="C3459" s="1" t="str">
        <f>HYPERLINK("http://stackoverflow.com/users/8846388", "Yan Facai 颜发才")</f>
        <v>Yan Facai 颜发才</v>
      </c>
      <c r="D3459" t="s">
        <v>5</v>
      </c>
      <c r="E3459">
        <v>61</v>
      </c>
    </row>
    <row r="3460" spans="1:5" x14ac:dyDescent="0.25">
      <c r="A3460">
        <v>3459</v>
      </c>
      <c r="B3460">
        <v>5447526</v>
      </c>
      <c r="C3460" s="1" t="str">
        <f>HYPERLINK("http://stackoverflow.com/users/5447526", "Locke Duan")</f>
        <v>Locke Duan</v>
      </c>
      <c r="D3460" t="s">
        <v>4</v>
      </c>
      <c r="E3460">
        <v>61</v>
      </c>
    </row>
    <row r="3461" spans="1:5" x14ac:dyDescent="0.25">
      <c r="A3461">
        <v>3460</v>
      </c>
      <c r="B3461">
        <v>1795823</v>
      </c>
      <c r="C3461" s="1" t="str">
        <f>HYPERLINK("http://stackoverflow.com/users/1795823", "Alex Duan")</f>
        <v>Alex Duan</v>
      </c>
      <c r="D3461" t="s">
        <v>4</v>
      </c>
      <c r="E3461">
        <v>61</v>
      </c>
    </row>
    <row r="3462" spans="1:5" x14ac:dyDescent="0.25">
      <c r="A3462">
        <v>3461</v>
      </c>
      <c r="B3462">
        <v>1771281</v>
      </c>
      <c r="C3462" s="1" t="str">
        <f>HYPERLINK("http://stackoverflow.com/users/1771281", "liuxiaolei")</f>
        <v>liuxiaolei</v>
      </c>
      <c r="D3462" t="s">
        <v>37</v>
      </c>
      <c r="E3462">
        <v>61</v>
      </c>
    </row>
    <row r="3463" spans="1:5" x14ac:dyDescent="0.25">
      <c r="A3463">
        <v>3462</v>
      </c>
      <c r="B3463">
        <v>7341313</v>
      </c>
      <c r="C3463" s="1" t="str">
        <f>HYPERLINK("http://stackoverflow.com/users/7341313", "Lycho")</f>
        <v>Lycho</v>
      </c>
      <c r="D3463" t="s">
        <v>227</v>
      </c>
      <c r="E3463">
        <v>61</v>
      </c>
    </row>
    <row r="3464" spans="1:5" x14ac:dyDescent="0.25">
      <c r="A3464">
        <v>3463</v>
      </c>
      <c r="B3464">
        <v>3792663</v>
      </c>
      <c r="C3464" s="1" t="str">
        <f>HYPERLINK("http://stackoverflow.com/users/3792663", "wu le-chuan")</f>
        <v>wu le-chuan</v>
      </c>
      <c r="D3464" t="s">
        <v>4</v>
      </c>
      <c r="E3464">
        <v>61</v>
      </c>
    </row>
    <row r="3465" spans="1:5" x14ac:dyDescent="0.25">
      <c r="A3465">
        <v>3464</v>
      </c>
      <c r="B3465">
        <v>3867040</v>
      </c>
      <c r="C3465" s="1" t="str">
        <f>HYPERLINK("http://stackoverflow.com/users/3867040", "Jack Yang")</f>
        <v>Jack Yang</v>
      </c>
      <c r="D3465" t="s">
        <v>16</v>
      </c>
      <c r="E3465">
        <v>61</v>
      </c>
    </row>
    <row r="3466" spans="1:5" x14ac:dyDescent="0.25">
      <c r="A3466">
        <v>3465</v>
      </c>
      <c r="B3466">
        <v>2273014</v>
      </c>
      <c r="C3466" s="1" t="str">
        <f>HYPERLINK("http://stackoverflow.com/users/2273014", "Vanjor")</f>
        <v>Vanjor</v>
      </c>
      <c r="D3466" t="s">
        <v>5</v>
      </c>
      <c r="E3466">
        <v>61</v>
      </c>
    </row>
    <row r="3467" spans="1:5" x14ac:dyDescent="0.25">
      <c r="A3467">
        <v>3466</v>
      </c>
      <c r="B3467">
        <v>3962337</v>
      </c>
      <c r="C3467" s="1" t="str">
        <f>HYPERLINK("http://stackoverflow.com/users/3962337", "Lance")</f>
        <v>Lance</v>
      </c>
      <c r="D3467" t="s">
        <v>34</v>
      </c>
      <c r="E3467">
        <v>61</v>
      </c>
    </row>
    <row r="3468" spans="1:5" x14ac:dyDescent="0.25">
      <c r="A3468">
        <v>3467</v>
      </c>
      <c r="B3468">
        <v>3518126</v>
      </c>
      <c r="C3468" s="1" t="str">
        <f>HYPERLINK("http://stackoverflow.com/users/3518126", "Daniel.Wu")</f>
        <v>Daniel.Wu</v>
      </c>
      <c r="D3468" t="s">
        <v>5</v>
      </c>
      <c r="E3468">
        <v>61</v>
      </c>
    </row>
    <row r="3469" spans="1:5" x14ac:dyDescent="0.25">
      <c r="A3469">
        <v>3468</v>
      </c>
      <c r="B3469">
        <v>3522587</v>
      </c>
      <c r="C3469" s="1" t="str">
        <f>HYPERLINK("http://stackoverflow.com/users/3522587", "Jeffrey Fung")</f>
        <v>Jeffrey Fung</v>
      </c>
      <c r="D3469" t="s">
        <v>12</v>
      </c>
      <c r="E3469">
        <v>61</v>
      </c>
    </row>
    <row r="3470" spans="1:5" x14ac:dyDescent="0.25">
      <c r="A3470">
        <v>3469</v>
      </c>
      <c r="B3470">
        <v>5069078</v>
      </c>
      <c r="C3470" s="1" t="str">
        <f>HYPERLINK("http://stackoverflow.com/users/5069078", "Arjenloeb")</f>
        <v>Arjenloeb</v>
      </c>
      <c r="D3470" t="s">
        <v>21</v>
      </c>
      <c r="E3470">
        <v>61</v>
      </c>
    </row>
    <row r="3471" spans="1:5" x14ac:dyDescent="0.25">
      <c r="A3471">
        <v>3470</v>
      </c>
      <c r="B3471">
        <v>5068749</v>
      </c>
      <c r="C3471" s="1" t="str">
        <f>HYPERLINK("http://stackoverflow.com/users/5068749", "lch0821")</f>
        <v>lch0821</v>
      </c>
      <c r="D3471" t="s">
        <v>94</v>
      </c>
      <c r="E3471">
        <v>61</v>
      </c>
    </row>
    <row r="3472" spans="1:5" x14ac:dyDescent="0.25">
      <c r="A3472">
        <v>3471</v>
      </c>
      <c r="B3472">
        <v>566650</v>
      </c>
      <c r="C3472" s="1" t="str">
        <f>HYPERLINK("http://stackoverflow.com/users/566650", "sakinijino")</f>
        <v>sakinijino</v>
      </c>
      <c r="D3472" t="s">
        <v>5</v>
      </c>
      <c r="E3472">
        <v>61</v>
      </c>
    </row>
    <row r="3473" spans="1:5" x14ac:dyDescent="0.25">
      <c r="A3473">
        <v>3472</v>
      </c>
      <c r="B3473">
        <v>2688280</v>
      </c>
      <c r="C3473" s="1" t="str">
        <f>HYPERLINK("http://stackoverflow.com/users/2688280", "Jensen")</f>
        <v>Jensen</v>
      </c>
      <c r="D3473" t="s">
        <v>4</v>
      </c>
      <c r="E3473">
        <v>61</v>
      </c>
    </row>
    <row r="3474" spans="1:5" x14ac:dyDescent="0.25">
      <c r="A3474">
        <v>3473</v>
      </c>
      <c r="B3474">
        <v>2265659</v>
      </c>
      <c r="C3474" s="1" t="str">
        <f>HYPERLINK("http://stackoverflow.com/users/2265659", "andaji")</f>
        <v>andaji</v>
      </c>
      <c r="D3474" t="s">
        <v>5</v>
      </c>
      <c r="E3474">
        <v>61</v>
      </c>
    </row>
    <row r="3475" spans="1:5" x14ac:dyDescent="0.25">
      <c r="A3475">
        <v>3474</v>
      </c>
      <c r="B3475">
        <v>5793366</v>
      </c>
      <c r="C3475" s="1" t="str">
        <f>HYPERLINK("http://stackoverflow.com/users/5793366", "Lushang")</f>
        <v>Lushang</v>
      </c>
      <c r="D3475" t="s">
        <v>4</v>
      </c>
      <c r="E3475">
        <v>61</v>
      </c>
    </row>
    <row r="3476" spans="1:5" x14ac:dyDescent="0.25">
      <c r="A3476">
        <v>3475</v>
      </c>
      <c r="B3476">
        <v>7372802</v>
      </c>
      <c r="C3476" s="1" t="str">
        <f>HYPERLINK("http://stackoverflow.com/users/7372802", "Teddy Z.P.J.")</f>
        <v>Teddy Z.P.J.</v>
      </c>
      <c r="D3476" t="s">
        <v>184</v>
      </c>
      <c r="E3476">
        <v>61</v>
      </c>
    </row>
    <row r="3477" spans="1:5" x14ac:dyDescent="0.25">
      <c r="A3477">
        <v>3476</v>
      </c>
      <c r="B3477">
        <v>1965211</v>
      </c>
      <c r="C3477" s="1" t="str">
        <f>HYPERLINK("http://stackoverflow.com/users/1965211", "张凤霞在三门峡")</f>
        <v>张凤霞在三门峡</v>
      </c>
      <c r="D3477" t="s">
        <v>5</v>
      </c>
      <c r="E3477">
        <v>61</v>
      </c>
    </row>
    <row r="3478" spans="1:5" x14ac:dyDescent="0.25">
      <c r="A3478">
        <v>3477</v>
      </c>
      <c r="B3478">
        <v>7433574</v>
      </c>
      <c r="C3478" s="1" t="str">
        <f>HYPERLINK("http://stackoverflow.com/users/7433574", "Jiecheng Zhao")</f>
        <v>Jiecheng Zhao</v>
      </c>
      <c r="D3478" t="s">
        <v>4</v>
      </c>
      <c r="E3478">
        <v>61</v>
      </c>
    </row>
    <row r="3479" spans="1:5" x14ac:dyDescent="0.25">
      <c r="A3479">
        <v>3478</v>
      </c>
      <c r="B3479">
        <v>8389706</v>
      </c>
      <c r="C3479" s="1" t="str">
        <f>HYPERLINK("http://stackoverflow.com/users/8389706", "Tianpo Gao")</f>
        <v>Tianpo Gao</v>
      </c>
      <c r="D3479" t="s">
        <v>74</v>
      </c>
      <c r="E3479">
        <v>61</v>
      </c>
    </row>
    <row r="3480" spans="1:5" x14ac:dyDescent="0.25">
      <c r="A3480">
        <v>3479</v>
      </c>
      <c r="B3480">
        <v>5138034</v>
      </c>
      <c r="C3480" s="1" t="str">
        <f>HYPERLINK("http://stackoverflow.com/users/5138034", "Song Yang")</f>
        <v>Song Yang</v>
      </c>
      <c r="D3480" t="s">
        <v>19</v>
      </c>
      <c r="E3480">
        <v>61</v>
      </c>
    </row>
    <row r="3481" spans="1:5" x14ac:dyDescent="0.25">
      <c r="A3481">
        <v>3480</v>
      </c>
      <c r="B3481">
        <v>1210366</v>
      </c>
      <c r="C3481" s="1" t="str">
        <f>HYPERLINK("http://stackoverflow.com/users/1210366", "sqybi")</f>
        <v>sqybi</v>
      </c>
      <c r="D3481" t="s">
        <v>5</v>
      </c>
      <c r="E3481">
        <v>61</v>
      </c>
    </row>
    <row r="3482" spans="1:5" x14ac:dyDescent="0.25">
      <c r="A3482">
        <v>3481</v>
      </c>
      <c r="B3482">
        <v>1828452</v>
      </c>
      <c r="C3482" s="1" t="str">
        <f>HYPERLINK("http://stackoverflow.com/users/1828452", "BJDM")</f>
        <v>BJDM</v>
      </c>
      <c r="D3482" t="s">
        <v>5</v>
      </c>
      <c r="E3482">
        <v>61</v>
      </c>
    </row>
    <row r="3483" spans="1:5" x14ac:dyDescent="0.25">
      <c r="A3483">
        <v>3482</v>
      </c>
      <c r="B3483">
        <v>3834411</v>
      </c>
      <c r="C3483" s="1" t="str">
        <f>HYPERLINK("http://stackoverflow.com/users/3834411", "chxj1992")</f>
        <v>chxj1992</v>
      </c>
      <c r="D3483" t="s">
        <v>28</v>
      </c>
      <c r="E3483">
        <v>61</v>
      </c>
    </row>
    <row r="3484" spans="1:5" x14ac:dyDescent="0.25">
      <c r="A3484">
        <v>3483</v>
      </c>
      <c r="B3484">
        <v>5557730</v>
      </c>
      <c r="C3484" s="1" t="str">
        <f>HYPERLINK("http://stackoverflow.com/users/5557730", "itlijunjie")</f>
        <v>itlijunjie</v>
      </c>
      <c r="D3484" t="s">
        <v>5</v>
      </c>
      <c r="E3484">
        <v>61</v>
      </c>
    </row>
    <row r="3485" spans="1:5" x14ac:dyDescent="0.25">
      <c r="A3485">
        <v>3484</v>
      </c>
      <c r="B3485">
        <v>9232540</v>
      </c>
      <c r="C3485" s="1" t="str">
        <f>HYPERLINK("http://stackoverflow.com/users/9232540", "song xu")</f>
        <v>song xu</v>
      </c>
      <c r="D3485" t="s">
        <v>5</v>
      </c>
      <c r="E3485">
        <v>61</v>
      </c>
    </row>
    <row r="3486" spans="1:5" x14ac:dyDescent="0.25">
      <c r="A3486">
        <v>3485</v>
      </c>
      <c r="B3486">
        <v>9454717</v>
      </c>
      <c r="C3486" s="1" t="str">
        <f>HYPERLINK("http://stackoverflow.com/users/9454717", "Arthur")</f>
        <v>Arthur</v>
      </c>
      <c r="D3486" t="s">
        <v>5</v>
      </c>
      <c r="E3486">
        <v>61</v>
      </c>
    </row>
    <row r="3487" spans="1:5" x14ac:dyDescent="0.25">
      <c r="A3487">
        <v>3486</v>
      </c>
      <c r="B3487">
        <v>8472649</v>
      </c>
      <c r="C3487" s="1" t="str">
        <f>HYPERLINK("http://stackoverflow.com/users/8472649", "Zany")</f>
        <v>Zany</v>
      </c>
      <c r="D3487" t="s">
        <v>25</v>
      </c>
      <c r="E3487">
        <v>61</v>
      </c>
    </row>
    <row r="3488" spans="1:5" x14ac:dyDescent="0.25">
      <c r="A3488">
        <v>3487</v>
      </c>
      <c r="B3488">
        <v>1335771</v>
      </c>
      <c r="C3488" s="1" t="str">
        <f>HYPERLINK("http://stackoverflow.com/users/1335771", "doskey")</f>
        <v>doskey</v>
      </c>
      <c r="D3488" t="s">
        <v>5</v>
      </c>
      <c r="E3488">
        <v>61</v>
      </c>
    </row>
    <row r="3489" spans="1:5" x14ac:dyDescent="0.25">
      <c r="A3489">
        <v>3488</v>
      </c>
      <c r="B3489">
        <v>1583517</v>
      </c>
      <c r="C3489" s="1" t="str">
        <f>HYPERLINK("http://stackoverflow.com/users/1583517", "Tuoyu")</f>
        <v>Tuoyu</v>
      </c>
      <c r="D3489" t="s">
        <v>5</v>
      </c>
      <c r="E3489">
        <v>61</v>
      </c>
    </row>
    <row r="3490" spans="1:5" x14ac:dyDescent="0.25">
      <c r="A3490">
        <v>3489</v>
      </c>
      <c r="B3490">
        <v>5349226</v>
      </c>
      <c r="C3490" s="1" t="str">
        <f>HYPERLINK("http://stackoverflow.com/users/5349226", "Lirong Jian")</f>
        <v>Lirong Jian</v>
      </c>
      <c r="D3490" t="s">
        <v>5</v>
      </c>
      <c r="E3490">
        <v>61</v>
      </c>
    </row>
    <row r="3491" spans="1:5" x14ac:dyDescent="0.25">
      <c r="A3491">
        <v>3490</v>
      </c>
      <c r="B3491">
        <v>1703909</v>
      </c>
      <c r="C3491" s="1" t="str">
        <f>HYPERLINK("http://stackoverflow.com/users/1703909", "ursak")</f>
        <v>ursak</v>
      </c>
      <c r="D3491" t="s">
        <v>5</v>
      </c>
      <c r="E3491">
        <v>61</v>
      </c>
    </row>
    <row r="3492" spans="1:5" x14ac:dyDescent="0.25">
      <c r="A3492">
        <v>3491</v>
      </c>
      <c r="B3492">
        <v>1679004</v>
      </c>
      <c r="C3492" s="1" t="str">
        <f>HYPERLINK("http://stackoverflow.com/users/1679004", "Whistler")</f>
        <v>Whistler</v>
      </c>
      <c r="D3492" t="s">
        <v>90</v>
      </c>
      <c r="E3492">
        <v>61</v>
      </c>
    </row>
    <row r="3493" spans="1:5" x14ac:dyDescent="0.25">
      <c r="A3493">
        <v>3492</v>
      </c>
      <c r="B3493">
        <v>4533153</v>
      </c>
      <c r="C3493" s="1" t="str">
        <f>HYPERLINK("http://stackoverflow.com/users/4533153", "Szymon Brych")</f>
        <v>Szymon Brych</v>
      </c>
      <c r="D3493" t="s">
        <v>4</v>
      </c>
      <c r="E3493">
        <v>61</v>
      </c>
    </row>
    <row r="3494" spans="1:5" x14ac:dyDescent="0.25">
      <c r="A3494">
        <v>3493</v>
      </c>
      <c r="B3494">
        <v>6269369</v>
      </c>
      <c r="C3494" s="1" t="str">
        <f>HYPERLINK("http://stackoverflow.com/users/6269369", "Mohsen")</f>
        <v>Mohsen</v>
      </c>
      <c r="D3494" t="s">
        <v>55</v>
      </c>
      <c r="E3494">
        <v>61</v>
      </c>
    </row>
    <row r="3495" spans="1:5" x14ac:dyDescent="0.25">
      <c r="A3495">
        <v>3494</v>
      </c>
      <c r="B3495">
        <v>9906458</v>
      </c>
      <c r="C3495" s="1" t="str">
        <f>HYPERLINK("http://stackoverflow.com/users/9906458", "0xffff")</f>
        <v>0xffff</v>
      </c>
      <c r="D3495" t="s">
        <v>4</v>
      </c>
      <c r="E3495">
        <v>61</v>
      </c>
    </row>
    <row r="3496" spans="1:5" x14ac:dyDescent="0.25">
      <c r="A3496">
        <v>3495</v>
      </c>
      <c r="B3496">
        <v>793672</v>
      </c>
      <c r="C3496" s="1" t="str">
        <f>HYPERLINK("http://stackoverflow.com/users/793672", "hanzo")</f>
        <v>hanzo</v>
      </c>
      <c r="D3496" t="s">
        <v>4</v>
      </c>
      <c r="E3496">
        <v>61</v>
      </c>
    </row>
    <row r="3497" spans="1:5" x14ac:dyDescent="0.25">
      <c r="A3497">
        <v>3496</v>
      </c>
      <c r="B3497">
        <v>4683838</v>
      </c>
      <c r="C3497" s="1" t="str">
        <f>HYPERLINK("http://stackoverflow.com/users/4683838", "Eric Zhang")</f>
        <v>Eric Zhang</v>
      </c>
      <c r="D3497" t="s">
        <v>28</v>
      </c>
      <c r="E3497">
        <v>61</v>
      </c>
    </row>
    <row r="3498" spans="1:5" x14ac:dyDescent="0.25">
      <c r="A3498">
        <v>3497</v>
      </c>
      <c r="B3498">
        <v>6572795</v>
      </c>
      <c r="C3498" s="1" t="str">
        <f>HYPERLINK("http://stackoverflow.com/users/6572795", "DC_Snail")</f>
        <v>DC_Snail</v>
      </c>
      <c r="D3498" t="s">
        <v>5</v>
      </c>
      <c r="E3498">
        <v>61</v>
      </c>
    </row>
    <row r="3499" spans="1:5" x14ac:dyDescent="0.25">
      <c r="A3499">
        <v>3498</v>
      </c>
      <c r="B3499">
        <v>1744416</v>
      </c>
      <c r="C3499" s="1" t="str">
        <f>HYPERLINK("http://stackoverflow.com/users/1744416", "user1744416")</f>
        <v>user1744416</v>
      </c>
      <c r="D3499" t="s">
        <v>5</v>
      </c>
      <c r="E3499">
        <v>61</v>
      </c>
    </row>
    <row r="3500" spans="1:5" x14ac:dyDescent="0.25">
      <c r="A3500">
        <v>3499</v>
      </c>
      <c r="B3500">
        <v>1767632</v>
      </c>
      <c r="C3500" s="1" t="str">
        <f>HYPERLINK("http://stackoverflow.com/users/1767632", "cheny")</f>
        <v>cheny</v>
      </c>
      <c r="D3500" t="s">
        <v>17</v>
      </c>
      <c r="E3500">
        <v>61</v>
      </c>
    </row>
    <row r="3501" spans="1:5" x14ac:dyDescent="0.25">
      <c r="A3501">
        <v>3500</v>
      </c>
      <c r="B3501">
        <v>4963796</v>
      </c>
      <c r="C3501" s="1" t="str">
        <f>HYPERLINK("http://stackoverflow.com/users/4963796", "galaxybing")</f>
        <v>galaxybing</v>
      </c>
      <c r="D3501" t="s">
        <v>177</v>
      </c>
      <c r="E3501">
        <v>61</v>
      </c>
    </row>
    <row r="3502" spans="1:5" x14ac:dyDescent="0.25">
      <c r="A3502">
        <v>3501</v>
      </c>
      <c r="B3502">
        <v>5246257</v>
      </c>
      <c r="C3502" s="1" t="str">
        <f>HYPERLINK("http://stackoverflow.com/users/5246257", "rhtsjz")</f>
        <v>rhtsjz</v>
      </c>
      <c r="D3502" t="s">
        <v>5</v>
      </c>
      <c r="E3502">
        <v>61</v>
      </c>
    </row>
    <row r="3503" spans="1:5" x14ac:dyDescent="0.25">
      <c r="A3503">
        <v>3502</v>
      </c>
      <c r="B3503">
        <v>8735388</v>
      </c>
      <c r="C3503" s="1" t="str">
        <f>HYPERLINK("http://stackoverflow.com/users/8735388", "Yi Xin")</f>
        <v>Yi Xin</v>
      </c>
      <c r="D3503" t="s">
        <v>101</v>
      </c>
      <c r="E3503">
        <v>61</v>
      </c>
    </row>
    <row r="3504" spans="1:5" x14ac:dyDescent="0.25">
      <c r="A3504">
        <v>3503</v>
      </c>
      <c r="B3504">
        <v>2954908</v>
      </c>
      <c r="C3504" s="1" t="str">
        <f>HYPERLINK("http://stackoverflow.com/users/2954908", "afei")</f>
        <v>afei</v>
      </c>
      <c r="D3504" t="s">
        <v>12</v>
      </c>
      <c r="E3504">
        <v>61</v>
      </c>
    </row>
    <row r="3505" spans="1:5" x14ac:dyDescent="0.25">
      <c r="A3505">
        <v>3504</v>
      </c>
      <c r="B3505">
        <v>6354634</v>
      </c>
      <c r="C3505" s="1" t="str">
        <f>HYPERLINK("http://stackoverflow.com/users/6354634", "qingsong")</f>
        <v>qingsong</v>
      </c>
      <c r="D3505" t="s">
        <v>5</v>
      </c>
      <c r="E3505">
        <v>61</v>
      </c>
    </row>
    <row r="3506" spans="1:5" x14ac:dyDescent="0.25">
      <c r="A3506">
        <v>3505</v>
      </c>
      <c r="B3506">
        <v>536097</v>
      </c>
      <c r="C3506" s="1" t="str">
        <f>HYPERLINK("http://stackoverflow.com/users/536097", "Yefei")</f>
        <v>Yefei</v>
      </c>
      <c r="D3506" t="s">
        <v>4</v>
      </c>
      <c r="E3506">
        <v>61</v>
      </c>
    </row>
    <row r="3507" spans="1:5" x14ac:dyDescent="0.25">
      <c r="A3507">
        <v>3506</v>
      </c>
      <c r="B3507">
        <v>319159</v>
      </c>
      <c r="C3507" s="1" t="str">
        <f>HYPERLINK("http://stackoverflow.com/users/319159", "AiTuDou")</f>
        <v>AiTuDou</v>
      </c>
      <c r="D3507" t="s">
        <v>4</v>
      </c>
      <c r="E3507">
        <v>61</v>
      </c>
    </row>
    <row r="3508" spans="1:5" x14ac:dyDescent="0.25">
      <c r="A3508">
        <v>3507</v>
      </c>
      <c r="B3508">
        <v>9759042</v>
      </c>
      <c r="C3508" s="1" t="str">
        <f>HYPERLINK("http://stackoverflow.com/users/9759042", "Catherine4j")</f>
        <v>Catherine4j</v>
      </c>
      <c r="D3508" t="s">
        <v>5</v>
      </c>
      <c r="E3508">
        <v>61</v>
      </c>
    </row>
    <row r="3509" spans="1:5" x14ac:dyDescent="0.25">
      <c r="A3509">
        <v>3508</v>
      </c>
      <c r="B3509">
        <v>432027</v>
      </c>
      <c r="C3509" s="1" t="str">
        <f>HYPERLINK("http://stackoverflow.com/users/432027", "Paganini")</f>
        <v>Paganini</v>
      </c>
      <c r="D3509" t="s">
        <v>4</v>
      </c>
      <c r="E3509">
        <v>61</v>
      </c>
    </row>
    <row r="3510" spans="1:5" x14ac:dyDescent="0.25">
      <c r="A3510">
        <v>3509</v>
      </c>
      <c r="B3510">
        <v>7255034</v>
      </c>
      <c r="C3510" s="1" t="str">
        <f>HYPERLINK("http://stackoverflow.com/users/7255034", "Miaofei Wang")</f>
        <v>Miaofei Wang</v>
      </c>
      <c r="D3510" t="s">
        <v>5</v>
      </c>
      <c r="E3510">
        <v>61</v>
      </c>
    </row>
    <row r="3511" spans="1:5" x14ac:dyDescent="0.25">
      <c r="A3511">
        <v>3510</v>
      </c>
      <c r="B3511">
        <v>832754</v>
      </c>
      <c r="C3511" s="1" t="str">
        <f>HYPERLINK("http://stackoverflow.com/users/832754", "Andrew Young")</f>
        <v>Andrew Young</v>
      </c>
      <c r="D3511" t="s">
        <v>17</v>
      </c>
      <c r="E3511">
        <v>61</v>
      </c>
    </row>
    <row r="3512" spans="1:5" x14ac:dyDescent="0.25">
      <c r="A3512">
        <v>3511</v>
      </c>
      <c r="B3512">
        <v>2877529</v>
      </c>
      <c r="C3512" s="1" t="str">
        <f>HYPERLINK("http://stackoverflow.com/users/2877529", "Liubey")</f>
        <v>Liubey</v>
      </c>
      <c r="D3512" t="s">
        <v>5</v>
      </c>
      <c r="E3512">
        <v>61</v>
      </c>
    </row>
    <row r="3513" spans="1:5" x14ac:dyDescent="0.25">
      <c r="A3513">
        <v>3512</v>
      </c>
      <c r="B3513">
        <v>4431528</v>
      </c>
      <c r="C3513" s="1" t="str">
        <f>HYPERLINK("http://stackoverflow.com/users/4431528", "Hu Cheng Jin")</f>
        <v>Hu Cheng Jin</v>
      </c>
      <c r="D3513" t="s">
        <v>35</v>
      </c>
      <c r="E3513">
        <v>61</v>
      </c>
    </row>
    <row r="3514" spans="1:5" x14ac:dyDescent="0.25">
      <c r="A3514">
        <v>3513</v>
      </c>
      <c r="B3514">
        <v>7951943</v>
      </c>
      <c r="C3514" s="1" t="str">
        <f>HYPERLINK("http://stackoverflow.com/users/7951943", "Alpha")</f>
        <v>Alpha</v>
      </c>
      <c r="D3514" t="s">
        <v>228</v>
      </c>
      <c r="E3514">
        <v>61</v>
      </c>
    </row>
    <row r="3515" spans="1:5" x14ac:dyDescent="0.25">
      <c r="A3515">
        <v>3514</v>
      </c>
      <c r="B3515">
        <v>1137860</v>
      </c>
      <c r="C3515" s="1" t="str">
        <f>HYPERLINK("http://stackoverflow.com/users/1137860", "lixiang")</f>
        <v>lixiang</v>
      </c>
      <c r="D3515" t="s">
        <v>5</v>
      </c>
      <c r="E3515">
        <v>61</v>
      </c>
    </row>
    <row r="3516" spans="1:5" x14ac:dyDescent="0.25">
      <c r="A3516">
        <v>3515</v>
      </c>
      <c r="B3516">
        <v>5072311</v>
      </c>
      <c r="C3516" s="1" t="str">
        <f>HYPERLINK("http://stackoverflow.com/users/5072311", "Wayne Wang")</f>
        <v>Wayne Wang</v>
      </c>
      <c r="D3516" t="s">
        <v>5</v>
      </c>
      <c r="E3516">
        <v>61</v>
      </c>
    </row>
    <row r="3517" spans="1:5" x14ac:dyDescent="0.25">
      <c r="A3517">
        <v>3516</v>
      </c>
      <c r="B3517">
        <v>1411610</v>
      </c>
      <c r="C3517" s="1" t="str">
        <f>HYPERLINK("http://stackoverflow.com/users/1411610", "teledi")</f>
        <v>teledi</v>
      </c>
      <c r="D3517" t="s">
        <v>5</v>
      </c>
      <c r="E3517">
        <v>61</v>
      </c>
    </row>
    <row r="3518" spans="1:5" x14ac:dyDescent="0.25">
      <c r="A3518">
        <v>3517</v>
      </c>
      <c r="B3518">
        <v>8443032</v>
      </c>
      <c r="C3518" s="1" t="str">
        <f>HYPERLINK("http://stackoverflow.com/users/8443032", "Zhibo Shen")</f>
        <v>Zhibo Shen</v>
      </c>
      <c r="D3518" t="s">
        <v>29</v>
      </c>
      <c r="E3518">
        <v>60</v>
      </c>
    </row>
    <row r="3519" spans="1:5" x14ac:dyDescent="0.25">
      <c r="A3519">
        <v>3518</v>
      </c>
      <c r="B3519">
        <v>325724</v>
      </c>
      <c r="C3519" s="1" t="str">
        <f>HYPERLINK("http://stackoverflow.com/users/325724", "shi kui")</f>
        <v>shi kui</v>
      </c>
      <c r="D3519" t="s">
        <v>5</v>
      </c>
      <c r="E3519">
        <v>60</v>
      </c>
    </row>
    <row r="3520" spans="1:5" x14ac:dyDescent="0.25">
      <c r="A3520">
        <v>3519</v>
      </c>
      <c r="B3520">
        <v>4085819</v>
      </c>
      <c r="C3520" s="1" t="str">
        <f>HYPERLINK("http://stackoverflow.com/users/4085819", "sfcheung")</f>
        <v>sfcheung</v>
      </c>
      <c r="D3520" t="s">
        <v>229</v>
      </c>
      <c r="E3520">
        <v>60</v>
      </c>
    </row>
    <row r="3521" spans="1:5" x14ac:dyDescent="0.25">
      <c r="A3521">
        <v>3520</v>
      </c>
      <c r="B3521">
        <v>8123851</v>
      </c>
      <c r="C3521" s="1" t="str">
        <f>HYPERLINK("http://stackoverflow.com/users/8123851", "Allen Chen")</f>
        <v>Allen Chen</v>
      </c>
      <c r="D3521" t="s">
        <v>4</v>
      </c>
      <c r="E3521">
        <v>60</v>
      </c>
    </row>
    <row r="3522" spans="1:5" x14ac:dyDescent="0.25">
      <c r="A3522">
        <v>3521</v>
      </c>
      <c r="B3522">
        <v>531155</v>
      </c>
      <c r="C3522" s="1" t="str">
        <f>HYPERLINK("http://stackoverflow.com/users/531155", "Peng Liang")</f>
        <v>Peng Liang</v>
      </c>
      <c r="D3522" t="s">
        <v>5</v>
      </c>
      <c r="E3522">
        <v>60</v>
      </c>
    </row>
    <row r="3523" spans="1:5" x14ac:dyDescent="0.25">
      <c r="A3523">
        <v>3522</v>
      </c>
      <c r="B3523">
        <v>10215569</v>
      </c>
      <c r="C3523" s="1" t="str">
        <f>HYPERLINK("http://stackoverflow.com/users/10215569", "Karen Jiang")</f>
        <v>Karen Jiang</v>
      </c>
      <c r="D3523" t="s">
        <v>5</v>
      </c>
      <c r="E3523">
        <v>60</v>
      </c>
    </row>
    <row r="3524" spans="1:5" x14ac:dyDescent="0.25">
      <c r="A3524">
        <v>3523</v>
      </c>
      <c r="B3524">
        <v>966244</v>
      </c>
      <c r="C3524" s="1" t="str">
        <f>HYPERLINK("http://stackoverflow.com/users/966244", "Ren Ji")</f>
        <v>Ren Ji</v>
      </c>
      <c r="D3524" t="s">
        <v>22</v>
      </c>
      <c r="E3524">
        <v>60</v>
      </c>
    </row>
    <row r="3525" spans="1:5" x14ac:dyDescent="0.25">
      <c r="A3525">
        <v>3524</v>
      </c>
      <c r="B3525">
        <v>4423028</v>
      </c>
      <c r="C3525" s="1" t="str">
        <f>HYPERLINK("http://stackoverflow.com/users/4423028", "Jack Sun")</f>
        <v>Jack Sun</v>
      </c>
      <c r="D3525" t="s">
        <v>4</v>
      </c>
      <c r="E3525">
        <v>60</v>
      </c>
    </row>
    <row r="3526" spans="1:5" x14ac:dyDescent="0.25">
      <c r="A3526">
        <v>3525</v>
      </c>
      <c r="B3526">
        <v>7374008</v>
      </c>
      <c r="C3526" s="1" t="str">
        <f>HYPERLINK("http://stackoverflow.com/users/7374008", "Kevin Xiong")</f>
        <v>Kevin Xiong</v>
      </c>
      <c r="D3526" t="s">
        <v>4</v>
      </c>
      <c r="E3526">
        <v>60</v>
      </c>
    </row>
    <row r="3527" spans="1:5" x14ac:dyDescent="0.25">
      <c r="A3527">
        <v>3526</v>
      </c>
      <c r="B3527">
        <v>1204713</v>
      </c>
      <c r="C3527" s="1" t="str">
        <f>HYPERLINK("http://stackoverflow.com/users/1204713", "Justme0")</f>
        <v>Justme0</v>
      </c>
      <c r="D3527" t="s">
        <v>230</v>
      </c>
      <c r="E3527">
        <v>60</v>
      </c>
    </row>
    <row r="3528" spans="1:5" x14ac:dyDescent="0.25">
      <c r="A3528">
        <v>3527</v>
      </c>
      <c r="B3528">
        <v>4924763</v>
      </c>
      <c r="C3528" s="1" t="str">
        <f>HYPERLINK("http://stackoverflow.com/users/4924763", "Daniel Mi")</f>
        <v>Daniel Mi</v>
      </c>
      <c r="D3528" t="s">
        <v>17</v>
      </c>
      <c r="E3528">
        <v>60</v>
      </c>
    </row>
    <row r="3529" spans="1:5" x14ac:dyDescent="0.25">
      <c r="A3529">
        <v>3528</v>
      </c>
      <c r="B3529">
        <v>291141</v>
      </c>
      <c r="C3529" s="1" t="str">
        <f>HYPERLINK("http://stackoverflow.com/users/291141", "devbean")</f>
        <v>devbean</v>
      </c>
      <c r="D3529" t="s">
        <v>37</v>
      </c>
      <c r="E3529">
        <v>60</v>
      </c>
    </row>
    <row r="3530" spans="1:5" x14ac:dyDescent="0.25">
      <c r="A3530">
        <v>3529</v>
      </c>
      <c r="B3530">
        <v>2566973</v>
      </c>
      <c r="C3530" s="1" t="str">
        <f>HYPERLINK("http://stackoverflow.com/users/2566973", "Felix")</f>
        <v>Felix</v>
      </c>
      <c r="D3530" t="s">
        <v>17</v>
      </c>
      <c r="E3530">
        <v>59</v>
      </c>
    </row>
    <row r="3531" spans="1:5" x14ac:dyDescent="0.25">
      <c r="A3531">
        <v>3530</v>
      </c>
      <c r="B3531">
        <v>1083115</v>
      </c>
      <c r="C3531" s="1" t="str">
        <f>HYPERLINK("http://stackoverflow.com/users/1083115", "dixiedude")</f>
        <v>dixiedude</v>
      </c>
      <c r="D3531" t="s">
        <v>5</v>
      </c>
      <c r="E3531">
        <v>59</v>
      </c>
    </row>
    <row r="3532" spans="1:5" x14ac:dyDescent="0.25">
      <c r="A3532">
        <v>3531</v>
      </c>
      <c r="B3532">
        <v>1503869</v>
      </c>
      <c r="C3532" s="1" t="str">
        <f>HYPERLINK("http://stackoverflow.com/users/1503869", "renqHIT")</f>
        <v>renqHIT</v>
      </c>
      <c r="D3532" t="s">
        <v>56</v>
      </c>
      <c r="E3532">
        <v>59</v>
      </c>
    </row>
    <row r="3533" spans="1:5" x14ac:dyDescent="0.25">
      <c r="A3533">
        <v>3532</v>
      </c>
      <c r="B3533">
        <v>2384001</v>
      </c>
      <c r="C3533" s="1" t="str">
        <f>HYPERLINK("http://stackoverflow.com/users/2384001", "Zachary")</f>
        <v>Zachary</v>
      </c>
      <c r="D3533" t="s">
        <v>37</v>
      </c>
      <c r="E3533">
        <v>59</v>
      </c>
    </row>
    <row r="3534" spans="1:5" x14ac:dyDescent="0.25">
      <c r="A3534">
        <v>3533</v>
      </c>
      <c r="B3534">
        <v>6006297</v>
      </c>
      <c r="C3534" s="1" t="str">
        <f>HYPERLINK("http://stackoverflow.com/users/6006297", "Sub")</f>
        <v>Sub</v>
      </c>
      <c r="D3534" t="s">
        <v>4</v>
      </c>
      <c r="E3534">
        <v>59</v>
      </c>
    </row>
    <row r="3535" spans="1:5" x14ac:dyDescent="0.25">
      <c r="A3535">
        <v>3534</v>
      </c>
      <c r="B3535">
        <v>8898234</v>
      </c>
      <c r="C3535" s="1" t="str">
        <f>HYPERLINK("http://stackoverflow.com/users/8898234", "Clownfish")</f>
        <v>Clownfish</v>
      </c>
      <c r="D3535" t="s">
        <v>5</v>
      </c>
      <c r="E3535">
        <v>59</v>
      </c>
    </row>
    <row r="3536" spans="1:5" x14ac:dyDescent="0.25">
      <c r="A3536">
        <v>3535</v>
      </c>
      <c r="B3536">
        <v>2771742</v>
      </c>
      <c r="C3536" s="1" t="str">
        <f>HYPERLINK("http://stackoverflow.com/users/2771742", "yanyingwang")</f>
        <v>yanyingwang</v>
      </c>
      <c r="D3536" t="s">
        <v>4</v>
      </c>
      <c r="E3536">
        <v>59</v>
      </c>
    </row>
    <row r="3537" spans="1:5" x14ac:dyDescent="0.25">
      <c r="A3537">
        <v>3536</v>
      </c>
      <c r="B3537">
        <v>2404131</v>
      </c>
      <c r="C3537" s="1" t="str">
        <f>HYPERLINK("http://stackoverflow.com/users/2404131", "user2404131")</f>
        <v>user2404131</v>
      </c>
      <c r="D3537" t="s">
        <v>16</v>
      </c>
      <c r="E3537">
        <v>59</v>
      </c>
    </row>
    <row r="3538" spans="1:5" x14ac:dyDescent="0.25">
      <c r="A3538">
        <v>3537</v>
      </c>
      <c r="B3538">
        <v>4630995</v>
      </c>
      <c r="C3538" s="1" t="str">
        <f>HYPERLINK("http://stackoverflow.com/users/4630995", "Boluny")</f>
        <v>Boluny</v>
      </c>
      <c r="D3538" t="s">
        <v>4</v>
      </c>
      <c r="E3538">
        <v>59</v>
      </c>
    </row>
    <row r="3539" spans="1:5" x14ac:dyDescent="0.25">
      <c r="A3539">
        <v>3538</v>
      </c>
      <c r="B3539">
        <v>802699</v>
      </c>
      <c r="C3539" s="1" t="str">
        <f>HYPERLINK("http://stackoverflow.com/users/802699", "hongshuning")</f>
        <v>hongshuning</v>
      </c>
      <c r="D3539" t="s">
        <v>37</v>
      </c>
      <c r="E3539">
        <v>59</v>
      </c>
    </row>
    <row r="3540" spans="1:5" x14ac:dyDescent="0.25">
      <c r="A3540">
        <v>3539</v>
      </c>
      <c r="B3540">
        <v>1855431</v>
      </c>
      <c r="C3540" s="1" t="str">
        <f>HYPERLINK("http://stackoverflow.com/users/1855431", "wanbo")</f>
        <v>wanbo</v>
      </c>
      <c r="D3540" t="s">
        <v>5</v>
      </c>
      <c r="E3540">
        <v>59</v>
      </c>
    </row>
    <row r="3541" spans="1:5" x14ac:dyDescent="0.25">
      <c r="A3541">
        <v>3540</v>
      </c>
      <c r="B3541">
        <v>4571286</v>
      </c>
      <c r="C3541" s="1" t="str">
        <f>HYPERLINK("http://stackoverflow.com/users/4571286", "saitjr")</f>
        <v>saitjr</v>
      </c>
      <c r="D3541" t="s">
        <v>78</v>
      </c>
      <c r="E3541">
        <v>59</v>
      </c>
    </row>
    <row r="3542" spans="1:5" x14ac:dyDescent="0.25">
      <c r="A3542">
        <v>3541</v>
      </c>
      <c r="B3542">
        <v>624379</v>
      </c>
      <c r="C3542" s="1" t="str">
        <f>HYPERLINK("http://stackoverflow.com/users/624379", "Reinhard")</f>
        <v>Reinhard</v>
      </c>
      <c r="D3542" t="s">
        <v>4</v>
      </c>
      <c r="E3542">
        <v>59</v>
      </c>
    </row>
    <row r="3543" spans="1:5" x14ac:dyDescent="0.25">
      <c r="A3543">
        <v>3542</v>
      </c>
      <c r="B3543">
        <v>5113452</v>
      </c>
      <c r="C3543" s="1" t="str">
        <f>HYPERLINK("http://stackoverflow.com/users/5113452", "Franci")</f>
        <v>Franci</v>
      </c>
      <c r="D3543" t="s">
        <v>131</v>
      </c>
      <c r="E3543">
        <v>59</v>
      </c>
    </row>
    <row r="3544" spans="1:5" x14ac:dyDescent="0.25">
      <c r="A3544">
        <v>3543</v>
      </c>
      <c r="B3544">
        <v>1973397</v>
      </c>
      <c r="C3544" s="1" t="str">
        <f>HYPERLINK("http://stackoverflow.com/users/1973397", "Lin Gao")</f>
        <v>Lin Gao</v>
      </c>
      <c r="D3544" t="s">
        <v>5</v>
      </c>
      <c r="E3544">
        <v>59</v>
      </c>
    </row>
    <row r="3545" spans="1:5" x14ac:dyDescent="0.25">
      <c r="A3545">
        <v>3544</v>
      </c>
      <c r="B3545">
        <v>2992018</v>
      </c>
      <c r="C3545" s="1" t="str">
        <f>HYPERLINK("http://stackoverflow.com/users/2992018", "SaintKnight")</f>
        <v>SaintKnight</v>
      </c>
      <c r="D3545" t="s">
        <v>4</v>
      </c>
      <c r="E3545">
        <v>59</v>
      </c>
    </row>
    <row r="3546" spans="1:5" x14ac:dyDescent="0.25">
      <c r="A3546">
        <v>3545</v>
      </c>
      <c r="B3546">
        <v>2511463</v>
      </c>
      <c r="C3546" s="1" t="str">
        <f>HYPERLINK("http://stackoverflow.com/users/2511463", "SamChi")</f>
        <v>SamChi</v>
      </c>
      <c r="D3546" t="s">
        <v>5</v>
      </c>
      <c r="E3546">
        <v>59</v>
      </c>
    </row>
    <row r="3547" spans="1:5" x14ac:dyDescent="0.25">
      <c r="A3547">
        <v>3546</v>
      </c>
      <c r="B3547">
        <v>5996843</v>
      </c>
      <c r="C3547" s="1" t="str">
        <f>HYPERLINK("http://stackoverflow.com/users/5996843", "curiousY")</f>
        <v>curiousY</v>
      </c>
      <c r="D3547" t="s">
        <v>4</v>
      </c>
      <c r="E3547">
        <v>59</v>
      </c>
    </row>
    <row r="3548" spans="1:5" x14ac:dyDescent="0.25">
      <c r="A3548">
        <v>3547</v>
      </c>
      <c r="B3548">
        <v>1664515</v>
      </c>
      <c r="C3548" s="1" t="str">
        <f>HYPERLINK("http://stackoverflow.com/users/1664515", "David")</f>
        <v>David</v>
      </c>
      <c r="D3548" t="s">
        <v>4</v>
      </c>
      <c r="E3548">
        <v>58</v>
      </c>
    </row>
    <row r="3549" spans="1:5" x14ac:dyDescent="0.25">
      <c r="A3549">
        <v>3548</v>
      </c>
      <c r="B3549">
        <v>7498725</v>
      </c>
      <c r="C3549" s="1" t="str">
        <f>HYPERLINK("http://stackoverflow.com/users/7498725", "Yuheng Zou")</f>
        <v>Yuheng Zou</v>
      </c>
      <c r="D3549" t="s">
        <v>5</v>
      </c>
      <c r="E3549">
        <v>58</v>
      </c>
    </row>
    <row r="3550" spans="1:5" x14ac:dyDescent="0.25">
      <c r="A3550">
        <v>3549</v>
      </c>
      <c r="B3550">
        <v>4368679</v>
      </c>
      <c r="C3550" s="1" t="str">
        <f>HYPERLINK("http://stackoverflow.com/users/4368679", "sxxhlx")</f>
        <v>sxxhlx</v>
      </c>
      <c r="D3550" t="s">
        <v>63</v>
      </c>
      <c r="E3550">
        <v>58</v>
      </c>
    </row>
    <row r="3551" spans="1:5" x14ac:dyDescent="0.25">
      <c r="A3551">
        <v>3550</v>
      </c>
      <c r="B3551">
        <v>4728828</v>
      </c>
      <c r="C3551" s="1" t="str">
        <f>HYPERLINK("http://stackoverflow.com/users/4728828", "Noah Zuo")</f>
        <v>Noah Zuo</v>
      </c>
      <c r="D3551" t="s">
        <v>17</v>
      </c>
      <c r="E3551">
        <v>58</v>
      </c>
    </row>
    <row r="3552" spans="1:5" x14ac:dyDescent="0.25">
      <c r="A3552">
        <v>3551</v>
      </c>
      <c r="B3552">
        <v>3134015</v>
      </c>
      <c r="C3552" s="1" t="str">
        <f>HYPERLINK("http://stackoverflow.com/users/3134015", "Tink")</f>
        <v>Tink</v>
      </c>
      <c r="D3552" t="s">
        <v>4</v>
      </c>
      <c r="E3552">
        <v>58</v>
      </c>
    </row>
    <row r="3553" spans="1:5" x14ac:dyDescent="0.25">
      <c r="A3553">
        <v>3552</v>
      </c>
      <c r="B3553">
        <v>1395469</v>
      </c>
      <c r="C3553" s="1" t="str">
        <f>HYPERLINK("http://stackoverflow.com/users/1395469", "xiaobo")</f>
        <v>xiaobo</v>
      </c>
      <c r="D3553" t="s">
        <v>12</v>
      </c>
      <c r="E3553">
        <v>58</v>
      </c>
    </row>
    <row r="3554" spans="1:5" x14ac:dyDescent="0.25">
      <c r="A3554">
        <v>3553</v>
      </c>
      <c r="B3554">
        <v>2371995</v>
      </c>
      <c r="C3554" s="1" t="str">
        <f>HYPERLINK("http://stackoverflow.com/users/2371995", "michaelyin")</f>
        <v>michaelyin</v>
      </c>
      <c r="D3554" t="s">
        <v>8</v>
      </c>
      <c r="E3554">
        <v>58</v>
      </c>
    </row>
    <row r="3555" spans="1:5" x14ac:dyDescent="0.25">
      <c r="A3555">
        <v>3554</v>
      </c>
      <c r="B3555">
        <v>1794126</v>
      </c>
      <c r="C3555" s="1" t="str">
        <f>HYPERLINK("http://stackoverflow.com/users/1794126", "GongT")</f>
        <v>GongT</v>
      </c>
      <c r="D3555" t="s">
        <v>5</v>
      </c>
      <c r="E3555">
        <v>58</v>
      </c>
    </row>
    <row r="3556" spans="1:5" x14ac:dyDescent="0.25">
      <c r="A3556">
        <v>3555</v>
      </c>
      <c r="B3556">
        <v>799471</v>
      </c>
      <c r="C3556" s="1" t="str">
        <f>HYPERLINK("http://stackoverflow.com/users/799471", "Bin Chen")</f>
        <v>Bin Chen</v>
      </c>
      <c r="D3556" t="s">
        <v>62</v>
      </c>
      <c r="E3556">
        <v>58</v>
      </c>
    </row>
    <row r="3557" spans="1:5" x14ac:dyDescent="0.25">
      <c r="A3557">
        <v>3556</v>
      </c>
      <c r="B3557">
        <v>2782426</v>
      </c>
      <c r="C3557" s="1" t="str">
        <f>HYPERLINK("http://stackoverflow.com/users/2782426", "imknown")</f>
        <v>imknown</v>
      </c>
      <c r="D3557" t="s">
        <v>74</v>
      </c>
      <c r="E3557">
        <v>58</v>
      </c>
    </row>
    <row r="3558" spans="1:5" x14ac:dyDescent="0.25">
      <c r="A3558">
        <v>3557</v>
      </c>
      <c r="B3558">
        <v>6786861</v>
      </c>
      <c r="C3558" s="1" t="str">
        <f>HYPERLINK("http://stackoverflow.com/users/6786861", "panshu")</f>
        <v>panshu</v>
      </c>
      <c r="D3558" t="s">
        <v>231</v>
      </c>
      <c r="E3558">
        <v>58</v>
      </c>
    </row>
    <row r="3559" spans="1:5" x14ac:dyDescent="0.25">
      <c r="A3559">
        <v>3558</v>
      </c>
      <c r="B3559">
        <v>3781502</v>
      </c>
      <c r="C3559" s="1" t="str">
        <f>HYPERLINK("http://stackoverflow.com/users/3781502", "Yuwei HE")</f>
        <v>Yuwei HE</v>
      </c>
      <c r="D3559" t="s">
        <v>4</v>
      </c>
      <c r="E3559">
        <v>58</v>
      </c>
    </row>
    <row r="3560" spans="1:5" x14ac:dyDescent="0.25">
      <c r="A3560">
        <v>3559</v>
      </c>
      <c r="B3560">
        <v>3282254</v>
      </c>
      <c r="C3560" s="1" t="str">
        <f>HYPERLINK("http://stackoverflow.com/users/3282254", "Huachao")</f>
        <v>Huachao</v>
      </c>
      <c r="D3560" t="s">
        <v>10</v>
      </c>
      <c r="E3560">
        <v>58</v>
      </c>
    </row>
    <row r="3561" spans="1:5" x14ac:dyDescent="0.25">
      <c r="A3561">
        <v>3560</v>
      </c>
      <c r="B3561">
        <v>1356799</v>
      </c>
      <c r="C3561" s="1" t="str">
        <f>HYPERLINK("http://stackoverflow.com/users/1356799", "lixing123")</f>
        <v>lixing123</v>
      </c>
      <c r="D3561" t="s">
        <v>37</v>
      </c>
      <c r="E3561">
        <v>58</v>
      </c>
    </row>
    <row r="3562" spans="1:5" x14ac:dyDescent="0.25">
      <c r="A3562">
        <v>3561</v>
      </c>
      <c r="B3562">
        <v>572235</v>
      </c>
      <c r="C3562" s="1" t="str">
        <f>HYPERLINK("http://stackoverflow.com/users/572235", "fubupc")</f>
        <v>fubupc</v>
      </c>
      <c r="D3562" t="s">
        <v>232</v>
      </c>
      <c r="E3562">
        <v>58</v>
      </c>
    </row>
    <row r="3563" spans="1:5" x14ac:dyDescent="0.25">
      <c r="A3563">
        <v>3562</v>
      </c>
      <c r="B3563">
        <v>8294738</v>
      </c>
      <c r="C3563" s="1" t="str">
        <f>HYPERLINK("http://stackoverflow.com/users/8294738", "romlym")</f>
        <v>romlym</v>
      </c>
      <c r="D3563" t="s">
        <v>4</v>
      </c>
      <c r="E3563">
        <v>58</v>
      </c>
    </row>
    <row r="3564" spans="1:5" x14ac:dyDescent="0.25">
      <c r="A3564">
        <v>3563</v>
      </c>
      <c r="B3564">
        <v>5221933</v>
      </c>
      <c r="C3564" s="1" t="str">
        <f>HYPERLINK("http://stackoverflow.com/users/5221933", "wuxue")</f>
        <v>wuxue</v>
      </c>
      <c r="D3564" t="s">
        <v>25</v>
      </c>
      <c r="E3564">
        <v>58</v>
      </c>
    </row>
    <row r="3565" spans="1:5" x14ac:dyDescent="0.25">
      <c r="A3565">
        <v>3564</v>
      </c>
      <c r="B3565">
        <v>3480359</v>
      </c>
      <c r="C3565" s="1" t="str">
        <f>HYPERLINK("http://stackoverflow.com/users/3480359", "geosmart")</f>
        <v>geosmart</v>
      </c>
      <c r="D3565" t="s">
        <v>16</v>
      </c>
      <c r="E3565">
        <v>58</v>
      </c>
    </row>
    <row r="3566" spans="1:5" x14ac:dyDescent="0.25">
      <c r="A3566">
        <v>3565</v>
      </c>
      <c r="B3566">
        <v>4715721</v>
      </c>
      <c r="C3566" s="1" t="str">
        <f>HYPERLINK("http://stackoverflow.com/users/4715721", "Jacket Chen")</f>
        <v>Jacket Chen</v>
      </c>
      <c r="D3566" t="s">
        <v>233</v>
      </c>
      <c r="E3566">
        <v>58</v>
      </c>
    </row>
    <row r="3567" spans="1:5" x14ac:dyDescent="0.25">
      <c r="A3567">
        <v>3566</v>
      </c>
      <c r="B3567">
        <v>497942</v>
      </c>
      <c r="C3567" s="1" t="str">
        <f>HYPERLINK("http://stackoverflow.com/users/497942", "Leo")</f>
        <v>Leo</v>
      </c>
      <c r="D3567" t="s">
        <v>5</v>
      </c>
      <c r="E3567">
        <v>58</v>
      </c>
    </row>
    <row r="3568" spans="1:5" x14ac:dyDescent="0.25">
      <c r="A3568">
        <v>3567</v>
      </c>
      <c r="B3568">
        <v>5506160</v>
      </c>
      <c r="C3568" s="1" t="str">
        <f>HYPERLINK("http://stackoverflow.com/users/5506160", "Yutao ZHU")</f>
        <v>Yutao ZHU</v>
      </c>
      <c r="D3568" t="s">
        <v>5</v>
      </c>
      <c r="E3568">
        <v>58</v>
      </c>
    </row>
    <row r="3569" spans="1:5" x14ac:dyDescent="0.25">
      <c r="A3569">
        <v>3568</v>
      </c>
      <c r="B3569">
        <v>2055528</v>
      </c>
      <c r="C3569" s="1" t="str">
        <f>HYPERLINK("http://stackoverflow.com/users/2055528", "Michal Kowalkowski")</f>
        <v>Michal Kowalkowski</v>
      </c>
      <c r="D3569" t="s">
        <v>4</v>
      </c>
      <c r="E3569">
        <v>58</v>
      </c>
    </row>
    <row r="3570" spans="1:5" x14ac:dyDescent="0.25">
      <c r="A3570">
        <v>3569</v>
      </c>
      <c r="B3570">
        <v>560135</v>
      </c>
      <c r="C3570" s="1" t="str">
        <f>HYPERLINK("http://stackoverflow.com/users/560135", "idy")</f>
        <v>idy</v>
      </c>
      <c r="D3570" t="s">
        <v>5</v>
      </c>
      <c r="E3570">
        <v>58</v>
      </c>
    </row>
    <row r="3571" spans="1:5" x14ac:dyDescent="0.25">
      <c r="A3571">
        <v>3570</v>
      </c>
      <c r="B3571">
        <v>217636</v>
      </c>
      <c r="C3571" s="1" t="str">
        <f>HYPERLINK("http://stackoverflow.com/users/217636", "Ben Benson")</f>
        <v>Ben Benson</v>
      </c>
      <c r="D3571" t="s">
        <v>5</v>
      </c>
      <c r="E3571">
        <v>58</v>
      </c>
    </row>
    <row r="3572" spans="1:5" x14ac:dyDescent="0.25">
      <c r="A3572">
        <v>3571</v>
      </c>
      <c r="B3572">
        <v>1001454</v>
      </c>
      <c r="C3572" s="1" t="str">
        <f>HYPERLINK("http://stackoverflow.com/users/1001454", "colordrops")</f>
        <v>colordrops</v>
      </c>
      <c r="D3572" t="s">
        <v>5</v>
      </c>
      <c r="E3572">
        <v>58</v>
      </c>
    </row>
    <row r="3573" spans="1:5" x14ac:dyDescent="0.25">
      <c r="A3573">
        <v>3572</v>
      </c>
      <c r="B3573">
        <v>2384452</v>
      </c>
      <c r="C3573" s="1" t="str">
        <f>HYPERLINK("http://stackoverflow.com/users/2384452", "vipygd")</f>
        <v>vipygd</v>
      </c>
      <c r="D3573" t="s">
        <v>35</v>
      </c>
      <c r="E3573">
        <v>58</v>
      </c>
    </row>
    <row r="3574" spans="1:5" x14ac:dyDescent="0.25">
      <c r="A3574">
        <v>3573</v>
      </c>
      <c r="B3574">
        <v>9164747</v>
      </c>
      <c r="C3574" s="1" t="str">
        <f>HYPERLINK("http://stackoverflow.com/users/9164747", "Yuan Ren")</f>
        <v>Yuan Ren</v>
      </c>
      <c r="D3574" t="s">
        <v>5</v>
      </c>
      <c r="E3574">
        <v>58</v>
      </c>
    </row>
    <row r="3575" spans="1:5" x14ac:dyDescent="0.25">
      <c r="A3575">
        <v>3574</v>
      </c>
      <c r="B3575">
        <v>322237</v>
      </c>
      <c r="C3575" s="1" t="str">
        <f>HYPERLINK("http://stackoverflow.com/users/322237", "Vincent")</f>
        <v>Vincent</v>
      </c>
      <c r="D3575" t="s">
        <v>13</v>
      </c>
      <c r="E3575">
        <v>58</v>
      </c>
    </row>
    <row r="3576" spans="1:5" x14ac:dyDescent="0.25">
      <c r="A3576">
        <v>3575</v>
      </c>
      <c r="B3576">
        <v>636143</v>
      </c>
      <c r="C3576" s="1" t="str">
        <f>HYPERLINK("http://stackoverflow.com/users/636143", "s6520643")</f>
        <v>s6520643</v>
      </c>
      <c r="D3576" t="s">
        <v>5</v>
      </c>
      <c r="E3576">
        <v>57</v>
      </c>
    </row>
    <row r="3577" spans="1:5" x14ac:dyDescent="0.25">
      <c r="A3577">
        <v>3576</v>
      </c>
      <c r="B3577">
        <v>2709662</v>
      </c>
      <c r="C3577" s="1" t="str">
        <f>HYPERLINK("http://stackoverflow.com/users/2709662", "Bruce Yang")</f>
        <v>Bruce Yang</v>
      </c>
      <c r="D3577" t="s">
        <v>5</v>
      </c>
      <c r="E3577">
        <v>57</v>
      </c>
    </row>
    <row r="3578" spans="1:5" x14ac:dyDescent="0.25">
      <c r="A3578">
        <v>3577</v>
      </c>
      <c r="B3578">
        <v>5230447</v>
      </c>
      <c r="C3578" s="1" t="str">
        <f>HYPERLINK("http://stackoverflow.com/users/5230447", "Creator")</f>
        <v>Creator</v>
      </c>
      <c r="D3578" t="s">
        <v>108</v>
      </c>
      <c r="E3578">
        <v>57</v>
      </c>
    </row>
    <row r="3579" spans="1:5" x14ac:dyDescent="0.25">
      <c r="A3579">
        <v>3578</v>
      </c>
      <c r="B3579">
        <v>6222535</v>
      </c>
      <c r="C3579" s="1" t="str">
        <f>HYPERLINK("http://stackoverflow.com/users/6222535", "Surmon")</f>
        <v>Surmon</v>
      </c>
      <c r="D3579" t="s">
        <v>131</v>
      </c>
      <c r="E3579">
        <v>57</v>
      </c>
    </row>
    <row r="3580" spans="1:5" x14ac:dyDescent="0.25">
      <c r="A3580">
        <v>3579</v>
      </c>
      <c r="B3580">
        <v>5980938</v>
      </c>
      <c r="C3580" s="1" t="str">
        <f>HYPERLINK("http://stackoverflow.com/users/5980938", "JingYi")</f>
        <v>JingYi</v>
      </c>
      <c r="D3580" t="s">
        <v>234</v>
      </c>
      <c r="E3580">
        <v>57</v>
      </c>
    </row>
    <row r="3581" spans="1:5" x14ac:dyDescent="0.25">
      <c r="A3581">
        <v>3580</v>
      </c>
      <c r="B3581">
        <v>658562</v>
      </c>
      <c r="C3581" s="1" t="str">
        <f>HYPERLINK("http://stackoverflow.com/users/658562", "schumyxp")</f>
        <v>schumyxp</v>
      </c>
      <c r="D3581" t="s">
        <v>5</v>
      </c>
      <c r="E3581">
        <v>57</v>
      </c>
    </row>
    <row r="3582" spans="1:5" x14ac:dyDescent="0.25">
      <c r="A3582">
        <v>3581</v>
      </c>
      <c r="B3582">
        <v>3212315</v>
      </c>
      <c r="C3582" s="1" t="str">
        <f>HYPERLINK("http://stackoverflow.com/users/3212315", "huangchang")</f>
        <v>huangchang</v>
      </c>
      <c r="D3582" t="s">
        <v>22</v>
      </c>
      <c r="E3582">
        <v>57</v>
      </c>
    </row>
    <row r="3583" spans="1:5" x14ac:dyDescent="0.25">
      <c r="A3583">
        <v>3582</v>
      </c>
      <c r="B3583">
        <v>788815</v>
      </c>
      <c r="C3583" s="1" t="str">
        <f>HYPERLINK("http://stackoverflow.com/users/788815", "rbbtsn0w")</f>
        <v>rbbtsn0w</v>
      </c>
      <c r="D3583" t="s">
        <v>17</v>
      </c>
      <c r="E3583">
        <v>57</v>
      </c>
    </row>
    <row r="3584" spans="1:5" x14ac:dyDescent="0.25">
      <c r="A3584">
        <v>3583</v>
      </c>
      <c r="B3584">
        <v>4745140</v>
      </c>
      <c r="C3584" s="1" t="str">
        <f>HYPERLINK("http://stackoverflow.com/users/4745140", "Ado")</f>
        <v>Ado</v>
      </c>
      <c r="D3584" t="s">
        <v>151</v>
      </c>
      <c r="E3584">
        <v>57</v>
      </c>
    </row>
    <row r="3585" spans="1:5" x14ac:dyDescent="0.25">
      <c r="A3585">
        <v>3584</v>
      </c>
      <c r="B3585">
        <v>10504079</v>
      </c>
      <c r="C3585" s="1" t="str">
        <f>HYPERLINK("http://stackoverflow.com/users/10504079", "IHav")</f>
        <v>IHav</v>
      </c>
      <c r="D3585" t="s">
        <v>235</v>
      </c>
      <c r="E3585">
        <v>57</v>
      </c>
    </row>
    <row r="3586" spans="1:5" x14ac:dyDescent="0.25">
      <c r="A3586">
        <v>3585</v>
      </c>
      <c r="B3586">
        <v>5125880</v>
      </c>
      <c r="C3586" s="1" t="str">
        <f>HYPERLINK("http://stackoverflow.com/users/5125880", "kai hello")</f>
        <v>kai hello</v>
      </c>
      <c r="D3586" t="s">
        <v>5</v>
      </c>
      <c r="E3586">
        <v>57</v>
      </c>
    </row>
    <row r="3587" spans="1:5" x14ac:dyDescent="0.25">
      <c r="A3587">
        <v>3586</v>
      </c>
      <c r="B3587">
        <v>6877790</v>
      </c>
      <c r="C3587" s="1" t="str">
        <f>HYPERLINK("http://stackoverflow.com/users/6877790", "artshakhov")</f>
        <v>artshakhov</v>
      </c>
      <c r="D3587" t="s">
        <v>236</v>
      </c>
      <c r="E3587">
        <v>57</v>
      </c>
    </row>
    <row r="3588" spans="1:5" x14ac:dyDescent="0.25">
      <c r="A3588">
        <v>3587</v>
      </c>
      <c r="B3588">
        <v>1400338</v>
      </c>
      <c r="C3588" s="1" t="str">
        <f>HYPERLINK("http://stackoverflow.com/users/1400338", "lyphoon")</f>
        <v>lyphoon</v>
      </c>
      <c r="D3588" t="s">
        <v>4</v>
      </c>
      <c r="E3588">
        <v>56</v>
      </c>
    </row>
    <row r="3589" spans="1:5" x14ac:dyDescent="0.25">
      <c r="A3589">
        <v>3588</v>
      </c>
      <c r="B3589">
        <v>4863390</v>
      </c>
      <c r="C3589" s="1" t="str">
        <f>HYPERLINK("http://stackoverflow.com/users/4863390", "Romain Xie")</f>
        <v>Romain Xie</v>
      </c>
      <c r="D3589" t="s">
        <v>5</v>
      </c>
      <c r="E3589">
        <v>56</v>
      </c>
    </row>
    <row r="3590" spans="1:5" x14ac:dyDescent="0.25">
      <c r="A3590">
        <v>3589</v>
      </c>
      <c r="B3590">
        <v>3056781</v>
      </c>
      <c r="C3590" s="1" t="str">
        <f>HYPERLINK("http://stackoverflow.com/users/3056781", "xsir317")</f>
        <v>xsir317</v>
      </c>
      <c r="D3590" t="s">
        <v>4</v>
      </c>
      <c r="E3590">
        <v>56</v>
      </c>
    </row>
    <row r="3591" spans="1:5" x14ac:dyDescent="0.25">
      <c r="A3591">
        <v>3590</v>
      </c>
      <c r="B3591">
        <v>1072555</v>
      </c>
      <c r="C3591" s="1" t="str">
        <f>HYPERLINK("http://stackoverflow.com/users/1072555", "doulbe__song")</f>
        <v>doulbe__song</v>
      </c>
      <c r="D3591" t="s">
        <v>5</v>
      </c>
      <c r="E3591">
        <v>56</v>
      </c>
    </row>
    <row r="3592" spans="1:5" x14ac:dyDescent="0.25">
      <c r="A3592">
        <v>3591</v>
      </c>
      <c r="B3592">
        <v>772405</v>
      </c>
      <c r="C3592" s="1" t="str">
        <f>HYPERLINK("http://stackoverflow.com/users/772405", "diecui1202")</f>
        <v>diecui1202</v>
      </c>
      <c r="D3592" t="s">
        <v>83</v>
      </c>
      <c r="E3592">
        <v>56</v>
      </c>
    </row>
    <row r="3593" spans="1:5" x14ac:dyDescent="0.25">
      <c r="A3593">
        <v>3592</v>
      </c>
      <c r="B3593">
        <v>330734</v>
      </c>
      <c r="C3593" s="1" t="str">
        <f>HYPERLINK("http://stackoverflow.com/users/330734", "daisy")</f>
        <v>daisy</v>
      </c>
      <c r="D3593" t="s">
        <v>5</v>
      </c>
      <c r="E3593">
        <v>56</v>
      </c>
    </row>
    <row r="3594" spans="1:5" x14ac:dyDescent="0.25">
      <c r="A3594">
        <v>3593</v>
      </c>
      <c r="B3594">
        <v>4025852</v>
      </c>
      <c r="C3594" s="1" t="str">
        <f>HYPERLINK("http://stackoverflow.com/users/4025852", "Kevin Shen")</f>
        <v>Kevin Shen</v>
      </c>
      <c r="D3594" t="s">
        <v>5</v>
      </c>
      <c r="E3594">
        <v>56</v>
      </c>
    </row>
    <row r="3595" spans="1:5" x14ac:dyDescent="0.25">
      <c r="A3595">
        <v>3594</v>
      </c>
      <c r="B3595">
        <v>782987</v>
      </c>
      <c r="C3595" s="1" t="str">
        <f>HYPERLINK("http://stackoverflow.com/users/782987", "someok")</f>
        <v>someok</v>
      </c>
      <c r="D3595" t="s">
        <v>4</v>
      </c>
      <c r="E3595">
        <v>56</v>
      </c>
    </row>
    <row r="3596" spans="1:5" x14ac:dyDescent="0.25">
      <c r="A3596">
        <v>3595</v>
      </c>
      <c r="B3596">
        <v>373825</v>
      </c>
      <c r="C3596" s="1" t="str">
        <f>HYPERLINK("http://stackoverflow.com/users/373825", "Blindsniper")</f>
        <v>Blindsniper</v>
      </c>
      <c r="D3596" t="s">
        <v>22</v>
      </c>
      <c r="E3596">
        <v>56</v>
      </c>
    </row>
    <row r="3597" spans="1:5" x14ac:dyDescent="0.25">
      <c r="A3597">
        <v>3596</v>
      </c>
      <c r="B3597">
        <v>414846</v>
      </c>
      <c r="C3597" s="1" t="str">
        <f>HYPERLINK("http://stackoverflow.com/users/414846", "AnkyHe")</f>
        <v>AnkyHe</v>
      </c>
      <c r="D3597" t="s">
        <v>5</v>
      </c>
      <c r="E3597">
        <v>56</v>
      </c>
    </row>
    <row r="3598" spans="1:5" x14ac:dyDescent="0.25">
      <c r="A3598">
        <v>3597</v>
      </c>
      <c r="B3598">
        <v>4323853</v>
      </c>
      <c r="C3598" s="1" t="str">
        <f>HYPERLINK("http://stackoverflow.com/users/4323853", "zsx")</f>
        <v>zsx</v>
      </c>
      <c r="D3598" t="s">
        <v>96</v>
      </c>
      <c r="E3598">
        <v>56</v>
      </c>
    </row>
    <row r="3599" spans="1:5" x14ac:dyDescent="0.25">
      <c r="A3599">
        <v>3598</v>
      </c>
      <c r="B3599">
        <v>6132641</v>
      </c>
      <c r="C3599" s="1" t="str">
        <f>HYPERLINK("http://stackoverflow.com/users/6132641", "yuan zhao")</f>
        <v>yuan zhao</v>
      </c>
      <c r="D3599" t="s">
        <v>37</v>
      </c>
      <c r="E3599">
        <v>56</v>
      </c>
    </row>
    <row r="3600" spans="1:5" x14ac:dyDescent="0.25">
      <c r="A3600">
        <v>3599</v>
      </c>
      <c r="B3600">
        <v>3039949</v>
      </c>
      <c r="C3600" s="1" t="str">
        <f>HYPERLINK("http://stackoverflow.com/users/3039949", "Wenbo Zhang")</f>
        <v>Wenbo Zhang</v>
      </c>
      <c r="D3600" t="s">
        <v>130</v>
      </c>
      <c r="E3600">
        <v>56</v>
      </c>
    </row>
    <row r="3601" spans="1:5" x14ac:dyDescent="0.25">
      <c r="A3601">
        <v>3600</v>
      </c>
      <c r="B3601">
        <v>9037114</v>
      </c>
      <c r="C3601" s="1" t="str">
        <f>HYPERLINK("http://stackoverflow.com/users/9037114", "Tiny")</f>
        <v>Tiny</v>
      </c>
      <c r="D3601" t="s">
        <v>7</v>
      </c>
      <c r="E3601">
        <v>56</v>
      </c>
    </row>
    <row r="3602" spans="1:5" x14ac:dyDescent="0.25">
      <c r="A3602">
        <v>3601</v>
      </c>
      <c r="B3602">
        <v>1698949</v>
      </c>
      <c r="C3602" s="1" t="str">
        <f>HYPERLINK("http://stackoverflow.com/users/1698949", "d_yang")</f>
        <v>d_yang</v>
      </c>
      <c r="D3602" t="s">
        <v>31</v>
      </c>
      <c r="E3602">
        <v>56</v>
      </c>
    </row>
    <row r="3603" spans="1:5" x14ac:dyDescent="0.25">
      <c r="A3603">
        <v>3602</v>
      </c>
      <c r="B3603">
        <v>5427231</v>
      </c>
      <c r="C3603" s="1" t="str">
        <f>HYPERLINK("http://stackoverflow.com/users/5427231", "Tone Ago")</f>
        <v>Tone Ago</v>
      </c>
      <c r="D3603" t="s">
        <v>12</v>
      </c>
      <c r="E3603">
        <v>56</v>
      </c>
    </row>
    <row r="3604" spans="1:5" x14ac:dyDescent="0.25">
      <c r="A3604">
        <v>3603</v>
      </c>
      <c r="B3604">
        <v>1909090</v>
      </c>
      <c r="C3604" s="1" t="str">
        <f>HYPERLINK("http://stackoverflow.com/users/1909090", "magicpanda")</f>
        <v>magicpanda</v>
      </c>
      <c r="D3604" t="s">
        <v>5</v>
      </c>
      <c r="E3604">
        <v>56</v>
      </c>
    </row>
    <row r="3605" spans="1:5" x14ac:dyDescent="0.25">
      <c r="A3605">
        <v>3604</v>
      </c>
      <c r="B3605">
        <v>7647289</v>
      </c>
      <c r="C3605" s="1" t="str">
        <f>HYPERLINK("http://stackoverflow.com/users/7647289", "qnnnnez")</f>
        <v>qnnnnez</v>
      </c>
      <c r="D3605" t="s">
        <v>108</v>
      </c>
      <c r="E3605">
        <v>56</v>
      </c>
    </row>
    <row r="3606" spans="1:5" x14ac:dyDescent="0.25">
      <c r="A3606">
        <v>3605</v>
      </c>
      <c r="B3606">
        <v>5082754</v>
      </c>
      <c r="C3606" s="1" t="str">
        <f>HYPERLINK("http://stackoverflow.com/users/5082754", "yuzhen")</f>
        <v>yuzhen</v>
      </c>
      <c r="D3606" t="s">
        <v>7</v>
      </c>
      <c r="E3606">
        <v>56</v>
      </c>
    </row>
    <row r="3607" spans="1:5" x14ac:dyDescent="0.25">
      <c r="A3607">
        <v>3606</v>
      </c>
      <c r="B3607">
        <v>1432162</v>
      </c>
      <c r="C3607" s="1" t="str">
        <f>HYPERLINK("http://stackoverflow.com/users/1432162", "parachvte")</f>
        <v>parachvte</v>
      </c>
      <c r="D3607" t="s">
        <v>7</v>
      </c>
      <c r="E3607">
        <v>56</v>
      </c>
    </row>
    <row r="3608" spans="1:5" x14ac:dyDescent="0.25">
      <c r="A3608">
        <v>3607</v>
      </c>
      <c r="B3608">
        <v>5179402</v>
      </c>
      <c r="C3608" s="1" t="str">
        <f>HYPERLINK("http://stackoverflow.com/users/5179402", "cheng10")</f>
        <v>cheng10</v>
      </c>
      <c r="D3608" t="s">
        <v>55</v>
      </c>
      <c r="E3608">
        <v>56</v>
      </c>
    </row>
    <row r="3609" spans="1:5" x14ac:dyDescent="0.25">
      <c r="A3609">
        <v>3608</v>
      </c>
      <c r="B3609">
        <v>6935861</v>
      </c>
      <c r="C3609" s="1" t="str">
        <f>HYPERLINK("http://stackoverflow.com/users/6935861", "Byron")</f>
        <v>Byron</v>
      </c>
      <c r="D3609" t="s">
        <v>16</v>
      </c>
      <c r="E3609">
        <v>56</v>
      </c>
    </row>
    <row r="3610" spans="1:5" x14ac:dyDescent="0.25">
      <c r="A3610">
        <v>3609</v>
      </c>
      <c r="B3610">
        <v>7203909</v>
      </c>
      <c r="C3610" s="1" t="str">
        <f>HYPERLINK("http://stackoverflow.com/users/7203909", "diberium")</f>
        <v>diberium</v>
      </c>
      <c r="D3610" t="s">
        <v>4</v>
      </c>
      <c r="E3610">
        <v>56</v>
      </c>
    </row>
    <row r="3611" spans="1:5" x14ac:dyDescent="0.25">
      <c r="A3611">
        <v>3610</v>
      </c>
      <c r="B3611">
        <v>960233</v>
      </c>
      <c r="C3611" s="1" t="str">
        <f>HYPERLINK("http://stackoverflow.com/users/960233", "xianyu")</f>
        <v>xianyu</v>
      </c>
      <c r="D3611" t="s">
        <v>12</v>
      </c>
      <c r="E3611">
        <v>56</v>
      </c>
    </row>
    <row r="3612" spans="1:5" x14ac:dyDescent="0.25">
      <c r="A3612">
        <v>3611</v>
      </c>
      <c r="B3612">
        <v>2790574</v>
      </c>
      <c r="C3612" s="1" t="str">
        <f>HYPERLINK("http://stackoverflow.com/users/2790574", "GeekPlux")</f>
        <v>GeekPlux</v>
      </c>
      <c r="D3612" t="s">
        <v>16</v>
      </c>
      <c r="E3612">
        <v>56</v>
      </c>
    </row>
    <row r="3613" spans="1:5" x14ac:dyDescent="0.25">
      <c r="A3613">
        <v>3612</v>
      </c>
      <c r="B3613">
        <v>6112580</v>
      </c>
      <c r="C3613" s="1" t="str">
        <f>HYPERLINK("http://stackoverflow.com/users/6112580", "Eric Zhou")</f>
        <v>Eric Zhou</v>
      </c>
      <c r="D3613" t="s">
        <v>52</v>
      </c>
      <c r="E3613">
        <v>56</v>
      </c>
    </row>
    <row r="3614" spans="1:5" x14ac:dyDescent="0.25">
      <c r="A3614">
        <v>3613</v>
      </c>
      <c r="B3614">
        <v>7321759</v>
      </c>
      <c r="C3614" s="1" t="str">
        <f>HYPERLINK("http://stackoverflow.com/users/7321759", "Ian.Wu")</f>
        <v>Ian.Wu</v>
      </c>
      <c r="D3614" t="s">
        <v>42</v>
      </c>
      <c r="E3614">
        <v>56</v>
      </c>
    </row>
    <row r="3615" spans="1:5" x14ac:dyDescent="0.25">
      <c r="A3615">
        <v>3614</v>
      </c>
      <c r="B3615">
        <v>11280381</v>
      </c>
      <c r="C3615" s="1" t="str">
        <f>HYPERLINK("http://stackoverflow.com/users/11280381", "juster zhu")</f>
        <v>juster zhu</v>
      </c>
      <c r="D3615" t="s">
        <v>4</v>
      </c>
      <c r="E3615">
        <v>56</v>
      </c>
    </row>
    <row r="3616" spans="1:5" x14ac:dyDescent="0.25">
      <c r="A3616">
        <v>3615</v>
      </c>
      <c r="B3616">
        <v>2398838</v>
      </c>
      <c r="C3616" s="1" t="str">
        <f>HYPERLINK("http://stackoverflow.com/users/2398838", "Mike Fischer")</f>
        <v>Mike Fischer</v>
      </c>
      <c r="D3616" t="s">
        <v>5</v>
      </c>
      <c r="E3616">
        <v>56</v>
      </c>
    </row>
    <row r="3617" spans="1:5" x14ac:dyDescent="0.25">
      <c r="A3617">
        <v>3616</v>
      </c>
      <c r="B3617">
        <v>10068755</v>
      </c>
      <c r="C3617" s="1" t="str">
        <f>HYPERLINK("http://stackoverflow.com/users/10068755", "Frost-Lee")</f>
        <v>Frost-Lee</v>
      </c>
      <c r="D3617" t="s">
        <v>237</v>
      </c>
      <c r="E3617">
        <v>56</v>
      </c>
    </row>
    <row r="3618" spans="1:5" x14ac:dyDescent="0.25">
      <c r="A3618">
        <v>3617</v>
      </c>
      <c r="B3618">
        <v>5307292</v>
      </c>
      <c r="C3618" s="1" t="str">
        <f>HYPERLINK("http://stackoverflow.com/users/5307292", "Atvoid")</f>
        <v>Atvoid</v>
      </c>
      <c r="D3618" t="s">
        <v>4</v>
      </c>
      <c r="E3618">
        <v>56</v>
      </c>
    </row>
    <row r="3619" spans="1:5" x14ac:dyDescent="0.25">
      <c r="A3619">
        <v>3618</v>
      </c>
      <c r="B3619">
        <v>1828832</v>
      </c>
      <c r="C3619" s="1" t="str">
        <f>HYPERLINK("http://stackoverflow.com/users/1828832", "HunkD")</f>
        <v>HunkD</v>
      </c>
      <c r="D3619" t="s">
        <v>4</v>
      </c>
      <c r="E3619">
        <v>56</v>
      </c>
    </row>
    <row r="3620" spans="1:5" x14ac:dyDescent="0.25">
      <c r="A3620">
        <v>3619</v>
      </c>
      <c r="B3620">
        <v>5674002</v>
      </c>
      <c r="C3620" s="1" t="str">
        <f>HYPERLINK("http://stackoverflow.com/users/5674002", "RickShao")</f>
        <v>RickShao</v>
      </c>
      <c r="D3620" t="s">
        <v>4</v>
      </c>
      <c r="E3620">
        <v>56</v>
      </c>
    </row>
    <row r="3621" spans="1:5" x14ac:dyDescent="0.25">
      <c r="A3621">
        <v>3620</v>
      </c>
      <c r="B3621">
        <v>2672470</v>
      </c>
      <c r="C3621" s="1" t="str">
        <f>HYPERLINK("http://stackoverflow.com/users/2672470", "Chin Tsao")</f>
        <v>Chin Tsao</v>
      </c>
      <c r="D3621" t="s">
        <v>12</v>
      </c>
      <c r="E3621">
        <v>56</v>
      </c>
    </row>
    <row r="3622" spans="1:5" x14ac:dyDescent="0.25">
      <c r="A3622">
        <v>3621</v>
      </c>
      <c r="B3622">
        <v>2427029</v>
      </c>
      <c r="C3622" s="1" t="str">
        <f>HYPERLINK("http://stackoverflow.com/users/2427029", "Renguang Dong")</f>
        <v>Renguang Dong</v>
      </c>
      <c r="D3622" t="s">
        <v>37</v>
      </c>
      <c r="E3622">
        <v>56</v>
      </c>
    </row>
    <row r="3623" spans="1:5" x14ac:dyDescent="0.25">
      <c r="A3623">
        <v>3622</v>
      </c>
      <c r="B3623">
        <v>4635913</v>
      </c>
      <c r="C3623" s="1" t="str">
        <f>HYPERLINK("http://stackoverflow.com/users/4635913", "ClaireWang")</f>
        <v>ClaireWang</v>
      </c>
      <c r="D3623" t="s">
        <v>238</v>
      </c>
      <c r="E3623">
        <v>56</v>
      </c>
    </row>
    <row r="3624" spans="1:5" x14ac:dyDescent="0.25">
      <c r="A3624">
        <v>3623</v>
      </c>
      <c r="B3624">
        <v>758522</v>
      </c>
      <c r="C3624" s="1" t="str">
        <f>HYPERLINK("http://stackoverflow.com/users/758522", "Liu Yongtai")</f>
        <v>Liu Yongtai</v>
      </c>
      <c r="D3624" t="s">
        <v>56</v>
      </c>
      <c r="E3624">
        <v>56</v>
      </c>
    </row>
    <row r="3625" spans="1:5" x14ac:dyDescent="0.25">
      <c r="A3625">
        <v>3624</v>
      </c>
      <c r="B3625">
        <v>1688958</v>
      </c>
      <c r="C3625" s="1" t="str">
        <f>HYPERLINK("http://stackoverflow.com/users/1688958", "JoeWoo")</f>
        <v>JoeWoo</v>
      </c>
      <c r="D3625" t="s">
        <v>56</v>
      </c>
      <c r="E3625">
        <v>56</v>
      </c>
    </row>
    <row r="3626" spans="1:5" x14ac:dyDescent="0.25">
      <c r="A3626">
        <v>3625</v>
      </c>
      <c r="B3626">
        <v>1237163</v>
      </c>
      <c r="C3626" s="1" t="str">
        <f>HYPERLINK("http://stackoverflow.com/users/1237163", "froyohuang")</f>
        <v>froyohuang</v>
      </c>
      <c r="D3626" t="s">
        <v>17</v>
      </c>
      <c r="E3626">
        <v>56</v>
      </c>
    </row>
    <row r="3627" spans="1:5" x14ac:dyDescent="0.25">
      <c r="A3627">
        <v>3626</v>
      </c>
      <c r="B3627">
        <v>6250755</v>
      </c>
      <c r="C3627" s="1" t="str">
        <f>HYPERLINK("http://stackoverflow.com/users/6250755", "Jimmy Ng")</f>
        <v>Jimmy Ng</v>
      </c>
      <c r="D3627" t="s">
        <v>25</v>
      </c>
      <c r="E3627">
        <v>56</v>
      </c>
    </row>
    <row r="3628" spans="1:5" x14ac:dyDescent="0.25">
      <c r="A3628">
        <v>3627</v>
      </c>
      <c r="B3628">
        <v>1520244</v>
      </c>
      <c r="C3628" s="1" t="str">
        <f>HYPERLINK("http://stackoverflow.com/users/1520244", "Hongliang")</f>
        <v>Hongliang</v>
      </c>
      <c r="D3628" t="s">
        <v>5</v>
      </c>
      <c r="E3628">
        <v>56</v>
      </c>
    </row>
    <row r="3629" spans="1:5" x14ac:dyDescent="0.25">
      <c r="A3629">
        <v>3628</v>
      </c>
      <c r="B3629">
        <v>1113070</v>
      </c>
      <c r="C3629" s="1" t="str">
        <f>HYPERLINK("http://stackoverflow.com/users/1113070", "Ray Chen")</f>
        <v>Ray Chen</v>
      </c>
      <c r="D3629" t="s">
        <v>12</v>
      </c>
      <c r="E3629">
        <v>56</v>
      </c>
    </row>
    <row r="3630" spans="1:5" x14ac:dyDescent="0.25">
      <c r="A3630">
        <v>3629</v>
      </c>
      <c r="B3630">
        <v>2042350</v>
      </c>
      <c r="C3630" s="1" t="str">
        <f>HYPERLINK("http://stackoverflow.com/users/2042350", "Null Pointer")</f>
        <v>Null Pointer</v>
      </c>
      <c r="D3630" t="s">
        <v>4</v>
      </c>
      <c r="E3630">
        <v>56</v>
      </c>
    </row>
    <row r="3631" spans="1:5" x14ac:dyDescent="0.25">
      <c r="A3631">
        <v>3630</v>
      </c>
      <c r="B3631">
        <v>2899001</v>
      </c>
      <c r="C3631" s="1" t="str">
        <f>HYPERLINK("http://stackoverflow.com/users/2899001", "Ruslan Dautov")</f>
        <v>Ruslan Dautov</v>
      </c>
      <c r="D3631" t="s">
        <v>7</v>
      </c>
      <c r="E3631">
        <v>55</v>
      </c>
    </row>
    <row r="3632" spans="1:5" x14ac:dyDescent="0.25">
      <c r="A3632">
        <v>3631</v>
      </c>
      <c r="B3632">
        <v>1284016</v>
      </c>
      <c r="C3632" s="1" t="str">
        <f>HYPERLINK("http://stackoverflow.com/users/1284016", "goofy")</f>
        <v>goofy</v>
      </c>
      <c r="D3632" t="s">
        <v>4</v>
      </c>
      <c r="E3632">
        <v>55</v>
      </c>
    </row>
    <row r="3633" spans="1:5" x14ac:dyDescent="0.25">
      <c r="A3633">
        <v>3632</v>
      </c>
      <c r="B3633">
        <v>4786081</v>
      </c>
      <c r="C3633" s="1" t="str">
        <f>HYPERLINK("http://stackoverflow.com/users/4786081", "Zander Zhang")</f>
        <v>Zander Zhang</v>
      </c>
      <c r="D3633" t="s">
        <v>17</v>
      </c>
      <c r="E3633">
        <v>55</v>
      </c>
    </row>
    <row r="3634" spans="1:5" x14ac:dyDescent="0.25">
      <c r="A3634">
        <v>3633</v>
      </c>
      <c r="B3634">
        <v>8299527</v>
      </c>
      <c r="C3634" s="1" t="str">
        <f>HYPERLINK("http://stackoverflow.com/users/8299527", "Jiachuan Li")</f>
        <v>Jiachuan Li</v>
      </c>
      <c r="D3634" t="s">
        <v>74</v>
      </c>
      <c r="E3634">
        <v>55</v>
      </c>
    </row>
    <row r="3635" spans="1:5" x14ac:dyDescent="0.25">
      <c r="A3635">
        <v>3634</v>
      </c>
      <c r="B3635">
        <v>1565740</v>
      </c>
      <c r="C3635" s="1" t="str">
        <f>HYPERLINK("http://stackoverflow.com/users/1565740", "BuG.BS")</f>
        <v>BuG.BS</v>
      </c>
      <c r="D3635" t="s">
        <v>4</v>
      </c>
      <c r="E3635">
        <v>55</v>
      </c>
    </row>
    <row r="3636" spans="1:5" x14ac:dyDescent="0.25">
      <c r="A3636">
        <v>3635</v>
      </c>
      <c r="B3636">
        <v>1517771</v>
      </c>
      <c r="C3636" s="1" t="str">
        <f>HYPERLINK("http://stackoverflow.com/users/1517771", "Eric Xu")</f>
        <v>Eric Xu</v>
      </c>
      <c r="D3636" t="s">
        <v>4</v>
      </c>
      <c r="E3636">
        <v>55</v>
      </c>
    </row>
    <row r="3637" spans="1:5" x14ac:dyDescent="0.25">
      <c r="A3637">
        <v>3636</v>
      </c>
      <c r="B3637">
        <v>5742688</v>
      </c>
      <c r="C3637" s="1" t="str">
        <f>HYPERLINK("http://stackoverflow.com/users/5742688", "a2htray yuen")</f>
        <v>a2htray yuen</v>
      </c>
      <c r="D3637" t="s">
        <v>7</v>
      </c>
      <c r="E3637">
        <v>55</v>
      </c>
    </row>
    <row r="3638" spans="1:5" x14ac:dyDescent="0.25">
      <c r="A3638">
        <v>3637</v>
      </c>
      <c r="B3638">
        <v>7620879</v>
      </c>
      <c r="C3638" s="1" t="str">
        <f>HYPERLINK("http://stackoverflow.com/users/7620879", "Mikhail Belousov")</f>
        <v>Mikhail Belousov</v>
      </c>
      <c r="D3638" t="s">
        <v>5</v>
      </c>
      <c r="E3638">
        <v>55</v>
      </c>
    </row>
    <row r="3639" spans="1:5" x14ac:dyDescent="0.25">
      <c r="A3639">
        <v>3638</v>
      </c>
      <c r="B3639">
        <v>7434283</v>
      </c>
      <c r="C3639" s="1" t="str">
        <f>HYPERLINK("http://stackoverflow.com/users/7434283", "T.Arthur")</f>
        <v>T.Arthur</v>
      </c>
      <c r="D3639" t="s">
        <v>175</v>
      </c>
      <c r="E3639">
        <v>55</v>
      </c>
    </row>
    <row r="3640" spans="1:5" x14ac:dyDescent="0.25">
      <c r="A3640">
        <v>3639</v>
      </c>
      <c r="B3640">
        <v>5698182</v>
      </c>
      <c r="C3640" s="1" t="str">
        <f>HYPERLINK("http://stackoverflow.com/users/5698182", "PuiMan Cheui")</f>
        <v>PuiMan Cheui</v>
      </c>
      <c r="D3640" t="s">
        <v>239</v>
      </c>
      <c r="E3640">
        <v>55</v>
      </c>
    </row>
    <row r="3641" spans="1:5" x14ac:dyDescent="0.25">
      <c r="A3641">
        <v>3640</v>
      </c>
      <c r="B3641">
        <v>7997241</v>
      </c>
      <c r="C3641" s="1" t="str">
        <f>HYPERLINK("http://stackoverflow.com/users/7997241", "mt eee")</f>
        <v>mt eee</v>
      </c>
      <c r="D3641" t="s">
        <v>28</v>
      </c>
      <c r="E3641">
        <v>55</v>
      </c>
    </row>
    <row r="3642" spans="1:5" x14ac:dyDescent="0.25">
      <c r="A3642">
        <v>3641</v>
      </c>
      <c r="B3642">
        <v>703372</v>
      </c>
      <c r="C3642" s="1" t="str">
        <f>HYPERLINK("http://stackoverflow.com/users/703372", "ShunnarMeng")</f>
        <v>ShunnarMeng</v>
      </c>
      <c r="D3642" t="s">
        <v>17</v>
      </c>
      <c r="E3642">
        <v>55</v>
      </c>
    </row>
    <row r="3643" spans="1:5" x14ac:dyDescent="0.25">
      <c r="A3643">
        <v>3642</v>
      </c>
      <c r="B3643">
        <v>687394</v>
      </c>
      <c r="C3643" s="1" t="str">
        <f>HYPERLINK("http://stackoverflow.com/users/687394", "vicancy")</f>
        <v>vicancy</v>
      </c>
      <c r="D3643" t="s">
        <v>4</v>
      </c>
      <c r="E3643">
        <v>55</v>
      </c>
    </row>
    <row r="3644" spans="1:5" x14ac:dyDescent="0.25">
      <c r="A3644">
        <v>3643</v>
      </c>
      <c r="B3644">
        <v>500458</v>
      </c>
      <c r="C3644" s="1" t="str">
        <f>HYPERLINK("http://stackoverflow.com/users/500458", "Zhongwei Sun")</f>
        <v>Zhongwei Sun</v>
      </c>
      <c r="D3644" t="s">
        <v>240</v>
      </c>
      <c r="E3644">
        <v>55</v>
      </c>
    </row>
    <row r="3645" spans="1:5" x14ac:dyDescent="0.25">
      <c r="A3645">
        <v>3644</v>
      </c>
      <c r="B3645">
        <v>3492989</v>
      </c>
      <c r="C3645" s="1" t="str">
        <f>HYPERLINK("http://stackoverflow.com/users/3492989", "kevin")</f>
        <v>kevin</v>
      </c>
      <c r="D3645" t="s">
        <v>4</v>
      </c>
      <c r="E3645">
        <v>55</v>
      </c>
    </row>
    <row r="3646" spans="1:5" x14ac:dyDescent="0.25">
      <c r="A3646">
        <v>3645</v>
      </c>
      <c r="B3646">
        <v>1462707</v>
      </c>
      <c r="C3646" s="1" t="str">
        <f>HYPERLINK("http://stackoverflow.com/users/1462707", "Greg")</f>
        <v>Greg</v>
      </c>
      <c r="D3646" t="s">
        <v>8</v>
      </c>
      <c r="E3646">
        <v>55</v>
      </c>
    </row>
    <row r="3647" spans="1:5" x14ac:dyDescent="0.25">
      <c r="A3647">
        <v>3646</v>
      </c>
      <c r="B3647">
        <v>2693651</v>
      </c>
      <c r="C3647" s="1" t="str">
        <f>HYPERLINK("http://stackoverflow.com/users/2693651", "Jack Xu")</f>
        <v>Jack Xu</v>
      </c>
      <c r="D3647" t="s">
        <v>12</v>
      </c>
      <c r="E3647">
        <v>55</v>
      </c>
    </row>
    <row r="3648" spans="1:5" x14ac:dyDescent="0.25">
      <c r="A3648">
        <v>3647</v>
      </c>
      <c r="B3648">
        <v>1768451</v>
      </c>
      <c r="C3648" s="1" t="str">
        <f>HYPERLINK("http://stackoverflow.com/users/1768451", "Jack Zhou")</f>
        <v>Jack Zhou</v>
      </c>
      <c r="D3648" t="s">
        <v>7</v>
      </c>
      <c r="E3648">
        <v>55</v>
      </c>
    </row>
    <row r="3649" spans="1:5" x14ac:dyDescent="0.25">
      <c r="A3649">
        <v>3648</v>
      </c>
      <c r="B3649">
        <v>8530145</v>
      </c>
      <c r="C3649" s="1" t="str">
        <f>HYPERLINK("http://stackoverflow.com/users/8530145", "Loic")</f>
        <v>Loic</v>
      </c>
      <c r="D3649" t="s">
        <v>4</v>
      </c>
      <c r="E3649">
        <v>55</v>
      </c>
    </row>
    <row r="3650" spans="1:5" x14ac:dyDescent="0.25">
      <c r="A3650">
        <v>3649</v>
      </c>
      <c r="B3650">
        <v>1263275</v>
      </c>
      <c r="C3650" s="1" t="str">
        <f>HYPERLINK("http://stackoverflow.com/users/1263275", "lzj509649444")</f>
        <v>lzj509649444</v>
      </c>
      <c r="D3650" t="s">
        <v>5</v>
      </c>
      <c r="E3650">
        <v>55</v>
      </c>
    </row>
    <row r="3651" spans="1:5" x14ac:dyDescent="0.25">
      <c r="A3651">
        <v>3650</v>
      </c>
      <c r="B3651">
        <v>5159179</v>
      </c>
      <c r="C3651" s="1" t="str">
        <f>HYPERLINK("http://stackoverflow.com/users/5159179", "Ernie")</f>
        <v>Ernie</v>
      </c>
      <c r="D3651" t="s">
        <v>18</v>
      </c>
      <c r="E3651">
        <v>55</v>
      </c>
    </row>
    <row r="3652" spans="1:5" x14ac:dyDescent="0.25">
      <c r="A3652">
        <v>3651</v>
      </c>
      <c r="B3652">
        <v>2647747</v>
      </c>
      <c r="C3652" s="1" t="str">
        <f>HYPERLINK("http://stackoverflow.com/users/2647747", "SpadeAce")</f>
        <v>SpadeAce</v>
      </c>
      <c r="D3652" t="s">
        <v>5</v>
      </c>
      <c r="E3652">
        <v>54</v>
      </c>
    </row>
    <row r="3653" spans="1:5" x14ac:dyDescent="0.25">
      <c r="A3653">
        <v>3652</v>
      </c>
      <c r="B3653">
        <v>372751</v>
      </c>
      <c r="C3653" s="1" t="str">
        <f>HYPERLINK("http://stackoverflow.com/users/372751", "store88")</f>
        <v>store88</v>
      </c>
      <c r="D3653" t="s">
        <v>12</v>
      </c>
      <c r="E3653">
        <v>54</v>
      </c>
    </row>
    <row r="3654" spans="1:5" x14ac:dyDescent="0.25">
      <c r="A3654">
        <v>3653</v>
      </c>
      <c r="B3654">
        <v>5320451</v>
      </c>
      <c r="C3654" s="1" t="str">
        <f>HYPERLINK("http://stackoverflow.com/users/5320451", "Zhiyang.Zhang")</f>
        <v>Zhiyang.Zhang</v>
      </c>
      <c r="D3654" t="s">
        <v>4</v>
      </c>
      <c r="E3654">
        <v>54</v>
      </c>
    </row>
    <row r="3655" spans="1:5" x14ac:dyDescent="0.25">
      <c r="A3655">
        <v>3654</v>
      </c>
      <c r="B3655">
        <v>1986105</v>
      </c>
      <c r="C3655" s="1" t="str">
        <f>HYPERLINK("http://stackoverflow.com/users/1986105", "KingsOfTechENG")</f>
        <v>KingsOfTechENG</v>
      </c>
      <c r="D3655" t="s">
        <v>22</v>
      </c>
      <c r="E3655">
        <v>54</v>
      </c>
    </row>
    <row r="3656" spans="1:5" x14ac:dyDescent="0.25">
      <c r="A3656">
        <v>3655</v>
      </c>
      <c r="B3656">
        <v>5698862</v>
      </c>
      <c r="C3656" s="1" t="str">
        <f>HYPERLINK("http://stackoverflow.com/users/5698862", "lucarlig")</f>
        <v>lucarlig</v>
      </c>
      <c r="D3656" t="s">
        <v>55</v>
      </c>
      <c r="E3656">
        <v>54</v>
      </c>
    </row>
    <row r="3657" spans="1:5" x14ac:dyDescent="0.25">
      <c r="A3657">
        <v>3656</v>
      </c>
      <c r="B3657">
        <v>5590209</v>
      </c>
      <c r="C3657" s="1" t="str">
        <f>HYPERLINK("http://stackoverflow.com/users/5590209", "dongdongxiao")</f>
        <v>dongdongxiao</v>
      </c>
      <c r="D3657" t="s">
        <v>5</v>
      </c>
      <c r="E3657">
        <v>54</v>
      </c>
    </row>
    <row r="3658" spans="1:5" x14ac:dyDescent="0.25">
      <c r="A3658">
        <v>3657</v>
      </c>
      <c r="B3658">
        <v>7661872</v>
      </c>
      <c r="C3658" s="1" t="str">
        <f>HYPERLINK("http://stackoverflow.com/users/7661872", "Gavin Zhuang")</f>
        <v>Gavin Zhuang</v>
      </c>
      <c r="D3658" t="s">
        <v>58</v>
      </c>
      <c r="E3658">
        <v>54</v>
      </c>
    </row>
    <row r="3659" spans="1:5" x14ac:dyDescent="0.25">
      <c r="A3659">
        <v>3658</v>
      </c>
      <c r="B3659">
        <v>655444</v>
      </c>
      <c r="C3659" s="1" t="str">
        <f>HYPERLINK("http://stackoverflow.com/users/655444", "Fannic")</f>
        <v>Fannic</v>
      </c>
      <c r="D3659" t="s">
        <v>5</v>
      </c>
      <c r="E3659">
        <v>54</v>
      </c>
    </row>
    <row r="3660" spans="1:5" x14ac:dyDescent="0.25">
      <c r="A3660">
        <v>3659</v>
      </c>
      <c r="B3660">
        <v>647045</v>
      </c>
      <c r="C3660" s="1" t="str">
        <f>HYPERLINK("http://stackoverflow.com/users/647045", "cherri_zj")</f>
        <v>cherri_zj</v>
      </c>
      <c r="D3660" t="s">
        <v>57</v>
      </c>
      <c r="E3660">
        <v>54</v>
      </c>
    </row>
    <row r="3661" spans="1:5" x14ac:dyDescent="0.25">
      <c r="A3661">
        <v>3660</v>
      </c>
      <c r="B3661">
        <v>3001445</v>
      </c>
      <c r="C3661" s="1" t="str">
        <f>HYPERLINK("http://stackoverflow.com/users/3001445", "Deng Haijun")</f>
        <v>Deng Haijun</v>
      </c>
      <c r="D3661" t="s">
        <v>5</v>
      </c>
      <c r="E3661">
        <v>54</v>
      </c>
    </row>
    <row r="3662" spans="1:5" x14ac:dyDescent="0.25">
      <c r="A3662">
        <v>3661</v>
      </c>
      <c r="B3662">
        <v>5545978</v>
      </c>
      <c r="C3662" s="1" t="str">
        <f>HYPERLINK("http://stackoverflow.com/users/5545978", "zlj")</f>
        <v>zlj</v>
      </c>
      <c r="D3662" t="s">
        <v>5</v>
      </c>
      <c r="E3662">
        <v>54</v>
      </c>
    </row>
    <row r="3663" spans="1:5" x14ac:dyDescent="0.25">
      <c r="A3663">
        <v>3662</v>
      </c>
      <c r="B3663">
        <v>5725139</v>
      </c>
      <c r="C3663" s="1" t="str">
        <f>HYPERLINK("http://stackoverflow.com/users/5725139", "FANG QIUMING")</f>
        <v>FANG QIUMING</v>
      </c>
      <c r="D3663" t="s">
        <v>8</v>
      </c>
      <c r="E3663">
        <v>54</v>
      </c>
    </row>
    <row r="3664" spans="1:5" x14ac:dyDescent="0.25">
      <c r="A3664">
        <v>3663</v>
      </c>
      <c r="B3664">
        <v>5392101</v>
      </c>
      <c r="C3664" s="1" t="str">
        <f>HYPERLINK("http://stackoverflow.com/users/5392101", "Legend Lee")</f>
        <v>Legend Lee</v>
      </c>
      <c r="D3664" t="s">
        <v>16</v>
      </c>
      <c r="E3664">
        <v>54</v>
      </c>
    </row>
    <row r="3665" spans="1:5" x14ac:dyDescent="0.25">
      <c r="A3665">
        <v>3664</v>
      </c>
      <c r="B3665">
        <v>8682868</v>
      </c>
      <c r="C3665" s="1" t="str">
        <f>HYPERLINK("http://stackoverflow.com/users/8682868", "pzjzeason")</f>
        <v>pzjzeason</v>
      </c>
      <c r="D3665" t="s">
        <v>241</v>
      </c>
      <c r="E3665">
        <v>54</v>
      </c>
    </row>
    <row r="3666" spans="1:5" x14ac:dyDescent="0.25">
      <c r="A3666">
        <v>3665</v>
      </c>
      <c r="B3666">
        <v>865376</v>
      </c>
      <c r="C3666" s="1" t="str">
        <f>HYPERLINK("http://stackoverflow.com/users/865376", "Yichao")</f>
        <v>Yichao</v>
      </c>
      <c r="D3666" t="s">
        <v>4</v>
      </c>
      <c r="E3666">
        <v>54</v>
      </c>
    </row>
    <row r="3667" spans="1:5" x14ac:dyDescent="0.25">
      <c r="A3667">
        <v>3666</v>
      </c>
      <c r="B3667">
        <v>681439</v>
      </c>
      <c r="C3667" s="1" t="str">
        <f>HYPERLINK("http://stackoverflow.com/users/681439", "Sam Wei")</f>
        <v>Sam Wei</v>
      </c>
      <c r="D3667" t="s">
        <v>5</v>
      </c>
      <c r="E3667">
        <v>54</v>
      </c>
    </row>
    <row r="3668" spans="1:5" x14ac:dyDescent="0.25">
      <c r="A3668">
        <v>3667</v>
      </c>
      <c r="B3668">
        <v>4453332</v>
      </c>
      <c r="C3668" s="1" t="str">
        <f>HYPERLINK("http://stackoverflow.com/users/4453332", "知行合一")</f>
        <v>知行合一</v>
      </c>
      <c r="D3668" t="s">
        <v>5</v>
      </c>
      <c r="E3668">
        <v>54</v>
      </c>
    </row>
    <row r="3669" spans="1:5" x14ac:dyDescent="0.25">
      <c r="A3669">
        <v>3668</v>
      </c>
      <c r="B3669">
        <v>1063158</v>
      </c>
      <c r="C3669" s="1" t="str">
        <f>HYPERLINK("http://stackoverflow.com/users/1063158", "Gary")</f>
        <v>Gary</v>
      </c>
      <c r="D3669" t="s">
        <v>4</v>
      </c>
      <c r="E3669">
        <v>53</v>
      </c>
    </row>
    <row r="3670" spans="1:5" x14ac:dyDescent="0.25">
      <c r="A3670">
        <v>3669</v>
      </c>
      <c r="B3670">
        <v>7083322</v>
      </c>
      <c r="C3670" s="1" t="str">
        <f>HYPERLINK("http://stackoverflow.com/users/7083322", "Wang Xin")</f>
        <v>Wang Xin</v>
      </c>
      <c r="D3670" t="s">
        <v>4</v>
      </c>
      <c r="E3670">
        <v>53</v>
      </c>
    </row>
    <row r="3671" spans="1:5" x14ac:dyDescent="0.25">
      <c r="A3671">
        <v>3670</v>
      </c>
      <c r="B3671">
        <v>1709164</v>
      </c>
      <c r="C3671" s="1" t="str">
        <f>HYPERLINK("http://stackoverflow.com/users/1709164", "Hao Dong")</f>
        <v>Hao Dong</v>
      </c>
      <c r="D3671" t="s">
        <v>54</v>
      </c>
      <c r="E3671">
        <v>53</v>
      </c>
    </row>
    <row r="3672" spans="1:5" x14ac:dyDescent="0.25">
      <c r="A3672">
        <v>3671</v>
      </c>
      <c r="B3672">
        <v>5686039</v>
      </c>
      <c r="C3672" s="1" t="str">
        <f>HYPERLINK("http://stackoverflow.com/users/5686039", "cxco")</f>
        <v>cxco</v>
      </c>
      <c r="D3672" t="s">
        <v>5</v>
      </c>
      <c r="E3672">
        <v>53</v>
      </c>
    </row>
    <row r="3673" spans="1:5" x14ac:dyDescent="0.25">
      <c r="A3673">
        <v>3672</v>
      </c>
      <c r="B3673">
        <v>5642366</v>
      </c>
      <c r="C3673" s="1" t="str">
        <f>HYPERLINK("http://stackoverflow.com/users/5642366", "lasclocker")</f>
        <v>lasclocker</v>
      </c>
      <c r="D3673" t="s">
        <v>4</v>
      </c>
      <c r="E3673">
        <v>53</v>
      </c>
    </row>
    <row r="3674" spans="1:5" x14ac:dyDescent="0.25">
      <c r="A3674">
        <v>3673</v>
      </c>
      <c r="B3674">
        <v>641436</v>
      </c>
      <c r="C3674" s="1" t="str">
        <f>HYPERLINK("http://stackoverflow.com/users/641436", "Neil Tan")</f>
        <v>Neil Tan</v>
      </c>
      <c r="D3674" t="s">
        <v>4</v>
      </c>
      <c r="E3674">
        <v>53</v>
      </c>
    </row>
    <row r="3675" spans="1:5" x14ac:dyDescent="0.25">
      <c r="A3675">
        <v>3674</v>
      </c>
      <c r="B3675">
        <v>2366440</v>
      </c>
      <c r="C3675" s="1" t="str">
        <f>HYPERLINK("http://stackoverflow.com/users/2366440", "Jason")</f>
        <v>Jason</v>
      </c>
      <c r="D3675" t="s">
        <v>4</v>
      </c>
      <c r="E3675">
        <v>53</v>
      </c>
    </row>
    <row r="3676" spans="1:5" x14ac:dyDescent="0.25">
      <c r="A3676">
        <v>3675</v>
      </c>
      <c r="B3676">
        <v>2412926</v>
      </c>
      <c r="C3676" s="1" t="str">
        <f>HYPERLINK("http://stackoverflow.com/users/2412926", "Allen")</f>
        <v>Allen</v>
      </c>
      <c r="D3676" t="s">
        <v>35</v>
      </c>
      <c r="E3676">
        <v>53</v>
      </c>
    </row>
    <row r="3677" spans="1:5" x14ac:dyDescent="0.25">
      <c r="A3677">
        <v>3676</v>
      </c>
      <c r="B3677">
        <v>5693359</v>
      </c>
      <c r="C3677" s="1" t="str">
        <f>HYPERLINK("http://stackoverflow.com/users/5693359", "ZilinWeng")</f>
        <v>ZilinWeng</v>
      </c>
      <c r="D3677" t="s">
        <v>38</v>
      </c>
      <c r="E3677">
        <v>53</v>
      </c>
    </row>
    <row r="3678" spans="1:5" x14ac:dyDescent="0.25">
      <c r="A3678">
        <v>3677</v>
      </c>
      <c r="B3678">
        <v>4000724</v>
      </c>
      <c r="C3678" s="1" t="str">
        <f>HYPERLINK("http://stackoverflow.com/users/4000724", "Guan Wan")</f>
        <v>Guan Wan</v>
      </c>
      <c r="D3678" t="s">
        <v>57</v>
      </c>
      <c r="E3678">
        <v>53</v>
      </c>
    </row>
    <row r="3679" spans="1:5" x14ac:dyDescent="0.25">
      <c r="A3679">
        <v>3678</v>
      </c>
      <c r="B3679">
        <v>1622811</v>
      </c>
      <c r="C3679" s="1" t="str">
        <f>HYPERLINK("http://stackoverflow.com/users/1622811", "carl.xie87")</f>
        <v>carl.xie87</v>
      </c>
      <c r="D3679" t="s">
        <v>5</v>
      </c>
      <c r="E3679">
        <v>53</v>
      </c>
    </row>
    <row r="3680" spans="1:5" x14ac:dyDescent="0.25">
      <c r="A3680">
        <v>3679</v>
      </c>
      <c r="B3680">
        <v>2881713</v>
      </c>
      <c r="C3680" s="1" t="str">
        <f>HYPERLINK("http://stackoverflow.com/users/2881713", "Alexander.Li")</f>
        <v>Alexander.Li</v>
      </c>
      <c r="D3680" t="s">
        <v>22</v>
      </c>
      <c r="E3680">
        <v>53</v>
      </c>
    </row>
    <row r="3681" spans="1:5" x14ac:dyDescent="0.25">
      <c r="A3681">
        <v>3680</v>
      </c>
      <c r="B3681">
        <v>8355771</v>
      </c>
      <c r="C3681" s="1" t="str">
        <f>HYPERLINK("http://stackoverflow.com/users/8355771", "MA Shengjing")</f>
        <v>MA Shengjing</v>
      </c>
      <c r="D3681" t="s">
        <v>4</v>
      </c>
      <c r="E3681">
        <v>53</v>
      </c>
    </row>
    <row r="3682" spans="1:5" x14ac:dyDescent="0.25">
      <c r="A3682">
        <v>3681</v>
      </c>
      <c r="B3682">
        <v>357092</v>
      </c>
      <c r="C3682" s="1" t="str">
        <f>HYPERLINK("http://stackoverflow.com/users/357092", "Vic")</f>
        <v>Vic</v>
      </c>
      <c r="D3682" t="s">
        <v>4</v>
      </c>
      <c r="E3682">
        <v>53</v>
      </c>
    </row>
    <row r="3683" spans="1:5" x14ac:dyDescent="0.25">
      <c r="A3683">
        <v>3682</v>
      </c>
      <c r="B3683">
        <v>6197829</v>
      </c>
      <c r="C3683" s="1" t="str">
        <f>HYPERLINK("http://stackoverflow.com/users/6197829", "Hs Zhang")</f>
        <v>Hs Zhang</v>
      </c>
      <c r="D3683" t="s">
        <v>7</v>
      </c>
      <c r="E3683">
        <v>53</v>
      </c>
    </row>
    <row r="3684" spans="1:5" x14ac:dyDescent="0.25">
      <c r="A3684">
        <v>3683</v>
      </c>
      <c r="B3684">
        <v>5580066</v>
      </c>
      <c r="C3684" s="1" t="str">
        <f>HYPERLINK("http://stackoverflow.com/users/5580066", "王昭辉")</f>
        <v>王昭辉</v>
      </c>
      <c r="D3684" t="s">
        <v>5</v>
      </c>
      <c r="E3684">
        <v>53</v>
      </c>
    </row>
    <row r="3685" spans="1:5" x14ac:dyDescent="0.25">
      <c r="A3685">
        <v>3684</v>
      </c>
      <c r="B3685">
        <v>2279067</v>
      </c>
      <c r="C3685" s="1" t="str">
        <f>HYPERLINK("http://stackoverflow.com/users/2279067", "xuzhezhao")</f>
        <v>xuzhezhao</v>
      </c>
      <c r="D3685" t="s">
        <v>5</v>
      </c>
      <c r="E3685">
        <v>53</v>
      </c>
    </row>
    <row r="3686" spans="1:5" x14ac:dyDescent="0.25">
      <c r="A3686">
        <v>3685</v>
      </c>
      <c r="B3686">
        <v>2357962</v>
      </c>
      <c r="C3686" s="1" t="str">
        <f>HYPERLINK("http://stackoverflow.com/users/2357962", "Ming Wei")</f>
        <v>Ming Wei</v>
      </c>
      <c r="D3686" t="s">
        <v>5</v>
      </c>
      <c r="E3686">
        <v>53</v>
      </c>
    </row>
    <row r="3687" spans="1:5" x14ac:dyDescent="0.25">
      <c r="A3687">
        <v>3686</v>
      </c>
      <c r="B3687">
        <v>2058533</v>
      </c>
      <c r="C3687" s="1" t="str">
        <f>HYPERLINK("http://stackoverflow.com/users/2058533", "Santino_Wu")</f>
        <v>Santino_Wu</v>
      </c>
      <c r="D3687" t="s">
        <v>190</v>
      </c>
      <c r="E3687">
        <v>53</v>
      </c>
    </row>
    <row r="3688" spans="1:5" x14ac:dyDescent="0.25">
      <c r="A3688">
        <v>3687</v>
      </c>
      <c r="B3688">
        <v>423625</v>
      </c>
      <c r="C3688" s="1" t="str">
        <f>HYPERLINK("http://stackoverflow.com/users/423625", "JeremyWei")</f>
        <v>JeremyWei</v>
      </c>
      <c r="D3688" t="s">
        <v>37</v>
      </c>
      <c r="E3688">
        <v>53</v>
      </c>
    </row>
    <row r="3689" spans="1:5" x14ac:dyDescent="0.25">
      <c r="A3689">
        <v>3688</v>
      </c>
      <c r="B3689">
        <v>63689</v>
      </c>
      <c r="C3689" s="1" t="str">
        <f>HYPERLINK("http://stackoverflow.com/users/63689", "cjjer")</f>
        <v>cjjer</v>
      </c>
      <c r="D3689" t="s">
        <v>4</v>
      </c>
      <c r="E3689">
        <v>53</v>
      </c>
    </row>
    <row r="3690" spans="1:5" x14ac:dyDescent="0.25">
      <c r="A3690">
        <v>3689</v>
      </c>
      <c r="B3690">
        <v>661661</v>
      </c>
      <c r="C3690" s="1" t="str">
        <f>HYPERLINK("http://stackoverflow.com/users/661661", "Samuelliyi")</f>
        <v>Samuelliyi</v>
      </c>
      <c r="D3690" t="s">
        <v>5</v>
      </c>
      <c r="E3690">
        <v>53</v>
      </c>
    </row>
    <row r="3691" spans="1:5" x14ac:dyDescent="0.25">
      <c r="A3691">
        <v>3690</v>
      </c>
      <c r="B3691">
        <v>1331426</v>
      </c>
      <c r="C3691" s="1" t="str">
        <f>HYPERLINK("http://stackoverflow.com/users/1331426", "Jiaqi")</f>
        <v>Jiaqi</v>
      </c>
      <c r="D3691" t="s">
        <v>5</v>
      </c>
      <c r="E3691">
        <v>53</v>
      </c>
    </row>
    <row r="3692" spans="1:5" x14ac:dyDescent="0.25">
      <c r="A3692">
        <v>3691</v>
      </c>
      <c r="B3692">
        <v>1294112</v>
      </c>
      <c r="C3692" s="1" t="str">
        <f>HYPERLINK("http://stackoverflow.com/users/1294112", "Allen Day")</f>
        <v>Allen Day</v>
      </c>
      <c r="D3692" t="s">
        <v>5</v>
      </c>
      <c r="E3692">
        <v>53</v>
      </c>
    </row>
    <row r="3693" spans="1:5" x14ac:dyDescent="0.25">
      <c r="A3693">
        <v>3692</v>
      </c>
      <c r="B3693">
        <v>3407238</v>
      </c>
      <c r="C3693" s="1" t="str">
        <f>HYPERLINK("http://stackoverflow.com/users/3407238", "Haiyuan")</f>
        <v>Haiyuan</v>
      </c>
      <c r="D3693" t="s">
        <v>28</v>
      </c>
      <c r="E3693">
        <v>53</v>
      </c>
    </row>
    <row r="3694" spans="1:5" x14ac:dyDescent="0.25">
      <c r="A3694">
        <v>3693</v>
      </c>
      <c r="B3694">
        <v>6689702</v>
      </c>
      <c r="C3694" s="1" t="str">
        <f>HYPERLINK("http://stackoverflow.com/users/6689702", "Ying YIN")</f>
        <v>Ying YIN</v>
      </c>
      <c r="D3694" t="s">
        <v>55</v>
      </c>
      <c r="E3694">
        <v>53</v>
      </c>
    </row>
    <row r="3695" spans="1:5" x14ac:dyDescent="0.25">
      <c r="A3695">
        <v>3694</v>
      </c>
      <c r="B3695">
        <v>5789722</v>
      </c>
      <c r="C3695" s="1" t="str">
        <f>HYPERLINK("http://stackoverflow.com/users/5789722", "Dahan Gong")</f>
        <v>Dahan Gong</v>
      </c>
      <c r="D3695" t="s">
        <v>5</v>
      </c>
      <c r="E3695">
        <v>53</v>
      </c>
    </row>
    <row r="3696" spans="1:5" x14ac:dyDescent="0.25">
      <c r="A3696">
        <v>3695</v>
      </c>
      <c r="B3696">
        <v>5653727</v>
      </c>
      <c r="C3696" s="1" t="str">
        <f>HYPERLINK("http://stackoverflow.com/users/5653727", "SandDepp")</f>
        <v>SandDepp</v>
      </c>
      <c r="D3696" t="s">
        <v>4</v>
      </c>
      <c r="E3696">
        <v>53</v>
      </c>
    </row>
    <row r="3697" spans="1:5" x14ac:dyDescent="0.25">
      <c r="A3697">
        <v>3696</v>
      </c>
      <c r="B3697">
        <v>1012289</v>
      </c>
      <c r="C3697" s="1" t="str">
        <f>HYPERLINK("http://stackoverflow.com/users/1012289", "mr.doooger")</f>
        <v>mr.doooger</v>
      </c>
      <c r="D3697" t="s">
        <v>54</v>
      </c>
      <c r="E3697">
        <v>52</v>
      </c>
    </row>
    <row r="3698" spans="1:5" x14ac:dyDescent="0.25">
      <c r="A3698">
        <v>3697</v>
      </c>
      <c r="B3698">
        <v>8236137</v>
      </c>
      <c r="C3698" s="1" t="str">
        <f>HYPERLINK("http://stackoverflow.com/users/8236137", "yinhua")</f>
        <v>yinhua</v>
      </c>
      <c r="D3698" t="s">
        <v>5</v>
      </c>
      <c r="E3698">
        <v>52</v>
      </c>
    </row>
    <row r="3699" spans="1:5" x14ac:dyDescent="0.25">
      <c r="A3699">
        <v>3698</v>
      </c>
      <c r="B3699">
        <v>2737656</v>
      </c>
      <c r="C3699" s="1" t="str">
        <f>HYPERLINK("http://stackoverflow.com/users/2737656", "Hong Liu")</f>
        <v>Hong Liu</v>
      </c>
      <c r="D3699" t="s">
        <v>5</v>
      </c>
      <c r="E3699">
        <v>52</v>
      </c>
    </row>
    <row r="3700" spans="1:5" x14ac:dyDescent="0.25">
      <c r="A3700">
        <v>3699</v>
      </c>
      <c r="B3700">
        <v>6260018</v>
      </c>
      <c r="C3700" s="1" t="str">
        <f>HYPERLINK("http://stackoverflow.com/users/6260018", "pu.guan")</f>
        <v>pu.guan</v>
      </c>
      <c r="D3700" t="s">
        <v>55</v>
      </c>
      <c r="E3700">
        <v>52</v>
      </c>
    </row>
    <row r="3701" spans="1:5" x14ac:dyDescent="0.25">
      <c r="A3701">
        <v>3700</v>
      </c>
      <c r="B3701">
        <v>3828819</v>
      </c>
      <c r="C3701" s="1" t="str">
        <f>HYPERLINK("http://stackoverflow.com/users/3828819", "Kevin Wang")</f>
        <v>Kevin Wang</v>
      </c>
      <c r="D3701" t="s">
        <v>12</v>
      </c>
      <c r="E3701">
        <v>52</v>
      </c>
    </row>
    <row r="3702" spans="1:5" x14ac:dyDescent="0.25">
      <c r="A3702">
        <v>3701</v>
      </c>
      <c r="B3702">
        <v>2304400</v>
      </c>
      <c r="C3702" s="1" t="str">
        <f>HYPERLINK("http://stackoverflow.com/users/2304400", "Henry.T")</f>
        <v>Henry.T</v>
      </c>
      <c r="D3702" t="s">
        <v>4</v>
      </c>
      <c r="E3702">
        <v>52</v>
      </c>
    </row>
    <row r="3703" spans="1:5" x14ac:dyDescent="0.25">
      <c r="A3703">
        <v>3702</v>
      </c>
      <c r="B3703">
        <v>1273340</v>
      </c>
      <c r="C3703" s="1" t="str">
        <f>HYPERLINK("http://stackoverflow.com/users/1273340", "benson")</f>
        <v>benson</v>
      </c>
      <c r="D3703" t="s">
        <v>17</v>
      </c>
      <c r="E3703">
        <v>52</v>
      </c>
    </row>
    <row r="3704" spans="1:5" x14ac:dyDescent="0.25">
      <c r="A3704">
        <v>3703</v>
      </c>
      <c r="B3704">
        <v>1177403</v>
      </c>
      <c r="C3704" s="1" t="str">
        <f>HYPERLINK("http://stackoverflow.com/users/1177403", "jgx")</f>
        <v>jgx</v>
      </c>
      <c r="D3704" t="s">
        <v>12</v>
      </c>
      <c r="E3704">
        <v>52</v>
      </c>
    </row>
    <row r="3705" spans="1:5" x14ac:dyDescent="0.25">
      <c r="A3705">
        <v>3704</v>
      </c>
      <c r="B3705">
        <v>4182574</v>
      </c>
      <c r="C3705" s="1" t="str">
        <f>HYPERLINK("http://stackoverflow.com/users/4182574", "袁轶君")</f>
        <v>袁轶君</v>
      </c>
      <c r="D3705" t="s">
        <v>4</v>
      </c>
      <c r="E3705">
        <v>52</v>
      </c>
    </row>
    <row r="3706" spans="1:5" x14ac:dyDescent="0.25">
      <c r="A3706">
        <v>3705</v>
      </c>
      <c r="B3706">
        <v>627955</v>
      </c>
      <c r="C3706" s="1" t="str">
        <f>HYPERLINK("http://stackoverflow.com/users/627955", "Lee")</f>
        <v>Lee</v>
      </c>
      <c r="D3706" t="s">
        <v>17</v>
      </c>
      <c r="E3706">
        <v>52</v>
      </c>
    </row>
    <row r="3707" spans="1:5" x14ac:dyDescent="0.25">
      <c r="A3707">
        <v>3706</v>
      </c>
      <c r="B3707">
        <v>3605054</v>
      </c>
      <c r="C3707" s="1" t="str">
        <f>HYPERLINK("http://stackoverflow.com/users/3605054", "leftriver")</f>
        <v>leftriver</v>
      </c>
      <c r="D3707" t="s">
        <v>242</v>
      </c>
      <c r="E3707">
        <v>52</v>
      </c>
    </row>
    <row r="3708" spans="1:5" x14ac:dyDescent="0.25">
      <c r="A3708">
        <v>3707</v>
      </c>
      <c r="B3708">
        <v>1714449</v>
      </c>
      <c r="C3708" s="1" t="str">
        <f>HYPERLINK("http://stackoverflow.com/users/1714449", "Yulong Tian")</f>
        <v>Yulong Tian</v>
      </c>
      <c r="D3708" t="s">
        <v>243</v>
      </c>
      <c r="E3708">
        <v>52</v>
      </c>
    </row>
    <row r="3709" spans="1:5" x14ac:dyDescent="0.25">
      <c r="A3709">
        <v>3708</v>
      </c>
      <c r="B3709">
        <v>4869088</v>
      </c>
      <c r="C3709" s="1" t="str">
        <f>HYPERLINK("http://stackoverflow.com/users/4869088", "piratf")</f>
        <v>piratf</v>
      </c>
      <c r="D3709" t="s">
        <v>38</v>
      </c>
      <c r="E3709">
        <v>52</v>
      </c>
    </row>
    <row r="3710" spans="1:5" x14ac:dyDescent="0.25">
      <c r="A3710">
        <v>3709</v>
      </c>
      <c r="B3710">
        <v>2991266</v>
      </c>
      <c r="C3710" s="1" t="str">
        <f>HYPERLINK("http://stackoverflow.com/users/2991266", "PoWen")</f>
        <v>PoWen</v>
      </c>
      <c r="D3710" t="s">
        <v>5</v>
      </c>
      <c r="E3710">
        <v>51</v>
      </c>
    </row>
    <row r="3711" spans="1:5" x14ac:dyDescent="0.25">
      <c r="A3711">
        <v>3710</v>
      </c>
      <c r="B3711">
        <v>1325498</v>
      </c>
      <c r="C3711" s="1" t="str">
        <f>HYPERLINK("http://stackoverflow.com/users/1325498", "phoenixxyang")</f>
        <v>phoenixxyang</v>
      </c>
      <c r="D3711" t="s">
        <v>5</v>
      </c>
      <c r="E3711">
        <v>51</v>
      </c>
    </row>
    <row r="3712" spans="1:5" x14ac:dyDescent="0.25">
      <c r="A3712">
        <v>3711</v>
      </c>
      <c r="B3712">
        <v>3148684</v>
      </c>
      <c r="C3712" s="1" t="str">
        <f>HYPERLINK("http://stackoverflow.com/users/3148684", "francischan")</f>
        <v>francischan</v>
      </c>
      <c r="D3712" t="s">
        <v>5</v>
      </c>
      <c r="E3712">
        <v>51</v>
      </c>
    </row>
    <row r="3713" spans="1:5" x14ac:dyDescent="0.25">
      <c r="A3713">
        <v>3712</v>
      </c>
      <c r="B3713">
        <v>1591648</v>
      </c>
      <c r="C3713" s="1" t="str">
        <f>HYPERLINK("http://stackoverflow.com/users/1591648", "tricycle")</f>
        <v>tricycle</v>
      </c>
      <c r="D3713" t="s">
        <v>244</v>
      </c>
      <c r="E3713">
        <v>51</v>
      </c>
    </row>
    <row r="3714" spans="1:5" x14ac:dyDescent="0.25">
      <c r="A3714">
        <v>3713</v>
      </c>
      <c r="B3714">
        <v>3400715</v>
      </c>
      <c r="C3714" s="1" t="str">
        <f>HYPERLINK("http://stackoverflow.com/users/3400715", "Alexer")</f>
        <v>Alexer</v>
      </c>
      <c r="D3714" t="s">
        <v>4</v>
      </c>
      <c r="E3714">
        <v>51</v>
      </c>
    </row>
    <row r="3715" spans="1:5" x14ac:dyDescent="0.25">
      <c r="A3715">
        <v>3714</v>
      </c>
      <c r="B3715">
        <v>6169740</v>
      </c>
      <c r="C3715" s="1" t="str">
        <f>HYPERLINK("http://stackoverflow.com/users/6169740", "Eric Wei")</f>
        <v>Eric Wei</v>
      </c>
      <c r="D3715" t="s">
        <v>131</v>
      </c>
      <c r="E3715">
        <v>51</v>
      </c>
    </row>
    <row r="3716" spans="1:5" x14ac:dyDescent="0.25">
      <c r="A3716">
        <v>3715</v>
      </c>
      <c r="B3716">
        <v>4419904</v>
      </c>
      <c r="C3716" s="1" t="str">
        <f>HYPERLINK("http://stackoverflow.com/users/4419904", "nigel")</f>
        <v>nigel</v>
      </c>
      <c r="D3716" t="s">
        <v>5</v>
      </c>
      <c r="E3716">
        <v>51</v>
      </c>
    </row>
    <row r="3717" spans="1:5" x14ac:dyDescent="0.25">
      <c r="A3717">
        <v>3716</v>
      </c>
      <c r="B3717">
        <v>8014147</v>
      </c>
      <c r="C3717" s="1" t="str">
        <f>HYPERLINK("http://stackoverflow.com/users/8014147", "tigertang")</f>
        <v>tigertang</v>
      </c>
      <c r="D3717" t="s">
        <v>16</v>
      </c>
      <c r="E3717">
        <v>51</v>
      </c>
    </row>
    <row r="3718" spans="1:5" x14ac:dyDescent="0.25">
      <c r="A3718">
        <v>3717</v>
      </c>
      <c r="B3718">
        <v>2631320</v>
      </c>
      <c r="C3718" s="1" t="str">
        <f>HYPERLINK("http://stackoverflow.com/users/2631320", "Morgan Wu")</f>
        <v>Morgan Wu</v>
      </c>
      <c r="D3718" t="s">
        <v>4</v>
      </c>
      <c r="E3718">
        <v>51</v>
      </c>
    </row>
    <row r="3719" spans="1:5" x14ac:dyDescent="0.25">
      <c r="A3719">
        <v>3718</v>
      </c>
      <c r="B3719">
        <v>668781</v>
      </c>
      <c r="C3719" s="1" t="str">
        <f>HYPERLINK("http://stackoverflow.com/users/668781", "Tom Yu")</f>
        <v>Tom Yu</v>
      </c>
      <c r="D3719" t="s">
        <v>4</v>
      </c>
      <c r="E3719">
        <v>51</v>
      </c>
    </row>
    <row r="3720" spans="1:5" x14ac:dyDescent="0.25">
      <c r="A3720">
        <v>3719</v>
      </c>
      <c r="B3720">
        <v>668969</v>
      </c>
      <c r="C3720" s="1" t="str">
        <f>HYPERLINK("http://stackoverflow.com/users/668969", "toksea")</f>
        <v>toksea</v>
      </c>
      <c r="D3720" t="s">
        <v>57</v>
      </c>
      <c r="E3720">
        <v>51</v>
      </c>
    </row>
    <row r="3721" spans="1:5" x14ac:dyDescent="0.25">
      <c r="A3721">
        <v>3720</v>
      </c>
      <c r="B3721">
        <v>553136</v>
      </c>
      <c r="C3721" s="1" t="str">
        <f>HYPERLINK("http://stackoverflow.com/users/553136", "kesalin")</f>
        <v>kesalin</v>
      </c>
      <c r="D3721" t="s">
        <v>4</v>
      </c>
      <c r="E3721">
        <v>51</v>
      </c>
    </row>
    <row r="3722" spans="1:5" x14ac:dyDescent="0.25">
      <c r="A3722">
        <v>3721</v>
      </c>
      <c r="B3722">
        <v>2704665</v>
      </c>
      <c r="C3722" s="1" t="str">
        <f>HYPERLINK("http://stackoverflow.com/users/2704665", "jiajun")</f>
        <v>jiajun</v>
      </c>
      <c r="D3722" t="s">
        <v>5</v>
      </c>
      <c r="E3722">
        <v>51</v>
      </c>
    </row>
    <row r="3723" spans="1:5" x14ac:dyDescent="0.25">
      <c r="A3723">
        <v>3722</v>
      </c>
      <c r="B3723">
        <v>886198</v>
      </c>
      <c r="C3723" s="1" t="str">
        <f>HYPERLINK("http://stackoverflow.com/users/886198", "Spencer")</f>
        <v>Spencer</v>
      </c>
      <c r="D3723" t="s">
        <v>4</v>
      </c>
      <c r="E3723">
        <v>51</v>
      </c>
    </row>
    <row r="3724" spans="1:5" x14ac:dyDescent="0.25">
      <c r="A3724">
        <v>3723</v>
      </c>
      <c r="B3724">
        <v>853150</v>
      </c>
      <c r="C3724" s="1" t="str">
        <f>HYPERLINK("http://stackoverflow.com/users/853150", "Hao Hu")</f>
        <v>Hao Hu</v>
      </c>
      <c r="D3724" t="s">
        <v>54</v>
      </c>
      <c r="E3724">
        <v>51</v>
      </c>
    </row>
    <row r="3725" spans="1:5" x14ac:dyDescent="0.25">
      <c r="A3725">
        <v>3724</v>
      </c>
      <c r="B3725">
        <v>2113700</v>
      </c>
      <c r="C3725" s="1" t="str">
        <f>HYPERLINK("http://stackoverflow.com/users/2113700", "Ding")</f>
        <v>Ding</v>
      </c>
      <c r="D3725" t="s">
        <v>4</v>
      </c>
      <c r="E3725">
        <v>51</v>
      </c>
    </row>
    <row r="3726" spans="1:5" x14ac:dyDescent="0.25">
      <c r="A3726">
        <v>3725</v>
      </c>
      <c r="B3726">
        <v>2070824</v>
      </c>
      <c r="C3726" s="1" t="str">
        <f>HYPERLINK("http://stackoverflow.com/users/2070824", "Howard.TH")</f>
        <v>Howard.TH</v>
      </c>
      <c r="D3726" t="s">
        <v>4</v>
      </c>
      <c r="E3726">
        <v>51</v>
      </c>
    </row>
    <row r="3727" spans="1:5" x14ac:dyDescent="0.25">
      <c r="A3727">
        <v>3726</v>
      </c>
      <c r="B3727">
        <v>1746615</v>
      </c>
      <c r="C3727" s="1" t="str">
        <f>HYPERLINK("http://stackoverflow.com/users/1746615", "eplt")</f>
        <v>eplt</v>
      </c>
      <c r="D3727" t="s">
        <v>245</v>
      </c>
      <c r="E3727">
        <v>51</v>
      </c>
    </row>
    <row r="3728" spans="1:5" x14ac:dyDescent="0.25">
      <c r="A3728">
        <v>3727</v>
      </c>
      <c r="B3728">
        <v>2238416</v>
      </c>
      <c r="C3728" s="1" t="str">
        <f>HYPERLINK("http://stackoverflow.com/users/2238416", "yuqin")</f>
        <v>yuqin</v>
      </c>
      <c r="D3728" t="s">
        <v>17</v>
      </c>
      <c r="E3728">
        <v>51</v>
      </c>
    </row>
    <row r="3729" spans="1:5" x14ac:dyDescent="0.25">
      <c r="A3729">
        <v>3728</v>
      </c>
      <c r="B3729">
        <v>6028223</v>
      </c>
      <c r="C3729" s="1" t="str">
        <f>HYPERLINK("http://stackoverflow.com/users/6028223", "zero")</f>
        <v>zero</v>
      </c>
      <c r="D3729" t="s">
        <v>7</v>
      </c>
      <c r="E3729">
        <v>51</v>
      </c>
    </row>
    <row r="3730" spans="1:5" x14ac:dyDescent="0.25">
      <c r="A3730">
        <v>3729</v>
      </c>
      <c r="B3730">
        <v>7360676</v>
      </c>
      <c r="C3730" s="1" t="str">
        <f>HYPERLINK("http://stackoverflow.com/users/7360676", "Li Xin")</f>
        <v>Li Xin</v>
      </c>
      <c r="D3730" t="s">
        <v>4</v>
      </c>
      <c r="E3730">
        <v>51</v>
      </c>
    </row>
    <row r="3731" spans="1:5" x14ac:dyDescent="0.25">
      <c r="A3731">
        <v>3730</v>
      </c>
      <c r="B3731">
        <v>5624431</v>
      </c>
      <c r="C3731" s="1" t="str">
        <f>HYPERLINK("http://stackoverflow.com/users/5624431", "Gin")</f>
        <v>Gin</v>
      </c>
      <c r="D3731" t="s">
        <v>4</v>
      </c>
      <c r="E3731">
        <v>51</v>
      </c>
    </row>
    <row r="3732" spans="1:5" x14ac:dyDescent="0.25">
      <c r="A3732">
        <v>3731</v>
      </c>
      <c r="B3732">
        <v>1811059</v>
      </c>
      <c r="C3732" s="1" t="str">
        <f>HYPERLINK("http://stackoverflow.com/users/1811059", "P.Dragon")</f>
        <v>P.Dragon</v>
      </c>
      <c r="D3732" t="s">
        <v>5</v>
      </c>
      <c r="E3732">
        <v>51</v>
      </c>
    </row>
    <row r="3733" spans="1:5" x14ac:dyDescent="0.25">
      <c r="A3733">
        <v>3732</v>
      </c>
      <c r="B3733">
        <v>1811127</v>
      </c>
      <c r="C3733" s="1" t="str">
        <f>HYPERLINK("http://stackoverflow.com/users/1811127", "stefanie wang")</f>
        <v>stefanie wang</v>
      </c>
      <c r="D3733" t="s">
        <v>5</v>
      </c>
      <c r="E3733">
        <v>51</v>
      </c>
    </row>
    <row r="3734" spans="1:5" x14ac:dyDescent="0.25">
      <c r="A3734">
        <v>3733</v>
      </c>
      <c r="B3734">
        <v>6354673</v>
      </c>
      <c r="C3734" s="1" t="str">
        <f>HYPERLINK("http://stackoverflow.com/users/6354673", "Shanshan Bi")</f>
        <v>Shanshan Bi</v>
      </c>
      <c r="D3734" t="s">
        <v>5</v>
      </c>
      <c r="E3734">
        <v>51</v>
      </c>
    </row>
    <row r="3735" spans="1:5" x14ac:dyDescent="0.25">
      <c r="A3735">
        <v>3734</v>
      </c>
      <c r="B3735">
        <v>528157</v>
      </c>
      <c r="C3735" s="1" t="str">
        <f>HYPERLINK("http://stackoverflow.com/users/528157", "Summic")</f>
        <v>Summic</v>
      </c>
      <c r="D3735" t="s">
        <v>4</v>
      </c>
      <c r="E3735">
        <v>51</v>
      </c>
    </row>
    <row r="3736" spans="1:5" x14ac:dyDescent="0.25">
      <c r="A3736">
        <v>3735</v>
      </c>
      <c r="B3736">
        <v>803378</v>
      </c>
      <c r="C3736" s="1" t="str">
        <f>HYPERLINK("http://stackoverflow.com/users/803378", "IronBlood")</f>
        <v>IronBlood</v>
      </c>
      <c r="D3736" t="s">
        <v>4</v>
      </c>
      <c r="E3736">
        <v>51</v>
      </c>
    </row>
    <row r="3737" spans="1:5" x14ac:dyDescent="0.25">
      <c r="A3737">
        <v>3736</v>
      </c>
      <c r="B3737">
        <v>1279791</v>
      </c>
      <c r="C3737" s="1" t="str">
        <f>HYPERLINK("http://stackoverflow.com/users/1279791", "stephansun")</f>
        <v>stephansun</v>
      </c>
      <c r="D3737" t="s">
        <v>4</v>
      </c>
      <c r="E3737">
        <v>51</v>
      </c>
    </row>
    <row r="3738" spans="1:5" x14ac:dyDescent="0.25">
      <c r="A3738">
        <v>3737</v>
      </c>
      <c r="B3738">
        <v>3221580</v>
      </c>
      <c r="C3738" s="1" t="str">
        <f>HYPERLINK("http://stackoverflow.com/users/3221580", "南山怀槿")</f>
        <v>南山怀槿</v>
      </c>
      <c r="D3738" t="s">
        <v>5</v>
      </c>
      <c r="E3738">
        <v>51</v>
      </c>
    </row>
    <row r="3739" spans="1:5" x14ac:dyDescent="0.25">
      <c r="A3739">
        <v>3738</v>
      </c>
      <c r="B3739">
        <v>4967683</v>
      </c>
      <c r="C3739" s="1" t="str">
        <f>HYPERLINK("http://stackoverflow.com/users/4967683", "DianQK")</f>
        <v>DianQK</v>
      </c>
      <c r="D3739" t="s">
        <v>5</v>
      </c>
      <c r="E3739">
        <v>51</v>
      </c>
    </row>
    <row r="3740" spans="1:5" x14ac:dyDescent="0.25">
      <c r="A3740">
        <v>3739</v>
      </c>
      <c r="B3740">
        <v>1378166</v>
      </c>
      <c r="C3740" s="1" t="str">
        <f>HYPERLINK("http://stackoverflow.com/users/1378166", "john jiang")</f>
        <v>john jiang</v>
      </c>
      <c r="D3740" t="s">
        <v>4</v>
      </c>
      <c r="E3740">
        <v>51</v>
      </c>
    </row>
    <row r="3741" spans="1:5" x14ac:dyDescent="0.25">
      <c r="A3741">
        <v>3740</v>
      </c>
      <c r="B3741">
        <v>3531143</v>
      </c>
      <c r="C3741" s="1" t="str">
        <f>HYPERLINK("http://stackoverflow.com/users/3531143", "bruceguodong")</f>
        <v>bruceguodong</v>
      </c>
      <c r="D3741" t="s">
        <v>5</v>
      </c>
      <c r="E3741">
        <v>51</v>
      </c>
    </row>
    <row r="3742" spans="1:5" x14ac:dyDescent="0.25">
      <c r="A3742">
        <v>3741</v>
      </c>
      <c r="B3742">
        <v>1523058</v>
      </c>
      <c r="C3742" s="1" t="str">
        <f>HYPERLINK("http://stackoverflow.com/users/1523058", "playmobil")</f>
        <v>playmobil</v>
      </c>
      <c r="D3742" t="s">
        <v>21</v>
      </c>
      <c r="E3742">
        <v>51</v>
      </c>
    </row>
    <row r="3743" spans="1:5" x14ac:dyDescent="0.25">
      <c r="A3743">
        <v>3742</v>
      </c>
      <c r="B3743">
        <v>5141592</v>
      </c>
      <c r="C3743" s="1" t="str">
        <f>HYPERLINK("http://stackoverflow.com/users/5141592", "sefira32")</f>
        <v>sefira32</v>
      </c>
      <c r="D3743" t="s">
        <v>5</v>
      </c>
      <c r="E3743">
        <v>51</v>
      </c>
    </row>
    <row r="3744" spans="1:5" x14ac:dyDescent="0.25">
      <c r="A3744">
        <v>3743</v>
      </c>
      <c r="B3744">
        <v>1423298</v>
      </c>
      <c r="C3744" s="1" t="str">
        <f>HYPERLINK("http://stackoverflow.com/users/1423298", "Will Mo")</f>
        <v>Will Mo</v>
      </c>
      <c r="D3744" t="s">
        <v>37</v>
      </c>
      <c r="E3744">
        <v>51</v>
      </c>
    </row>
    <row r="3745" spans="1:5" x14ac:dyDescent="0.25">
      <c r="A3745">
        <v>3744</v>
      </c>
      <c r="B3745">
        <v>1399261</v>
      </c>
      <c r="C3745" s="1" t="str">
        <f>HYPERLINK("http://stackoverflow.com/users/1399261", "chapter09")</f>
        <v>chapter09</v>
      </c>
      <c r="D3745" t="s">
        <v>4</v>
      </c>
      <c r="E3745">
        <v>51</v>
      </c>
    </row>
    <row r="3746" spans="1:5" x14ac:dyDescent="0.25">
      <c r="A3746">
        <v>3745</v>
      </c>
      <c r="B3746">
        <v>1277984</v>
      </c>
      <c r="C3746" s="1" t="str">
        <f>HYPERLINK("http://stackoverflow.com/users/1277984", "marine8086")</f>
        <v>marine8086</v>
      </c>
      <c r="D3746" t="s">
        <v>6</v>
      </c>
      <c r="E3746">
        <v>51</v>
      </c>
    </row>
    <row r="3747" spans="1:5" x14ac:dyDescent="0.25">
      <c r="A3747">
        <v>3746</v>
      </c>
      <c r="B3747">
        <v>2735786</v>
      </c>
      <c r="C3747" s="1" t="str">
        <f>HYPERLINK("http://stackoverflow.com/users/2735786", "lanyanai")</f>
        <v>lanyanai</v>
      </c>
      <c r="D3747" t="s">
        <v>5</v>
      </c>
      <c r="E3747">
        <v>51</v>
      </c>
    </row>
    <row r="3748" spans="1:5" x14ac:dyDescent="0.25">
      <c r="A3748">
        <v>3747</v>
      </c>
      <c r="B3748">
        <v>956428</v>
      </c>
      <c r="C3748" s="1" t="str">
        <f>HYPERLINK("http://stackoverflow.com/users/956428", "Neo Zhou")</f>
        <v>Neo Zhou</v>
      </c>
      <c r="D3748" t="s">
        <v>5</v>
      </c>
      <c r="E3748">
        <v>51</v>
      </c>
    </row>
    <row r="3749" spans="1:5" x14ac:dyDescent="0.25">
      <c r="A3749">
        <v>3748</v>
      </c>
      <c r="B3749">
        <v>800886</v>
      </c>
      <c r="C3749" s="1" t="str">
        <f>HYPERLINK("http://stackoverflow.com/users/800886", "West")</f>
        <v>West</v>
      </c>
      <c r="D3749" t="s">
        <v>17</v>
      </c>
      <c r="E3749">
        <v>51</v>
      </c>
    </row>
    <row r="3750" spans="1:5" x14ac:dyDescent="0.25">
      <c r="A3750">
        <v>3749</v>
      </c>
      <c r="B3750">
        <v>2358267</v>
      </c>
      <c r="C3750" s="1" t="str">
        <f>HYPERLINK("http://stackoverflow.com/users/2358267", "diego zhu")</f>
        <v>diego zhu</v>
      </c>
      <c r="D3750" t="s">
        <v>4</v>
      </c>
      <c r="E3750">
        <v>51</v>
      </c>
    </row>
    <row r="3751" spans="1:5" x14ac:dyDescent="0.25">
      <c r="A3751">
        <v>3750</v>
      </c>
      <c r="B3751">
        <v>2279226</v>
      </c>
      <c r="C3751" s="1" t="str">
        <f>HYPERLINK("http://stackoverflow.com/users/2279226", "Michael.Zhang")</f>
        <v>Michael.Zhang</v>
      </c>
      <c r="D3751" t="s">
        <v>6</v>
      </c>
      <c r="E3751">
        <v>51</v>
      </c>
    </row>
    <row r="3752" spans="1:5" x14ac:dyDescent="0.25">
      <c r="A3752">
        <v>3751</v>
      </c>
      <c r="B3752">
        <v>7648055</v>
      </c>
      <c r="C3752" s="1" t="str">
        <f>HYPERLINK("http://stackoverflow.com/users/7648055", "wlhe")</f>
        <v>wlhe</v>
      </c>
      <c r="D3752" t="s">
        <v>7</v>
      </c>
      <c r="E3752">
        <v>51</v>
      </c>
    </row>
    <row r="3753" spans="1:5" x14ac:dyDescent="0.25">
      <c r="A3753">
        <v>3752</v>
      </c>
      <c r="B3753">
        <v>4275322</v>
      </c>
      <c r="C3753" s="1" t="str">
        <f>HYPERLINK("http://stackoverflow.com/users/4275322", "Peter Nowee")</f>
        <v>Peter Nowee</v>
      </c>
      <c r="D3753" t="s">
        <v>25</v>
      </c>
      <c r="E3753">
        <v>51</v>
      </c>
    </row>
    <row r="3754" spans="1:5" x14ac:dyDescent="0.25">
      <c r="A3754">
        <v>3753</v>
      </c>
      <c r="B3754">
        <v>5572651</v>
      </c>
      <c r="C3754" s="1" t="str">
        <f>HYPERLINK("http://stackoverflow.com/users/5572651", "thebergh")</f>
        <v>thebergh</v>
      </c>
      <c r="D3754" t="s">
        <v>215</v>
      </c>
      <c r="E3754">
        <v>51</v>
      </c>
    </row>
    <row r="3755" spans="1:5" x14ac:dyDescent="0.25">
      <c r="A3755">
        <v>3754</v>
      </c>
      <c r="B3755">
        <v>1177199</v>
      </c>
      <c r="C3755" s="1" t="str">
        <f>HYPERLINK("http://stackoverflow.com/users/1177199", "gy8409")</f>
        <v>gy8409</v>
      </c>
      <c r="D3755" t="s">
        <v>5</v>
      </c>
      <c r="E3755">
        <v>51</v>
      </c>
    </row>
    <row r="3756" spans="1:5" x14ac:dyDescent="0.25">
      <c r="A3756">
        <v>3755</v>
      </c>
      <c r="B3756">
        <v>3355256</v>
      </c>
      <c r="C3756" s="1" t="str">
        <f>HYPERLINK("http://stackoverflow.com/users/3355256", "liubinqiang")</f>
        <v>liubinqiang</v>
      </c>
      <c r="D3756" t="s">
        <v>5</v>
      </c>
      <c r="E3756">
        <v>51</v>
      </c>
    </row>
    <row r="3757" spans="1:5" x14ac:dyDescent="0.25">
      <c r="A3757">
        <v>3756</v>
      </c>
      <c r="B3757">
        <v>5120986</v>
      </c>
      <c r="C3757" s="1" t="str">
        <f>HYPERLINK("http://stackoverflow.com/users/5120986", "Yongxin Zhang")</f>
        <v>Yongxin Zhang</v>
      </c>
      <c r="D3757" t="s">
        <v>16</v>
      </c>
      <c r="E3757">
        <v>51</v>
      </c>
    </row>
    <row r="3758" spans="1:5" x14ac:dyDescent="0.25">
      <c r="A3758">
        <v>3757</v>
      </c>
      <c r="B3758">
        <v>5090149</v>
      </c>
      <c r="C3758" s="1" t="str">
        <f>HYPERLINK("http://stackoverflow.com/users/5090149", "jack980517")</f>
        <v>jack980517</v>
      </c>
      <c r="D3758" t="s">
        <v>21</v>
      </c>
      <c r="E3758">
        <v>51</v>
      </c>
    </row>
    <row r="3759" spans="1:5" x14ac:dyDescent="0.25">
      <c r="A3759">
        <v>3758</v>
      </c>
      <c r="B3759">
        <v>5305597</v>
      </c>
      <c r="C3759" s="1" t="str">
        <f>HYPERLINK("http://stackoverflow.com/users/5305597", "Yanmin Lu")</f>
        <v>Yanmin Lu</v>
      </c>
      <c r="D3759" t="s">
        <v>5</v>
      </c>
      <c r="E3759">
        <v>51</v>
      </c>
    </row>
    <row r="3760" spans="1:5" x14ac:dyDescent="0.25">
      <c r="A3760">
        <v>3759</v>
      </c>
      <c r="B3760">
        <v>1584362</v>
      </c>
      <c r="C3760" s="1" t="str">
        <f>HYPERLINK("http://stackoverflow.com/users/1584362", "Kinematic")</f>
        <v>Kinematic</v>
      </c>
      <c r="D3760" t="s">
        <v>31</v>
      </c>
      <c r="E3760">
        <v>51</v>
      </c>
    </row>
    <row r="3761" spans="1:5" x14ac:dyDescent="0.25">
      <c r="A3761">
        <v>3760</v>
      </c>
      <c r="B3761">
        <v>9874777</v>
      </c>
      <c r="C3761" s="1" t="str">
        <f>HYPERLINK("http://stackoverflow.com/users/9874777", "Min")</f>
        <v>Min</v>
      </c>
      <c r="D3761" t="s">
        <v>246</v>
      </c>
      <c r="E3761">
        <v>51</v>
      </c>
    </row>
    <row r="3762" spans="1:5" x14ac:dyDescent="0.25">
      <c r="A3762">
        <v>3761</v>
      </c>
      <c r="B3762">
        <v>8092415</v>
      </c>
      <c r="C3762" s="1" t="str">
        <f>HYPERLINK("http://stackoverflow.com/users/8092415", "Dingkun Liu")</f>
        <v>Dingkun Liu</v>
      </c>
      <c r="D3762" t="s">
        <v>5</v>
      </c>
      <c r="E3762">
        <v>51</v>
      </c>
    </row>
    <row r="3763" spans="1:5" x14ac:dyDescent="0.25">
      <c r="A3763">
        <v>3762</v>
      </c>
      <c r="B3763">
        <v>586126</v>
      </c>
      <c r="C3763" s="1" t="str">
        <f>HYPERLINK("http://stackoverflow.com/users/586126", "carlxia")</f>
        <v>carlxia</v>
      </c>
      <c r="D3763" t="s">
        <v>4</v>
      </c>
      <c r="E3763">
        <v>51</v>
      </c>
    </row>
    <row r="3764" spans="1:5" x14ac:dyDescent="0.25">
      <c r="A3764">
        <v>3763</v>
      </c>
      <c r="B3764">
        <v>968705</v>
      </c>
      <c r="C3764" s="1" t="str">
        <f>HYPERLINK("http://stackoverflow.com/users/968705", "yellowsea")</f>
        <v>yellowsea</v>
      </c>
      <c r="D3764" t="s">
        <v>5</v>
      </c>
      <c r="E3764">
        <v>51</v>
      </c>
    </row>
    <row r="3765" spans="1:5" x14ac:dyDescent="0.25">
      <c r="A3765">
        <v>3764</v>
      </c>
      <c r="B3765">
        <v>866545</v>
      </c>
      <c r="C3765" s="1" t="str">
        <f>HYPERLINK("http://stackoverflow.com/users/866545", "ZHUO Qiang")</f>
        <v>ZHUO Qiang</v>
      </c>
      <c r="D3765" t="s">
        <v>37</v>
      </c>
      <c r="E3765">
        <v>51</v>
      </c>
    </row>
    <row r="3766" spans="1:5" x14ac:dyDescent="0.25">
      <c r="A3766">
        <v>3765</v>
      </c>
      <c r="B3766">
        <v>2318738</v>
      </c>
      <c r="C3766" s="1" t="str">
        <f>HYPERLINK("http://stackoverflow.com/users/2318738", "crazyjin")</f>
        <v>crazyjin</v>
      </c>
      <c r="D3766" t="s">
        <v>22</v>
      </c>
      <c r="E3766">
        <v>51</v>
      </c>
    </row>
    <row r="3767" spans="1:5" x14ac:dyDescent="0.25">
      <c r="A3767">
        <v>3766</v>
      </c>
      <c r="B3767">
        <v>5806258</v>
      </c>
      <c r="C3767" s="1" t="str">
        <f>HYPERLINK("http://stackoverflow.com/users/5806258", "Maosen Hu")</f>
        <v>Maosen Hu</v>
      </c>
      <c r="D3767" t="s">
        <v>74</v>
      </c>
      <c r="E3767">
        <v>51</v>
      </c>
    </row>
    <row r="3768" spans="1:5" x14ac:dyDescent="0.25">
      <c r="A3768">
        <v>3767</v>
      </c>
      <c r="B3768">
        <v>9231056</v>
      </c>
      <c r="C3768" s="1" t="str">
        <f>HYPERLINK("http://stackoverflow.com/users/9231056", "Jiahe Shi")</f>
        <v>Jiahe Shi</v>
      </c>
      <c r="D3768" t="s">
        <v>247</v>
      </c>
      <c r="E3768">
        <v>51</v>
      </c>
    </row>
    <row r="3769" spans="1:5" x14ac:dyDescent="0.25">
      <c r="A3769">
        <v>3768</v>
      </c>
      <c r="B3769">
        <v>7315696</v>
      </c>
      <c r="C3769" s="1" t="str">
        <f>HYPERLINK("http://stackoverflow.com/users/7315696", "FarmerLi")</f>
        <v>FarmerLi</v>
      </c>
      <c r="D3769" t="s">
        <v>5</v>
      </c>
      <c r="E3769">
        <v>51</v>
      </c>
    </row>
    <row r="3770" spans="1:5" x14ac:dyDescent="0.25">
      <c r="A3770">
        <v>3769</v>
      </c>
      <c r="B3770">
        <v>7270619</v>
      </c>
      <c r="C3770" s="1" t="str">
        <f>HYPERLINK("http://stackoverflow.com/users/7270619", "Mick")</f>
        <v>Mick</v>
      </c>
      <c r="D3770" t="s">
        <v>248</v>
      </c>
      <c r="E3770">
        <v>51</v>
      </c>
    </row>
    <row r="3771" spans="1:5" x14ac:dyDescent="0.25">
      <c r="A3771">
        <v>3770</v>
      </c>
      <c r="B3771">
        <v>7745362</v>
      </c>
      <c r="C3771" s="1" t="str">
        <f>HYPERLINK("http://stackoverflow.com/users/7745362", "Eric Young")</f>
        <v>Eric Young</v>
      </c>
      <c r="D3771" t="s">
        <v>7</v>
      </c>
      <c r="E3771">
        <v>51</v>
      </c>
    </row>
    <row r="3772" spans="1:5" x14ac:dyDescent="0.25">
      <c r="A3772">
        <v>3771</v>
      </c>
      <c r="B3772">
        <v>474025</v>
      </c>
      <c r="C3772" s="1" t="str">
        <f>HYPERLINK("http://stackoverflow.com/users/474025", "leo")</f>
        <v>leo</v>
      </c>
      <c r="D3772" t="s">
        <v>8</v>
      </c>
      <c r="E3772">
        <v>51</v>
      </c>
    </row>
    <row r="3773" spans="1:5" x14ac:dyDescent="0.25">
      <c r="A3773">
        <v>3772</v>
      </c>
      <c r="B3773">
        <v>8106681</v>
      </c>
      <c r="C3773" s="1" t="str">
        <f>HYPERLINK("http://stackoverflow.com/users/8106681", "Fiona")</f>
        <v>Fiona</v>
      </c>
      <c r="D3773" t="s">
        <v>29</v>
      </c>
      <c r="E3773">
        <v>51</v>
      </c>
    </row>
    <row r="3774" spans="1:5" x14ac:dyDescent="0.25">
      <c r="A3774">
        <v>3773</v>
      </c>
      <c r="B3774">
        <v>722365</v>
      </c>
      <c r="C3774" s="1" t="str">
        <f>HYPERLINK("http://stackoverflow.com/users/722365", "Frank Zheng")</f>
        <v>Frank Zheng</v>
      </c>
      <c r="D3774" t="s">
        <v>5</v>
      </c>
      <c r="E3774">
        <v>51</v>
      </c>
    </row>
    <row r="3775" spans="1:5" x14ac:dyDescent="0.25">
      <c r="A3775">
        <v>3774</v>
      </c>
      <c r="B3775">
        <v>2458181</v>
      </c>
      <c r="C3775" s="1" t="str">
        <f>HYPERLINK("http://stackoverflow.com/users/2458181", "wind4869")</f>
        <v>wind4869</v>
      </c>
      <c r="D3775" t="s">
        <v>56</v>
      </c>
      <c r="E3775">
        <v>51</v>
      </c>
    </row>
    <row r="3776" spans="1:5" x14ac:dyDescent="0.25">
      <c r="A3776">
        <v>3775</v>
      </c>
      <c r="B3776">
        <v>1059288</v>
      </c>
      <c r="C3776" s="1" t="str">
        <f>HYPERLINK("http://stackoverflow.com/users/1059288", "YYGCui")</f>
        <v>YYGCui</v>
      </c>
      <c r="D3776" t="s">
        <v>4</v>
      </c>
      <c r="E3776">
        <v>51</v>
      </c>
    </row>
    <row r="3777" spans="1:5" x14ac:dyDescent="0.25">
      <c r="A3777">
        <v>3776</v>
      </c>
      <c r="B3777">
        <v>3247841</v>
      </c>
      <c r="C3777" s="1" t="str">
        <f>HYPERLINK("http://stackoverflow.com/users/3247841", "Robin Han")</f>
        <v>Robin Han</v>
      </c>
      <c r="D3777" t="s">
        <v>55</v>
      </c>
      <c r="E3777">
        <v>51</v>
      </c>
    </row>
    <row r="3778" spans="1:5" x14ac:dyDescent="0.25">
      <c r="A3778">
        <v>3777</v>
      </c>
      <c r="B3778">
        <v>6885276</v>
      </c>
      <c r="C3778" s="1" t="str">
        <f>HYPERLINK("http://stackoverflow.com/users/6885276", "Martin")</f>
        <v>Martin</v>
      </c>
      <c r="D3778" t="s">
        <v>52</v>
      </c>
      <c r="E3778">
        <v>51</v>
      </c>
    </row>
    <row r="3779" spans="1:5" x14ac:dyDescent="0.25">
      <c r="A3779">
        <v>3778</v>
      </c>
      <c r="B3779">
        <v>5192035</v>
      </c>
      <c r="C3779" s="1" t="str">
        <f>HYPERLINK("http://stackoverflow.com/users/5192035", "Li Lin")</f>
        <v>Li Lin</v>
      </c>
      <c r="D3779" t="s">
        <v>58</v>
      </c>
      <c r="E3779">
        <v>51</v>
      </c>
    </row>
    <row r="3780" spans="1:5" x14ac:dyDescent="0.25">
      <c r="A3780">
        <v>3779</v>
      </c>
      <c r="B3780">
        <v>2648827</v>
      </c>
      <c r="C3780" s="1" t="str">
        <f>HYPERLINK("http://stackoverflow.com/users/2648827", "kitaev")</f>
        <v>kitaev</v>
      </c>
      <c r="D3780" t="s">
        <v>4</v>
      </c>
      <c r="E3780">
        <v>51</v>
      </c>
    </row>
    <row r="3781" spans="1:5" x14ac:dyDescent="0.25">
      <c r="A3781">
        <v>3780</v>
      </c>
      <c r="B3781">
        <v>4823109</v>
      </c>
      <c r="C3781" s="1" t="str">
        <f>HYPERLINK("http://stackoverflow.com/users/4823109", "Limon")</f>
        <v>Limon</v>
      </c>
      <c r="D3781" t="s">
        <v>5</v>
      </c>
      <c r="E3781">
        <v>51</v>
      </c>
    </row>
    <row r="3782" spans="1:5" x14ac:dyDescent="0.25">
      <c r="A3782">
        <v>3781</v>
      </c>
      <c r="B3782">
        <v>1095646</v>
      </c>
      <c r="C3782" s="1" t="str">
        <f>HYPERLINK("http://stackoverflow.com/users/1095646", "Ricky Su")</f>
        <v>Ricky Su</v>
      </c>
      <c r="D3782" t="s">
        <v>4</v>
      </c>
      <c r="E3782">
        <v>51</v>
      </c>
    </row>
    <row r="3783" spans="1:5" x14ac:dyDescent="0.25">
      <c r="A3783">
        <v>3782</v>
      </c>
      <c r="B3783">
        <v>1629780</v>
      </c>
      <c r="C3783" s="1" t="str">
        <f>HYPERLINK("http://stackoverflow.com/users/1629780", "Yang Zhou")</f>
        <v>Yang Zhou</v>
      </c>
      <c r="D3783" t="s">
        <v>22</v>
      </c>
      <c r="E3783">
        <v>51</v>
      </c>
    </row>
    <row r="3784" spans="1:5" x14ac:dyDescent="0.25">
      <c r="A3784">
        <v>3783</v>
      </c>
      <c r="B3784">
        <v>5311851</v>
      </c>
      <c r="C3784" s="1" t="str">
        <f>HYPERLINK("http://stackoverflow.com/users/5311851", "Eva Hsueh")</f>
        <v>Eva Hsueh</v>
      </c>
      <c r="D3784" t="s">
        <v>21</v>
      </c>
      <c r="E3784">
        <v>51</v>
      </c>
    </row>
    <row r="3785" spans="1:5" x14ac:dyDescent="0.25">
      <c r="A3785">
        <v>3784</v>
      </c>
      <c r="B3785">
        <v>10527064</v>
      </c>
      <c r="C3785" s="1" t="str">
        <f>HYPERLINK("http://stackoverflow.com/users/10527064", "zack")</f>
        <v>zack</v>
      </c>
      <c r="D3785" t="s">
        <v>7</v>
      </c>
      <c r="E3785">
        <v>51</v>
      </c>
    </row>
    <row r="3786" spans="1:5" x14ac:dyDescent="0.25">
      <c r="A3786">
        <v>3785</v>
      </c>
      <c r="B3786">
        <v>2027855</v>
      </c>
      <c r="C3786" s="1" t="str">
        <f>HYPERLINK("http://stackoverflow.com/users/2027855", "musixlemon")</f>
        <v>musixlemon</v>
      </c>
      <c r="D3786" t="s">
        <v>4</v>
      </c>
      <c r="E3786">
        <v>51</v>
      </c>
    </row>
    <row r="3787" spans="1:5" x14ac:dyDescent="0.25">
      <c r="A3787">
        <v>3786</v>
      </c>
      <c r="B3787">
        <v>7314559</v>
      </c>
      <c r="C3787" s="1" t="str">
        <f>HYPERLINK("http://stackoverflow.com/users/7314559", "J. Fan")</f>
        <v>J. Fan</v>
      </c>
      <c r="D3787" t="s">
        <v>28</v>
      </c>
      <c r="E3787">
        <v>51</v>
      </c>
    </row>
    <row r="3788" spans="1:5" x14ac:dyDescent="0.25">
      <c r="A3788">
        <v>3787</v>
      </c>
      <c r="B3788">
        <v>1743456</v>
      </c>
      <c r="C3788" s="1" t="str">
        <f>HYPERLINK("http://stackoverflow.com/users/1743456", "KaireeWu")</f>
        <v>KaireeWu</v>
      </c>
      <c r="D3788" t="s">
        <v>17</v>
      </c>
      <c r="E3788">
        <v>51</v>
      </c>
    </row>
    <row r="3789" spans="1:5" x14ac:dyDescent="0.25">
      <c r="A3789">
        <v>3788</v>
      </c>
      <c r="B3789">
        <v>2156046</v>
      </c>
      <c r="C3789" s="1" t="str">
        <f>HYPERLINK("http://stackoverflow.com/users/2156046", "pathfinder")</f>
        <v>pathfinder</v>
      </c>
      <c r="D3789" t="s">
        <v>5</v>
      </c>
      <c r="E3789">
        <v>51</v>
      </c>
    </row>
    <row r="3790" spans="1:5" x14ac:dyDescent="0.25">
      <c r="A3790">
        <v>3789</v>
      </c>
      <c r="B3790">
        <v>9345801</v>
      </c>
      <c r="C3790" s="1" t="str">
        <f>HYPERLINK("http://stackoverflow.com/users/9345801", "jackson")</f>
        <v>jackson</v>
      </c>
      <c r="D3790" t="s">
        <v>4</v>
      </c>
      <c r="E3790">
        <v>51</v>
      </c>
    </row>
    <row r="3791" spans="1:5" x14ac:dyDescent="0.25">
      <c r="A3791">
        <v>3790</v>
      </c>
      <c r="B3791">
        <v>2314478</v>
      </c>
      <c r="C3791" s="1" t="str">
        <f>HYPERLINK("http://stackoverflow.com/users/2314478", "BUPTOrange")</f>
        <v>BUPTOrange</v>
      </c>
      <c r="D3791" t="s">
        <v>5</v>
      </c>
      <c r="E3791">
        <v>51</v>
      </c>
    </row>
    <row r="3792" spans="1:5" x14ac:dyDescent="0.25">
      <c r="A3792">
        <v>3791</v>
      </c>
      <c r="B3792">
        <v>5945108</v>
      </c>
      <c r="C3792" s="1" t="str">
        <f>HYPERLINK("http://stackoverflow.com/users/5945108", "GrumpyMelon")</f>
        <v>GrumpyMelon</v>
      </c>
      <c r="D3792" t="s">
        <v>5</v>
      </c>
      <c r="E3792">
        <v>50</v>
      </c>
    </row>
    <row r="3793" spans="1:5" x14ac:dyDescent="0.25">
      <c r="A3793">
        <v>3792</v>
      </c>
      <c r="B3793">
        <v>5478174</v>
      </c>
      <c r="C3793" s="1" t="str">
        <f>HYPERLINK("http://stackoverflow.com/users/5478174", "kun wang")</f>
        <v>kun wang</v>
      </c>
      <c r="D3793" t="s">
        <v>31</v>
      </c>
      <c r="E3793">
        <v>50</v>
      </c>
    </row>
    <row r="3794" spans="1:5" x14ac:dyDescent="0.25">
      <c r="A3794">
        <v>3793</v>
      </c>
      <c r="B3794">
        <v>1463063</v>
      </c>
      <c r="C3794" s="1" t="str">
        <f>HYPERLINK("http://stackoverflow.com/users/1463063", "yuandaxing")</f>
        <v>yuandaxing</v>
      </c>
      <c r="D3794" t="s">
        <v>4</v>
      </c>
      <c r="E3794">
        <v>50</v>
      </c>
    </row>
    <row r="3795" spans="1:5" x14ac:dyDescent="0.25">
      <c r="A3795">
        <v>3794</v>
      </c>
      <c r="B3795">
        <v>805916</v>
      </c>
      <c r="C3795" s="1" t="str">
        <f>HYPERLINK("http://stackoverflow.com/users/805916", "italkboy")</f>
        <v>italkboy</v>
      </c>
      <c r="D3795" t="s">
        <v>218</v>
      </c>
      <c r="E3795">
        <v>50</v>
      </c>
    </row>
    <row r="3796" spans="1:5" x14ac:dyDescent="0.25">
      <c r="A3796">
        <v>3795</v>
      </c>
      <c r="B3796">
        <v>805948</v>
      </c>
      <c r="C3796" s="1" t="str">
        <f>HYPERLINK("http://stackoverflow.com/users/805948", "shiwei")</f>
        <v>shiwei</v>
      </c>
      <c r="D3796" t="s">
        <v>37</v>
      </c>
      <c r="E3796">
        <v>50</v>
      </c>
    </row>
    <row r="3797" spans="1:5" x14ac:dyDescent="0.25">
      <c r="A3797">
        <v>3796</v>
      </c>
      <c r="B3797">
        <v>3825837</v>
      </c>
      <c r="C3797" s="1" t="str">
        <f>HYPERLINK("http://stackoverflow.com/users/3825837", "Oscarzhao")</f>
        <v>Oscarzhao</v>
      </c>
      <c r="D3797" t="s">
        <v>5</v>
      </c>
      <c r="E3797">
        <v>50</v>
      </c>
    </row>
    <row r="3798" spans="1:5" x14ac:dyDescent="0.25">
      <c r="A3798">
        <v>3797</v>
      </c>
      <c r="B3798">
        <v>7377104</v>
      </c>
      <c r="C3798" s="1" t="str">
        <f>HYPERLINK("http://stackoverflow.com/users/7377104", "hepeng")</f>
        <v>hepeng</v>
      </c>
      <c r="D3798" t="s">
        <v>5</v>
      </c>
      <c r="E3798">
        <v>50</v>
      </c>
    </row>
    <row r="3799" spans="1:5" x14ac:dyDescent="0.25">
      <c r="A3799">
        <v>3798</v>
      </c>
      <c r="B3799">
        <v>1947360</v>
      </c>
      <c r="C3799" s="1" t="str">
        <f>HYPERLINK("http://stackoverflow.com/users/1947360", "Jinstrong")</f>
        <v>Jinstrong</v>
      </c>
      <c r="D3799" t="s">
        <v>4</v>
      </c>
      <c r="E3799">
        <v>50</v>
      </c>
    </row>
    <row r="3800" spans="1:5" x14ac:dyDescent="0.25">
      <c r="A3800">
        <v>3799</v>
      </c>
      <c r="B3800">
        <v>5137435</v>
      </c>
      <c r="C3800" s="1" t="str">
        <f>HYPERLINK("http://stackoverflow.com/users/5137435", "xialu")</f>
        <v>xialu</v>
      </c>
      <c r="D3800" t="s">
        <v>4</v>
      </c>
      <c r="E3800">
        <v>50</v>
      </c>
    </row>
    <row r="3801" spans="1:5" x14ac:dyDescent="0.25">
      <c r="A3801">
        <v>3800</v>
      </c>
      <c r="B3801">
        <v>8652817</v>
      </c>
      <c r="C3801" s="1" t="str">
        <f>HYPERLINK("http://stackoverflow.com/users/8652817", "Yilin He")</f>
        <v>Yilin He</v>
      </c>
      <c r="D3801" t="s">
        <v>146</v>
      </c>
      <c r="E3801">
        <v>50</v>
      </c>
    </row>
    <row r="3802" spans="1:5" x14ac:dyDescent="0.25">
      <c r="A3802">
        <v>3801</v>
      </c>
      <c r="B3802">
        <v>3026559</v>
      </c>
      <c r="C3802" s="1" t="str">
        <f>HYPERLINK("http://stackoverflow.com/users/3026559", "yatsky")</f>
        <v>yatsky</v>
      </c>
      <c r="D3802" t="s">
        <v>12</v>
      </c>
      <c r="E3802">
        <v>50</v>
      </c>
    </row>
    <row r="3803" spans="1:5" x14ac:dyDescent="0.25">
      <c r="A3803">
        <v>3802</v>
      </c>
      <c r="B3803">
        <v>5454239</v>
      </c>
      <c r="C3803" s="1" t="str">
        <f>HYPERLINK("http://stackoverflow.com/users/5454239", "Joe.Herylee")</f>
        <v>Joe.Herylee</v>
      </c>
      <c r="D3803" t="s">
        <v>37</v>
      </c>
      <c r="E3803">
        <v>50</v>
      </c>
    </row>
    <row r="3804" spans="1:5" x14ac:dyDescent="0.25">
      <c r="A3804">
        <v>3803</v>
      </c>
      <c r="B3804">
        <v>863435</v>
      </c>
      <c r="C3804" s="1" t="str">
        <f>HYPERLINK("http://stackoverflow.com/users/863435", "supei")</f>
        <v>supei</v>
      </c>
      <c r="D3804" t="s">
        <v>38</v>
      </c>
      <c r="E3804">
        <v>50</v>
      </c>
    </row>
    <row r="3805" spans="1:5" x14ac:dyDescent="0.25">
      <c r="A3805">
        <v>3804</v>
      </c>
      <c r="B3805">
        <v>2983780</v>
      </c>
      <c r="C3805" s="1" t="str">
        <f>HYPERLINK("http://stackoverflow.com/users/2983780", "jkin8010")</f>
        <v>jkin8010</v>
      </c>
      <c r="D3805" t="s">
        <v>12</v>
      </c>
      <c r="E3805">
        <v>49</v>
      </c>
    </row>
    <row r="3806" spans="1:5" x14ac:dyDescent="0.25">
      <c r="A3806">
        <v>3805</v>
      </c>
      <c r="B3806">
        <v>429760</v>
      </c>
      <c r="C3806" s="1" t="str">
        <f>HYPERLINK("http://stackoverflow.com/users/429760", "Starfish")</f>
        <v>Starfish</v>
      </c>
      <c r="D3806" t="s">
        <v>4</v>
      </c>
      <c r="E3806">
        <v>49</v>
      </c>
    </row>
    <row r="3807" spans="1:5" x14ac:dyDescent="0.25">
      <c r="A3807">
        <v>3806</v>
      </c>
      <c r="B3807">
        <v>5064797</v>
      </c>
      <c r="C3807" s="1" t="str">
        <f>HYPERLINK("http://stackoverflow.com/users/5064797", "HUAN LIU")</f>
        <v>HUAN LIU</v>
      </c>
      <c r="D3807" t="s">
        <v>4</v>
      </c>
      <c r="E3807">
        <v>49</v>
      </c>
    </row>
    <row r="3808" spans="1:5" x14ac:dyDescent="0.25">
      <c r="A3808">
        <v>3807</v>
      </c>
      <c r="B3808">
        <v>1765843</v>
      </c>
      <c r="C3808" s="1" t="str">
        <f>HYPERLINK("http://stackoverflow.com/users/1765843", "York Tsai")</f>
        <v>York Tsai</v>
      </c>
      <c r="D3808" t="s">
        <v>4</v>
      </c>
      <c r="E3808">
        <v>49</v>
      </c>
    </row>
    <row r="3809" spans="1:5" x14ac:dyDescent="0.25">
      <c r="A3809">
        <v>3808</v>
      </c>
      <c r="B3809">
        <v>578038</v>
      </c>
      <c r="C3809" s="1" t="str">
        <f>HYPERLINK("http://stackoverflow.com/users/578038", "makiko_fly")</f>
        <v>makiko_fly</v>
      </c>
      <c r="D3809" t="s">
        <v>4</v>
      </c>
      <c r="E3809">
        <v>49</v>
      </c>
    </row>
    <row r="3810" spans="1:5" x14ac:dyDescent="0.25">
      <c r="A3810">
        <v>3809</v>
      </c>
      <c r="B3810">
        <v>3573327</v>
      </c>
      <c r="C3810" s="1" t="str">
        <f>HYPERLINK("http://stackoverflow.com/users/3573327", "2hu")</f>
        <v>2hu</v>
      </c>
      <c r="D3810" t="s">
        <v>5</v>
      </c>
      <c r="E3810">
        <v>49</v>
      </c>
    </row>
    <row r="3811" spans="1:5" x14ac:dyDescent="0.25">
      <c r="A3811">
        <v>3810</v>
      </c>
      <c r="B3811">
        <v>5570342</v>
      </c>
      <c r="C3811" s="1" t="str">
        <f>HYPERLINK("http://stackoverflow.com/users/5570342", "Ding Qiu")</f>
        <v>Ding Qiu</v>
      </c>
      <c r="D3811" t="s">
        <v>17</v>
      </c>
      <c r="E3811">
        <v>49</v>
      </c>
    </row>
    <row r="3812" spans="1:5" x14ac:dyDescent="0.25">
      <c r="A3812">
        <v>3811</v>
      </c>
      <c r="B3812">
        <v>5327341</v>
      </c>
      <c r="C3812" s="1" t="str">
        <f>HYPERLINK("http://stackoverflow.com/users/5327341", "Twiknight")</f>
        <v>Twiknight</v>
      </c>
      <c r="D3812" t="s">
        <v>37</v>
      </c>
      <c r="E3812">
        <v>49</v>
      </c>
    </row>
    <row r="3813" spans="1:5" x14ac:dyDescent="0.25">
      <c r="A3813">
        <v>3812</v>
      </c>
      <c r="B3813">
        <v>746418</v>
      </c>
      <c r="C3813" s="1" t="str">
        <f>HYPERLINK("http://stackoverflow.com/users/746418", "John")</f>
        <v>John</v>
      </c>
      <c r="D3813" t="s">
        <v>5</v>
      </c>
      <c r="E3813">
        <v>49</v>
      </c>
    </row>
    <row r="3814" spans="1:5" x14ac:dyDescent="0.25">
      <c r="A3814">
        <v>3813</v>
      </c>
      <c r="B3814">
        <v>7951087</v>
      </c>
      <c r="C3814" s="1" t="str">
        <f>HYPERLINK("http://stackoverflow.com/users/7951087", "L.Ward")</f>
        <v>L.Ward</v>
      </c>
      <c r="D3814" t="s">
        <v>57</v>
      </c>
      <c r="E3814">
        <v>49</v>
      </c>
    </row>
    <row r="3815" spans="1:5" x14ac:dyDescent="0.25">
      <c r="A3815">
        <v>3814</v>
      </c>
      <c r="B3815">
        <v>3729674</v>
      </c>
      <c r="C3815" s="1" t="str">
        <f>HYPERLINK("http://stackoverflow.com/users/3729674", "Wu Yang Michael")</f>
        <v>Wu Yang Michael</v>
      </c>
      <c r="D3815" t="s">
        <v>4</v>
      </c>
      <c r="E3815">
        <v>49</v>
      </c>
    </row>
    <row r="3816" spans="1:5" x14ac:dyDescent="0.25">
      <c r="A3816">
        <v>3815</v>
      </c>
      <c r="B3816">
        <v>7456137</v>
      </c>
      <c r="C3816" s="1" t="str">
        <f>HYPERLINK("http://stackoverflow.com/users/7456137", "Jeff Wang")</f>
        <v>Jeff Wang</v>
      </c>
      <c r="D3816" t="s">
        <v>16</v>
      </c>
      <c r="E3816">
        <v>49</v>
      </c>
    </row>
    <row r="3817" spans="1:5" x14ac:dyDescent="0.25">
      <c r="A3817">
        <v>3816</v>
      </c>
      <c r="B3817">
        <v>997619</v>
      </c>
      <c r="C3817" s="1" t="str">
        <f>HYPERLINK("http://stackoverflow.com/users/997619", "Cedar")</f>
        <v>Cedar</v>
      </c>
      <c r="D3817" t="s">
        <v>5</v>
      </c>
      <c r="E3817">
        <v>49</v>
      </c>
    </row>
    <row r="3818" spans="1:5" x14ac:dyDescent="0.25">
      <c r="A3818">
        <v>3817</v>
      </c>
      <c r="B3818">
        <v>3035228</v>
      </c>
      <c r="C3818" s="1" t="str">
        <f>HYPERLINK("http://stackoverflow.com/users/3035228", "Min")</f>
        <v>Min</v>
      </c>
      <c r="D3818" t="s">
        <v>4</v>
      </c>
      <c r="E3818">
        <v>49</v>
      </c>
    </row>
    <row r="3819" spans="1:5" x14ac:dyDescent="0.25">
      <c r="A3819">
        <v>3818</v>
      </c>
      <c r="B3819">
        <v>624263</v>
      </c>
      <c r="C3819" s="1" t="str">
        <f>HYPERLINK("http://stackoverflow.com/users/624263", "D.J.")</f>
        <v>D.J.</v>
      </c>
      <c r="D3819" t="s">
        <v>5</v>
      </c>
      <c r="E3819">
        <v>49</v>
      </c>
    </row>
    <row r="3820" spans="1:5" x14ac:dyDescent="0.25">
      <c r="A3820">
        <v>3819</v>
      </c>
      <c r="B3820">
        <v>3158463</v>
      </c>
      <c r="C3820" s="1" t="str">
        <f>HYPERLINK("http://stackoverflow.com/users/3158463", "Kang")</f>
        <v>Kang</v>
      </c>
      <c r="D3820" t="s">
        <v>4</v>
      </c>
      <c r="E3820">
        <v>49</v>
      </c>
    </row>
    <row r="3821" spans="1:5" x14ac:dyDescent="0.25">
      <c r="A3821">
        <v>3820</v>
      </c>
      <c r="B3821">
        <v>7316769</v>
      </c>
      <c r="C3821" s="1" t="str">
        <f>HYPERLINK("http://stackoverflow.com/users/7316769", "enzeberg")</f>
        <v>enzeberg</v>
      </c>
      <c r="D3821" t="s">
        <v>4</v>
      </c>
      <c r="E3821">
        <v>49</v>
      </c>
    </row>
    <row r="3822" spans="1:5" x14ac:dyDescent="0.25">
      <c r="A3822">
        <v>3821</v>
      </c>
      <c r="B3822">
        <v>5638962</v>
      </c>
      <c r="C3822" s="1" t="str">
        <f>HYPERLINK("http://stackoverflow.com/users/5638962", "Andy")</f>
        <v>Andy</v>
      </c>
      <c r="D3822" t="s">
        <v>4</v>
      </c>
      <c r="E3822">
        <v>49</v>
      </c>
    </row>
    <row r="3823" spans="1:5" x14ac:dyDescent="0.25">
      <c r="A3823">
        <v>3822</v>
      </c>
      <c r="B3823">
        <v>3184947</v>
      </c>
      <c r="C3823" s="1" t="str">
        <f>HYPERLINK("http://stackoverflow.com/users/3184947", "Rozen Lin")</f>
        <v>Rozen Lin</v>
      </c>
      <c r="D3823" t="s">
        <v>4</v>
      </c>
      <c r="E3823">
        <v>49</v>
      </c>
    </row>
    <row r="3824" spans="1:5" x14ac:dyDescent="0.25">
      <c r="A3824">
        <v>3823</v>
      </c>
      <c r="B3824">
        <v>3765971</v>
      </c>
      <c r="C3824" s="1" t="str">
        <f>HYPERLINK("http://stackoverflow.com/users/3765971", "Devin")</f>
        <v>Devin</v>
      </c>
      <c r="D3824" t="s">
        <v>4</v>
      </c>
      <c r="E3824">
        <v>49</v>
      </c>
    </row>
    <row r="3825" spans="1:5" x14ac:dyDescent="0.25">
      <c r="A3825">
        <v>3824</v>
      </c>
      <c r="B3825">
        <v>3162071</v>
      </c>
      <c r="C3825" s="1" t="str">
        <f>HYPERLINK("http://stackoverflow.com/users/3162071", "looseyi")</f>
        <v>looseyi</v>
      </c>
      <c r="D3825" t="s">
        <v>5</v>
      </c>
      <c r="E3825">
        <v>49</v>
      </c>
    </row>
    <row r="3826" spans="1:5" x14ac:dyDescent="0.25">
      <c r="A3826">
        <v>3825</v>
      </c>
      <c r="B3826">
        <v>4909388</v>
      </c>
      <c r="C3826" s="1" t="str">
        <f>HYPERLINK("http://stackoverflow.com/users/4909388", "cupen")</f>
        <v>cupen</v>
      </c>
      <c r="D3826" t="s">
        <v>5</v>
      </c>
      <c r="E3826">
        <v>49</v>
      </c>
    </row>
    <row r="3827" spans="1:5" x14ac:dyDescent="0.25">
      <c r="A3827">
        <v>3826</v>
      </c>
      <c r="B3827">
        <v>4356152</v>
      </c>
      <c r="C3827" s="1" t="str">
        <f>HYPERLINK("http://stackoverflow.com/users/4356152", "Jianeng Xu")</f>
        <v>Jianeng Xu</v>
      </c>
      <c r="D3827" t="s">
        <v>4</v>
      </c>
      <c r="E3827">
        <v>49</v>
      </c>
    </row>
    <row r="3828" spans="1:5" x14ac:dyDescent="0.25">
      <c r="A3828">
        <v>3827</v>
      </c>
      <c r="B3828">
        <v>2949729</v>
      </c>
      <c r="C3828" s="1" t="str">
        <f>HYPERLINK("http://stackoverflow.com/users/2949729", "sis")</f>
        <v>sis</v>
      </c>
      <c r="D3828" t="s">
        <v>4</v>
      </c>
      <c r="E3828">
        <v>48</v>
      </c>
    </row>
    <row r="3829" spans="1:5" x14ac:dyDescent="0.25">
      <c r="A3829">
        <v>3828</v>
      </c>
      <c r="B3829">
        <v>648182</v>
      </c>
      <c r="C3829" s="1" t="str">
        <f>HYPERLINK("http://stackoverflow.com/users/648182", "Alan Tam")</f>
        <v>Alan Tam</v>
      </c>
      <c r="D3829" t="s">
        <v>4</v>
      </c>
      <c r="E3829">
        <v>48</v>
      </c>
    </row>
    <row r="3830" spans="1:5" x14ac:dyDescent="0.25">
      <c r="A3830">
        <v>3829</v>
      </c>
      <c r="B3830">
        <v>8832133</v>
      </c>
      <c r="C3830" s="1" t="str">
        <f>HYPERLINK("http://stackoverflow.com/users/8832133", "Shawn Xu")</f>
        <v>Shawn Xu</v>
      </c>
      <c r="D3830" t="s">
        <v>249</v>
      </c>
      <c r="E3830">
        <v>48</v>
      </c>
    </row>
    <row r="3831" spans="1:5" x14ac:dyDescent="0.25">
      <c r="A3831">
        <v>3830</v>
      </c>
      <c r="B3831">
        <v>1936151</v>
      </c>
      <c r="C3831" s="1" t="str">
        <f>HYPERLINK("http://stackoverflow.com/users/1936151", "Angdi Chu")</f>
        <v>Angdi Chu</v>
      </c>
      <c r="D3831" t="s">
        <v>59</v>
      </c>
      <c r="E3831">
        <v>48</v>
      </c>
    </row>
    <row r="3832" spans="1:5" x14ac:dyDescent="0.25">
      <c r="A3832">
        <v>3831</v>
      </c>
      <c r="B3832">
        <v>3378433</v>
      </c>
      <c r="C3832" s="1" t="str">
        <f>HYPERLINK("http://stackoverflow.com/users/3378433", "luanhailiang")</f>
        <v>luanhailiang</v>
      </c>
      <c r="D3832" t="s">
        <v>5</v>
      </c>
      <c r="E3832">
        <v>48</v>
      </c>
    </row>
    <row r="3833" spans="1:5" x14ac:dyDescent="0.25">
      <c r="A3833">
        <v>3832</v>
      </c>
      <c r="B3833">
        <v>3441017</v>
      </c>
      <c r="C3833" s="1" t="str">
        <f>HYPERLINK("http://stackoverflow.com/users/3441017", "gudaoxuri")</f>
        <v>gudaoxuri</v>
      </c>
      <c r="D3833" t="s">
        <v>12</v>
      </c>
      <c r="E3833">
        <v>48</v>
      </c>
    </row>
    <row r="3834" spans="1:5" x14ac:dyDescent="0.25">
      <c r="A3834">
        <v>3833</v>
      </c>
      <c r="B3834">
        <v>805957</v>
      </c>
      <c r="C3834" s="1" t="str">
        <f>HYPERLINK("http://stackoverflow.com/users/805957", "ivoryxiong")</f>
        <v>ivoryxiong</v>
      </c>
      <c r="D3834" t="s">
        <v>5</v>
      </c>
      <c r="E3834">
        <v>48</v>
      </c>
    </row>
    <row r="3835" spans="1:5" x14ac:dyDescent="0.25">
      <c r="A3835">
        <v>3834</v>
      </c>
      <c r="B3835">
        <v>6326434</v>
      </c>
      <c r="C3835" s="1" t="str">
        <f>HYPERLINK("http://stackoverflow.com/users/6326434", "CnPeng")</f>
        <v>CnPeng</v>
      </c>
      <c r="D3835" t="s">
        <v>114</v>
      </c>
      <c r="E3835">
        <v>48</v>
      </c>
    </row>
    <row r="3836" spans="1:5" x14ac:dyDescent="0.25">
      <c r="A3836">
        <v>3835</v>
      </c>
      <c r="B3836">
        <v>2356701</v>
      </c>
      <c r="C3836" s="1" t="str">
        <f>HYPERLINK("http://stackoverflow.com/users/2356701", "AaronLee")</f>
        <v>AaronLee</v>
      </c>
      <c r="D3836" t="s">
        <v>4</v>
      </c>
      <c r="E3836">
        <v>48</v>
      </c>
    </row>
    <row r="3837" spans="1:5" x14ac:dyDescent="0.25">
      <c r="A3837">
        <v>3836</v>
      </c>
      <c r="B3837">
        <v>1336157</v>
      </c>
      <c r="C3837" s="1" t="str">
        <f>HYPERLINK("http://stackoverflow.com/users/1336157", "Yanzhi")</f>
        <v>Yanzhi</v>
      </c>
      <c r="D3837" t="s">
        <v>5</v>
      </c>
      <c r="E3837">
        <v>48</v>
      </c>
    </row>
    <row r="3838" spans="1:5" x14ac:dyDescent="0.25">
      <c r="A3838">
        <v>3837</v>
      </c>
      <c r="B3838">
        <v>3286151</v>
      </c>
      <c r="C3838" s="1" t="str">
        <f>HYPERLINK("http://stackoverflow.com/users/3286151", "Adams Xiao")</f>
        <v>Adams Xiao</v>
      </c>
      <c r="D3838" t="s">
        <v>33</v>
      </c>
      <c r="E3838">
        <v>48</v>
      </c>
    </row>
    <row r="3839" spans="1:5" x14ac:dyDescent="0.25">
      <c r="A3839">
        <v>3838</v>
      </c>
      <c r="B3839">
        <v>1384123</v>
      </c>
      <c r="C3839" s="1" t="str">
        <f>HYPERLINK("http://stackoverflow.com/users/1384123", "Brad Levier")</f>
        <v>Brad Levier</v>
      </c>
      <c r="D3839" t="s">
        <v>5</v>
      </c>
      <c r="E3839">
        <v>48</v>
      </c>
    </row>
    <row r="3840" spans="1:5" x14ac:dyDescent="0.25">
      <c r="A3840">
        <v>3839</v>
      </c>
      <c r="B3840">
        <v>515493</v>
      </c>
      <c r="C3840" s="1" t="str">
        <f>HYPERLINK("http://stackoverflow.com/users/515493", "mepine")</f>
        <v>mepine</v>
      </c>
      <c r="D3840" t="s">
        <v>5</v>
      </c>
      <c r="E3840">
        <v>48</v>
      </c>
    </row>
    <row r="3841" spans="1:5" x14ac:dyDescent="0.25">
      <c r="A3841">
        <v>3840</v>
      </c>
      <c r="B3841">
        <v>8035165</v>
      </c>
      <c r="C3841" s="1" t="str">
        <f>HYPERLINK("http://stackoverflow.com/users/8035165", "Renke")</f>
        <v>Renke</v>
      </c>
      <c r="D3841" t="s">
        <v>4</v>
      </c>
      <c r="E3841">
        <v>48</v>
      </c>
    </row>
    <row r="3842" spans="1:5" x14ac:dyDescent="0.25">
      <c r="A3842">
        <v>3841</v>
      </c>
      <c r="B3842">
        <v>1092023</v>
      </c>
      <c r="C3842" s="1" t="str">
        <f>HYPERLINK("http://stackoverflow.com/users/1092023", "shutear")</f>
        <v>shutear</v>
      </c>
      <c r="D3842" t="s">
        <v>250</v>
      </c>
      <c r="E3842">
        <v>48</v>
      </c>
    </row>
    <row r="3843" spans="1:5" x14ac:dyDescent="0.25">
      <c r="A3843">
        <v>3842</v>
      </c>
      <c r="B3843">
        <v>555657</v>
      </c>
      <c r="C3843" s="1" t="str">
        <f>HYPERLINK("http://stackoverflow.com/users/555657", "zhouxiang")</f>
        <v>zhouxiang</v>
      </c>
      <c r="D3843" t="s">
        <v>22</v>
      </c>
      <c r="E3843">
        <v>48</v>
      </c>
    </row>
    <row r="3844" spans="1:5" x14ac:dyDescent="0.25">
      <c r="A3844">
        <v>3843</v>
      </c>
      <c r="B3844">
        <v>1866856</v>
      </c>
      <c r="C3844" s="1" t="str">
        <f>HYPERLINK("http://stackoverflow.com/users/1866856", "JQK")</f>
        <v>JQK</v>
      </c>
      <c r="D3844" t="s">
        <v>54</v>
      </c>
      <c r="E3844">
        <v>48</v>
      </c>
    </row>
    <row r="3845" spans="1:5" x14ac:dyDescent="0.25">
      <c r="A3845">
        <v>3844</v>
      </c>
      <c r="B3845">
        <v>1528113</v>
      </c>
      <c r="C3845" s="1" t="str">
        <f>HYPERLINK("http://stackoverflow.com/users/1528113", "goss.beta")</f>
        <v>goss.beta</v>
      </c>
      <c r="D3845" t="s">
        <v>4</v>
      </c>
      <c r="E3845">
        <v>48</v>
      </c>
    </row>
    <row r="3846" spans="1:5" x14ac:dyDescent="0.25">
      <c r="A3846">
        <v>3845</v>
      </c>
      <c r="B3846">
        <v>464704</v>
      </c>
      <c r="C3846" s="1" t="str">
        <f>HYPERLINK("http://stackoverflow.com/users/464704", "sheimi")</f>
        <v>sheimi</v>
      </c>
      <c r="D3846" t="s">
        <v>37</v>
      </c>
      <c r="E3846">
        <v>48</v>
      </c>
    </row>
    <row r="3847" spans="1:5" x14ac:dyDescent="0.25">
      <c r="A3847">
        <v>3846</v>
      </c>
      <c r="B3847">
        <v>165253</v>
      </c>
      <c r="C3847" s="1" t="str">
        <f>HYPERLINK("http://stackoverflow.com/users/165253", "easyeagel")</f>
        <v>easyeagel</v>
      </c>
      <c r="D3847" t="s">
        <v>4</v>
      </c>
      <c r="E3847">
        <v>48</v>
      </c>
    </row>
    <row r="3848" spans="1:5" x14ac:dyDescent="0.25">
      <c r="A3848">
        <v>3847</v>
      </c>
      <c r="B3848">
        <v>3625122</v>
      </c>
      <c r="C3848" s="1" t="str">
        <f>HYPERLINK("http://stackoverflow.com/users/3625122", "FeizCNU")</f>
        <v>FeizCNU</v>
      </c>
      <c r="D3848" t="s">
        <v>5</v>
      </c>
      <c r="E3848">
        <v>48</v>
      </c>
    </row>
    <row r="3849" spans="1:5" x14ac:dyDescent="0.25">
      <c r="A3849">
        <v>3848</v>
      </c>
      <c r="B3849">
        <v>3349347</v>
      </c>
      <c r="C3849" s="1" t="str">
        <f>HYPERLINK("http://stackoverflow.com/users/3349347", "zhushun0008")</f>
        <v>zhushun0008</v>
      </c>
      <c r="D3849" t="s">
        <v>5</v>
      </c>
      <c r="E3849">
        <v>48</v>
      </c>
    </row>
    <row r="3850" spans="1:5" x14ac:dyDescent="0.25">
      <c r="A3850">
        <v>3849</v>
      </c>
      <c r="B3850">
        <v>594804</v>
      </c>
      <c r="C3850" s="1" t="str">
        <f>HYPERLINK("http://stackoverflow.com/users/594804", "iShow")</f>
        <v>iShow</v>
      </c>
      <c r="D3850" t="s">
        <v>251</v>
      </c>
      <c r="E3850">
        <v>48</v>
      </c>
    </row>
    <row r="3851" spans="1:5" x14ac:dyDescent="0.25">
      <c r="A3851">
        <v>3850</v>
      </c>
      <c r="B3851">
        <v>1159849</v>
      </c>
      <c r="C3851" s="1" t="str">
        <f>HYPERLINK("http://stackoverflow.com/users/1159849", "cgg5207")</f>
        <v>cgg5207</v>
      </c>
      <c r="D3851" t="s">
        <v>4</v>
      </c>
      <c r="E3851">
        <v>47</v>
      </c>
    </row>
    <row r="3852" spans="1:5" x14ac:dyDescent="0.25">
      <c r="A3852">
        <v>3851</v>
      </c>
      <c r="B3852">
        <v>1500975</v>
      </c>
      <c r="C3852" s="1" t="str">
        <f>HYPERLINK("http://stackoverflow.com/users/1500975", "kimi")</f>
        <v>kimi</v>
      </c>
      <c r="D3852" t="s">
        <v>12</v>
      </c>
      <c r="E3852">
        <v>47</v>
      </c>
    </row>
    <row r="3853" spans="1:5" x14ac:dyDescent="0.25">
      <c r="A3853">
        <v>3852</v>
      </c>
      <c r="B3853">
        <v>1034843</v>
      </c>
      <c r="C3853" s="1" t="str">
        <f>HYPERLINK("http://stackoverflow.com/users/1034843", "machcm.sz")</f>
        <v>machcm.sz</v>
      </c>
      <c r="D3853" t="s">
        <v>17</v>
      </c>
      <c r="E3853">
        <v>47</v>
      </c>
    </row>
    <row r="3854" spans="1:5" x14ac:dyDescent="0.25">
      <c r="A3854">
        <v>3853</v>
      </c>
      <c r="B3854">
        <v>4841560</v>
      </c>
      <c r="C3854" s="1" t="str">
        <f>HYPERLINK("http://stackoverflow.com/users/4841560", "Raphael Xue")</f>
        <v>Raphael Xue</v>
      </c>
      <c r="D3854" t="s">
        <v>4</v>
      </c>
      <c r="E3854">
        <v>47</v>
      </c>
    </row>
    <row r="3855" spans="1:5" x14ac:dyDescent="0.25">
      <c r="A3855">
        <v>3854</v>
      </c>
      <c r="B3855">
        <v>507727</v>
      </c>
      <c r="C3855" s="1" t="str">
        <f>HYPERLINK("http://stackoverflow.com/users/507727", "rainisic")</f>
        <v>rainisic</v>
      </c>
      <c r="D3855" t="s">
        <v>5</v>
      </c>
      <c r="E3855">
        <v>47</v>
      </c>
    </row>
    <row r="3856" spans="1:5" x14ac:dyDescent="0.25">
      <c r="A3856">
        <v>3855</v>
      </c>
      <c r="B3856">
        <v>2829903</v>
      </c>
      <c r="C3856" s="1" t="str">
        <f>HYPERLINK("http://stackoverflow.com/users/2829903", "Kate")</f>
        <v>Kate</v>
      </c>
      <c r="D3856" t="s">
        <v>4</v>
      </c>
      <c r="E3856">
        <v>47</v>
      </c>
    </row>
    <row r="3857" spans="1:5" x14ac:dyDescent="0.25">
      <c r="A3857">
        <v>3856</v>
      </c>
      <c r="B3857">
        <v>2450651</v>
      </c>
      <c r="C3857" s="1" t="str">
        <f>HYPERLINK("http://stackoverflow.com/users/2450651", "acguy")</f>
        <v>acguy</v>
      </c>
      <c r="D3857" t="s">
        <v>16</v>
      </c>
      <c r="E3857">
        <v>47</v>
      </c>
    </row>
    <row r="3858" spans="1:5" x14ac:dyDescent="0.25">
      <c r="A3858">
        <v>3857</v>
      </c>
      <c r="B3858">
        <v>1196208</v>
      </c>
      <c r="C3858" s="1" t="str">
        <f>HYPERLINK("http://stackoverflow.com/users/1196208", "hustwcw")</f>
        <v>hustwcw</v>
      </c>
      <c r="D3858" t="s">
        <v>12</v>
      </c>
      <c r="E3858">
        <v>47</v>
      </c>
    </row>
    <row r="3859" spans="1:5" x14ac:dyDescent="0.25">
      <c r="A3859">
        <v>3858</v>
      </c>
      <c r="B3859">
        <v>1084694</v>
      </c>
      <c r="C3859" s="1" t="str">
        <f>HYPERLINK("http://stackoverflow.com/users/1084694", "xiesusu")</f>
        <v>xiesusu</v>
      </c>
      <c r="D3859" t="s">
        <v>5</v>
      </c>
      <c r="E3859">
        <v>47</v>
      </c>
    </row>
    <row r="3860" spans="1:5" x14ac:dyDescent="0.25">
      <c r="A3860">
        <v>3859</v>
      </c>
      <c r="B3860">
        <v>1012027</v>
      </c>
      <c r="C3860" s="1" t="str">
        <f>HYPERLINK("http://stackoverflow.com/users/1012027", "geniuslinchao")</f>
        <v>geniuslinchao</v>
      </c>
      <c r="D3860" t="s">
        <v>5</v>
      </c>
      <c r="E3860">
        <v>47</v>
      </c>
    </row>
    <row r="3861" spans="1:5" x14ac:dyDescent="0.25">
      <c r="A3861">
        <v>3860</v>
      </c>
      <c r="B3861">
        <v>1124202</v>
      </c>
      <c r="C3861" s="1" t="str">
        <f>HYPERLINK("http://stackoverflow.com/users/1124202", "dingyaguang117")</f>
        <v>dingyaguang117</v>
      </c>
      <c r="D3861" t="s">
        <v>31</v>
      </c>
      <c r="E3861">
        <v>46</v>
      </c>
    </row>
    <row r="3862" spans="1:5" x14ac:dyDescent="0.25">
      <c r="A3862">
        <v>3861</v>
      </c>
      <c r="B3862">
        <v>6761178</v>
      </c>
      <c r="C3862" s="1" t="str">
        <f>HYPERLINK("http://stackoverflow.com/users/6761178", "Victor Guan")</f>
        <v>Victor Guan</v>
      </c>
      <c r="D3862" t="s">
        <v>4</v>
      </c>
      <c r="E3862">
        <v>46</v>
      </c>
    </row>
    <row r="3863" spans="1:5" x14ac:dyDescent="0.25">
      <c r="A3863">
        <v>3862</v>
      </c>
      <c r="B3863">
        <v>5258772</v>
      </c>
      <c r="C3863" s="1" t="str">
        <f>HYPERLINK("http://stackoverflow.com/users/5258772", "razr")</f>
        <v>razr</v>
      </c>
      <c r="D3863" t="s">
        <v>17</v>
      </c>
      <c r="E3863">
        <v>46</v>
      </c>
    </row>
    <row r="3864" spans="1:5" x14ac:dyDescent="0.25">
      <c r="A3864">
        <v>3863</v>
      </c>
      <c r="B3864">
        <v>1533843</v>
      </c>
      <c r="C3864" s="1" t="str">
        <f>HYPERLINK("http://stackoverflow.com/users/1533843", "wawlian")</f>
        <v>wawlian</v>
      </c>
      <c r="D3864" t="s">
        <v>5</v>
      </c>
      <c r="E3864">
        <v>46</v>
      </c>
    </row>
    <row r="3865" spans="1:5" x14ac:dyDescent="0.25">
      <c r="A3865">
        <v>3864</v>
      </c>
      <c r="B3865">
        <v>1688182</v>
      </c>
      <c r="C3865" s="1" t="str">
        <f>HYPERLINK("http://stackoverflow.com/users/1688182", "Zhuang Pearl")</f>
        <v>Zhuang Pearl</v>
      </c>
      <c r="D3865" t="s">
        <v>37</v>
      </c>
      <c r="E3865">
        <v>46</v>
      </c>
    </row>
    <row r="3866" spans="1:5" x14ac:dyDescent="0.25">
      <c r="A3866">
        <v>3865</v>
      </c>
      <c r="B3866">
        <v>392258</v>
      </c>
      <c r="C3866" s="1" t="str">
        <f>HYPERLINK("http://stackoverflow.com/users/392258", "learner")</f>
        <v>learner</v>
      </c>
      <c r="D3866" t="s">
        <v>5</v>
      </c>
      <c r="E3866">
        <v>46</v>
      </c>
    </row>
    <row r="3867" spans="1:5" x14ac:dyDescent="0.25">
      <c r="A3867">
        <v>3866</v>
      </c>
      <c r="B3867">
        <v>4701422</v>
      </c>
      <c r="C3867" s="1" t="str">
        <f>HYPERLINK("http://stackoverflow.com/users/4701422", "Marcus Li")</f>
        <v>Marcus Li</v>
      </c>
      <c r="D3867" t="s">
        <v>91</v>
      </c>
      <c r="E3867">
        <v>46</v>
      </c>
    </row>
    <row r="3868" spans="1:5" x14ac:dyDescent="0.25">
      <c r="A3868">
        <v>3867</v>
      </c>
      <c r="B3868">
        <v>7556711</v>
      </c>
      <c r="C3868" s="1" t="str">
        <f>HYPERLINK("http://stackoverflow.com/users/7556711", "Doone")</f>
        <v>Doone</v>
      </c>
      <c r="D3868" t="s">
        <v>5</v>
      </c>
      <c r="E3868">
        <v>46</v>
      </c>
    </row>
    <row r="3869" spans="1:5" x14ac:dyDescent="0.25">
      <c r="A3869">
        <v>3868</v>
      </c>
      <c r="B3869">
        <v>2109878</v>
      </c>
      <c r="C3869" s="1" t="str">
        <f>HYPERLINK("http://stackoverflow.com/users/2109878", "jcccn")</f>
        <v>jcccn</v>
      </c>
      <c r="D3869" t="s">
        <v>28</v>
      </c>
      <c r="E3869">
        <v>46</v>
      </c>
    </row>
    <row r="3870" spans="1:5" x14ac:dyDescent="0.25">
      <c r="A3870">
        <v>3869</v>
      </c>
      <c r="B3870">
        <v>3886158</v>
      </c>
      <c r="C3870" s="1" t="str">
        <f>HYPERLINK("http://stackoverflow.com/users/3886158", "Adamus")</f>
        <v>Adamus</v>
      </c>
      <c r="D3870" t="s">
        <v>4</v>
      </c>
      <c r="E3870">
        <v>46</v>
      </c>
    </row>
    <row r="3871" spans="1:5" x14ac:dyDescent="0.25">
      <c r="A3871">
        <v>3870</v>
      </c>
      <c r="B3871">
        <v>5684948</v>
      </c>
      <c r="C3871" s="1" t="str">
        <f>HYPERLINK("http://stackoverflow.com/users/5684948", "Andrew Ming")</f>
        <v>Andrew Ming</v>
      </c>
      <c r="D3871" t="s">
        <v>17</v>
      </c>
      <c r="E3871">
        <v>46</v>
      </c>
    </row>
    <row r="3872" spans="1:5" x14ac:dyDescent="0.25">
      <c r="A3872">
        <v>3871</v>
      </c>
      <c r="B3872">
        <v>10423887</v>
      </c>
      <c r="C3872" s="1" t="str">
        <f>HYPERLINK("http://stackoverflow.com/users/10423887", "Sidney Wang")</f>
        <v>Sidney Wang</v>
      </c>
      <c r="D3872" t="s">
        <v>4</v>
      </c>
      <c r="E3872">
        <v>46</v>
      </c>
    </row>
    <row r="3873" spans="1:5" x14ac:dyDescent="0.25">
      <c r="A3873">
        <v>3872</v>
      </c>
      <c r="B3873">
        <v>1213383</v>
      </c>
      <c r="C3873" s="1" t="str">
        <f>HYPERLINK("http://stackoverflow.com/users/1213383", "Gary Wang")</f>
        <v>Gary Wang</v>
      </c>
      <c r="D3873" t="s">
        <v>4</v>
      </c>
      <c r="E3873">
        <v>46</v>
      </c>
    </row>
    <row r="3874" spans="1:5" x14ac:dyDescent="0.25">
      <c r="A3874">
        <v>3873</v>
      </c>
      <c r="B3874">
        <v>1072920</v>
      </c>
      <c r="C3874" s="1" t="str">
        <f>HYPERLINK("http://stackoverflow.com/users/1072920", "Serenity")</f>
        <v>Serenity</v>
      </c>
      <c r="D3874" t="s">
        <v>5</v>
      </c>
      <c r="E3874">
        <v>46</v>
      </c>
    </row>
    <row r="3875" spans="1:5" x14ac:dyDescent="0.25">
      <c r="A3875">
        <v>3874</v>
      </c>
      <c r="B3875">
        <v>1078871</v>
      </c>
      <c r="C3875" s="1" t="str">
        <f>HYPERLINK("http://stackoverflow.com/users/1078871", "imcom")</f>
        <v>imcom</v>
      </c>
      <c r="D3875" t="s">
        <v>5</v>
      </c>
      <c r="E3875">
        <v>46</v>
      </c>
    </row>
    <row r="3876" spans="1:5" x14ac:dyDescent="0.25">
      <c r="A3876">
        <v>3875</v>
      </c>
      <c r="B3876">
        <v>1079243</v>
      </c>
      <c r="C3876" s="1" t="str">
        <f>HYPERLINK("http://stackoverflow.com/users/1079243", "Sevear Liu")</f>
        <v>Sevear Liu</v>
      </c>
      <c r="D3876" t="s">
        <v>4</v>
      </c>
      <c r="E3876">
        <v>46</v>
      </c>
    </row>
    <row r="3877" spans="1:5" x14ac:dyDescent="0.25">
      <c r="A3877">
        <v>3876</v>
      </c>
      <c r="B3877">
        <v>2728508</v>
      </c>
      <c r="C3877" s="1" t="str">
        <f>HYPERLINK("http://stackoverflow.com/users/2728508", "user2728508")</f>
        <v>user2728508</v>
      </c>
      <c r="D3877" t="s">
        <v>21</v>
      </c>
      <c r="E3877">
        <v>46</v>
      </c>
    </row>
    <row r="3878" spans="1:5" x14ac:dyDescent="0.25">
      <c r="A3878">
        <v>3877</v>
      </c>
      <c r="B3878">
        <v>2949579</v>
      </c>
      <c r="C3878" s="1" t="str">
        <f>HYPERLINK("http://stackoverflow.com/users/2949579", "markzhai")</f>
        <v>markzhai</v>
      </c>
      <c r="D3878" t="s">
        <v>4</v>
      </c>
      <c r="E3878">
        <v>46</v>
      </c>
    </row>
    <row r="3879" spans="1:5" x14ac:dyDescent="0.25">
      <c r="A3879">
        <v>3878</v>
      </c>
      <c r="B3879">
        <v>320116</v>
      </c>
      <c r="C3879" s="1" t="str">
        <f>HYPERLINK("http://stackoverflow.com/users/320116", "Dover")</f>
        <v>Dover</v>
      </c>
      <c r="D3879" t="s">
        <v>5</v>
      </c>
      <c r="E3879">
        <v>46</v>
      </c>
    </row>
    <row r="3880" spans="1:5" x14ac:dyDescent="0.25">
      <c r="A3880">
        <v>3879</v>
      </c>
      <c r="B3880">
        <v>10873525</v>
      </c>
      <c r="C3880" s="1" t="str">
        <f>HYPERLINK("http://stackoverflow.com/users/10873525", "hslim")</f>
        <v>hslim</v>
      </c>
      <c r="D3880" t="s">
        <v>5</v>
      </c>
      <c r="E3880">
        <v>46</v>
      </c>
    </row>
    <row r="3881" spans="1:5" x14ac:dyDescent="0.25">
      <c r="A3881">
        <v>3880</v>
      </c>
      <c r="B3881">
        <v>7151457</v>
      </c>
      <c r="C3881" s="1" t="str">
        <f>HYPERLINK("http://stackoverflow.com/users/7151457", "Morris Li")</f>
        <v>Morris Li</v>
      </c>
      <c r="D3881" t="s">
        <v>16</v>
      </c>
      <c r="E3881">
        <v>46</v>
      </c>
    </row>
    <row r="3882" spans="1:5" x14ac:dyDescent="0.25">
      <c r="A3882">
        <v>3881</v>
      </c>
      <c r="B3882">
        <v>5593476</v>
      </c>
      <c r="C3882" s="1" t="str">
        <f>HYPERLINK("http://stackoverflow.com/users/5593476", "tawan")</f>
        <v>tawan</v>
      </c>
      <c r="D3882" t="s">
        <v>5</v>
      </c>
      <c r="E3882">
        <v>46</v>
      </c>
    </row>
    <row r="3883" spans="1:5" x14ac:dyDescent="0.25">
      <c r="A3883">
        <v>3882</v>
      </c>
      <c r="B3883">
        <v>3959257</v>
      </c>
      <c r="C3883" s="1" t="str">
        <f>HYPERLINK("http://stackoverflow.com/users/3959257", "Yang Sung")</f>
        <v>Yang Sung</v>
      </c>
      <c r="D3883" t="s">
        <v>4</v>
      </c>
      <c r="E3883">
        <v>46</v>
      </c>
    </row>
    <row r="3884" spans="1:5" x14ac:dyDescent="0.25">
      <c r="A3884">
        <v>3883</v>
      </c>
      <c r="B3884">
        <v>2368737</v>
      </c>
      <c r="C3884" s="1" t="str">
        <f>HYPERLINK("http://stackoverflow.com/users/2368737", "Laisky")</f>
        <v>Laisky</v>
      </c>
      <c r="D3884" t="s">
        <v>4</v>
      </c>
      <c r="E3884">
        <v>46</v>
      </c>
    </row>
    <row r="3885" spans="1:5" x14ac:dyDescent="0.25">
      <c r="A3885">
        <v>3884</v>
      </c>
      <c r="B3885">
        <v>4605861</v>
      </c>
      <c r="C3885" s="1" t="str">
        <f>HYPERLINK("http://stackoverflow.com/users/4605861", "A.Z.Young")</f>
        <v>A.Z.Young</v>
      </c>
      <c r="D3885" t="s">
        <v>5</v>
      </c>
      <c r="E3885">
        <v>46</v>
      </c>
    </row>
    <row r="3886" spans="1:5" x14ac:dyDescent="0.25">
      <c r="A3886">
        <v>3885</v>
      </c>
      <c r="B3886">
        <v>2779310</v>
      </c>
      <c r="C3886" s="1" t="str">
        <f>HYPERLINK("http://stackoverflow.com/users/2779310", "Alice Diao")</f>
        <v>Alice Diao</v>
      </c>
      <c r="D3886" t="s">
        <v>4</v>
      </c>
      <c r="E3886">
        <v>46</v>
      </c>
    </row>
    <row r="3887" spans="1:5" x14ac:dyDescent="0.25">
      <c r="A3887">
        <v>3886</v>
      </c>
      <c r="B3887">
        <v>632686</v>
      </c>
      <c r="C3887" s="1" t="str">
        <f>HYPERLINK("http://stackoverflow.com/users/632686", "CY.Zheng")</f>
        <v>CY.Zheng</v>
      </c>
      <c r="D3887" t="s">
        <v>5</v>
      </c>
      <c r="E3887">
        <v>46</v>
      </c>
    </row>
    <row r="3888" spans="1:5" x14ac:dyDescent="0.25">
      <c r="A3888">
        <v>3887</v>
      </c>
      <c r="B3888">
        <v>447259</v>
      </c>
      <c r="C3888" s="1" t="str">
        <f>HYPERLINK("http://stackoverflow.com/users/447259", "David")</f>
        <v>David</v>
      </c>
      <c r="D3888" t="s">
        <v>56</v>
      </c>
      <c r="E3888">
        <v>46</v>
      </c>
    </row>
    <row r="3889" spans="1:5" x14ac:dyDescent="0.25">
      <c r="A3889">
        <v>3888</v>
      </c>
      <c r="B3889">
        <v>2945192</v>
      </c>
      <c r="C3889" s="1" t="str">
        <f>HYPERLINK("http://stackoverflow.com/users/2945192", "Kevin Huang")</f>
        <v>Kevin Huang</v>
      </c>
      <c r="D3889" t="s">
        <v>4</v>
      </c>
      <c r="E3889">
        <v>46</v>
      </c>
    </row>
    <row r="3890" spans="1:5" x14ac:dyDescent="0.25">
      <c r="A3890">
        <v>3889</v>
      </c>
      <c r="B3890">
        <v>6821175</v>
      </c>
      <c r="C3890" s="1" t="str">
        <f>HYPERLINK("http://stackoverflow.com/users/6821175", "Arty Jiang")</f>
        <v>Arty Jiang</v>
      </c>
      <c r="D3890" t="s">
        <v>4</v>
      </c>
      <c r="E3890">
        <v>46</v>
      </c>
    </row>
    <row r="3891" spans="1:5" x14ac:dyDescent="0.25">
      <c r="A3891">
        <v>3890</v>
      </c>
      <c r="B3891">
        <v>6765823</v>
      </c>
      <c r="C3891" s="1" t="str">
        <f>HYPERLINK("http://stackoverflow.com/users/6765823", "Xin YANG")</f>
        <v>Xin YANG</v>
      </c>
      <c r="D3891" t="s">
        <v>28</v>
      </c>
      <c r="E3891">
        <v>46</v>
      </c>
    </row>
    <row r="3892" spans="1:5" x14ac:dyDescent="0.25">
      <c r="A3892">
        <v>3891</v>
      </c>
      <c r="B3892">
        <v>5018827</v>
      </c>
      <c r="C3892" s="1" t="str">
        <f>HYPERLINK("http://stackoverflow.com/users/5018827", "BrandonYum")</f>
        <v>BrandonYum</v>
      </c>
      <c r="D3892" t="s">
        <v>12</v>
      </c>
      <c r="E3892">
        <v>46</v>
      </c>
    </row>
    <row r="3893" spans="1:5" x14ac:dyDescent="0.25">
      <c r="A3893">
        <v>3892</v>
      </c>
      <c r="B3893">
        <v>1291364</v>
      </c>
      <c r="C3893" s="1" t="str">
        <f>HYPERLINK("http://stackoverflow.com/users/1291364", "phplaber")</f>
        <v>phplaber</v>
      </c>
      <c r="D3893" t="s">
        <v>37</v>
      </c>
      <c r="E3893">
        <v>46</v>
      </c>
    </row>
    <row r="3894" spans="1:5" x14ac:dyDescent="0.25">
      <c r="A3894">
        <v>3893</v>
      </c>
      <c r="B3894">
        <v>3640083</v>
      </c>
      <c r="C3894" s="1" t="str">
        <f>HYPERLINK("http://stackoverflow.com/users/3640083", "Mervyn Zhan")</f>
        <v>Mervyn Zhan</v>
      </c>
      <c r="D3894" t="s">
        <v>25</v>
      </c>
      <c r="E3894">
        <v>46</v>
      </c>
    </row>
    <row r="3895" spans="1:5" x14ac:dyDescent="0.25">
      <c r="A3895">
        <v>3894</v>
      </c>
      <c r="B3895">
        <v>4237937</v>
      </c>
      <c r="C3895" s="1" t="str">
        <f>HYPERLINK("http://stackoverflow.com/users/4237937", "Wei Bangtuo")</f>
        <v>Wei Bangtuo</v>
      </c>
      <c r="D3895" t="s">
        <v>21</v>
      </c>
      <c r="E3895">
        <v>46</v>
      </c>
    </row>
    <row r="3896" spans="1:5" x14ac:dyDescent="0.25">
      <c r="A3896">
        <v>3895</v>
      </c>
      <c r="B3896">
        <v>11133663</v>
      </c>
      <c r="C3896" s="1" t="str">
        <f>HYPERLINK("http://stackoverflow.com/users/11133663", "DanteLiujie")</f>
        <v>DanteLiujie</v>
      </c>
      <c r="D3896" t="s">
        <v>7</v>
      </c>
      <c r="E3896">
        <v>46</v>
      </c>
    </row>
    <row r="3897" spans="1:5" x14ac:dyDescent="0.25">
      <c r="A3897">
        <v>3896</v>
      </c>
      <c r="B3897">
        <v>3859577</v>
      </c>
      <c r="C3897" s="1" t="str">
        <f>HYPERLINK("http://stackoverflow.com/users/3859577", "icewind")</f>
        <v>icewind</v>
      </c>
      <c r="D3897" t="s">
        <v>5</v>
      </c>
      <c r="E3897">
        <v>46</v>
      </c>
    </row>
    <row r="3898" spans="1:5" x14ac:dyDescent="0.25">
      <c r="A3898">
        <v>3897</v>
      </c>
      <c r="B3898">
        <v>10267625</v>
      </c>
      <c r="C3898" s="1" t="str">
        <f>HYPERLINK("http://stackoverflow.com/users/10267625", "panda912")</f>
        <v>panda912</v>
      </c>
      <c r="D3898" t="s">
        <v>4</v>
      </c>
      <c r="E3898">
        <v>46</v>
      </c>
    </row>
    <row r="3899" spans="1:5" x14ac:dyDescent="0.25">
      <c r="A3899">
        <v>3898</v>
      </c>
      <c r="B3899">
        <v>4884387</v>
      </c>
      <c r="C3899" s="1" t="str">
        <f>HYPERLINK("http://stackoverflow.com/users/4884387", "Derlio")</f>
        <v>Derlio</v>
      </c>
      <c r="D3899" t="s">
        <v>5</v>
      </c>
      <c r="E3899">
        <v>46</v>
      </c>
    </row>
    <row r="3900" spans="1:5" x14ac:dyDescent="0.25">
      <c r="A3900">
        <v>3899</v>
      </c>
      <c r="B3900">
        <v>843866</v>
      </c>
      <c r="C3900" s="1" t="str">
        <f>HYPERLINK("http://stackoverflow.com/users/843866", "Dan Jiang")</f>
        <v>Dan Jiang</v>
      </c>
      <c r="D3900" t="s">
        <v>28</v>
      </c>
      <c r="E3900">
        <v>46</v>
      </c>
    </row>
    <row r="3901" spans="1:5" x14ac:dyDescent="0.25">
      <c r="A3901">
        <v>3900</v>
      </c>
      <c r="B3901">
        <v>2609438</v>
      </c>
      <c r="C3901" s="1" t="str">
        <f>HYPERLINK("http://stackoverflow.com/users/2609438", "cuibuaa")</f>
        <v>cuibuaa</v>
      </c>
      <c r="D3901" t="s">
        <v>5</v>
      </c>
      <c r="E3901">
        <v>46</v>
      </c>
    </row>
    <row r="3902" spans="1:5" x14ac:dyDescent="0.25">
      <c r="A3902">
        <v>3901</v>
      </c>
      <c r="B3902">
        <v>451822</v>
      </c>
      <c r="C3902" s="1" t="str">
        <f>HYPERLINK("http://stackoverflow.com/users/451822", "kenny")</f>
        <v>kenny</v>
      </c>
      <c r="D3902" t="s">
        <v>5</v>
      </c>
      <c r="E3902">
        <v>46</v>
      </c>
    </row>
    <row r="3903" spans="1:5" x14ac:dyDescent="0.25">
      <c r="A3903">
        <v>3902</v>
      </c>
      <c r="B3903">
        <v>2424375</v>
      </c>
      <c r="C3903" s="1" t="str">
        <f>HYPERLINK("http://stackoverflow.com/users/2424375", "陈健 Mark")</f>
        <v>陈健 Mark</v>
      </c>
      <c r="D3903" t="s">
        <v>5</v>
      </c>
      <c r="E3903">
        <v>46</v>
      </c>
    </row>
    <row r="3904" spans="1:5" x14ac:dyDescent="0.25">
      <c r="A3904">
        <v>3903</v>
      </c>
      <c r="B3904">
        <v>5141686</v>
      </c>
      <c r="C3904" s="1" t="str">
        <f>HYPERLINK("http://stackoverflow.com/users/5141686", "paul.ding")</f>
        <v>paul.ding</v>
      </c>
      <c r="D3904" t="s">
        <v>3</v>
      </c>
      <c r="E3904">
        <v>46</v>
      </c>
    </row>
    <row r="3905" spans="1:5" x14ac:dyDescent="0.25">
      <c r="A3905">
        <v>3904</v>
      </c>
      <c r="B3905">
        <v>1452794</v>
      </c>
      <c r="C3905" s="1" t="str">
        <f>HYPERLINK("http://stackoverflow.com/users/1452794", "Frank Folsche")</f>
        <v>Frank Folsche</v>
      </c>
      <c r="D3905" t="s">
        <v>12</v>
      </c>
      <c r="E3905">
        <v>46</v>
      </c>
    </row>
    <row r="3906" spans="1:5" x14ac:dyDescent="0.25">
      <c r="A3906">
        <v>3905</v>
      </c>
      <c r="B3906">
        <v>1388884</v>
      </c>
      <c r="C3906" s="1" t="str">
        <f>HYPERLINK("http://stackoverflow.com/users/1388884", "zcx_hill")</f>
        <v>zcx_hill</v>
      </c>
      <c r="D3906" t="s">
        <v>5</v>
      </c>
      <c r="E3906">
        <v>46</v>
      </c>
    </row>
    <row r="3907" spans="1:5" x14ac:dyDescent="0.25">
      <c r="A3907">
        <v>3906</v>
      </c>
      <c r="B3907">
        <v>6755036</v>
      </c>
      <c r="C3907" s="1" t="str">
        <f>HYPERLINK("http://stackoverflow.com/users/6755036", "Hansen")</f>
        <v>Hansen</v>
      </c>
      <c r="D3907" t="s">
        <v>25</v>
      </c>
      <c r="E3907">
        <v>46</v>
      </c>
    </row>
    <row r="3908" spans="1:5" x14ac:dyDescent="0.25">
      <c r="A3908">
        <v>3907</v>
      </c>
      <c r="B3908">
        <v>1232158</v>
      </c>
      <c r="C3908" s="1" t="str">
        <f>HYPERLINK("http://stackoverflow.com/users/1232158", "stackpop")</f>
        <v>stackpop</v>
      </c>
      <c r="D3908" t="s">
        <v>21</v>
      </c>
      <c r="E3908">
        <v>46</v>
      </c>
    </row>
    <row r="3909" spans="1:5" x14ac:dyDescent="0.25">
      <c r="A3909">
        <v>3908</v>
      </c>
      <c r="B3909">
        <v>1173519</v>
      </c>
      <c r="C3909" s="1" t="str">
        <f>HYPERLINK("http://stackoverflow.com/users/1173519", "Kush")</f>
        <v>Kush</v>
      </c>
      <c r="D3909" t="s">
        <v>25</v>
      </c>
      <c r="E3909">
        <v>46</v>
      </c>
    </row>
    <row r="3910" spans="1:5" x14ac:dyDescent="0.25">
      <c r="A3910">
        <v>3909</v>
      </c>
      <c r="B3910">
        <v>1522497</v>
      </c>
      <c r="C3910" s="1" t="str">
        <f>HYPERLINK("http://stackoverflow.com/users/1522497", "liluo")</f>
        <v>liluo</v>
      </c>
      <c r="D3910" t="s">
        <v>4</v>
      </c>
      <c r="E3910">
        <v>46</v>
      </c>
    </row>
    <row r="3911" spans="1:5" x14ac:dyDescent="0.25">
      <c r="A3911">
        <v>3910</v>
      </c>
      <c r="B3911">
        <v>5250435</v>
      </c>
      <c r="C3911" s="1" t="str">
        <f>HYPERLINK("http://stackoverflow.com/users/5250435", "吕鹏伟")</f>
        <v>吕鹏伟</v>
      </c>
      <c r="D3911" t="s">
        <v>4</v>
      </c>
      <c r="E3911">
        <v>46</v>
      </c>
    </row>
    <row r="3912" spans="1:5" x14ac:dyDescent="0.25">
      <c r="A3912">
        <v>3911</v>
      </c>
      <c r="B3912">
        <v>3651727</v>
      </c>
      <c r="C3912" s="1" t="str">
        <f>HYPERLINK("http://stackoverflow.com/users/3651727", "anthann")</f>
        <v>anthann</v>
      </c>
      <c r="D3912" t="s">
        <v>20</v>
      </c>
      <c r="E3912">
        <v>46</v>
      </c>
    </row>
    <row r="3913" spans="1:5" x14ac:dyDescent="0.25">
      <c r="A3913">
        <v>3912</v>
      </c>
      <c r="B3913">
        <v>7566731</v>
      </c>
      <c r="C3913" s="1" t="str">
        <f>HYPERLINK("http://stackoverflow.com/users/7566731", "Victor")</f>
        <v>Victor</v>
      </c>
      <c r="D3913" t="s">
        <v>5</v>
      </c>
      <c r="E3913">
        <v>46</v>
      </c>
    </row>
    <row r="3914" spans="1:5" x14ac:dyDescent="0.25">
      <c r="A3914">
        <v>3913</v>
      </c>
      <c r="B3914">
        <v>1479125</v>
      </c>
      <c r="C3914" s="1" t="str">
        <f>HYPERLINK("http://stackoverflow.com/users/1479125", "dsphoebe")</f>
        <v>dsphoebe</v>
      </c>
      <c r="D3914" t="s">
        <v>5</v>
      </c>
      <c r="E3914">
        <v>46</v>
      </c>
    </row>
    <row r="3915" spans="1:5" x14ac:dyDescent="0.25">
      <c r="A3915">
        <v>3914</v>
      </c>
      <c r="B3915">
        <v>630027</v>
      </c>
      <c r="C3915" s="1" t="str">
        <f>HYPERLINK("http://stackoverflow.com/users/630027", "flyingghost")</f>
        <v>flyingghost</v>
      </c>
      <c r="D3915" t="s">
        <v>4</v>
      </c>
      <c r="E3915">
        <v>46</v>
      </c>
    </row>
    <row r="3916" spans="1:5" x14ac:dyDescent="0.25">
      <c r="A3916">
        <v>3915</v>
      </c>
      <c r="B3916">
        <v>635599</v>
      </c>
      <c r="C3916" s="1" t="str">
        <f>HYPERLINK("http://stackoverflow.com/users/635599", "Tinybit")</f>
        <v>Tinybit</v>
      </c>
      <c r="D3916" t="s">
        <v>4</v>
      </c>
      <c r="E3916">
        <v>46</v>
      </c>
    </row>
    <row r="3917" spans="1:5" x14ac:dyDescent="0.25">
      <c r="A3917">
        <v>3916</v>
      </c>
      <c r="B3917">
        <v>2735282</v>
      </c>
      <c r="C3917" s="1" t="str">
        <f>HYPERLINK("http://stackoverflow.com/users/2735282", "sunalong")</f>
        <v>sunalong</v>
      </c>
      <c r="D3917" t="s">
        <v>5</v>
      </c>
      <c r="E3917">
        <v>46</v>
      </c>
    </row>
    <row r="3918" spans="1:5" x14ac:dyDescent="0.25">
      <c r="A3918">
        <v>3917</v>
      </c>
      <c r="B3918">
        <v>2947005</v>
      </c>
      <c r="C3918" s="1" t="str">
        <f>HYPERLINK("http://stackoverflow.com/users/2947005", "macapapa")</f>
        <v>macapapa</v>
      </c>
      <c r="D3918" t="s">
        <v>4</v>
      </c>
      <c r="E3918">
        <v>46</v>
      </c>
    </row>
    <row r="3919" spans="1:5" x14ac:dyDescent="0.25">
      <c r="A3919">
        <v>3918</v>
      </c>
      <c r="B3919">
        <v>6233524</v>
      </c>
      <c r="C3919" s="1" t="str">
        <f>HYPERLINK("http://stackoverflow.com/users/6233524", "James.Zhou")</f>
        <v>James.Zhou</v>
      </c>
      <c r="D3919" t="s">
        <v>16</v>
      </c>
      <c r="E3919">
        <v>46</v>
      </c>
    </row>
    <row r="3920" spans="1:5" x14ac:dyDescent="0.25">
      <c r="A3920">
        <v>3919</v>
      </c>
      <c r="B3920">
        <v>7895718</v>
      </c>
      <c r="C3920" s="1" t="str">
        <f>HYPERLINK("http://stackoverflow.com/users/7895718", "OrangeEvan")</f>
        <v>OrangeEvan</v>
      </c>
      <c r="D3920" t="s">
        <v>252</v>
      </c>
      <c r="E3920">
        <v>46</v>
      </c>
    </row>
    <row r="3921" spans="1:5" x14ac:dyDescent="0.25">
      <c r="A3921">
        <v>3920</v>
      </c>
      <c r="B3921">
        <v>243629</v>
      </c>
      <c r="C3921" s="1" t="str">
        <f>HYPERLINK("http://stackoverflow.com/users/243629", "yarshure")</f>
        <v>yarshure</v>
      </c>
      <c r="D3921" t="s">
        <v>4</v>
      </c>
      <c r="E3921">
        <v>46</v>
      </c>
    </row>
    <row r="3922" spans="1:5" x14ac:dyDescent="0.25">
      <c r="A3922">
        <v>3921</v>
      </c>
      <c r="B3922">
        <v>1747279</v>
      </c>
      <c r="C3922" s="1" t="str">
        <f>HYPERLINK("http://stackoverflow.com/users/1747279", "amosJi")</f>
        <v>amosJi</v>
      </c>
      <c r="D3922" t="s">
        <v>4</v>
      </c>
      <c r="E3922">
        <v>46</v>
      </c>
    </row>
    <row r="3923" spans="1:5" x14ac:dyDescent="0.25">
      <c r="A3923">
        <v>3922</v>
      </c>
      <c r="B3923">
        <v>7223762</v>
      </c>
      <c r="C3923" s="1" t="str">
        <f>HYPERLINK("http://stackoverflow.com/users/7223762", "octokyle")</f>
        <v>octokyle</v>
      </c>
      <c r="D3923" t="s">
        <v>7</v>
      </c>
      <c r="E3923">
        <v>46</v>
      </c>
    </row>
    <row r="3924" spans="1:5" x14ac:dyDescent="0.25">
      <c r="A3924">
        <v>3923</v>
      </c>
      <c r="B3924">
        <v>2024410</v>
      </c>
      <c r="C3924" s="1" t="str">
        <f>HYPERLINK("http://stackoverflow.com/users/2024410", "从此醉")</f>
        <v>从此醉</v>
      </c>
      <c r="D3924" t="s">
        <v>5</v>
      </c>
      <c r="E3924">
        <v>46</v>
      </c>
    </row>
    <row r="3925" spans="1:5" x14ac:dyDescent="0.25">
      <c r="A3925">
        <v>3924</v>
      </c>
      <c r="B3925">
        <v>3948608</v>
      </c>
      <c r="C3925" s="1" t="str">
        <f>HYPERLINK("http://stackoverflow.com/users/3948608", "Jahanxb Khan")</f>
        <v>Jahanxb Khan</v>
      </c>
      <c r="D3925" t="s">
        <v>4</v>
      </c>
      <c r="E3925">
        <v>46</v>
      </c>
    </row>
    <row r="3926" spans="1:5" x14ac:dyDescent="0.25">
      <c r="A3926">
        <v>3925</v>
      </c>
      <c r="B3926">
        <v>2694919</v>
      </c>
      <c r="C3926" s="1" t="str">
        <f>HYPERLINK("http://stackoverflow.com/users/2694919", "J.cena")</f>
        <v>J.cena</v>
      </c>
      <c r="D3926" t="s">
        <v>5</v>
      </c>
      <c r="E3926">
        <v>46</v>
      </c>
    </row>
    <row r="3927" spans="1:5" x14ac:dyDescent="0.25">
      <c r="A3927">
        <v>3926</v>
      </c>
      <c r="B3927">
        <v>578021</v>
      </c>
      <c r="C3927" s="1" t="str">
        <f>HYPERLINK("http://stackoverflow.com/users/578021", "belltoy")</f>
        <v>belltoy</v>
      </c>
      <c r="D3927" t="s">
        <v>12</v>
      </c>
      <c r="E3927">
        <v>46</v>
      </c>
    </row>
    <row r="3928" spans="1:5" x14ac:dyDescent="0.25">
      <c r="A3928">
        <v>3927</v>
      </c>
      <c r="B3928">
        <v>2837187</v>
      </c>
      <c r="C3928" s="1" t="str">
        <f>HYPERLINK("http://stackoverflow.com/users/2837187", "GJ.")</f>
        <v>GJ.</v>
      </c>
      <c r="D3928" t="s">
        <v>253</v>
      </c>
      <c r="E3928">
        <v>46</v>
      </c>
    </row>
    <row r="3929" spans="1:5" x14ac:dyDescent="0.25">
      <c r="A3929">
        <v>3928</v>
      </c>
      <c r="B3929">
        <v>1082771</v>
      </c>
      <c r="C3929" s="1" t="str">
        <f>HYPERLINK("http://stackoverflow.com/users/1082771", "sky")</f>
        <v>sky</v>
      </c>
      <c r="D3929" t="s">
        <v>4</v>
      </c>
      <c r="E3929">
        <v>46</v>
      </c>
    </row>
    <row r="3930" spans="1:5" x14ac:dyDescent="0.25">
      <c r="A3930">
        <v>3929</v>
      </c>
      <c r="B3930">
        <v>1320055</v>
      </c>
      <c r="C3930" s="1" t="str">
        <f>HYPERLINK("http://stackoverflow.com/users/1320055", "zh_gino")</f>
        <v>zh_gino</v>
      </c>
      <c r="D3930" t="s">
        <v>5</v>
      </c>
      <c r="E3930">
        <v>46</v>
      </c>
    </row>
    <row r="3931" spans="1:5" x14ac:dyDescent="0.25">
      <c r="A3931">
        <v>3930</v>
      </c>
      <c r="B3931">
        <v>3296625</v>
      </c>
      <c r="C3931" s="1" t="str">
        <f>HYPERLINK("http://stackoverflow.com/users/3296625", "Mr.H")</f>
        <v>Mr.H</v>
      </c>
      <c r="D3931" t="s">
        <v>5</v>
      </c>
      <c r="E3931">
        <v>46</v>
      </c>
    </row>
    <row r="3932" spans="1:5" x14ac:dyDescent="0.25">
      <c r="A3932">
        <v>3931</v>
      </c>
      <c r="B3932">
        <v>3386964</v>
      </c>
      <c r="C3932" s="1" t="str">
        <f>HYPERLINK("http://stackoverflow.com/users/3386964", "LinuxGit")</f>
        <v>LinuxGit</v>
      </c>
      <c r="D3932" t="s">
        <v>5</v>
      </c>
      <c r="E3932">
        <v>46</v>
      </c>
    </row>
    <row r="3933" spans="1:5" x14ac:dyDescent="0.25">
      <c r="A3933">
        <v>3932</v>
      </c>
      <c r="B3933">
        <v>8936782</v>
      </c>
      <c r="C3933" s="1" t="str">
        <f>HYPERLINK("http://stackoverflow.com/users/8936782", "高佳翔")</f>
        <v>高佳翔</v>
      </c>
      <c r="D3933" t="s">
        <v>4</v>
      </c>
      <c r="E3933">
        <v>46</v>
      </c>
    </row>
    <row r="3934" spans="1:5" x14ac:dyDescent="0.25">
      <c r="A3934">
        <v>3933</v>
      </c>
      <c r="B3934">
        <v>1805936</v>
      </c>
      <c r="C3934" s="1" t="str">
        <f>HYPERLINK("http://stackoverflow.com/users/1805936", "taro")</f>
        <v>taro</v>
      </c>
      <c r="D3934" t="s">
        <v>17</v>
      </c>
      <c r="E3934">
        <v>46</v>
      </c>
    </row>
    <row r="3935" spans="1:5" x14ac:dyDescent="0.25">
      <c r="A3935">
        <v>3934</v>
      </c>
      <c r="B3935">
        <v>7225560</v>
      </c>
      <c r="C3935" s="1" t="str">
        <f>HYPERLINK("http://stackoverflow.com/users/7225560", "Y.Wei")</f>
        <v>Y.Wei</v>
      </c>
      <c r="D3935" t="s">
        <v>254</v>
      </c>
      <c r="E3935">
        <v>46</v>
      </c>
    </row>
    <row r="3936" spans="1:5" x14ac:dyDescent="0.25">
      <c r="A3936">
        <v>3935</v>
      </c>
      <c r="B3936">
        <v>7267439</v>
      </c>
      <c r="C3936" s="1" t="str">
        <f>HYPERLINK("http://stackoverflow.com/users/7267439", "Jeff")</f>
        <v>Jeff</v>
      </c>
      <c r="D3936" t="s">
        <v>4</v>
      </c>
      <c r="E3936">
        <v>46</v>
      </c>
    </row>
    <row r="3937" spans="1:5" x14ac:dyDescent="0.25">
      <c r="A3937">
        <v>3936</v>
      </c>
      <c r="B3937">
        <v>4106196</v>
      </c>
      <c r="C3937" s="1" t="str">
        <f>HYPERLINK("http://stackoverflow.com/users/4106196", "selaband")</f>
        <v>selaband</v>
      </c>
      <c r="D3937" t="s">
        <v>5</v>
      </c>
      <c r="E3937">
        <v>46</v>
      </c>
    </row>
    <row r="3938" spans="1:5" x14ac:dyDescent="0.25">
      <c r="A3938">
        <v>3937</v>
      </c>
      <c r="B3938">
        <v>2345569</v>
      </c>
      <c r="C3938" s="1" t="str">
        <f>HYPERLINK("http://stackoverflow.com/users/2345569", "Caspar Chiquet")</f>
        <v>Caspar Chiquet</v>
      </c>
      <c r="D3938" t="s">
        <v>5</v>
      </c>
      <c r="E3938">
        <v>46</v>
      </c>
    </row>
    <row r="3939" spans="1:5" x14ac:dyDescent="0.25">
      <c r="A3939">
        <v>3938</v>
      </c>
      <c r="B3939">
        <v>5781957</v>
      </c>
      <c r="C3939" s="1" t="str">
        <f>HYPERLINK("http://stackoverflow.com/users/5781957", "jokimina")</f>
        <v>jokimina</v>
      </c>
      <c r="D3939" t="s">
        <v>4</v>
      </c>
      <c r="E3939">
        <v>46</v>
      </c>
    </row>
    <row r="3940" spans="1:5" x14ac:dyDescent="0.25">
      <c r="A3940">
        <v>3939</v>
      </c>
      <c r="B3940">
        <v>2211820</v>
      </c>
      <c r="C3940" s="1" t="str">
        <f>HYPERLINK("http://stackoverflow.com/users/2211820", "William Fang")</f>
        <v>William Fang</v>
      </c>
      <c r="D3940" t="s">
        <v>5</v>
      </c>
      <c r="E3940">
        <v>46</v>
      </c>
    </row>
    <row r="3941" spans="1:5" x14ac:dyDescent="0.25">
      <c r="A3941">
        <v>3940</v>
      </c>
      <c r="B3941">
        <v>5831983</v>
      </c>
      <c r="C3941" s="1" t="str">
        <f>HYPERLINK("http://stackoverflow.com/users/5831983", "Guoping Zhang")</f>
        <v>Guoping Zhang</v>
      </c>
      <c r="D3941" t="s">
        <v>5</v>
      </c>
      <c r="E3941">
        <v>45</v>
      </c>
    </row>
    <row r="3942" spans="1:5" x14ac:dyDescent="0.25">
      <c r="A3942">
        <v>3941</v>
      </c>
      <c r="B3942">
        <v>9269320</v>
      </c>
      <c r="C3942" s="1" t="str">
        <f>HYPERLINK("http://stackoverflow.com/users/9269320", "Mountain Scott")</f>
        <v>Mountain Scott</v>
      </c>
      <c r="D3942" t="s">
        <v>66</v>
      </c>
      <c r="E3942">
        <v>45</v>
      </c>
    </row>
    <row r="3943" spans="1:5" x14ac:dyDescent="0.25">
      <c r="A3943">
        <v>3942</v>
      </c>
      <c r="B3943">
        <v>5511986</v>
      </c>
      <c r="C3943" s="1" t="str">
        <f>HYPERLINK("http://stackoverflow.com/users/5511986", "debugman")</f>
        <v>debugman</v>
      </c>
      <c r="D3943" t="s">
        <v>5</v>
      </c>
      <c r="E3943">
        <v>45</v>
      </c>
    </row>
    <row r="3944" spans="1:5" x14ac:dyDescent="0.25">
      <c r="A3944">
        <v>3943</v>
      </c>
      <c r="B3944">
        <v>6145240</v>
      </c>
      <c r="C3944" s="1" t="str">
        <f>HYPERLINK("http://stackoverflow.com/users/6145240", "Keelung")</f>
        <v>Keelung</v>
      </c>
      <c r="D3944" t="s">
        <v>4</v>
      </c>
      <c r="E3944">
        <v>45</v>
      </c>
    </row>
    <row r="3945" spans="1:5" x14ac:dyDescent="0.25">
      <c r="A3945">
        <v>3944</v>
      </c>
      <c r="B3945">
        <v>275728</v>
      </c>
      <c r="C3945" s="1" t="str">
        <f>HYPERLINK("http://stackoverflow.com/users/275728", "BigDiggers")</f>
        <v>BigDiggers</v>
      </c>
      <c r="D3945" t="s">
        <v>5</v>
      </c>
      <c r="E3945">
        <v>45</v>
      </c>
    </row>
    <row r="3946" spans="1:5" x14ac:dyDescent="0.25">
      <c r="A3946">
        <v>3945</v>
      </c>
      <c r="B3946">
        <v>4778985</v>
      </c>
      <c r="C3946" s="1" t="str">
        <f>HYPERLINK("http://stackoverflow.com/users/4778985", "三点一四")</f>
        <v>三点一四</v>
      </c>
      <c r="D3946" t="s">
        <v>5</v>
      </c>
      <c r="E3946">
        <v>45</v>
      </c>
    </row>
    <row r="3947" spans="1:5" x14ac:dyDescent="0.25">
      <c r="A3947">
        <v>3946</v>
      </c>
      <c r="B3947">
        <v>1347935</v>
      </c>
      <c r="C3947" s="1" t="str">
        <f>HYPERLINK("http://stackoverflow.com/users/1347935", "innovation_cat")</f>
        <v>innovation_cat</v>
      </c>
      <c r="D3947" t="s">
        <v>5</v>
      </c>
      <c r="E3947">
        <v>45</v>
      </c>
    </row>
    <row r="3948" spans="1:5" x14ac:dyDescent="0.25">
      <c r="A3948">
        <v>3947</v>
      </c>
      <c r="B3948">
        <v>357621</v>
      </c>
      <c r="C3948" s="1" t="str">
        <f>HYPERLINK("http://stackoverflow.com/users/357621", "Richard Huang")</f>
        <v>Richard Huang</v>
      </c>
      <c r="D3948" t="s">
        <v>4</v>
      </c>
      <c r="E3948">
        <v>45</v>
      </c>
    </row>
    <row r="3949" spans="1:5" x14ac:dyDescent="0.25">
      <c r="A3949">
        <v>3948</v>
      </c>
      <c r="B3949">
        <v>1114296</v>
      </c>
      <c r="C3949" s="1" t="str">
        <f>HYPERLINK("http://stackoverflow.com/users/1114296", "imicrothinking")</f>
        <v>imicrothinking</v>
      </c>
      <c r="D3949" t="s">
        <v>4</v>
      </c>
      <c r="E3949">
        <v>45</v>
      </c>
    </row>
    <row r="3950" spans="1:5" x14ac:dyDescent="0.25">
      <c r="A3950">
        <v>3949</v>
      </c>
      <c r="B3950">
        <v>3720951</v>
      </c>
      <c r="C3950" s="1" t="str">
        <f>HYPERLINK("http://stackoverflow.com/users/3720951", "Jas6033")</f>
        <v>Jas6033</v>
      </c>
      <c r="D3950" t="s">
        <v>5</v>
      </c>
      <c r="E3950">
        <v>45</v>
      </c>
    </row>
    <row r="3951" spans="1:5" x14ac:dyDescent="0.25">
      <c r="A3951">
        <v>3950</v>
      </c>
      <c r="B3951">
        <v>672853</v>
      </c>
      <c r="C3951" s="1" t="str">
        <f>HYPERLINK("http://stackoverflow.com/users/672853", "tomsawyer")</f>
        <v>tomsawyer</v>
      </c>
      <c r="D3951" t="s">
        <v>37</v>
      </c>
      <c r="E3951">
        <v>45</v>
      </c>
    </row>
    <row r="3952" spans="1:5" x14ac:dyDescent="0.25">
      <c r="A3952">
        <v>3951</v>
      </c>
      <c r="B3952">
        <v>1251766</v>
      </c>
      <c r="C3952" s="1" t="str">
        <f>HYPERLINK("http://stackoverflow.com/users/1251766", "kovenzhang")</f>
        <v>kovenzhang</v>
      </c>
      <c r="D3952" t="s">
        <v>4</v>
      </c>
      <c r="E3952">
        <v>45</v>
      </c>
    </row>
    <row r="3953" spans="1:5" x14ac:dyDescent="0.25">
      <c r="A3953">
        <v>3952</v>
      </c>
      <c r="B3953">
        <v>3388596</v>
      </c>
      <c r="C3953" s="1" t="str">
        <f>HYPERLINK("http://stackoverflow.com/users/3388596", "gumpg")</f>
        <v>gumpg</v>
      </c>
      <c r="D3953" t="s">
        <v>12</v>
      </c>
      <c r="E3953">
        <v>45</v>
      </c>
    </row>
    <row r="3954" spans="1:5" x14ac:dyDescent="0.25">
      <c r="A3954">
        <v>3953</v>
      </c>
      <c r="B3954">
        <v>5637993</v>
      </c>
      <c r="C3954" s="1" t="str">
        <f>HYPERLINK("http://stackoverflow.com/users/5637993", "jason")</f>
        <v>jason</v>
      </c>
      <c r="D3954" t="s">
        <v>12</v>
      </c>
      <c r="E3954">
        <v>45</v>
      </c>
    </row>
    <row r="3955" spans="1:5" x14ac:dyDescent="0.25">
      <c r="A3955">
        <v>3954</v>
      </c>
      <c r="B3955">
        <v>832822</v>
      </c>
      <c r="C3955" s="1" t="str">
        <f>HYPERLINK("http://stackoverflow.com/users/832822", "mark mao")</f>
        <v>mark mao</v>
      </c>
      <c r="D3955" t="s">
        <v>4</v>
      </c>
      <c r="E3955">
        <v>45</v>
      </c>
    </row>
    <row r="3956" spans="1:5" x14ac:dyDescent="0.25">
      <c r="A3956">
        <v>3955</v>
      </c>
      <c r="B3956">
        <v>2952694</v>
      </c>
      <c r="C3956" s="1" t="str">
        <f>HYPERLINK("http://stackoverflow.com/users/2952694", "xiaozhu")</f>
        <v>xiaozhu</v>
      </c>
      <c r="D3956" t="s">
        <v>22</v>
      </c>
      <c r="E3956">
        <v>45</v>
      </c>
    </row>
    <row r="3957" spans="1:5" x14ac:dyDescent="0.25">
      <c r="A3957">
        <v>3956</v>
      </c>
      <c r="B3957">
        <v>1323119</v>
      </c>
      <c r="C3957" s="1" t="str">
        <f>HYPERLINK("http://stackoverflow.com/users/1323119", "leon_ALiang")</f>
        <v>leon_ALiang</v>
      </c>
      <c r="D3957" t="s">
        <v>5</v>
      </c>
      <c r="E3957">
        <v>44</v>
      </c>
    </row>
    <row r="3958" spans="1:5" x14ac:dyDescent="0.25">
      <c r="A3958">
        <v>3957</v>
      </c>
      <c r="B3958">
        <v>1244623</v>
      </c>
      <c r="C3958" s="1" t="str">
        <f>HYPERLINK("http://stackoverflow.com/users/1244623", "huwenchao")</f>
        <v>huwenchao</v>
      </c>
      <c r="D3958" t="s">
        <v>5</v>
      </c>
      <c r="E3958">
        <v>44</v>
      </c>
    </row>
    <row r="3959" spans="1:5" x14ac:dyDescent="0.25">
      <c r="A3959">
        <v>3958</v>
      </c>
      <c r="B3959">
        <v>8993864</v>
      </c>
      <c r="C3959" s="1" t="str">
        <f>HYPERLINK("http://stackoverflow.com/users/8993864", "Yixuan")</f>
        <v>Yixuan</v>
      </c>
      <c r="D3959" t="s">
        <v>255</v>
      </c>
      <c r="E3959">
        <v>44</v>
      </c>
    </row>
    <row r="3960" spans="1:5" x14ac:dyDescent="0.25">
      <c r="A3960">
        <v>3959</v>
      </c>
      <c r="B3960">
        <v>3535274</v>
      </c>
      <c r="C3960" s="1" t="str">
        <f>HYPERLINK("http://stackoverflow.com/users/3535274", "ZhangYifan")</f>
        <v>ZhangYifan</v>
      </c>
      <c r="D3960" t="s">
        <v>54</v>
      </c>
      <c r="E3960">
        <v>44</v>
      </c>
    </row>
    <row r="3961" spans="1:5" x14ac:dyDescent="0.25">
      <c r="A3961">
        <v>3960</v>
      </c>
      <c r="B3961">
        <v>7373559</v>
      </c>
      <c r="C3961" s="1" t="str">
        <f>HYPERLINK("http://stackoverflow.com/users/7373559", "Xinze LYU")</f>
        <v>Xinze LYU</v>
      </c>
      <c r="D3961" t="s">
        <v>37</v>
      </c>
      <c r="E3961">
        <v>44</v>
      </c>
    </row>
    <row r="3962" spans="1:5" x14ac:dyDescent="0.25">
      <c r="A3962">
        <v>3961</v>
      </c>
      <c r="B3962">
        <v>1952417</v>
      </c>
      <c r="C3962" s="1" t="str">
        <f>HYPERLINK("http://stackoverflow.com/users/1952417", "Ludovic Vue")</f>
        <v>Ludovic Vue</v>
      </c>
      <c r="D3962" t="s">
        <v>5</v>
      </c>
      <c r="E3962">
        <v>44</v>
      </c>
    </row>
    <row r="3963" spans="1:5" x14ac:dyDescent="0.25">
      <c r="A3963">
        <v>3962</v>
      </c>
      <c r="B3963">
        <v>3171367</v>
      </c>
      <c r="C3963" s="1" t="str">
        <f>HYPERLINK("http://stackoverflow.com/users/3171367", "pikachu")</f>
        <v>pikachu</v>
      </c>
      <c r="D3963" t="s">
        <v>5</v>
      </c>
      <c r="E3963">
        <v>44</v>
      </c>
    </row>
    <row r="3964" spans="1:5" x14ac:dyDescent="0.25">
      <c r="A3964">
        <v>3963</v>
      </c>
      <c r="B3964">
        <v>4947097</v>
      </c>
      <c r="C3964" s="1" t="str">
        <f>HYPERLINK("http://stackoverflow.com/users/4947097", "Time1ess")</f>
        <v>Time1ess</v>
      </c>
      <c r="D3964" t="s">
        <v>35</v>
      </c>
      <c r="E3964">
        <v>44</v>
      </c>
    </row>
    <row r="3965" spans="1:5" x14ac:dyDescent="0.25">
      <c r="A3965">
        <v>3964</v>
      </c>
      <c r="B3965">
        <v>4460714</v>
      </c>
      <c r="C3965" s="1" t="str">
        <f>HYPERLINK("http://stackoverflow.com/users/4460714", "Benjamin")</f>
        <v>Benjamin</v>
      </c>
      <c r="D3965" t="s">
        <v>5</v>
      </c>
      <c r="E3965">
        <v>44</v>
      </c>
    </row>
    <row r="3966" spans="1:5" x14ac:dyDescent="0.25">
      <c r="A3966">
        <v>3965</v>
      </c>
      <c r="B3966">
        <v>1457626</v>
      </c>
      <c r="C3966" s="1" t="str">
        <f>HYPERLINK("http://stackoverflow.com/users/1457626", "Ken Chen")</f>
        <v>Ken Chen</v>
      </c>
      <c r="D3966" t="s">
        <v>59</v>
      </c>
      <c r="E3966">
        <v>44</v>
      </c>
    </row>
    <row r="3967" spans="1:5" x14ac:dyDescent="0.25">
      <c r="A3967">
        <v>3966</v>
      </c>
      <c r="B3967">
        <v>1271091</v>
      </c>
      <c r="C3967" s="1" t="str">
        <f>HYPERLINK("http://stackoverflow.com/users/1271091", "Abel_CN")</f>
        <v>Abel_CN</v>
      </c>
      <c r="D3967" t="s">
        <v>37</v>
      </c>
      <c r="E3967">
        <v>44</v>
      </c>
    </row>
    <row r="3968" spans="1:5" x14ac:dyDescent="0.25">
      <c r="A3968">
        <v>3967</v>
      </c>
      <c r="B3968">
        <v>5912310</v>
      </c>
      <c r="C3968" s="1" t="str">
        <f>HYPERLINK("http://stackoverflow.com/users/5912310", "Donald Wu")</f>
        <v>Donald Wu</v>
      </c>
      <c r="D3968" t="s">
        <v>16</v>
      </c>
      <c r="E3968">
        <v>44</v>
      </c>
    </row>
    <row r="3969" spans="1:5" x14ac:dyDescent="0.25">
      <c r="A3969">
        <v>3968</v>
      </c>
      <c r="B3969">
        <v>3944210</v>
      </c>
      <c r="C3969" s="1" t="str">
        <f>HYPERLINK("http://stackoverflow.com/users/3944210", "Kevin Garnett")</f>
        <v>Kevin Garnett</v>
      </c>
      <c r="D3969" t="s">
        <v>5</v>
      </c>
      <c r="E3969">
        <v>44</v>
      </c>
    </row>
    <row r="3970" spans="1:5" x14ac:dyDescent="0.25">
      <c r="A3970">
        <v>3969</v>
      </c>
      <c r="B3970">
        <v>1334609</v>
      </c>
      <c r="C3970" s="1" t="str">
        <f>HYPERLINK("http://stackoverflow.com/users/1334609", "user1334609")</f>
        <v>user1334609</v>
      </c>
      <c r="D3970" t="s">
        <v>5</v>
      </c>
      <c r="E3970">
        <v>44</v>
      </c>
    </row>
    <row r="3971" spans="1:5" x14ac:dyDescent="0.25">
      <c r="A3971">
        <v>3970</v>
      </c>
      <c r="B3971">
        <v>47681</v>
      </c>
      <c r="C3971" s="1" t="str">
        <f>HYPERLINK("http://stackoverflow.com/users/47681", "Yun")</f>
        <v>Yun</v>
      </c>
      <c r="D3971" t="s">
        <v>5</v>
      </c>
      <c r="E3971">
        <v>44</v>
      </c>
    </row>
    <row r="3972" spans="1:5" x14ac:dyDescent="0.25">
      <c r="A3972">
        <v>3971</v>
      </c>
      <c r="B3972">
        <v>2430740</v>
      </c>
      <c r="C3972" s="1" t="str">
        <f>HYPERLINK("http://stackoverflow.com/users/2430740", "zadecn")</f>
        <v>zadecn</v>
      </c>
      <c r="D3972" t="s">
        <v>5</v>
      </c>
      <c r="E3972">
        <v>44</v>
      </c>
    </row>
    <row r="3973" spans="1:5" x14ac:dyDescent="0.25">
      <c r="A3973">
        <v>3972</v>
      </c>
      <c r="B3973">
        <v>3467764</v>
      </c>
      <c r="C3973" s="1" t="str">
        <f>HYPERLINK("http://stackoverflow.com/users/3467764", "Krus")</f>
        <v>Krus</v>
      </c>
      <c r="D3973" t="s">
        <v>256</v>
      </c>
      <c r="E3973">
        <v>43</v>
      </c>
    </row>
    <row r="3974" spans="1:5" x14ac:dyDescent="0.25">
      <c r="A3974">
        <v>3973</v>
      </c>
      <c r="B3974">
        <v>6006469</v>
      </c>
      <c r="C3974" s="1" t="str">
        <f>HYPERLINK("http://stackoverflow.com/users/6006469", "poplark")</f>
        <v>poplark</v>
      </c>
      <c r="D3974" t="s">
        <v>4</v>
      </c>
      <c r="E3974">
        <v>43</v>
      </c>
    </row>
    <row r="3975" spans="1:5" x14ac:dyDescent="0.25">
      <c r="A3975">
        <v>3974</v>
      </c>
      <c r="B3975">
        <v>1739940</v>
      </c>
      <c r="C3975" s="1" t="str">
        <f>HYPERLINK("http://stackoverflow.com/users/1739940", "zhouchen")</f>
        <v>zhouchen</v>
      </c>
      <c r="D3975" t="s">
        <v>5</v>
      </c>
      <c r="E3975">
        <v>43</v>
      </c>
    </row>
    <row r="3976" spans="1:5" x14ac:dyDescent="0.25">
      <c r="A3976">
        <v>3975</v>
      </c>
      <c r="B3976">
        <v>3069196</v>
      </c>
      <c r="C3976" s="1" t="str">
        <f>HYPERLINK("http://stackoverflow.com/users/3069196", "Nonesome")</f>
        <v>Nonesome</v>
      </c>
      <c r="D3976" t="s">
        <v>5</v>
      </c>
      <c r="E3976">
        <v>43</v>
      </c>
    </row>
    <row r="3977" spans="1:5" x14ac:dyDescent="0.25">
      <c r="A3977">
        <v>3976</v>
      </c>
      <c r="B3977">
        <v>9766067</v>
      </c>
      <c r="C3977" s="1" t="str">
        <f>HYPERLINK("http://stackoverflow.com/users/9766067", "Horizoner 2.0")</f>
        <v>Horizoner 2.0</v>
      </c>
      <c r="D3977" t="s">
        <v>7</v>
      </c>
      <c r="E3977">
        <v>43</v>
      </c>
    </row>
    <row r="3978" spans="1:5" x14ac:dyDescent="0.25">
      <c r="A3978">
        <v>3977</v>
      </c>
      <c r="B3978">
        <v>2652415</v>
      </c>
      <c r="C3978" s="1" t="str">
        <f>HYPERLINK("http://stackoverflow.com/users/2652415", "doityth777")</f>
        <v>doityth777</v>
      </c>
      <c r="D3978" t="s">
        <v>257</v>
      </c>
      <c r="E3978">
        <v>43</v>
      </c>
    </row>
    <row r="3979" spans="1:5" x14ac:dyDescent="0.25">
      <c r="A3979">
        <v>3978</v>
      </c>
      <c r="B3979">
        <v>864547</v>
      </c>
      <c r="C3979" s="1" t="str">
        <f>HYPERLINK("http://stackoverflow.com/users/864547", "koo")</f>
        <v>koo</v>
      </c>
      <c r="D3979" t="s">
        <v>5</v>
      </c>
      <c r="E3979">
        <v>43</v>
      </c>
    </row>
    <row r="3980" spans="1:5" x14ac:dyDescent="0.25">
      <c r="A3980">
        <v>3979</v>
      </c>
      <c r="B3980">
        <v>2967282</v>
      </c>
      <c r="C3980" s="1" t="str">
        <f>HYPERLINK("http://stackoverflow.com/users/2967282", "avlin han")</f>
        <v>avlin han</v>
      </c>
      <c r="D3980" t="s">
        <v>5</v>
      </c>
      <c r="E3980">
        <v>43</v>
      </c>
    </row>
    <row r="3981" spans="1:5" x14ac:dyDescent="0.25">
      <c r="A3981">
        <v>3980</v>
      </c>
      <c r="B3981">
        <v>5033931</v>
      </c>
      <c r="C3981" s="1" t="str">
        <f>HYPERLINK("http://stackoverflow.com/users/5033931", "Florian Monfort")</f>
        <v>Florian Monfort</v>
      </c>
      <c r="D3981" t="s">
        <v>4</v>
      </c>
      <c r="E3981">
        <v>43</v>
      </c>
    </row>
    <row r="3982" spans="1:5" x14ac:dyDescent="0.25">
      <c r="A3982">
        <v>3981</v>
      </c>
      <c r="B3982">
        <v>3639532</v>
      </c>
      <c r="C3982" s="1" t="str">
        <f>HYPERLINK("http://stackoverflow.com/users/3639532", "hunter2009")</f>
        <v>hunter2009</v>
      </c>
      <c r="D3982" t="s">
        <v>4</v>
      </c>
      <c r="E3982">
        <v>43</v>
      </c>
    </row>
    <row r="3983" spans="1:5" x14ac:dyDescent="0.25">
      <c r="A3983">
        <v>3982</v>
      </c>
      <c r="B3983">
        <v>866911</v>
      </c>
      <c r="C3983" s="1" t="str">
        <f>HYPERLINK("http://stackoverflow.com/users/866911", "TingSong Syu")</f>
        <v>TingSong Syu</v>
      </c>
      <c r="D3983" t="s">
        <v>5</v>
      </c>
      <c r="E3983">
        <v>43</v>
      </c>
    </row>
    <row r="3984" spans="1:5" x14ac:dyDescent="0.25">
      <c r="A3984">
        <v>3983</v>
      </c>
      <c r="B3984">
        <v>3012131</v>
      </c>
      <c r="C3984" s="1" t="str">
        <f>HYPERLINK("http://stackoverflow.com/users/3012131", "Lee")</f>
        <v>Lee</v>
      </c>
      <c r="D3984" t="s">
        <v>258</v>
      </c>
      <c r="E3984">
        <v>43</v>
      </c>
    </row>
    <row r="3985" spans="1:5" x14ac:dyDescent="0.25">
      <c r="A3985">
        <v>3984</v>
      </c>
      <c r="B3985">
        <v>3012155</v>
      </c>
      <c r="C3985" s="1" t="str">
        <f>HYPERLINK("http://stackoverflow.com/users/3012155", "luojiebin")</f>
        <v>luojiebin</v>
      </c>
      <c r="D3985" t="s">
        <v>53</v>
      </c>
      <c r="E3985">
        <v>43</v>
      </c>
    </row>
    <row r="3986" spans="1:5" x14ac:dyDescent="0.25">
      <c r="A3986">
        <v>3985</v>
      </c>
      <c r="B3986">
        <v>4533286</v>
      </c>
      <c r="C3986" s="1" t="str">
        <f>HYPERLINK("http://stackoverflow.com/users/4533286", "Ervine")</f>
        <v>Ervine</v>
      </c>
      <c r="D3986" t="s">
        <v>16</v>
      </c>
      <c r="E3986">
        <v>43</v>
      </c>
    </row>
    <row r="3987" spans="1:5" x14ac:dyDescent="0.25">
      <c r="A3987">
        <v>3986</v>
      </c>
      <c r="B3987">
        <v>2790380</v>
      </c>
      <c r="C3987" s="1" t="str">
        <f>HYPERLINK("http://stackoverflow.com/users/2790380", "Holden")</f>
        <v>Holden</v>
      </c>
      <c r="D3987" t="s">
        <v>4</v>
      </c>
      <c r="E3987">
        <v>43</v>
      </c>
    </row>
    <row r="3988" spans="1:5" x14ac:dyDescent="0.25">
      <c r="A3988">
        <v>3987</v>
      </c>
      <c r="B3988">
        <v>1068958</v>
      </c>
      <c r="C3988" s="1" t="str">
        <f>HYPERLINK("http://stackoverflow.com/users/1068958", "OZnew")</f>
        <v>OZnew</v>
      </c>
      <c r="D3988" t="s">
        <v>4</v>
      </c>
      <c r="E3988">
        <v>43</v>
      </c>
    </row>
    <row r="3989" spans="1:5" x14ac:dyDescent="0.25">
      <c r="A3989">
        <v>3988</v>
      </c>
      <c r="B3989">
        <v>6411383</v>
      </c>
      <c r="C3989" s="1" t="str">
        <f>HYPERLINK("http://stackoverflow.com/users/6411383", "sikara tijuhara")</f>
        <v>sikara tijuhara</v>
      </c>
      <c r="D3989" t="s">
        <v>5</v>
      </c>
      <c r="E3989">
        <v>43</v>
      </c>
    </row>
    <row r="3990" spans="1:5" x14ac:dyDescent="0.25">
      <c r="A3990">
        <v>3989</v>
      </c>
      <c r="B3990">
        <v>4464112</v>
      </c>
      <c r="C3990" s="1" t="str">
        <f>HYPERLINK("http://stackoverflow.com/users/4464112", "Winter  Ma")</f>
        <v>Winter  Ma</v>
      </c>
      <c r="D3990" t="s">
        <v>21</v>
      </c>
      <c r="E3990">
        <v>43</v>
      </c>
    </row>
    <row r="3991" spans="1:5" x14ac:dyDescent="0.25">
      <c r="A3991">
        <v>3990</v>
      </c>
      <c r="B3991">
        <v>4125213</v>
      </c>
      <c r="C3991" s="1" t="str">
        <f>HYPERLINK("http://stackoverflow.com/users/4125213", "Sweetdumpling Lin")</f>
        <v>Sweetdumpling Lin</v>
      </c>
      <c r="D3991" t="s">
        <v>4</v>
      </c>
      <c r="E3991">
        <v>43</v>
      </c>
    </row>
    <row r="3992" spans="1:5" x14ac:dyDescent="0.25">
      <c r="A3992">
        <v>3991</v>
      </c>
      <c r="B3992">
        <v>5628491</v>
      </c>
      <c r="C3992" s="1" t="str">
        <f>HYPERLINK("http://stackoverflow.com/users/5628491", "tink")</f>
        <v>tink</v>
      </c>
      <c r="D3992" t="s">
        <v>28</v>
      </c>
      <c r="E3992">
        <v>43</v>
      </c>
    </row>
    <row r="3993" spans="1:5" x14ac:dyDescent="0.25">
      <c r="A3993">
        <v>3992</v>
      </c>
      <c r="B3993">
        <v>5607769</v>
      </c>
      <c r="C3993" s="1" t="str">
        <f>HYPERLINK("http://stackoverflow.com/users/5607769", "CoderYL")</f>
        <v>CoderYL</v>
      </c>
      <c r="D3993" t="s">
        <v>17</v>
      </c>
      <c r="E3993">
        <v>43</v>
      </c>
    </row>
    <row r="3994" spans="1:5" x14ac:dyDescent="0.25">
      <c r="A3994">
        <v>3993</v>
      </c>
      <c r="B3994">
        <v>5943721</v>
      </c>
      <c r="C3994" s="1" t="str">
        <f>HYPERLINK("http://stackoverflow.com/users/5943721", "itczl")</f>
        <v>itczl</v>
      </c>
      <c r="D3994" t="s">
        <v>5</v>
      </c>
      <c r="E3994">
        <v>43</v>
      </c>
    </row>
    <row r="3995" spans="1:5" x14ac:dyDescent="0.25">
      <c r="A3995">
        <v>3994</v>
      </c>
      <c r="B3995">
        <v>1017691</v>
      </c>
      <c r="C3995" s="1" t="str">
        <f>HYPERLINK("http://stackoverflow.com/users/1017691", "timezhong")</f>
        <v>timezhong</v>
      </c>
      <c r="D3995" t="s">
        <v>5</v>
      </c>
      <c r="E3995">
        <v>43</v>
      </c>
    </row>
    <row r="3996" spans="1:5" x14ac:dyDescent="0.25">
      <c r="A3996">
        <v>3995</v>
      </c>
      <c r="B3996">
        <v>672444</v>
      </c>
      <c r="C3996" s="1" t="str">
        <f>HYPERLINK("http://stackoverflow.com/users/672444", "qhwa")</f>
        <v>qhwa</v>
      </c>
      <c r="D3996" t="s">
        <v>12</v>
      </c>
      <c r="E3996">
        <v>43</v>
      </c>
    </row>
    <row r="3997" spans="1:5" x14ac:dyDescent="0.25">
      <c r="A3997">
        <v>3996</v>
      </c>
      <c r="B3997">
        <v>590336</v>
      </c>
      <c r="C3997" s="1" t="str">
        <f>HYPERLINK("http://stackoverflow.com/users/590336", "hon")</f>
        <v>hon</v>
      </c>
      <c r="D3997" t="s">
        <v>3</v>
      </c>
      <c r="E3997">
        <v>43</v>
      </c>
    </row>
    <row r="3998" spans="1:5" x14ac:dyDescent="0.25">
      <c r="A3998">
        <v>3997</v>
      </c>
      <c r="B3998">
        <v>2748992</v>
      </c>
      <c r="C3998" s="1" t="str">
        <f>HYPERLINK("http://stackoverflow.com/users/2748992", "yaming")</f>
        <v>yaming</v>
      </c>
      <c r="D3998" t="s">
        <v>12</v>
      </c>
      <c r="E3998">
        <v>43</v>
      </c>
    </row>
    <row r="3999" spans="1:5" x14ac:dyDescent="0.25">
      <c r="A3999">
        <v>3998</v>
      </c>
      <c r="B3999">
        <v>163947</v>
      </c>
      <c r="C3999" s="1" t="str">
        <f>HYPERLINK("http://stackoverflow.com/users/163947", "James Ni")</f>
        <v>James Ni</v>
      </c>
      <c r="D3999" t="s">
        <v>4</v>
      </c>
      <c r="E3999">
        <v>43</v>
      </c>
    </row>
    <row r="4000" spans="1:5" x14ac:dyDescent="0.25">
      <c r="A4000">
        <v>3999</v>
      </c>
      <c r="B4000">
        <v>4360616</v>
      </c>
      <c r="C4000" s="1" t="str">
        <f>HYPERLINK("http://stackoverflow.com/users/4360616", "Umer Tahir")</f>
        <v>Umer Tahir</v>
      </c>
      <c r="D4000" t="s">
        <v>91</v>
      </c>
      <c r="E4000">
        <v>43</v>
      </c>
    </row>
    <row r="4001" spans="1:5" x14ac:dyDescent="0.25">
      <c r="A4001">
        <v>4000</v>
      </c>
      <c r="B4001">
        <v>7059210</v>
      </c>
      <c r="C4001" s="1" t="str">
        <f>HYPERLINK("http://stackoverflow.com/users/7059210", "jiangdongzi")</f>
        <v>jiangdongzi</v>
      </c>
      <c r="D4001" t="s">
        <v>27</v>
      </c>
      <c r="E4001">
        <v>43</v>
      </c>
    </row>
    <row r="4002" spans="1:5" x14ac:dyDescent="0.25">
      <c r="A4002">
        <v>4001</v>
      </c>
      <c r="B4002">
        <v>4993091</v>
      </c>
      <c r="C4002" s="1" t="str">
        <f>HYPERLINK("http://stackoverflow.com/users/4993091", "MartiaHiblite")</f>
        <v>MartiaHiblite</v>
      </c>
      <c r="D4002" t="s">
        <v>8</v>
      </c>
      <c r="E4002">
        <v>43</v>
      </c>
    </row>
    <row r="4003" spans="1:5" x14ac:dyDescent="0.25">
      <c r="A4003">
        <v>4002</v>
      </c>
      <c r="B4003">
        <v>945921</v>
      </c>
      <c r="C4003" s="1" t="str">
        <f>HYPERLINK("http://stackoverflow.com/users/945921", "DelphiQin")</f>
        <v>DelphiQin</v>
      </c>
      <c r="D4003" t="s">
        <v>5</v>
      </c>
      <c r="E4003">
        <v>42</v>
      </c>
    </row>
    <row r="4004" spans="1:5" x14ac:dyDescent="0.25">
      <c r="A4004">
        <v>4003</v>
      </c>
      <c r="B4004">
        <v>1652503</v>
      </c>
      <c r="C4004" s="1" t="str">
        <f>HYPERLINK("http://stackoverflow.com/users/1652503", "Vanapandi Narayanan")</f>
        <v>Vanapandi Narayanan</v>
      </c>
      <c r="D4004" t="s">
        <v>4</v>
      </c>
      <c r="E4004">
        <v>42</v>
      </c>
    </row>
    <row r="4005" spans="1:5" x14ac:dyDescent="0.25">
      <c r="A4005">
        <v>4004</v>
      </c>
      <c r="B4005">
        <v>7862564</v>
      </c>
      <c r="C4005" s="1" t="str">
        <f>HYPERLINK("http://stackoverflow.com/users/7862564", "Vincent Yuan")</f>
        <v>Vincent Yuan</v>
      </c>
      <c r="D4005" t="s">
        <v>4</v>
      </c>
      <c r="E4005">
        <v>42</v>
      </c>
    </row>
    <row r="4006" spans="1:5" x14ac:dyDescent="0.25">
      <c r="A4006">
        <v>4005</v>
      </c>
      <c r="B4006">
        <v>1549261</v>
      </c>
      <c r="C4006" s="1" t="str">
        <f>HYPERLINK("http://stackoverflow.com/users/1549261", "CottonXu")</f>
        <v>CottonXu</v>
      </c>
      <c r="D4006" t="s">
        <v>12</v>
      </c>
      <c r="E4006">
        <v>42</v>
      </c>
    </row>
    <row r="4007" spans="1:5" x14ac:dyDescent="0.25">
      <c r="A4007">
        <v>4006</v>
      </c>
      <c r="B4007">
        <v>1832997</v>
      </c>
      <c r="C4007" s="1" t="str">
        <f>HYPERLINK("http://stackoverflow.com/users/1832997", "Kurt_Zhu")</f>
        <v>Kurt_Zhu</v>
      </c>
      <c r="D4007" t="s">
        <v>4</v>
      </c>
      <c r="E4007">
        <v>42</v>
      </c>
    </row>
    <row r="4008" spans="1:5" x14ac:dyDescent="0.25">
      <c r="A4008">
        <v>4007</v>
      </c>
      <c r="B4008">
        <v>2231715</v>
      </c>
      <c r="C4008" s="1" t="str">
        <f>HYPERLINK("http://stackoverflow.com/users/2231715", "Ross Cournoyer")</f>
        <v>Ross Cournoyer</v>
      </c>
      <c r="D4008" t="s">
        <v>4</v>
      </c>
      <c r="E4008">
        <v>42</v>
      </c>
    </row>
    <row r="4009" spans="1:5" x14ac:dyDescent="0.25">
      <c r="A4009">
        <v>4008</v>
      </c>
      <c r="B4009">
        <v>574326</v>
      </c>
      <c r="C4009" s="1" t="str">
        <f>HYPERLINK("http://stackoverflow.com/users/574326", "Ling")</f>
        <v>Ling</v>
      </c>
      <c r="D4009" t="s">
        <v>4</v>
      </c>
      <c r="E4009">
        <v>42</v>
      </c>
    </row>
    <row r="4010" spans="1:5" x14ac:dyDescent="0.25">
      <c r="A4010">
        <v>4009</v>
      </c>
      <c r="B4010">
        <v>3138746</v>
      </c>
      <c r="C4010" s="1" t="str">
        <f>HYPERLINK("http://stackoverflow.com/users/3138746", "Budlion")</f>
        <v>Budlion</v>
      </c>
      <c r="D4010" t="s">
        <v>37</v>
      </c>
      <c r="E4010">
        <v>42</v>
      </c>
    </row>
    <row r="4011" spans="1:5" x14ac:dyDescent="0.25">
      <c r="A4011">
        <v>4010</v>
      </c>
      <c r="B4011">
        <v>9971067</v>
      </c>
      <c r="C4011" s="1" t="str">
        <f>HYPERLINK("http://stackoverflow.com/users/9971067", "Leisure Dong")</f>
        <v>Leisure Dong</v>
      </c>
      <c r="D4011" t="s">
        <v>4</v>
      </c>
      <c r="E4011">
        <v>42</v>
      </c>
    </row>
    <row r="4012" spans="1:5" x14ac:dyDescent="0.25">
      <c r="A4012">
        <v>4011</v>
      </c>
      <c r="B4012">
        <v>4131275</v>
      </c>
      <c r="C4012" s="1" t="str">
        <f>HYPERLINK("http://stackoverflow.com/users/4131275", "DeFOX")</f>
        <v>DeFOX</v>
      </c>
      <c r="D4012" t="s">
        <v>25</v>
      </c>
      <c r="E4012">
        <v>42</v>
      </c>
    </row>
    <row r="4013" spans="1:5" x14ac:dyDescent="0.25">
      <c r="A4013">
        <v>4012</v>
      </c>
      <c r="B4013">
        <v>5579781</v>
      </c>
      <c r="C4013" s="1" t="str">
        <f>HYPERLINK("http://stackoverflow.com/users/5579781", "Foskill")</f>
        <v>Foskill</v>
      </c>
      <c r="D4013" t="s">
        <v>5</v>
      </c>
      <c r="E4013">
        <v>42</v>
      </c>
    </row>
    <row r="4014" spans="1:5" x14ac:dyDescent="0.25">
      <c r="A4014">
        <v>4013</v>
      </c>
      <c r="B4014">
        <v>1874871</v>
      </c>
      <c r="C4014" s="1" t="str">
        <f>HYPERLINK("http://stackoverflow.com/users/1874871", "mario.hsu")</f>
        <v>mario.hsu</v>
      </c>
      <c r="D4014" t="s">
        <v>17</v>
      </c>
      <c r="E4014">
        <v>42</v>
      </c>
    </row>
    <row r="4015" spans="1:5" x14ac:dyDescent="0.25">
      <c r="A4015">
        <v>4014</v>
      </c>
      <c r="B4015">
        <v>3875819</v>
      </c>
      <c r="C4015" s="1" t="str">
        <f>HYPERLINK("http://stackoverflow.com/users/3875819", "yangyang wang")</f>
        <v>yangyang wang</v>
      </c>
      <c r="D4015" t="s">
        <v>12</v>
      </c>
      <c r="E4015">
        <v>42</v>
      </c>
    </row>
    <row r="4016" spans="1:5" x14ac:dyDescent="0.25">
      <c r="A4016">
        <v>4015</v>
      </c>
      <c r="B4016">
        <v>3887450</v>
      </c>
      <c r="C4016" s="1" t="str">
        <f>HYPERLINK("http://stackoverflow.com/users/3887450", "sym44")</f>
        <v>sym44</v>
      </c>
      <c r="D4016" t="s">
        <v>4</v>
      </c>
      <c r="E4016">
        <v>42</v>
      </c>
    </row>
    <row r="4017" spans="1:5" x14ac:dyDescent="0.25">
      <c r="A4017">
        <v>4016</v>
      </c>
      <c r="B4017">
        <v>2144084</v>
      </c>
      <c r="C4017" s="1" t="str">
        <f>HYPERLINK("http://stackoverflow.com/users/2144084", "riaqn")</f>
        <v>riaqn</v>
      </c>
      <c r="D4017" t="s">
        <v>4</v>
      </c>
      <c r="E4017">
        <v>42</v>
      </c>
    </row>
    <row r="4018" spans="1:5" x14ac:dyDescent="0.25">
      <c r="A4018">
        <v>4017</v>
      </c>
      <c r="B4018">
        <v>8330441</v>
      </c>
      <c r="C4018" s="1" t="str">
        <f>HYPERLINK("http://stackoverflow.com/users/8330441", "6994")</f>
        <v>6994</v>
      </c>
      <c r="D4018" t="s">
        <v>119</v>
      </c>
      <c r="E4018">
        <v>42</v>
      </c>
    </row>
    <row r="4019" spans="1:5" x14ac:dyDescent="0.25">
      <c r="A4019">
        <v>4018</v>
      </c>
      <c r="B4019">
        <v>875741</v>
      </c>
      <c r="C4019" s="1" t="str">
        <f>HYPERLINK("http://stackoverflow.com/users/875741", "Gang")</f>
        <v>Gang</v>
      </c>
      <c r="D4019" t="s">
        <v>5</v>
      </c>
      <c r="E4019">
        <v>42</v>
      </c>
    </row>
    <row r="4020" spans="1:5" x14ac:dyDescent="0.25">
      <c r="A4020">
        <v>4019</v>
      </c>
      <c r="B4020">
        <v>770566</v>
      </c>
      <c r="C4020" s="1" t="str">
        <f>HYPERLINK("http://stackoverflow.com/users/770566", "KerlW")</f>
        <v>KerlW</v>
      </c>
      <c r="D4020" t="s">
        <v>8</v>
      </c>
      <c r="E4020">
        <v>41</v>
      </c>
    </row>
    <row r="4021" spans="1:5" x14ac:dyDescent="0.25">
      <c r="A4021">
        <v>4020</v>
      </c>
      <c r="B4021">
        <v>796937</v>
      </c>
      <c r="C4021" s="1" t="str">
        <f>HYPERLINK("http://stackoverflow.com/users/796937", "Michael He")</f>
        <v>Michael He</v>
      </c>
      <c r="D4021" t="s">
        <v>12</v>
      </c>
      <c r="E4021">
        <v>41</v>
      </c>
    </row>
    <row r="4022" spans="1:5" x14ac:dyDescent="0.25">
      <c r="A4022">
        <v>4021</v>
      </c>
      <c r="B4022">
        <v>796949</v>
      </c>
      <c r="C4022" s="1" t="str">
        <f>HYPERLINK("http://stackoverflow.com/users/796949", "Omer Faruk KURT")</f>
        <v>Omer Faruk KURT</v>
      </c>
      <c r="D4022" t="s">
        <v>37</v>
      </c>
      <c r="E4022">
        <v>41</v>
      </c>
    </row>
    <row r="4023" spans="1:5" x14ac:dyDescent="0.25">
      <c r="A4023">
        <v>4022</v>
      </c>
      <c r="B4023">
        <v>4661421</v>
      </c>
      <c r="C4023" s="1" t="str">
        <f>HYPERLINK("http://stackoverflow.com/users/4661421", "GuangYu Yang")</f>
        <v>GuangYu Yang</v>
      </c>
      <c r="D4023" t="s">
        <v>4</v>
      </c>
      <c r="E4023">
        <v>41</v>
      </c>
    </row>
    <row r="4024" spans="1:5" x14ac:dyDescent="0.25">
      <c r="A4024">
        <v>4023</v>
      </c>
      <c r="B4024">
        <v>6381715</v>
      </c>
      <c r="C4024" s="1" t="str">
        <f>HYPERLINK("http://stackoverflow.com/users/6381715", "GuGuss")</f>
        <v>GuGuss</v>
      </c>
      <c r="D4024" t="s">
        <v>17</v>
      </c>
      <c r="E4024">
        <v>41</v>
      </c>
    </row>
    <row r="4025" spans="1:5" x14ac:dyDescent="0.25">
      <c r="A4025">
        <v>4024</v>
      </c>
      <c r="B4025">
        <v>529076</v>
      </c>
      <c r="C4025" s="1" t="str">
        <f>HYPERLINK("http://stackoverflow.com/users/529076", "Naitong Xiao")</f>
        <v>Naitong Xiao</v>
      </c>
      <c r="D4025" t="s">
        <v>4</v>
      </c>
      <c r="E4025">
        <v>41</v>
      </c>
    </row>
    <row r="4026" spans="1:5" x14ac:dyDescent="0.25">
      <c r="A4026">
        <v>4025</v>
      </c>
      <c r="B4026">
        <v>521106</v>
      </c>
      <c r="C4026" s="1" t="str">
        <f>HYPERLINK("http://stackoverflow.com/users/521106", "xuchdeid")</f>
        <v>xuchdeid</v>
      </c>
      <c r="D4026" t="s">
        <v>37</v>
      </c>
      <c r="E4026">
        <v>41</v>
      </c>
    </row>
    <row r="4027" spans="1:5" x14ac:dyDescent="0.25">
      <c r="A4027">
        <v>4026</v>
      </c>
      <c r="B4027">
        <v>1632910</v>
      </c>
      <c r="C4027" s="1" t="str">
        <f>HYPERLINK("http://stackoverflow.com/users/1632910", "onlyxool")</f>
        <v>onlyxool</v>
      </c>
      <c r="D4027" t="s">
        <v>5</v>
      </c>
      <c r="E4027">
        <v>41</v>
      </c>
    </row>
    <row r="4028" spans="1:5" x14ac:dyDescent="0.25">
      <c r="A4028">
        <v>4027</v>
      </c>
      <c r="B4028">
        <v>6773767</v>
      </c>
      <c r="C4028" s="1" t="str">
        <f>HYPERLINK("http://stackoverflow.com/users/6773767", "youchuikai")</f>
        <v>youchuikai</v>
      </c>
      <c r="D4028" t="s">
        <v>7</v>
      </c>
      <c r="E4028">
        <v>41</v>
      </c>
    </row>
    <row r="4029" spans="1:5" x14ac:dyDescent="0.25">
      <c r="A4029">
        <v>4028</v>
      </c>
      <c r="B4029">
        <v>1436376</v>
      </c>
      <c r="C4029" s="1" t="str">
        <f>HYPERLINK("http://stackoverflow.com/users/1436376", "唐余猛")</f>
        <v>唐余猛</v>
      </c>
      <c r="D4029" t="s">
        <v>5</v>
      </c>
      <c r="E4029">
        <v>41</v>
      </c>
    </row>
    <row r="4030" spans="1:5" x14ac:dyDescent="0.25">
      <c r="A4030">
        <v>4029</v>
      </c>
      <c r="B4030">
        <v>1242556</v>
      </c>
      <c r="C4030" s="1" t="str">
        <f>HYPERLINK("http://stackoverflow.com/users/1242556", "dehiker")</f>
        <v>dehiker</v>
      </c>
      <c r="D4030" t="s">
        <v>5</v>
      </c>
      <c r="E4030">
        <v>41</v>
      </c>
    </row>
    <row r="4031" spans="1:5" x14ac:dyDescent="0.25">
      <c r="A4031">
        <v>4030</v>
      </c>
      <c r="B4031">
        <v>3128975</v>
      </c>
      <c r="C4031" s="1" t="str">
        <f>HYPERLINK("http://stackoverflow.com/users/3128975", "William Wang")</f>
        <v>William Wang</v>
      </c>
      <c r="D4031" t="s">
        <v>17</v>
      </c>
      <c r="E4031">
        <v>41</v>
      </c>
    </row>
    <row r="4032" spans="1:5" x14ac:dyDescent="0.25">
      <c r="A4032">
        <v>4031</v>
      </c>
      <c r="B4032">
        <v>1083248</v>
      </c>
      <c r="C4032" s="1" t="str">
        <f>HYPERLINK("http://stackoverflow.com/users/1083248", "Edward Zhang")</f>
        <v>Edward Zhang</v>
      </c>
      <c r="D4032" t="s">
        <v>37</v>
      </c>
      <c r="E4032">
        <v>41</v>
      </c>
    </row>
    <row r="4033" spans="1:5" x14ac:dyDescent="0.25">
      <c r="A4033">
        <v>4032</v>
      </c>
      <c r="B4033">
        <v>1151750</v>
      </c>
      <c r="C4033" s="1" t="str">
        <f>HYPERLINK("http://stackoverflow.com/users/1151750", "jeffjoy")</f>
        <v>jeffjoy</v>
      </c>
      <c r="D4033" t="s">
        <v>4</v>
      </c>
      <c r="E4033">
        <v>41</v>
      </c>
    </row>
    <row r="4034" spans="1:5" x14ac:dyDescent="0.25">
      <c r="A4034">
        <v>4033</v>
      </c>
      <c r="B4034">
        <v>3903182</v>
      </c>
      <c r="C4034" s="1" t="str">
        <f>HYPERLINK("http://stackoverflow.com/users/3903182", "SevenJustin")</f>
        <v>SevenJustin</v>
      </c>
      <c r="D4034" t="s">
        <v>136</v>
      </c>
      <c r="E4034">
        <v>41</v>
      </c>
    </row>
    <row r="4035" spans="1:5" x14ac:dyDescent="0.25">
      <c r="A4035">
        <v>4034</v>
      </c>
      <c r="B4035">
        <v>2360834</v>
      </c>
      <c r="C4035" s="1" t="str">
        <f>HYPERLINK("http://stackoverflow.com/users/2360834", "GeXiao")</f>
        <v>GeXiao</v>
      </c>
      <c r="D4035" t="s">
        <v>4</v>
      </c>
      <c r="E4035">
        <v>41</v>
      </c>
    </row>
    <row r="4036" spans="1:5" x14ac:dyDescent="0.25">
      <c r="A4036">
        <v>4035</v>
      </c>
      <c r="B4036">
        <v>5649392</v>
      </c>
      <c r="C4036" s="1" t="str">
        <f>HYPERLINK("http://stackoverflow.com/users/5649392", "amanbolat")</f>
        <v>amanbolat</v>
      </c>
      <c r="D4036" t="s">
        <v>5</v>
      </c>
      <c r="E4036">
        <v>41</v>
      </c>
    </row>
    <row r="4037" spans="1:5" x14ac:dyDescent="0.25">
      <c r="A4037">
        <v>4036</v>
      </c>
      <c r="B4037">
        <v>2138221</v>
      </c>
      <c r="C4037" s="1" t="str">
        <f>HYPERLINK("http://stackoverflow.com/users/2138221", "liu lei")</f>
        <v>liu lei</v>
      </c>
      <c r="D4037" t="s">
        <v>5</v>
      </c>
      <c r="E4037">
        <v>41</v>
      </c>
    </row>
    <row r="4038" spans="1:5" x14ac:dyDescent="0.25">
      <c r="A4038">
        <v>4037</v>
      </c>
      <c r="B4038">
        <v>2209891</v>
      </c>
      <c r="C4038" s="1" t="str">
        <f>HYPERLINK("http://stackoverflow.com/users/2209891", "hnrayer")</f>
        <v>hnrayer</v>
      </c>
      <c r="D4038" t="s">
        <v>5</v>
      </c>
      <c r="E4038">
        <v>41</v>
      </c>
    </row>
    <row r="4039" spans="1:5" x14ac:dyDescent="0.25">
      <c r="A4039">
        <v>4038</v>
      </c>
      <c r="B4039">
        <v>2271157</v>
      </c>
      <c r="C4039" s="1" t="str">
        <f>HYPERLINK("http://stackoverflow.com/users/2271157", "user2271157")</f>
        <v>user2271157</v>
      </c>
      <c r="D4039" t="s">
        <v>4</v>
      </c>
      <c r="E4039">
        <v>41</v>
      </c>
    </row>
    <row r="4040" spans="1:5" x14ac:dyDescent="0.25">
      <c r="A4040">
        <v>4039</v>
      </c>
      <c r="B4040">
        <v>5793568</v>
      </c>
      <c r="C4040" s="1" t="str">
        <f>HYPERLINK("http://stackoverflow.com/users/5793568", "jtanaa")</f>
        <v>jtanaa</v>
      </c>
      <c r="D4040" t="s">
        <v>4</v>
      </c>
      <c r="E4040">
        <v>41</v>
      </c>
    </row>
    <row r="4041" spans="1:5" x14ac:dyDescent="0.25">
      <c r="A4041">
        <v>4040</v>
      </c>
      <c r="B4041">
        <v>887291</v>
      </c>
      <c r="C4041" s="1" t="str">
        <f>HYPERLINK("http://stackoverflow.com/users/887291", "Zheng Huiying")</f>
        <v>Zheng Huiying</v>
      </c>
      <c r="D4041" t="s">
        <v>90</v>
      </c>
      <c r="E4041">
        <v>41</v>
      </c>
    </row>
    <row r="4042" spans="1:5" x14ac:dyDescent="0.25">
      <c r="A4042">
        <v>4041</v>
      </c>
      <c r="B4042">
        <v>758853</v>
      </c>
      <c r="C4042" s="1" t="str">
        <f>HYPERLINK("http://stackoverflow.com/users/758853", "Matthew Bao")</f>
        <v>Matthew Bao</v>
      </c>
      <c r="D4042" t="s">
        <v>5</v>
      </c>
      <c r="E4042">
        <v>41</v>
      </c>
    </row>
    <row r="4043" spans="1:5" x14ac:dyDescent="0.25">
      <c r="A4043">
        <v>4042</v>
      </c>
      <c r="B4043">
        <v>816101</v>
      </c>
      <c r="C4043" s="1" t="str">
        <f>HYPERLINK("http://stackoverflow.com/users/816101", "user816101")</f>
        <v>user816101</v>
      </c>
      <c r="D4043" t="s">
        <v>25</v>
      </c>
      <c r="E4043">
        <v>41</v>
      </c>
    </row>
    <row r="4044" spans="1:5" x14ac:dyDescent="0.25">
      <c r="A4044">
        <v>4043</v>
      </c>
      <c r="B4044">
        <v>491068</v>
      </c>
      <c r="C4044" s="1" t="str">
        <f>HYPERLINK("http://stackoverflow.com/users/491068", "Jhon")</f>
        <v>Jhon</v>
      </c>
      <c r="D4044" t="s">
        <v>31</v>
      </c>
      <c r="E4044">
        <v>41</v>
      </c>
    </row>
    <row r="4045" spans="1:5" x14ac:dyDescent="0.25">
      <c r="A4045">
        <v>4044</v>
      </c>
      <c r="B4045">
        <v>365041</v>
      </c>
      <c r="C4045" s="1" t="str">
        <f>HYPERLINK("http://stackoverflow.com/users/365041", "Jay")</f>
        <v>Jay</v>
      </c>
      <c r="D4045" t="s">
        <v>5</v>
      </c>
      <c r="E4045">
        <v>41</v>
      </c>
    </row>
    <row r="4046" spans="1:5" x14ac:dyDescent="0.25">
      <c r="A4046">
        <v>4045</v>
      </c>
      <c r="B4046">
        <v>2671603</v>
      </c>
      <c r="C4046" s="1" t="str">
        <f>HYPERLINK("http://stackoverflow.com/users/2671603", "Earne")</f>
        <v>Earne</v>
      </c>
      <c r="D4046" t="s">
        <v>8</v>
      </c>
      <c r="E4046">
        <v>41</v>
      </c>
    </row>
    <row r="4047" spans="1:5" x14ac:dyDescent="0.25">
      <c r="A4047">
        <v>4046</v>
      </c>
      <c r="B4047">
        <v>6159888</v>
      </c>
      <c r="C4047" s="1" t="str">
        <f>HYPERLINK("http://stackoverflow.com/users/6159888", "Jie")</f>
        <v>Jie</v>
      </c>
      <c r="D4047" t="s">
        <v>25</v>
      </c>
      <c r="E4047">
        <v>41</v>
      </c>
    </row>
    <row r="4048" spans="1:5" x14ac:dyDescent="0.25">
      <c r="A4048">
        <v>4047</v>
      </c>
      <c r="B4048">
        <v>4917658</v>
      </c>
      <c r="C4048" s="1" t="str">
        <f>HYPERLINK("http://stackoverflow.com/users/4917658", "Hauzer Lee")</f>
        <v>Hauzer Lee</v>
      </c>
      <c r="D4048" t="s">
        <v>5</v>
      </c>
      <c r="E4048">
        <v>41</v>
      </c>
    </row>
    <row r="4049" spans="1:5" x14ac:dyDescent="0.25">
      <c r="A4049">
        <v>4048</v>
      </c>
      <c r="B4049">
        <v>6574113</v>
      </c>
      <c r="C4049" s="1" t="str">
        <f>HYPERLINK("http://stackoverflow.com/users/6574113", "Yi Li")</f>
        <v>Yi Li</v>
      </c>
      <c r="D4049" t="s">
        <v>4</v>
      </c>
      <c r="E4049">
        <v>41</v>
      </c>
    </row>
    <row r="4050" spans="1:5" x14ac:dyDescent="0.25">
      <c r="A4050">
        <v>4049</v>
      </c>
      <c r="B4050">
        <v>1282670</v>
      </c>
      <c r="C4050" s="1" t="str">
        <f>HYPERLINK("http://stackoverflow.com/users/1282670", "chunshengster")</f>
        <v>chunshengster</v>
      </c>
      <c r="D4050" t="s">
        <v>5</v>
      </c>
      <c r="E4050">
        <v>41</v>
      </c>
    </row>
    <row r="4051" spans="1:5" x14ac:dyDescent="0.25">
      <c r="A4051">
        <v>4050</v>
      </c>
      <c r="B4051">
        <v>1304901</v>
      </c>
      <c r="C4051" s="1" t="str">
        <f>HYPERLINK("http://stackoverflow.com/users/1304901", "mjjjj2001")</f>
        <v>mjjjj2001</v>
      </c>
      <c r="D4051" t="s">
        <v>5</v>
      </c>
      <c r="E4051">
        <v>41</v>
      </c>
    </row>
    <row r="4052" spans="1:5" x14ac:dyDescent="0.25">
      <c r="A4052">
        <v>4051</v>
      </c>
      <c r="B4052">
        <v>1257297</v>
      </c>
      <c r="C4052" s="1" t="str">
        <f>HYPERLINK("http://stackoverflow.com/users/1257297", "bigcat_hui")</f>
        <v>bigcat_hui</v>
      </c>
      <c r="D4052" t="s">
        <v>5</v>
      </c>
      <c r="E4052">
        <v>41</v>
      </c>
    </row>
    <row r="4053" spans="1:5" x14ac:dyDescent="0.25">
      <c r="A4053">
        <v>4052</v>
      </c>
      <c r="B4053">
        <v>5064748</v>
      </c>
      <c r="C4053" s="1" t="str">
        <f>HYPERLINK("http://stackoverflow.com/users/5064748", "Gavin_gao")</f>
        <v>Gavin_gao</v>
      </c>
      <c r="D4053" t="s">
        <v>5</v>
      </c>
      <c r="E4053">
        <v>41</v>
      </c>
    </row>
    <row r="4054" spans="1:5" x14ac:dyDescent="0.25">
      <c r="A4054">
        <v>4053</v>
      </c>
      <c r="B4054">
        <v>1458633</v>
      </c>
      <c r="C4054" s="1" t="str">
        <f>HYPERLINK("http://stackoverflow.com/users/1458633", "qiangwang")</f>
        <v>qiangwang</v>
      </c>
      <c r="D4054" t="s">
        <v>4</v>
      </c>
      <c r="E4054">
        <v>41</v>
      </c>
    </row>
    <row r="4055" spans="1:5" x14ac:dyDescent="0.25">
      <c r="A4055">
        <v>4054</v>
      </c>
      <c r="B4055">
        <v>6926749</v>
      </c>
      <c r="C4055" s="1" t="str">
        <f>HYPERLINK("http://stackoverflow.com/users/6926749", "timothyzhang")</f>
        <v>timothyzhang</v>
      </c>
      <c r="D4055" t="s">
        <v>5</v>
      </c>
      <c r="E4055">
        <v>41</v>
      </c>
    </row>
    <row r="4056" spans="1:5" x14ac:dyDescent="0.25">
      <c r="A4056">
        <v>4055</v>
      </c>
      <c r="B4056">
        <v>5246141</v>
      </c>
      <c r="C4056" s="1" t="str">
        <f>HYPERLINK("http://stackoverflow.com/users/5246141", "0x5e")</f>
        <v>0x5e</v>
      </c>
      <c r="D4056" t="s">
        <v>12</v>
      </c>
      <c r="E4056">
        <v>41</v>
      </c>
    </row>
    <row r="4057" spans="1:5" x14ac:dyDescent="0.25">
      <c r="A4057">
        <v>4056</v>
      </c>
      <c r="B4057">
        <v>1551821</v>
      </c>
      <c r="C4057" s="1" t="str">
        <f>HYPERLINK("http://stackoverflow.com/users/1551821", "markwu")</f>
        <v>markwu</v>
      </c>
      <c r="D4057" t="s">
        <v>4</v>
      </c>
      <c r="E4057">
        <v>41</v>
      </c>
    </row>
    <row r="4058" spans="1:5" x14ac:dyDescent="0.25">
      <c r="A4058">
        <v>4057</v>
      </c>
      <c r="B4058">
        <v>2407917</v>
      </c>
      <c r="C4058" s="1" t="str">
        <f>HYPERLINK("http://stackoverflow.com/users/2407917", "Heartwork")</f>
        <v>Heartwork</v>
      </c>
      <c r="D4058" t="s">
        <v>5</v>
      </c>
      <c r="E4058">
        <v>41</v>
      </c>
    </row>
    <row r="4059" spans="1:5" x14ac:dyDescent="0.25">
      <c r="A4059">
        <v>4058</v>
      </c>
      <c r="B4059">
        <v>7628578</v>
      </c>
      <c r="C4059" s="1" t="str">
        <f>HYPERLINK("http://stackoverflow.com/users/7628578", "黄壮壮")</f>
        <v>黄壮壮</v>
      </c>
      <c r="D4059" t="s">
        <v>5</v>
      </c>
      <c r="E4059">
        <v>41</v>
      </c>
    </row>
    <row r="4060" spans="1:5" x14ac:dyDescent="0.25">
      <c r="A4060">
        <v>4059</v>
      </c>
      <c r="B4060">
        <v>4222048</v>
      </c>
      <c r="C4060" s="1" t="str">
        <f>HYPERLINK("http://stackoverflow.com/users/4222048", "zhenhua lee")</f>
        <v>zhenhua lee</v>
      </c>
      <c r="D4060" t="s">
        <v>5</v>
      </c>
      <c r="E4060">
        <v>41</v>
      </c>
    </row>
    <row r="4061" spans="1:5" x14ac:dyDescent="0.25">
      <c r="A4061">
        <v>4060</v>
      </c>
      <c r="B4061">
        <v>2293199</v>
      </c>
      <c r="C4061" s="1" t="str">
        <f>HYPERLINK("http://stackoverflow.com/users/2293199", "TangbiaoJiujiu")</f>
        <v>TangbiaoJiujiu</v>
      </c>
      <c r="D4061" t="s">
        <v>4</v>
      </c>
      <c r="E4061">
        <v>41</v>
      </c>
    </row>
    <row r="4062" spans="1:5" x14ac:dyDescent="0.25">
      <c r="A4062">
        <v>4061</v>
      </c>
      <c r="B4062">
        <v>3955082</v>
      </c>
      <c r="C4062" s="1" t="str">
        <f>HYPERLINK("http://stackoverflow.com/users/3955082", "ZLN")</f>
        <v>ZLN</v>
      </c>
      <c r="D4062" t="s">
        <v>5</v>
      </c>
      <c r="E4062">
        <v>41</v>
      </c>
    </row>
    <row r="4063" spans="1:5" x14ac:dyDescent="0.25">
      <c r="A4063">
        <v>4062</v>
      </c>
      <c r="B4063">
        <v>4674829</v>
      </c>
      <c r="C4063" s="1" t="str">
        <f>HYPERLINK("http://stackoverflow.com/users/4674829", "leoyoo")</f>
        <v>leoyoo</v>
      </c>
      <c r="D4063" t="s">
        <v>5</v>
      </c>
      <c r="E4063">
        <v>41</v>
      </c>
    </row>
    <row r="4064" spans="1:5" x14ac:dyDescent="0.25">
      <c r="A4064">
        <v>4063</v>
      </c>
      <c r="B4064">
        <v>4458143</v>
      </c>
      <c r="C4064" s="1" t="str">
        <f>HYPERLINK("http://stackoverflow.com/users/4458143", "Alex Hou")</f>
        <v>Alex Hou</v>
      </c>
      <c r="D4064" t="s">
        <v>4</v>
      </c>
      <c r="E4064">
        <v>41</v>
      </c>
    </row>
    <row r="4065" spans="1:5" x14ac:dyDescent="0.25">
      <c r="A4065">
        <v>4064</v>
      </c>
      <c r="B4065">
        <v>6080731</v>
      </c>
      <c r="C4065" s="1" t="str">
        <f>HYPERLINK("http://stackoverflow.com/users/6080731", "Ricotta.Zhang")</f>
        <v>Ricotta.Zhang</v>
      </c>
      <c r="D4065" t="s">
        <v>28</v>
      </c>
      <c r="E4065">
        <v>41</v>
      </c>
    </row>
    <row r="4066" spans="1:5" x14ac:dyDescent="0.25">
      <c r="A4066">
        <v>4065</v>
      </c>
      <c r="B4066">
        <v>2562878</v>
      </c>
      <c r="C4066" s="1" t="str">
        <f>HYPERLINK("http://stackoverflow.com/users/2562878", "8-bit")</f>
        <v>8-bit</v>
      </c>
      <c r="D4066" t="s">
        <v>37</v>
      </c>
      <c r="E4066">
        <v>41</v>
      </c>
    </row>
    <row r="4067" spans="1:5" x14ac:dyDescent="0.25">
      <c r="A4067">
        <v>4066</v>
      </c>
      <c r="B4067">
        <v>968427</v>
      </c>
      <c r="C4067" s="1" t="str">
        <f>HYPERLINK("http://stackoverflow.com/users/968427", "Lava Wong")</f>
        <v>Lava Wong</v>
      </c>
      <c r="D4067" t="s">
        <v>5</v>
      </c>
      <c r="E4067">
        <v>41</v>
      </c>
    </row>
    <row r="4068" spans="1:5" x14ac:dyDescent="0.25">
      <c r="A4068">
        <v>4067</v>
      </c>
      <c r="B4068">
        <v>1097709</v>
      </c>
      <c r="C4068" s="1" t="str">
        <f>HYPERLINK("http://stackoverflow.com/users/1097709", "chenmo")</f>
        <v>chenmo</v>
      </c>
      <c r="D4068" t="s">
        <v>5</v>
      </c>
      <c r="E4068">
        <v>41</v>
      </c>
    </row>
    <row r="4069" spans="1:5" x14ac:dyDescent="0.25">
      <c r="A4069">
        <v>4068</v>
      </c>
      <c r="B4069">
        <v>1099058</v>
      </c>
      <c r="C4069" s="1" t="str">
        <f>HYPERLINK("http://stackoverflow.com/users/1099058", "KevinQiang")</f>
        <v>KevinQiang</v>
      </c>
      <c r="D4069" t="s">
        <v>5</v>
      </c>
      <c r="E4069">
        <v>41</v>
      </c>
    </row>
    <row r="4070" spans="1:5" x14ac:dyDescent="0.25">
      <c r="A4070">
        <v>4069</v>
      </c>
      <c r="B4070">
        <v>4915329</v>
      </c>
      <c r="C4070" s="1" t="str">
        <f>HYPERLINK("http://stackoverflow.com/users/4915329", "Henry")</f>
        <v>Henry</v>
      </c>
      <c r="D4070" t="s">
        <v>17</v>
      </c>
      <c r="E4070">
        <v>41</v>
      </c>
    </row>
    <row r="4071" spans="1:5" x14ac:dyDescent="0.25">
      <c r="A4071">
        <v>4070</v>
      </c>
      <c r="B4071">
        <v>2985932</v>
      </c>
      <c r="C4071" s="1" t="str">
        <f>HYPERLINK("http://stackoverflow.com/users/2985932", "user2985932")</f>
        <v>user2985932</v>
      </c>
      <c r="D4071" t="s">
        <v>5</v>
      </c>
      <c r="E4071">
        <v>41</v>
      </c>
    </row>
    <row r="4072" spans="1:5" x14ac:dyDescent="0.25">
      <c r="A4072">
        <v>4071</v>
      </c>
      <c r="B4072">
        <v>10025465</v>
      </c>
      <c r="C4072" s="1" t="str">
        <f>HYPERLINK("http://stackoverflow.com/users/10025465", "Khan Hassan")</f>
        <v>Khan Hassan</v>
      </c>
      <c r="D4072" t="s">
        <v>4</v>
      </c>
      <c r="E4072">
        <v>41</v>
      </c>
    </row>
    <row r="4073" spans="1:5" x14ac:dyDescent="0.25">
      <c r="A4073">
        <v>4072</v>
      </c>
      <c r="B4073">
        <v>8210954</v>
      </c>
      <c r="C4073" s="1" t="str">
        <f>HYPERLINK("http://stackoverflow.com/users/8210954", "JT Houk")</f>
        <v>JT Houk</v>
      </c>
      <c r="D4073" t="s">
        <v>5</v>
      </c>
      <c r="E4073">
        <v>41</v>
      </c>
    </row>
    <row r="4074" spans="1:5" x14ac:dyDescent="0.25">
      <c r="A4074">
        <v>4073</v>
      </c>
      <c r="B4074">
        <v>793678</v>
      </c>
      <c r="C4074" s="1" t="str">
        <f>HYPERLINK("http://stackoverflow.com/users/793678", "Blue Zheng")</f>
        <v>Blue Zheng</v>
      </c>
      <c r="D4074" t="s">
        <v>22</v>
      </c>
      <c r="E4074">
        <v>41</v>
      </c>
    </row>
    <row r="4075" spans="1:5" x14ac:dyDescent="0.25">
      <c r="A4075">
        <v>4074</v>
      </c>
      <c r="B4075">
        <v>2889275</v>
      </c>
      <c r="C4075" s="1" t="str">
        <f>HYPERLINK("http://stackoverflow.com/users/2889275", "Zaicheng Qi")</f>
        <v>Zaicheng Qi</v>
      </c>
      <c r="D4075" t="s">
        <v>22</v>
      </c>
      <c r="E4075">
        <v>41</v>
      </c>
    </row>
    <row r="4076" spans="1:5" x14ac:dyDescent="0.25">
      <c r="A4076">
        <v>4075</v>
      </c>
      <c r="B4076">
        <v>1600259</v>
      </c>
      <c r="C4076" s="1" t="str">
        <f>HYPERLINK("http://stackoverflow.com/users/1600259", "Lotay")</f>
        <v>Lotay</v>
      </c>
      <c r="D4076" t="s">
        <v>4</v>
      </c>
      <c r="E4076">
        <v>41</v>
      </c>
    </row>
    <row r="4077" spans="1:5" x14ac:dyDescent="0.25">
      <c r="A4077">
        <v>4076</v>
      </c>
      <c r="B4077">
        <v>5268163</v>
      </c>
      <c r="C4077" s="1" t="str">
        <f>HYPERLINK("http://stackoverflow.com/users/5268163", "Lucas")</f>
        <v>Lucas</v>
      </c>
      <c r="D4077" t="s">
        <v>4</v>
      </c>
      <c r="E4077">
        <v>41</v>
      </c>
    </row>
    <row r="4078" spans="1:5" x14ac:dyDescent="0.25">
      <c r="A4078">
        <v>4077</v>
      </c>
      <c r="B4078">
        <v>1548486</v>
      </c>
      <c r="C4078" s="1" t="str">
        <f>HYPERLINK("http://stackoverflow.com/users/1548486", "Tu Xiaomi")</f>
        <v>Tu Xiaomi</v>
      </c>
      <c r="D4078" t="s">
        <v>5</v>
      </c>
      <c r="E4078">
        <v>41</v>
      </c>
    </row>
    <row r="4079" spans="1:5" x14ac:dyDescent="0.25">
      <c r="A4079">
        <v>4078</v>
      </c>
      <c r="B4079">
        <v>1293322</v>
      </c>
      <c r="C4079" s="1" t="str">
        <f>HYPERLINK("http://stackoverflow.com/users/1293322", "cablefan")</f>
        <v>cablefan</v>
      </c>
      <c r="D4079" t="s">
        <v>17</v>
      </c>
      <c r="E4079">
        <v>41</v>
      </c>
    </row>
    <row r="4080" spans="1:5" x14ac:dyDescent="0.25">
      <c r="A4080">
        <v>4079</v>
      </c>
      <c r="B4080">
        <v>1177931</v>
      </c>
      <c r="C4080" s="1" t="str">
        <f>HYPERLINK("http://stackoverflow.com/users/1177931", "DerekHe")</f>
        <v>DerekHe</v>
      </c>
      <c r="D4080" t="s">
        <v>5</v>
      </c>
      <c r="E4080">
        <v>41</v>
      </c>
    </row>
    <row r="4081" spans="1:5" x14ac:dyDescent="0.25">
      <c r="A4081">
        <v>4080</v>
      </c>
      <c r="B4081">
        <v>1239462</v>
      </c>
      <c r="C4081" s="1" t="str">
        <f>HYPERLINK("http://stackoverflow.com/users/1239462", "Guanghe")</f>
        <v>Guanghe</v>
      </c>
      <c r="D4081" t="s">
        <v>5</v>
      </c>
      <c r="E4081">
        <v>41</v>
      </c>
    </row>
    <row r="4082" spans="1:5" x14ac:dyDescent="0.25">
      <c r="A4082">
        <v>4081</v>
      </c>
      <c r="B4082">
        <v>6769366</v>
      </c>
      <c r="C4082" s="1" t="str">
        <f>HYPERLINK("http://stackoverflow.com/users/6769366", "Yuen Tau")</f>
        <v>Yuen Tau</v>
      </c>
      <c r="D4082" t="s">
        <v>7</v>
      </c>
      <c r="E4082">
        <v>41</v>
      </c>
    </row>
    <row r="4083" spans="1:5" x14ac:dyDescent="0.25">
      <c r="A4083">
        <v>4082</v>
      </c>
      <c r="B4083">
        <v>3135933</v>
      </c>
      <c r="C4083" s="1" t="str">
        <f>HYPERLINK("http://stackoverflow.com/users/3135933", "Jack Wang")</f>
        <v>Jack Wang</v>
      </c>
      <c r="D4083" t="s">
        <v>5</v>
      </c>
      <c r="E4083">
        <v>41</v>
      </c>
    </row>
    <row r="4084" spans="1:5" x14ac:dyDescent="0.25">
      <c r="A4084">
        <v>4083</v>
      </c>
      <c r="B4084">
        <v>3131421</v>
      </c>
      <c r="C4084" s="1" t="str">
        <f>HYPERLINK("http://stackoverflow.com/users/3131421", "harttle")</f>
        <v>harttle</v>
      </c>
      <c r="D4084" t="s">
        <v>5</v>
      </c>
      <c r="E4084">
        <v>41</v>
      </c>
    </row>
    <row r="4085" spans="1:5" x14ac:dyDescent="0.25">
      <c r="A4085">
        <v>4084</v>
      </c>
      <c r="B4085">
        <v>1147232</v>
      </c>
      <c r="C4085" s="1" t="str">
        <f>HYPERLINK("http://stackoverflow.com/users/1147232", "wenfeng")</f>
        <v>wenfeng</v>
      </c>
      <c r="D4085" t="s">
        <v>5</v>
      </c>
      <c r="E4085">
        <v>41</v>
      </c>
    </row>
    <row r="4086" spans="1:5" x14ac:dyDescent="0.25">
      <c r="A4086">
        <v>4085</v>
      </c>
      <c r="B4086">
        <v>5079937</v>
      </c>
      <c r="C4086" s="1" t="str">
        <f>HYPERLINK("http://stackoverflow.com/users/5079937", "xu Bruce")</f>
        <v>xu Bruce</v>
      </c>
      <c r="D4086" t="s">
        <v>5</v>
      </c>
      <c r="E4086">
        <v>41</v>
      </c>
    </row>
    <row r="4087" spans="1:5" x14ac:dyDescent="0.25">
      <c r="A4087">
        <v>4086</v>
      </c>
      <c r="B4087">
        <v>1465982</v>
      </c>
      <c r="C4087" s="1" t="str">
        <f>HYPERLINK("http://stackoverflow.com/users/1465982", "JohnnyWei")</f>
        <v>JohnnyWei</v>
      </c>
      <c r="D4087" t="s">
        <v>4</v>
      </c>
      <c r="E4087">
        <v>41</v>
      </c>
    </row>
    <row r="4088" spans="1:5" x14ac:dyDescent="0.25">
      <c r="A4088">
        <v>4087</v>
      </c>
      <c r="B4088">
        <v>1490143</v>
      </c>
      <c r="C4088" s="1" t="str">
        <f>HYPERLINK("http://stackoverflow.com/users/1490143", "duobei")</f>
        <v>duobei</v>
      </c>
      <c r="D4088" t="s">
        <v>17</v>
      </c>
      <c r="E4088">
        <v>41</v>
      </c>
    </row>
    <row r="4089" spans="1:5" x14ac:dyDescent="0.25">
      <c r="A4089">
        <v>4088</v>
      </c>
      <c r="B4089">
        <v>5251140</v>
      </c>
      <c r="C4089" s="1" t="str">
        <f>HYPERLINK("http://stackoverflow.com/users/5251140", "DaiDong")</f>
        <v>DaiDong</v>
      </c>
      <c r="D4089" t="s">
        <v>21</v>
      </c>
      <c r="E4089">
        <v>41</v>
      </c>
    </row>
    <row r="4090" spans="1:5" x14ac:dyDescent="0.25">
      <c r="A4090">
        <v>4089</v>
      </c>
      <c r="B4090">
        <v>5319269</v>
      </c>
      <c r="C4090" s="1" t="str">
        <f>HYPERLINK("http://stackoverflow.com/users/5319269", "Chason")</f>
        <v>Chason</v>
      </c>
      <c r="D4090" t="s">
        <v>10</v>
      </c>
      <c r="E4090">
        <v>41</v>
      </c>
    </row>
    <row r="4091" spans="1:5" x14ac:dyDescent="0.25">
      <c r="A4091">
        <v>4090</v>
      </c>
      <c r="B4091">
        <v>541377</v>
      </c>
      <c r="C4091" s="1" t="str">
        <f>HYPERLINK("http://stackoverflow.com/users/541377", "hxu")</f>
        <v>hxu</v>
      </c>
      <c r="D4091" t="s">
        <v>4</v>
      </c>
      <c r="E4091">
        <v>41</v>
      </c>
    </row>
    <row r="4092" spans="1:5" x14ac:dyDescent="0.25">
      <c r="A4092">
        <v>4091</v>
      </c>
      <c r="B4092">
        <v>2687929</v>
      </c>
      <c r="C4092" s="1" t="str">
        <f>HYPERLINK("http://stackoverflow.com/users/2687929", "xiechao06")</f>
        <v>xiechao06</v>
      </c>
      <c r="D4092" t="s">
        <v>12</v>
      </c>
      <c r="E4092">
        <v>41</v>
      </c>
    </row>
    <row r="4093" spans="1:5" x14ac:dyDescent="0.25">
      <c r="A4093">
        <v>4092</v>
      </c>
      <c r="B4093">
        <v>2447583</v>
      </c>
      <c r="C4093" s="1" t="str">
        <f>HYPERLINK("http://stackoverflow.com/users/2447583", "BenL3au")</f>
        <v>BenL3au</v>
      </c>
      <c r="D4093" t="s">
        <v>12</v>
      </c>
      <c r="E4093">
        <v>41</v>
      </c>
    </row>
    <row r="4094" spans="1:5" x14ac:dyDescent="0.25">
      <c r="A4094">
        <v>4093</v>
      </c>
      <c r="B4094">
        <v>4384572</v>
      </c>
      <c r="C4094" s="1" t="str">
        <f>HYPERLINK("http://stackoverflow.com/users/4384572", "zdczdcc")</f>
        <v>zdczdcc</v>
      </c>
      <c r="D4094" t="s">
        <v>4</v>
      </c>
      <c r="E4094">
        <v>41</v>
      </c>
    </row>
    <row r="4095" spans="1:5" x14ac:dyDescent="0.25">
      <c r="A4095">
        <v>4094</v>
      </c>
      <c r="B4095">
        <v>829824</v>
      </c>
      <c r="C4095" s="1" t="str">
        <f>HYPERLINK("http://stackoverflow.com/users/829824", "UT Cat")</f>
        <v>UT Cat</v>
      </c>
      <c r="D4095" t="s">
        <v>8</v>
      </c>
      <c r="E4095">
        <v>41</v>
      </c>
    </row>
    <row r="4096" spans="1:5" x14ac:dyDescent="0.25">
      <c r="A4096">
        <v>4095</v>
      </c>
      <c r="B4096">
        <v>1115225</v>
      </c>
      <c r="C4096" s="1" t="str">
        <f>HYPERLINK("http://stackoverflow.com/users/1115225", "Fatalerr")</f>
        <v>Fatalerr</v>
      </c>
      <c r="D4096" t="s">
        <v>21</v>
      </c>
      <c r="E4096">
        <v>41</v>
      </c>
    </row>
    <row r="4097" spans="1:5" x14ac:dyDescent="0.25">
      <c r="A4097">
        <v>4096</v>
      </c>
      <c r="B4097">
        <v>8360765</v>
      </c>
      <c r="C4097" s="1" t="str">
        <f>HYPERLINK("http://stackoverflow.com/users/8360765", "Shqi.Yang")</f>
        <v>Shqi.Yang</v>
      </c>
      <c r="D4097" t="s">
        <v>5</v>
      </c>
      <c r="E4097">
        <v>41</v>
      </c>
    </row>
    <row r="4098" spans="1:5" x14ac:dyDescent="0.25">
      <c r="A4098">
        <v>4097</v>
      </c>
      <c r="B4098">
        <v>3970787</v>
      </c>
      <c r="C4098" s="1" t="str">
        <f>HYPERLINK("http://stackoverflow.com/users/3970787", "KOP Lee")</f>
        <v>KOP Lee</v>
      </c>
      <c r="D4098" t="s">
        <v>259</v>
      </c>
      <c r="E4098">
        <v>41</v>
      </c>
    </row>
    <row r="4099" spans="1:5" x14ac:dyDescent="0.25">
      <c r="A4099">
        <v>4098</v>
      </c>
      <c r="B4099">
        <v>2172134</v>
      </c>
      <c r="C4099" s="1" t="str">
        <f>HYPERLINK("http://stackoverflow.com/users/2172134", "Jun.wan")</f>
        <v>Jun.wan</v>
      </c>
      <c r="D4099" t="s">
        <v>4</v>
      </c>
      <c r="E4099">
        <v>41</v>
      </c>
    </row>
    <row r="4100" spans="1:5" x14ac:dyDescent="0.25">
      <c r="A4100">
        <v>4099</v>
      </c>
      <c r="B4100">
        <v>2380926</v>
      </c>
      <c r="C4100" s="1" t="str">
        <f>HYPERLINK("http://stackoverflow.com/users/2380926", "ZhiGuang")</f>
        <v>ZhiGuang</v>
      </c>
      <c r="D4100" t="s">
        <v>38</v>
      </c>
      <c r="E4100">
        <v>41</v>
      </c>
    </row>
    <row r="4101" spans="1:5" x14ac:dyDescent="0.25">
      <c r="A4101">
        <v>4100</v>
      </c>
      <c r="B4101">
        <v>1858124</v>
      </c>
      <c r="C4101" s="1" t="str">
        <f>HYPERLINK("http://stackoverflow.com/users/1858124", "AB Wahid")</f>
        <v>AB Wahid</v>
      </c>
      <c r="D4101" t="s">
        <v>4</v>
      </c>
      <c r="E4101">
        <v>41</v>
      </c>
    </row>
    <row r="4102" spans="1:5" x14ac:dyDescent="0.25">
      <c r="A4102">
        <v>4101</v>
      </c>
      <c r="B4102">
        <v>5518298</v>
      </c>
      <c r="C4102" s="1" t="str">
        <f>HYPERLINK("http://stackoverflow.com/users/5518298", "Sun Yifei")</f>
        <v>Sun Yifei</v>
      </c>
      <c r="D4102" t="s">
        <v>5</v>
      </c>
      <c r="E4102">
        <v>41</v>
      </c>
    </row>
    <row r="4103" spans="1:5" x14ac:dyDescent="0.25">
      <c r="A4103">
        <v>4102</v>
      </c>
      <c r="B4103">
        <v>3595940</v>
      </c>
      <c r="C4103" s="1" t="str">
        <f>HYPERLINK("http://stackoverflow.com/users/3595940", "Sailor")</f>
        <v>Sailor</v>
      </c>
      <c r="D4103" t="s">
        <v>54</v>
      </c>
      <c r="E4103">
        <v>41</v>
      </c>
    </row>
    <row r="4104" spans="1:5" x14ac:dyDescent="0.25">
      <c r="A4104">
        <v>4103</v>
      </c>
      <c r="B4104">
        <v>3847915</v>
      </c>
      <c r="C4104" s="1" t="str">
        <f>HYPERLINK("http://stackoverflow.com/users/3847915", "Riff J")</f>
        <v>Riff J</v>
      </c>
      <c r="D4104" t="s">
        <v>5</v>
      </c>
      <c r="E4104">
        <v>41</v>
      </c>
    </row>
    <row r="4105" spans="1:5" x14ac:dyDescent="0.25">
      <c r="A4105">
        <v>4104</v>
      </c>
      <c r="B4105">
        <v>5703582</v>
      </c>
      <c r="C4105" s="1" t="str">
        <f>HYPERLINK("http://stackoverflow.com/users/5703582", "ogtc890215")</f>
        <v>ogtc890215</v>
      </c>
      <c r="D4105" t="s">
        <v>48</v>
      </c>
      <c r="E4105">
        <v>41</v>
      </c>
    </row>
    <row r="4106" spans="1:5" x14ac:dyDescent="0.25">
      <c r="A4106">
        <v>4105</v>
      </c>
      <c r="B4106">
        <v>4037238</v>
      </c>
      <c r="C4106" s="1" t="str">
        <f>HYPERLINK("http://stackoverflow.com/users/4037238", "董嘉伟")</f>
        <v>董嘉伟</v>
      </c>
      <c r="D4106" t="s">
        <v>12</v>
      </c>
      <c r="E4106">
        <v>41</v>
      </c>
    </row>
    <row r="4107" spans="1:5" x14ac:dyDescent="0.25">
      <c r="A4107">
        <v>4106</v>
      </c>
      <c r="B4107">
        <v>4007149</v>
      </c>
      <c r="C4107" s="1" t="str">
        <f>HYPERLINK("http://stackoverflow.com/users/4007149", "ZQ Hu")</f>
        <v>ZQ Hu</v>
      </c>
      <c r="D4107" t="s">
        <v>4</v>
      </c>
      <c r="E4107">
        <v>41</v>
      </c>
    </row>
    <row r="4108" spans="1:5" x14ac:dyDescent="0.25">
      <c r="A4108">
        <v>4107</v>
      </c>
      <c r="B4108">
        <v>2415958</v>
      </c>
      <c r="C4108" s="1" t="str">
        <f>HYPERLINK("http://stackoverflow.com/users/2415958", "Wanqiang Ji")</f>
        <v>Wanqiang Ji</v>
      </c>
      <c r="D4108" t="s">
        <v>5</v>
      </c>
      <c r="E4108">
        <v>41</v>
      </c>
    </row>
    <row r="4109" spans="1:5" x14ac:dyDescent="0.25">
      <c r="A4109">
        <v>4108</v>
      </c>
      <c r="B4109">
        <v>3347313</v>
      </c>
      <c r="C4109" s="1" t="str">
        <f>HYPERLINK("http://stackoverflow.com/users/3347313", "VitleysingurQ")</f>
        <v>VitleysingurQ</v>
      </c>
      <c r="D4109" t="s">
        <v>12</v>
      </c>
      <c r="E4109">
        <v>41</v>
      </c>
    </row>
    <row r="4110" spans="1:5" x14ac:dyDescent="0.25">
      <c r="A4110">
        <v>4109</v>
      </c>
      <c r="B4110">
        <v>10421159</v>
      </c>
      <c r="C4110" s="1" t="str">
        <f>HYPERLINK("http://stackoverflow.com/users/10421159", "Jin Lin")</f>
        <v>Jin Lin</v>
      </c>
      <c r="D4110" t="s">
        <v>33</v>
      </c>
      <c r="E4110">
        <v>41</v>
      </c>
    </row>
    <row r="4111" spans="1:5" x14ac:dyDescent="0.25">
      <c r="A4111">
        <v>4110</v>
      </c>
      <c r="B4111">
        <v>4856462</v>
      </c>
      <c r="C4111" s="1" t="str">
        <f>HYPERLINK("http://stackoverflow.com/users/4856462", "Hicto")</f>
        <v>Hicto</v>
      </c>
      <c r="D4111" t="s">
        <v>4</v>
      </c>
      <c r="E4111">
        <v>41</v>
      </c>
    </row>
    <row r="4112" spans="1:5" x14ac:dyDescent="0.25">
      <c r="A4112">
        <v>4111</v>
      </c>
      <c r="B4112">
        <v>4830755</v>
      </c>
      <c r="C4112" s="1" t="str">
        <f>HYPERLINK("http://stackoverflow.com/users/4830755", "Fank Zhou")</f>
        <v>Fank Zhou</v>
      </c>
      <c r="D4112" t="s">
        <v>12</v>
      </c>
      <c r="E4112">
        <v>41</v>
      </c>
    </row>
    <row r="4113" spans="1:5" x14ac:dyDescent="0.25">
      <c r="A4113">
        <v>4112</v>
      </c>
      <c r="B4113">
        <v>3055966</v>
      </c>
      <c r="C4113" s="1" t="str">
        <f>HYPERLINK("http://stackoverflow.com/users/3055966", "R.Liu")</f>
        <v>R.Liu</v>
      </c>
      <c r="D4113" t="s">
        <v>22</v>
      </c>
      <c r="E4113">
        <v>41</v>
      </c>
    </row>
    <row r="4114" spans="1:5" x14ac:dyDescent="0.25">
      <c r="A4114">
        <v>4113</v>
      </c>
      <c r="B4114">
        <v>1295022</v>
      </c>
      <c r="C4114" s="1" t="str">
        <f>HYPERLINK("http://stackoverflow.com/users/1295022", "neildd")</f>
        <v>neildd</v>
      </c>
      <c r="D4114" t="s">
        <v>4</v>
      </c>
      <c r="E4114">
        <v>41</v>
      </c>
    </row>
    <row r="4115" spans="1:5" x14ac:dyDescent="0.25">
      <c r="A4115">
        <v>4114</v>
      </c>
      <c r="B4115">
        <v>3193125</v>
      </c>
      <c r="C4115" s="1" t="str">
        <f>HYPERLINK("http://stackoverflow.com/users/3193125", "game boy beyond")</f>
        <v>game boy beyond</v>
      </c>
      <c r="D4115" t="s">
        <v>4</v>
      </c>
      <c r="E4115">
        <v>41</v>
      </c>
    </row>
    <row r="4116" spans="1:5" x14ac:dyDescent="0.25">
      <c r="A4116">
        <v>4115</v>
      </c>
      <c r="B4116">
        <v>4960167</v>
      </c>
      <c r="C4116" s="1" t="str">
        <f>HYPERLINK("http://stackoverflow.com/users/4960167", "wolfwang1989")</f>
        <v>wolfwang1989</v>
      </c>
      <c r="D4116" t="s">
        <v>4</v>
      </c>
      <c r="E4116">
        <v>41</v>
      </c>
    </row>
    <row r="4117" spans="1:5" x14ac:dyDescent="0.25">
      <c r="A4117">
        <v>4116</v>
      </c>
      <c r="B4117">
        <v>672510</v>
      </c>
      <c r="C4117" s="1" t="str">
        <f>HYPERLINK("http://stackoverflow.com/users/672510", "Gavin")</f>
        <v>Gavin</v>
      </c>
      <c r="D4117" t="s">
        <v>54</v>
      </c>
      <c r="E4117">
        <v>41</v>
      </c>
    </row>
    <row r="4118" spans="1:5" x14ac:dyDescent="0.25">
      <c r="A4118">
        <v>4117</v>
      </c>
      <c r="B4118">
        <v>672523</v>
      </c>
      <c r="C4118" s="1" t="str">
        <f>HYPERLINK("http://stackoverflow.com/users/672523", "LoveBigPizza")</f>
        <v>LoveBigPizza</v>
      </c>
      <c r="D4118" t="s">
        <v>4</v>
      </c>
      <c r="E4118">
        <v>41</v>
      </c>
    </row>
    <row r="4119" spans="1:5" x14ac:dyDescent="0.25">
      <c r="A4119">
        <v>4118</v>
      </c>
      <c r="B4119">
        <v>744492</v>
      </c>
      <c r="C4119" s="1" t="str">
        <f>HYPERLINK("http://stackoverflow.com/users/744492", "huangchao")</f>
        <v>huangchao</v>
      </c>
      <c r="D4119" t="s">
        <v>54</v>
      </c>
      <c r="E4119">
        <v>41</v>
      </c>
    </row>
    <row r="4120" spans="1:5" x14ac:dyDescent="0.25">
      <c r="A4120">
        <v>4119</v>
      </c>
      <c r="B4120">
        <v>615837</v>
      </c>
      <c r="C4120" s="1" t="str">
        <f>HYPERLINK("http://stackoverflow.com/users/615837", "Escaton")</f>
        <v>Escaton</v>
      </c>
      <c r="D4120" t="s">
        <v>5</v>
      </c>
      <c r="E4120">
        <v>41</v>
      </c>
    </row>
    <row r="4121" spans="1:5" x14ac:dyDescent="0.25">
      <c r="A4121">
        <v>4120</v>
      </c>
      <c r="B4121">
        <v>576459</v>
      </c>
      <c r="C4121" s="1" t="str">
        <f>HYPERLINK("http://stackoverflow.com/users/576459", "tinny_bug")</f>
        <v>tinny_bug</v>
      </c>
      <c r="D4121" t="s">
        <v>62</v>
      </c>
      <c r="E4121">
        <v>41</v>
      </c>
    </row>
    <row r="4122" spans="1:5" x14ac:dyDescent="0.25">
      <c r="A4122">
        <v>4121</v>
      </c>
      <c r="B4122">
        <v>545567</v>
      </c>
      <c r="C4122" s="1" t="str">
        <f>HYPERLINK("http://stackoverflow.com/users/545567", "Bingnan")</f>
        <v>Bingnan</v>
      </c>
      <c r="D4122" t="s">
        <v>5</v>
      </c>
      <c r="E4122">
        <v>41</v>
      </c>
    </row>
    <row r="4123" spans="1:5" x14ac:dyDescent="0.25">
      <c r="A4123">
        <v>4122</v>
      </c>
      <c r="B4123">
        <v>4368727</v>
      </c>
      <c r="C4123" s="1" t="str">
        <f>HYPERLINK("http://stackoverflow.com/users/4368727", "colynn liu")</f>
        <v>colynn liu</v>
      </c>
      <c r="D4123" t="s">
        <v>4</v>
      </c>
      <c r="E4123">
        <v>41</v>
      </c>
    </row>
    <row r="4124" spans="1:5" x14ac:dyDescent="0.25">
      <c r="A4124">
        <v>4123</v>
      </c>
      <c r="B4124">
        <v>6103540</v>
      </c>
      <c r="C4124" s="1" t="str">
        <f>HYPERLINK("http://stackoverflow.com/users/6103540", "Ronnie Hwang")</f>
        <v>Ronnie Hwang</v>
      </c>
      <c r="D4124" t="s">
        <v>5</v>
      </c>
      <c r="E4124">
        <v>41</v>
      </c>
    </row>
    <row r="4125" spans="1:5" x14ac:dyDescent="0.25">
      <c r="A4125">
        <v>4124</v>
      </c>
      <c r="B4125">
        <v>214341</v>
      </c>
      <c r="C4125" s="1" t="str">
        <f>HYPERLINK("http://stackoverflow.com/users/214341", "Hash")</f>
        <v>Hash</v>
      </c>
      <c r="D4125" t="s">
        <v>5</v>
      </c>
      <c r="E4125">
        <v>41</v>
      </c>
    </row>
    <row r="4126" spans="1:5" x14ac:dyDescent="0.25">
      <c r="A4126">
        <v>4125</v>
      </c>
      <c r="B4126">
        <v>2693983</v>
      </c>
      <c r="C4126" s="1" t="str">
        <f>HYPERLINK("http://stackoverflow.com/users/2693983", "Xzen")</f>
        <v>Xzen</v>
      </c>
      <c r="D4126" t="s">
        <v>5</v>
      </c>
      <c r="E4126">
        <v>41</v>
      </c>
    </row>
    <row r="4127" spans="1:5" x14ac:dyDescent="0.25">
      <c r="A4127">
        <v>4126</v>
      </c>
      <c r="B4127">
        <v>2667271</v>
      </c>
      <c r="C4127" s="1" t="str">
        <f>HYPERLINK("http://stackoverflow.com/users/2667271", "galaxyeye")</f>
        <v>galaxyeye</v>
      </c>
      <c r="D4127" t="s">
        <v>4</v>
      </c>
      <c r="E4127">
        <v>41</v>
      </c>
    </row>
    <row r="4128" spans="1:5" x14ac:dyDescent="0.25">
      <c r="A4128">
        <v>4127</v>
      </c>
      <c r="B4128">
        <v>7960721</v>
      </c>
      <c r="C4128" s="1" t="str">
        <f>HYPERLINK("http://stackoverflow.com/users/7960721", "西安有佳人")</f>
        <v>西安有佳人</v>
      </c>
      <c r="D4128" t="s">
        <v>260</v>
      </c>
      <c r="E4128">
        <v>41</v>
      </c>
    </row>
    <row r="4129" spans="1:5" x14ac:dyDescent="0.25">
      <c r="A4129">
        <v>4128</v>
      </c>
      <c r="B4129">
        <v>8787975</v>
      </c>
      <c r="C4129" s="1" t="str">
        <f>HYPERLINK("http://stackoverflow.com/users/8787975", "Liao Z T")</f>
        <v>Liao Z T</v>
      </c>
      <c r="D4129" t="s">
        <v>29</v>
      </c>
      <c r="E4129">
        <v>41</v>
      </c>
    </row>
    <row r="4130" spans="1:5" x14ac:dyDescent="0.25">
      <c r="A4130">
        <v>4129</v>
      </c>
      <c r="B4130">
        <v>1462595</v>
      </c>
      <c r="C4130" s="1" t="str">
        <f>HYPERLINK("http://stackoverflow.com/users/1462595", "moyang")</f>
        <v>moyang</v>
      </c>
      <c r="D4130" t="s">
        <v>5</v>
      </c>
      <c r="E4130">
        <v>41</v>
      </c>
    </row>
    <row r="4131" spans="1:5" x14ac:dyDescent="0.25">
      <c r="A4131">
        <v>4130</v>
      </c>
      <c r="B4131">
        <v>1420802</v>
      </c>
      <c r="C4131" s="1" t="str">
        <f>HYPERLINK("http://stackoverflow.com/users/1420802", "Ivan Lee")</f>
        <v>Ivan Lee</v>
      </c>
      <c r="D4131" t="s">
        <v>5</v>
      </c>
      <c r="E4131">
        <v>41</v>
      </c>
    </row>
    <row r="4132" spans="1:5" x14ac:dyDescent="0.25">
      <c r="A4132">
        <v>4131</v>
      </c>
      <c r="B4132">
        <v>3192759</v>
      </c>
      <c r="C4132" s="1" t="str">
        <f>HYPERLINK("http://stackoverflow.com/users/3192759", "Tai Zhang")</f>
        <v>Tai Zhang</v>
      </c>
      <c r="D4132" t="s">
        <v>21</v>
      </c>
      <c r="E4132">
        <v>41</v>
      </c>
    </row>
    <row r="4133" spans="1:5" x14ac:dyDescent="0.25">
      <c r="A4133">
        <v>4132</v>
      </c>
      <c r="B4133">
        <v>3138292</v>
      </c>
      <c r="C4133" s="1" t="str">
        <f>HYPERLINK("http://stackoverflow.com/users/3138292", "Kaifei")</f>
        <v>Kaifei</v>
      </c>
      <c r="D4133" t="s">
        <v>5</v>
      </c>
      <c r="E4133">
        <v>41</v>
      </c>
    </row>
    <row r="4134" spans="1:5" x14ac:dyDescent="0.25">
      <c r="A4134">
        <v>4133</v>
      </c>
      <c r="B4134">
        <v>3845242</v>
      </c>
      <c r="C4134" s="1" t="str">
        <f>HYPERLINK("http://stackoverflow.com/users/3845242", "rwecho")</f>
        <v>rwecho</v>
      </c>
      <c r="D4134" t="s">
        <v>63</v>
      </c>
      <c r="E4134">
        <v>41</v>
      </c>
    </row>
    <row r="4135" spans="1:5" x14ac:dyDescent="0.25">
      <c r="A4135">
        <v>4134</v>
      </c>
      <c r="B4135">
        <v>4057604</v>
      </c>
      <c r="C4135" s="1" t="str">
        <f>HYPERLINK("http://stackoverflow.com/users/4057604", "LuoWei")</f>
        <v>LuoWei</v>
      </c>
      <c r="D4135" t="s">
        <v>4</v>
      </c>
      <c r="E4135">
        <v>41</v>
      </c>
    </row>
    <row r="4136" spans="1:5" x14ac:dyDescent="0.25">
      <c r="A4136">
        <v>4135</v>
      </c>
      <c r="B4136">
        <v>5813493</v>
      </c>
      <c r="C4136" s="1" t="str">
        <f>HYPERLINK("http://stackoverflow.com/users/5813493", "HarrisHan")</f>
        <v>HarrisHan</v>
      </c>
      <c r="D4136" t="s">
        <v>5</v>
      </c>
      <c r="E4136">
        <v>40</v>
      </c>
    </row>
    <row r="4137" spans="1:5" x14ac:dyDescent="0.25">
      <c r="A4137">
        <v>4136</v>
      </c>
      <c r="B4137">
        <v>5477928</v>
      </c>
      <c r="C4137" s="1" t="str">
        <f>HYPERLINK("http://stackoverflow.com/users/5477928", "Jess")</f>
        <v>Jess</v>
      </c>
      <c r="D4137" t="s">
        <v>5</v>
      </c>
      <c r="E4137">
        <v>40</v>
      </c>
    </row>
    <row r="4138" spans="1:5" x14ac:dyDescent="0.25">
      <c r="A4138">
        <v>4137</v>
      </c>
      <c r="B4138">
        <v>1661661</v>
      </c>
      <c r="C4138" s="1" t="str">
        <f>HYPERLINK("http://stackoverflow.com/users/1661661", "whitetrefoil")</f>
        <v>whitetrefoil</v>
      </c>
      <c r="D4138" t="s">
        <v>4</v>
      </c>
      <c r="E4138">
        <v>40</v>
      </c>
    </row>
    <row r="4139" spans="1:5" x14ac:dyDescent="0.25">
      <c r="A4139">
        <v>4138</v>
      </c>
      <c r="B4139">
        <v>8107564</v>
      </c>
      <c r="C4139" s="1" t="str">
        <f>HYPERLINK("http://stackoverflow.com/users/8107564", "pigusan")</f>
        <v>pigusan</v>
      </c>
      <c r="D4139" t="s">
        <v>5</v>
      </c>
      <c r="E4139">
        <v>40</v>
      </c>
    </row>
    <row r="4140" spans="1:5" x14ac:dyDescent="0.25">
      <c r="A4140">
        <v>4139</v>
      </c>
      <c r="B4140">
        <v>888889</v>
      </c>
      <c r="C4140" s="1" t="str">
        <f>HYPERLINK("http://stackoverflow.com/users/888889", "lin zheng")</f>
        <v>lin zheng</v>
      </c>
      <c r="D4140" t="s">
        <v>5</v>
      </c>
      <c r="E4140">
        <v>40</v>
      </c>
    </row>
    <row r="4141" spans="1:5" x14ac:dyDescent="0.25">
      <c r="A4141">
        <v>4140</v>
      </c>
      <c r="B4141">
        <v>341972</v>
      </c>
      <c r="C4141" s="1" t="str">
        <f>HYPERLINK("http://stackoverflow.com/users/341972", "luckydeng")</f>
        <v>luckydeng</v>
      </c>
      <c r="D4141" t="s">
        <v>97</v>
      </c>
      <c r="E4141">
        <v>40</v>
      </c>
    </row>
    <row r="4142" spans="1:5" x14ac:dyDescent="0.25">
      <c r="A4142">
        <v>4141</v>
      </c>
      <c r="B4142">
        <v>2011280</v>
      </c>
      <c r="C4142" s="1" t="str">
        <f>HYPERLINK("http://stackoverflow.com/users/2011280", "Zgoo")</f>
        <v>Zgoo</v>
      </c>
      <c r="D4142" t="s">
        <v>5</v>
      </c>
      <c r="E4142">
        <v>40</v>
      </c>
    </row>
    <row r="4143" spans="1:5" x14ac:dyDescent="0.25">
      <c r="A4143">
        <v>4142</v>
      </c>
      <c r="B4143">
        <v>5320704</v>
      </c>
      <c r="C4143" s="1" t="str">
        <f>HYPERLINK("http://stackoverflow.com/users/5320704", "Zhi Yuan")</f>
        <v>Zhi Yuan</v>
      </c>
      <c r="D4143" t="s">
        <v>16</v>
      </c>
      <c r="E4143">
        <v>40</v>
      </c>
    </row>
    <row r="4144" spans="1:5" x14ac:dyDescent="0.25">
      <c r="A4144">
        <v>4143</v>
      </c>
      <c r="B4144">
        <v>5793199</v>
      </c>
      <c r="C4144" s="1" t="str">
        <f>HYPERLINK("http://stackoverflow.com/users/5793199", "anders")</f>
        <v>anders</v>
      </c>
      <c r="D4144" t="s">
        <v>37</v>
      </c>
      <c r="E4144">
        <v>40</v>
      </c>
    </row>
    <row r="4145" spans="1:5" x14ac:dyDescent="0.25">
      <c r="A4145">
        <v>4144</v>
      </c>
      <c r="B4145">
        <v>2207416</v>
      </c>
      <c r="C4145" s="1" t="str">
        <f>HYPERLINK("http://stackoverflow.com/users/2207416", "Alfred")</f>
        <v>Alfred</v>
      </c>
      <c r="D4145" t="s">
        <v>4</v>
      </c>
      <c r="E4145">
        <v>40</v>
      </c>
    </row>
    <row r="4146" spans="1:5" x14ac:dyDescent="0.25">
      <c r="A4146">
        <v>4145</v>
      </c>
      <c r="B4146">
        <v>5524641</v>
      </c>
      <c r="C4146" s="1" t="str">
        <f>HYPERLINK("http://stackoverflow.com/users/5524641", "Marc Steven")</f>
        <v>Marc Steven</v>
      </c>
      <c r="D4146" t="s">
        <v>261</v>
      </c>
      <c r="E4146">
        <v>40</v>
      </c>
    </row>
    <row r="4147" spans="1:5" x14ac:dyDescent="0.25">
      <c r="A4147">
        <v>4146</v>
      </c>
      <c r="B4147">
        <v>3211423</v>
      </c>
      <c r="C4147" s="1" t="str">
        <f>HYPERLINK("http://stackoverflow.com/users/3211423", "BruceWang")</f>
        <v>BruceWang</v>
      </c>
      <c r="D4147" t="s">
        <v>12</v>
      </c>
      <c r="E4147">
        <v>40</v>
      </c>
    </row>
    <row r="4148" spans="1:5" x14ac:dyDescent="0.25">
      <c r="A4148">
        <v>4147</v>
      </c>
      <c r="B4148">
        <v>9988683</v>
      </c>
      <c r="C4148" s="1" t="str">
        <f>HYPERLINK("http://stackoverflow.com/users/9988683", "Chen Huang")</f>
        <v>Chen Huang</v>
      </c>
      <c r="D4148" t="s">
        <v>5</v>
      </c>
      <c r="E4148">
        <v>40</v>
      </c>
    </row>
    <row r="4149" spans="1:5" x14ac:dyDescent="0.25">
      <c r="A4149">
        <v>4148</v>
      </c>
      <c r="B4149">
        <v>797279</v>
      </c>
      <c r="C4149" s="1" t="str">
        <f>HYPERLINK("http://stackoverflow.com/users/797279", "Eileen")</f>
        <v>Eileen</v>
      </c>
      <c r="D4149" t="s">
        <v>62</v>
      </c>
      <c r="E4149">
        <v>39</v>
      </c>
    </row>
    <row r="4150" spans="1:5" x14ac:dyDescent="0.25">
      <c r="A4150">
        <v>4149</v>
      </c>
      <c r="B4150">
        <v>2857830</v>
      </c>
      <c r="C4150" s="1" t="str">
        <f>HYPERLINK("http://stackoverflow.com/users/2857830", "Duke")</f>
        <v>Duke</v>
      </c>
      <c r="D4150" t="s">
        <v>5</v>
      </c>
      <c r="E4150">
        <v>39</v>
      </c>
    </row>
    <row r="4151" spans="1:5" x14ac:dyDescent="0.25">
      <c r="A4151">
        <v>4150</v>
      </c>
      <c r="B4151">
        <v>921124</v>
      </c>
      <c r="C4151" s="1" t="str">
        <f>HYPERLINK("http://stackoverflow.com/users/921124", "wiseideal")</f>
        <v>wiseideal</v>
      </c>
      <c r="D4151" t="s">
        <v>8</v>
      </c>
      <c r="E4151">
        <v>39</v>
      </c>
    </row>
    <row r="4152" spans="1:5" x14ac:dyDescent="0.25">
      <c r="A4152">
        <v>4151</v>
      </c>
      <c r="B4152">
        <v>3180752</v>
      </c>
      <c r="C4152" s="1" t="str">
        <f>HYPERLINK("http://stackoverflow.com/users/3180752", "Haomin Zeng")</f>
        <v>Haomin Zeng</v>
      </c>
      <c r="D4152" t="s">
        <v>22</v>
      </c>
      <c r="E4152">
        <v>39</v>
      </c>
    </row>
    <row r="4153" spans="1:5" x14ac:dyDescent="0.25">
      <c r="A4153">
        <v>4152</v>
      </c>
      <c r="B4153">
        <v>5358217</v>
      </c>
      <c r="C4153" s="1" t="str">
        <f>HYPERLINK("http://stackoverflow.com/users/5358217", "hudongsong")</f>
        <v>hudongsong</v>
      </c>
      <c r="D4153" t="s">
        <v>38</v>
      </c>
      <c r="E4153">
        <v>39</v>
      </c>
    </row>
    <row r="4154" spans="1:5" x14ac:dyDescent="0.25">
      <c r="A4154">
        <v>4153</v>
      </c>
      <c r="B4154">
        <v>9586403</v>
      </c>
      <c r="C4154" s="1" t="str">
        <f>HYPERLINK("http://stackoverflow.com/users/9586403", "Dedicated User")</f>
        <v>Dedicated User</v>
      </c>
      <c r="D4154" t="s">
        <v>168</v>
      </c>
      <c r="E4154">
        <v>39</v>
      </c>
    </row>
    <row r="4155" spans="1:5" x14ac:dyDescent="0.25">
      <c r="A4155">
        <v>4154</v>
      </c>
      <c r="B4155">
        <v>6940845</v>
      </c>
      <c r="C4155" s="1" t="str">
        <f>HYPERLINK("http://stackoverflow.com/users/6940845", "jules3c")</f>
        <v>jules3c</v>
      </c>
      <c r="D4155" t="s">
        <v>21</v>
      </c>
      <c r="E4155">
        <v>39</v>
      </c>
    </row>
    <row r="4156" spans="1:5" x14ac:dyDescent="0.25">
      <c r="A4156">
        <v>4155</v>
      </c>
      <c r="B4156">
        <v>3409575</v>
      </c>
      <c r="C4156" s="1" t="str">
        <f>HYPERLINK("http://stackoverflow.com/users/3409575", "Samuel")</f>
        <v>Samuel</v>
      </c>
      <c r="D4156" t="s">
        <v>5</v>
      </c>
      <c r="E4156">
        <v>39</v>
      </c>
    </row>
    <row r="4157" spans="1:5" x14ac:dyDescent="0.25">
      <c r="A4157">
        <v>4156</v>
      </c>
      <c r="B4157">
        <v>4976430</v>
      </c>
      <c r="C4157" s="1" t="str">
        <f>HYPERLINK("http://stackoverflow.com/users/4976430", "Andy Xiao")</f>
        <v>Andy Xiao</v>
      </c>
      <c r="D4157" t="s">
        <v>7</v>
      </c>
      <c r="E4157">
        <v>39</v>
      </c>
    </row>
    <row r="4158" spans="1:5" x14ac:dyDescent="0.25">
      <c r="A4158">
        <v>4157</v>
      </c>
      <c r="B4158">
        <v>6728748</v>
      </c>
      <c r="C4158" s="1" t="str">
        <f>HYPERLINK("http://stackoverflow.com/users/6728748", "Shangwei Yin")</f>
        <v>Shangwei Yin</v>
      </c>
      <c r="D4158" t="s">
        <v>52</v>
      </c>
      <c r="E4158">
        <v>39</v>
      </c>
    </row>
    <row r="4159" spans="1:5" x14ac:dyDescent="0.25">
      <c r="A4159">
        <v>4158</v>
      </c>
      <c r="B4159">
        <v>6217567</v>
      </c>
      <c r="C4159" s="1" t="str">
        <f>HYPERLINK("http://stackoverflow.com/users/6217567", "dingcurie")</f>
        <v>dingcurie</v>
      </c>
      <c r="D4159" t="s">
        <v>11</v>
      </c>
      <c r="E4159">
        <v>39</v>
      </c>
    </row>
    <row r="4160" spans="1:5" x14ac:dyDescent="0.25">
      <c r="A4160">
        <v>4159</v>
      </c>
      <c r="B4160">
        <v>2432583</v>
      </c>
      <c r="C4160" s="1" t="str">
        <f>HYPERLINK("http://stackoverflow.com/users/2432583", "BlackLaw")</f>
        <v>BlackLaw</v>
      </c>
      <c r="D4160" t="s">
        <v>8</v>
      </c>
      <c r="E4160">
        <v>39</v>
      </c>
    </row>
    <row r="4161" spans="1:5" x14ac:dyDescent="0.25">
      <c r="A4161">
        <v>4160</v>
      </c>
      <c r="B4161">
        <v>4761945</v>
      </c>
      <c r="C4161" s="1" t="str">
        <f>HYPERLINK("http://stackoverflow.com/users/4761945", "WangYao")</f>
        <v>WangYao</v>
      </c>
      <c r="D4161" t="s">
        <v>54</v>
      </c>
      <c r="E4161">
        <v>39</v>
      </c>
    </row>
    <row r="4162" spans="1:5" x14ac:dyDescent="0.25">
      <c r="A4162">
        <v>4161</v>
      </c>
      <c r="B4162">
        <v>9486303</v>
      </c>
      <c r="C4162" s="1" t="str">
        <f>HYPERLINK("http://stackoverflow.com/users/9486303", "Sam")</f>
        <v>Sam</v>
      </c>
      <c r="D4162" t="s">
        <v>21</v>
      </c>
      <c r="E4162">
        <v>39</v>
      </c>
    </row>
    <row r="4163" spans="1:5" x14ac:dyDescent="0.25">
      <c r="A4163">
        <v>4162</v>
      </c>
      <c r="B4163">
        <v>2353971</v>
      </c>
      <c r="C4163" s="1" t="str">
        <f>HYPERLINK("http://stackoverflow.com/users/2353971", "Dectinc")</f>
        <v>Dectinc</v>
      </c>
      <c r="D4163" t="s">
        <v>5</v>
      </c>
      <c r="E4163">
        <v>39</v>
      </c>
    </row>
    <row r="4164" spans="1:5" x14ac:dyDescent="0.25">
      <c r="A4164">
        <v>4163</v>
      </c>
      <c r="B4164">
        <v>10523808</v>
      </c>
      <c r="C4164" s="1" t="str">
        <f>HYPERLINK("http://stackoverflow.com/users/10523808", "Leo_Liu_MJ")</f>
        <v>Leo_Liu_MJ</v>
      </c>
      <c r="D4164" t="s">
        <v>4</v>
      </c>
      <c r="E4164">
        <v>39</v>
      </c>
    </row>
    <row r="4165" spans="1:5" x14ac:dyDescent="0.25">
      <c r="A4165">
        <v>4164</v>
      </c>
      <c r="B4165">
        <v>5352634</v>
      </c>
      <c r="C4165" s="1" t="str">
        <f>HYPERLINK("http://stackoverflow.com/users/5352634", "ZeeBm Chan")</f>
        <v>ZeeBm Chan</v>
      </c>
      <c r="D4165" t="s">
        <v>47</v>
      </c>
      <c r="E4165">
        <v>39</v>
      </c>
    </row>
    <row r="4166" spans="1:5" x14ac:dyDescent="0.25">
      <c r="A4166">
        <v>4165</v>
      </c>
      <c r="B4166">
        <v>1066668</v>
      </c>
      <c r="C4166" s="1" t="str">
        <f>HYPERLINK("http://stackoverflow.com/users/1066668", "greenmoon55")</f>
        <v>greenmoon55</v>
      </c>
      <c r="D4166" t="s">
        <v>4</v>
      </c>
      <c r="E4166">
        <v>39</v>
      </c>
    </row>
    <row r="4167" spans="1:5" x14ac:dyDescent="0.25">
      <c r="A4167">
        <v>4166</v>
      </c>
      <c r="B4167">
        <v>7295359</v>
      </c>
      <c r="C4167" s="1" t="str">
        <f>HYPERLINK("http://stackoverflow.com/users/7295359", "seems")</f>
        <v>seems</v>
      </c>
      <c r="D4167" t="s">
        <v>262</v>
      </c>
      <c r="E4167">
        <v>39</v>
      </c>
    </row>
    <row r="4168" spans="1:5" x14ac:dyDescent="0.25">
      <c r="A4168">
        <v>4167</v>
      </c>
      <c r="B4168">
        <v>776329</v>
      </c>
      <c r="C4168" s="1" t="str">
        <f>HYPERLINK("http://stackoverflow.com/users/776329", "sunnycomes")</f>
        <v>sunnycomes</v>
      </c>
      <c r="D4168" t="s">
        <v>12</v>
      </c>
      <c r="E4168">
        <v>39</v>
      </c>
    </row>
    <row r="4169" spans="1:5" x14ac:dyDescent="0.25">
      <c r="A4169">
        <v>4168</v>
      </c>
      <c r="B4169">
        <v>222826</v>
      </c>
      <c r="C4169" s="1" t="str">
        <f>HYPERLINK("http://stackoverflow.com/users/222826", "madcat")</f>
        <v>madcat</v>
      </c>
      <c r="D4169" t="s">
        <v>4</v>
      </c>
      <c r="E4169">
        <v>39</v>
      </c>
    </row>
    <row r="4170" spans="1:5" x14ac:dyDescent="0.25">
      <c r="A4170">
        <v>4169</v>
      </c>
      <c r="B4170">
        <v>3551856</v>
      </c>
      <c r="C4170" s="1" t="str">
        <f>HYPERLINK("http://stackoverflow.com/users/3551856", "night1008")</f>
        <v>night1008</v>
      </c>
      <c r="D4170" t="s">
        <v>15</v>
      </c>
      <c r="E4170">
        <v>39</v>
      </c>
    </row>
    <row r="4171" spans="1:5" x14ac:dyDescent="0.25">
      <c r="A4171">
        <v>4170</v>
      </c>
      <c r="B4171">
        <v>5059537</v>
      </c>
      <c r="C4171" s="1" t="str">
        <f>HYPERLINK("http://stackoverflow.com/users/5059537", "hash-X")</f>
        <v>hash-X</v>
      </c>
      <c r="D4171" t="s">
        <v>4</v>
      </c>
      <c r="E4171">
        <v>39</v>
      </c>
    </row>
    <row r="4172" spans="1:5" x14ac:dyDescent="0.25">
      <c r="A4172">
        <v>4171</v>
      </c>
      <c r="B4172">
        <v>6785844</v>
      </c>
      <c r="C4172" s="1" t="str">
        <f>HYPERLINK("http://stackoverflow.com/users/6785844", "JiaLun Li")</f>
        <v>JiaLun Li</v>
      </c>
      <c r="D4172" t="s">
        <v>4</v>
      </c>
      <c r="E4172">
        <v>39</v>
      </c>
    </row>
    <row r="4173" spans="1:5" x14ac:dyDescent="0.25">
      <c r="A4173">
        <v>4172</v>
      </c>
      <c r="B4173">
        <v>1254115</v>
      </c>
      <c r="C4173" s="1" t="str">
        <f>HYPERLINK("http://stackoverflow.com/users/1254115", "panda")</f>
        <v>panda</v>
      </c>
      <c r="D4173" t="s">
        <v>12</v>
      </c>
      <c r="E4173">
        <v>39</v>
      </c>
    </row>
    <row r="4174" spans="1:5" x14ac:dyDescent="0.25">
      <c r="A4174">
        <v>4173</v>
      </c>
      <c r="B4174">
        <v>7323587</v>
      </c>
      <c r="C4174" s="1" t="str">
        <f>HYPERLINK("http://stackoverflow.com/users/7323587", "JordanZT")</f>
        <v>JordanZT</v>
      </c>
      <c r="D4174" t="s">
        <v>5</v>
      </c>
      <c r="E4174">
        <v>39</v>
      </c>
    </row>
    <row r="4175" spans="1:5" x14ac:dyDescent="0.25">
      <c r="A4175">
        <v>4174</v>
      </c>
      <c r="B4175">
        <v>3800229</v>
      </c>
      <c r="C4175" s="1" t="str">
        <f>HYPERLINK("http://stackoverflow.com/users/3800229", "glishijie")</f>
        <v>glishijie</v>
      </c>
      <c r="D4175" t="s">
        <v>5</v>
      </c>
      <c r="E4175">
        <v>39</v>
      </c>
    </row>
    <row r="4176" spans="1:5" x14ac:dyDescent="0.25">
      <c r="A4176">
        <v>4175</v>
      </c>
      <c r="B4176">
        <v>2845994</v>
      </c>
      <c r="C4176" s="1" t="str">
        <f>HYPERLINK("http://stackoverflow.com/users/2845994", "Martin T Y Ho")</f>
        <v>Martin T Y Ho</v>
      </c>
      <c r="D4176" t="s">
        <v>21</v>
      </c>
      <c r="E4176">
        <v>39</v>
      </c>
    </row>
    <row r="4177" spans="1:5" x14ac:dyDescent="0.25">
      <c r="A4177">
        <v>4176</v>
      </c>
      <c r="B4177">
        <v>1134508</v>
      </c>
      <c r="C4177" s="1" t="str">
        <f>HYPERLINK("http://stackoverflow.com/users/1134508", "Leo Bi")</f>
        <v>Leo Bi</v>
      </c>
      <c r="D4177" t="s">
        <v>34</v>
      </c>
      <c r="E4177">
        <v>39</v>
      </c>
    </row>
    <row r="4178" spans="1:5" x14ac:dyDescent="0.25">
      <c r="A4178">
        <v>4177</v>
      </c>
      <c r="B4178">
        <v>4808608</v>
      </c>
      <c r="C4178" s="1" t="str">
        <f>HYPERLINK("http://stackoverflow.com/users/4808608", "lugegege")</f>
        <v>lugegege</v>
      </c>
      <c r="D4178" t="s">
        <v>5</v>
      </c>
      <c r="E4178">
        <v>39</v>
      </c>
    </row>
    <row r="4179" spans="1:5" x14ac:dyDescent="0.25">
      <c r="A4179">
        <v>4178</v>
      </c>
      <c r="B4179">
        <v>4856352</v>
      </c>
      <c r="C4179" s="1" t="str">
        <f>HYPERLINK("http://stackoverflow.com/users/4856352", "lugy90")</f>
        <v>lugy90</v>
      </c>
      <c r="D4179" t="s">
        <v>86</v>
      </c>
      <c r="E4179">
        <v>39</v>
      </c>
    </row>
    <row r="4180" spans="1:5" x14ac:dyDescent="0.25">
      <c r="A4180">
        <v>4179</v>
      </c>
      <c r="B4180">
        <v>2860892</v>
      </c>
      <c r="C4180" s="1" t="str">
        <f>HYPERLINK("http://stackoverflow.com/users/2860892", "Curiosity Tong")</f>
        <v>Curiosity Tong</v>
      </c>
      <c r="D4180" t="s">
        <v>4</v>
      </c>
      <c r="E4180">
        <v>39</v>
      </c>
    </row>
    <row r="4181" spans="1:5" x14ac:dyDescent="0.25">
      <c r="A4181">
        <v>4180</v>
      </c>
      <c r="B4181">
        <v>6117242</v>
      </c>
      <c r="C4181" s="1" t="str">
        <f>HYPERLINK("http://stackoverflow.com/users/6117242", "NazmiAltun")</f>
        <v>NazmiAltun</v>
      </c>
      <c r="D4181" t="s">
        <v>4</v>
      </c>
      <c r="E4181">
        <v>39</v>
      </c>
    </row>
    <row r="4182" spans="1:5" x14ac:dyDescent="0.25">
      <c r="A4182">
        <v>4181</v>
      </c>
      <c r="B4182">
        <v>3354061</v>
      </c>
      <c r="C4182" s="1" t="str">
        <f>HYPERLINK("http://stackoverflow.com/users/3354061", "raver")</f>
        <v>raver</v>
      </c>
      <c r="D4182" t="s">
        <v>4</v>
      </c>
      <c r="E4182">
        <v>39</v>
      </c>
    </row>
    <row r="4183" spans="1:5" x14ac:dyDescent="0.25">
      <c r="A4183">
        <v>4182</v>
      </c>
      <c r="B4183">
        <v>7268996</v>
      </c>
      <c r="C4183" s="1" t="str">
        <f>HYPERLINK("http://stackoverflow.com/users/7268996", "Zedd")</f>
        <v>Zedd</v>
      </c>
      <c r="D4183" t="s">
        <v>25</v>
      </c>
      <c r="E4183">
        <v>39</v>
      </c>
    </row>
    <row r="4184" spans="1:5" x14ac:dyDescent="0.25">
      <c r="A4184">
        <v>4183</v>
      </c>
      <c r="B4184">
        <v>5850053</v>
      </c>
      <c r="C4184" s="1" t="str">
        <f>HYPERLINK("http://stackoverflow.com/users/5850053", "Lampo Wei")</f>
        <v>Lampo Wei</v>
      </c>
      <c r="D4184" t="s">
        <v>4</v>
      </c>
      <c r="E4184">
        <v>39</v>
      </c>
    </row>
    <row r="4185" spans="1:5" x14ac:dyDescent="0.25">
      <c r="A4185">
        <v>4184</v>
      </c>
      <c r="B4185">
        <v>2392335</v>
      </c>
      <c r="C4185" s="1" t="str">
        <f>HYPERLINK("http://stackoverflow.com/users/2392335", "Cameron Wong")</f>
        <v>Cameron Wong</v>
      </c>
      <c r="D4185" t="s">
        <v>21</v>
      </c>
      <c r="E4185">
        <v>38</v>
      </c>
    </row>
    <row r="4186" spans="1:5" x14ac:dyDescent="0.25">
      <c r="A4186">
        <v>4185</v>
      </c>
      <c r="B4186">
        <v>2392773</v>
      </c>
      <c r="C4186" s="1" t="str">
        <f>HYPERLINK("http://stackoverflow.com/users/2392773", "user2392773")</f>
        <v>user2392773</v>
      </c>
      <c r="D4186" t="s">
        <v>18</v>
      </c>
      <c r="E4186">
        <v>38</v>
      </c>
    </row>
    <row r="4187" spans="1:5" x14ac:dyDescent="0.25">
      <c r="A4187">
        <v>4186</v>
      </c>
      <c r="B4187">
        <v>3811767</v>
      </c>
      <c r="C4187" s="1" t="str">
        <f>HYPERLINK("http://stackoverflow.com/users/3811767", "sproblvem")</f>
        <v>sproblvem</v>
      </c>
      <c r="D4187" t="s">
        <v>5</v>
      </c>
      <c r="E4187">
        <v>38</v>
      </c>
    </row>
    <row r="4188" spans="1:5" x14ac:dyDescent="0.25">
      <c r="A4188">
        <v>4187</v>
      </c>
      <c r="B4188">
        <v>3335387</v>
      </c>
      <c r="C4188" s="1" t="str">
        <f>HYPERLINK("http://stackoverflow.com/users/3335387", "albert-bert")</f>
        <v>albert-bert</v>
      </c>
      <c r="D4188" t="s">
        <v>4</v>
      </c>
      <c r="E4188">
        <v>38</v>
      </c>
    </row>
    <row r="4189" spans="1:5" x14ac:dyDescent="0.25">
      <c r="A4189">
        <v>4188</v>
      </c>
      <c r="B4189">
        <v>3246908</v>
      </c>
      <c r="C4189" s="1" t="str">
        <f>HYPERLINK("http://stackoverflow.com/users/3246908", "Wang Zhengzhang")</f>
        <v>Wang Zhengzhang</v>
      </c>
      <c r="D4189" t="s">
        <v>5</v>
      </c>
      <c r="E4189">
        <v>38</v>
      </c>
    </row>
    <row r="4190" spans="1:5" x14ac:dyDescent="0.25">
      <c r="A4190">
        <v>4189</v>
      </c>
      <c r="B4190">
        <v>1574568</v>
      </c>
      <c r="C4190" s="1" t="str">
        <f>HYPERLINK("http://stackoverflow.com/users/1574568", "crystaldust")</f>
        <v>crystaldust</v>
      </c>
      <c r="D4190" t="s">
        <v>3</v>
      </c>
      <c r="E4190">
        <v>38</v>
      </c>
    </row>
    <row r="4191" spans="1:5" x14ac:dyDescent="0.25">
      <c r="A4191">
        <v>4190</v>
      </c>
      <c r="B4191">
        <v>1556539</v>
      </c>
      <c r="C4191" s="1" t="str">
        <f>HYPERLINK("http://stackoverflow.com/users/1556539", "Adam.H.Liu")</f>
        <v>Adam.H.Liu</v>
      </c>
      <c r="D4191" t="s">
        <v>5</v>
      </c>
      <c r="E4191">
        <v>38</v>
      </c>
    </row>
    <row r="4192" spans="1:5" x14ac:dyDescent="0.25">
      <c r="A4192">
        <v>4191</v>
      </c>
      <c r="B4192">
        <v>5013432</v>
      </c>
      <c r="C4192" s="1" t="str">
        <f>HYPERLINK("http://stackoverflow.com/users/5013432", "pepsikirk")</f>
        <v>pepsikirk</v>
      </c>
      <c r="D4192" t="s">
        <v>263</v>
      </c>
      <c r="E4192">
        <v>38</v>
      </c>
    </row>
    <row r="4193" spans="1:5" x14ac:dyDescent="0.25">
      <c r="A4193">
        <v>4192</v>
      </c>
      <c r="B4193">
        <v>605115</v>
      </c>
      <c r="C4193" s="1" t="str">
        <f>HYPERLINK("http://stackoverflow.com/users/605115", "drifting")</f>
        <v>drifting</v>
      </c>
      <c r="D4193" t="s">
        <v>4</v>
      </c>
      <c r="E4193">
        <v>38</v>
      </c>
    </row>
    <row r="4194" spans="1:5" x14ac:dyDescent="0.25">
      <c r="A4194">
        <v>4193</v>
      </c>
      <c r="B4194">
        <v>6526794</v>
      </c>
      <c r="C4194" s="1" t="str">
        <f>HYPERLINK("http://stackoverflow.com/users/6526794", "TheHan")</f>
        <v>TheHan</v>
      </c>
      <c r="D4194" t="s">
        <v>55</v>
      </c>
      <c r="E4194">
        <v>38</v>
      </c>
    </row>
    <row r="4195" spans="1:5" x14ac:dyDescent="0.25">
      <c r="A4195">
        <v>4194</v>
      </c>
      <c r="B4195">
        <v>8624369</v>
      </c>
      <c r="C4195" s="1" t="str">
        <f>HYPERLINK("http://stackoverflow.com/users/8624369", "Charlie")</f>
        <v>Charlie</v>
      </c>
      <c r="D4195" t="s">
        <v>12</v>
      </c>
      <c r="E4195">
        <v>38</v>
      </c>
    </row>
    <row r="4196" spans="1:5" x14ac:dyDescent="0.25">
      <c r="A4196">
        <v>4195</v>
      </c>
      <c r="B4196">
        <v>722485</v>
      </c>
      <c r="C4196" s="1" t="str">
        <f>HYPERLINK("http://stackoverflow.com/users/722485", "Bodhi China")</f>
        <v>Bodhi China</v>
      </c>
      <c r="D4196" t="s">
        <v>4</v>
      </c>
      <c r="E4196">
        <v>38</v>
      </c>
    </row>
    <row r="4197" spans="1:5" x14ac:dyDescent="0.25">
      <c r="A4197">
        <v>4196</v>
      </c>
      <c r="B4197">
        <v>439964</v>
      </c>
      <c r="C4197" s="1" t="str">
        <f>HYPERLINK("http://stackoverflow.com/users/439964", "X.Q. Kuang")</f>
        <v>X.Q. Kuang</v>
      </c>
      <c r="D4197" t="s">
        <v>7</v>
      </c>
      <c r="E4197">
        <v>38</v>
      </c>
    </row>
    <row r="4198" spans="1:5" x14ac:dyDescent="0.25">
      <c r="A4198">
        <v>4197</v>
      </c>
      <c r="B4198">
        <v>352792</v>
      </c>
      <c r="C4198" s="1" t="str">
        <f>HYPERLINK("http://stackoverflow.com/users/352792", "leochou0729")</f>
        <v>leochou0729</v>
      </c>
      <c r="D4198" t="s">
        <v>5</v>
      </c>
      <c r="E4198">
        <v>38</v>
      </c>
    </row>
    <row r="4199" spans="1:5" x14ac:dyDescent="0.25">
      <c r="A4199">
        <v>4198</v>
      </c>
      <c r="B4199">
        <v>6229298</v>
      </c>
      <c r="C4199" s="1" t="str">
        <f>HYPERLINK("http://stackoverflow.com/users/6229298", "Ning Yu Fisher")</f>
        <v>Ning Yu Fisher</v>
      </c>
      <c r="D4199" t="s">
        <v>5</v>
      </c>
      <c r="E4199">
        <v>38</v>
      </c>
    </row>
    <row r="4200" spans="1:5" x14ac:dyDescent="0.25">
      <c r="A4200">
        <v>4199</v>
      </c>
      <c r="B4200">
        <v>2147146</v>
      </c>
      <c r="C4200" s="1" t="str">
        <f>HYPERLINK("http://stackoverflow.com/users/2147146", "Shawn Shi")</f>
        <v>Shawn Shi</v>
      </c>
      <c r="D4200" t="s">
        <v>35</v>
      </c>
      <c r="E4200">
        <v>38</v>
      </c>
    </row>
    <row r="4201" spans="1:5" x14ac:dyDescent="0.25">
      <c r="A4201">
        <v>4200</v>
      </c>
      <c r="B4201">
        <v>5996506</v>
      </c>
      <c r="C4201" s="1" t="str">
        <f>HYPERLINK("http://stackoverflow.com/users/5996506", "Jason Young")</f>
        <v>Jason Young</v>
      </c>
      <c r="D4201" t="s">
        <v>66</v>
      </c>
      <c r="E4201">
        <v>38</v>
      </c>
    </row>
    <row r="4202" spans="1:5" x14ac:dyDescent="0.25">
      <c r="A4202">
        <v>4201</v>
      </c>
      <c r="B4202">
        <v>6660549</v>
      </c>
      <c r="C4202" s="1" t="str">
        <f>HYPERLINK("http://stackoverflow.com/users/6660549", "David")</f>
        <v>David</v>
      </c>
      <c r="D4202" t="s">
        <v>56</v>
      </c>
      <c r="E4202">
        <v>38</v>
      </c>
    </row>
    <row r="4203" spans="1:5" x14ac:dyDescent="0.25">
      <c r="A4203">
        <v>4202</v>
      </c>
      <c r="B4203">
        <v>5334285</v>
      </c>
      <c r="C4203" s="1" t="str">
        <f>HYPERLINK("http://stackoverflow.com/users/5334285", "anakornk")</f>
        <v>anakornk</v>
      </c>
      <c r="D4203" t="s">
        <v>5</v>
      </c>
      <c r="E4203">
        <v>38</v>
      </c>
    </row>
    <row r="4204" spans="1:5" x14ac:dyDescent="0.25">
      <c r="A4204">
        <v>4203</v>
      </c>
      <c r="B4204">
        <v>85006</v>
      </c>
      <c r="C4204" s="1" t="str">
        <f>HYPERLINK("http://stackoverflow.com/users/85006", "tauon")</f>
        <v>tauon</v>
      </c>
      <c r="D4204" t="s">
        <v>4</v>
      </c>
      <c r="E4204">
        <v>38</v>
      </c>
    </row>
    <row r="4205" spans="1:5" x14ac:dyDescent="0.25">
      <c r="A4205">
        <v>4204</v>
      </c>
      <c r="B4205">
        <v>549422</v>
      </c>
      <c r="C4205" s="1" t="str">
        <f>HYPERLINK("http://stackoverflow.com/users/549422", "Luginbash the Werewolf")</f>
        <v>Luginbash the Werewolf</v>
      </c>
      <c r="D4205" t="s">
        <v>5</v>
      </c>
      <c r="E4205">
        <v>38</v>
      </c>
    </row>
    <row r="4206" spans="1:5" x14ac:dyDescent="0.25">
      <c r="A4206">
        <v>4205</v>
      </c>
      <c r="B4206">
        <v>2815178</v>
      </c>
      <c r="C4206" s="1" t="str">
        <f>HYPERLINK("http://stackoverflow.com/users/2815178", "anjianshi")</f>
        <v>anjianshi</v>
      </c>
      <c r="D4206" t="s">
        <v>185</v>
      </c>
      <c r="E4206">
        <v>38</v>
      </c>
    </row>
    <row r="4207" spans="1:5" x14ac:dyDescent="0.25">
      <c r="A4207">
        <v>4206</v>
      </c>
      <c r="B4207">
        <v>2803775</v>
      </c>
      <c r="C4207" s="1" t="str">
        <f>HYPERLINK("http://stackoverflow.com/users/2803775", "Mosser Lee")</f>
        <v>Mosser Lee</v>
      </c>
      <c r="D4207" t="s">
        <v>4</v>
      </c>
      <c r="E4207">
        <v>38</v>
      </c>
    </row>
    <row r="4208" spans="1:5" x14ac:dyDescent="0.25">
      <c r="A4208">
        <v>4207</v>
      </c>
      <c r="B4208">
        <v>972372</v>
      </c>
      <c r="C4208" s="1" t="str">
        <f>HYPERLINK("http://stackoverflow.com/users/972372", "mikeshi")</f>
        <v>mikeshi</v>
      </c>
      <c r="D4208" t="s">
        <v>4</v>
      </c>
      <c r="E4208">
        <v>38</v>
      </c>
    </row>
    <row r="4209" spans="1:5" x14ac:dyDescent="0.25">
      <c r="A4209">
        <v>4208</v>
      </c>
      <c r="B4209">
        <v>305804</v>
      </c>
      <c r="C4209" s="1" t="str">
        <f>HYPERLINK("http://stackoverflow.com/users/305804", "jciwolf")</f>
        <v>jciwolf</v>
      </c>
      <c r="D4209" t="s">
        <v>5</v>
      </c>
      <c r="E4209">
        <v>38</v>
      </c>
    </row>
    <row r="4210" spans="1:5" x14ac:dyDescent="0.25">
      <c r="A4210">
        <v>4209</v>
      </c>
      <c r="B4210">
        <v>1530942</v>
      </c>
      <c r="C4210" s="1" t="str">
        <f>HYPERLINK("http://stackoverflow.com/users/1530942", "Rick")</f>
        <v>Rick</v>
      </c>
      <c r="D4210" t="s">
        <v>8</v>
      </c>
      <c r="E4210">
        <v>38</v>
      </c>
    </row>
    <row r="4211" spans="1:5" x14ac:dyDescent="0.25">
      <c r="A4211">
        <v>4210</v>
      </c>
      <c r="B4211">
        <v>5271956</v>
      </c>
      <c r="C4211" s="1" t="str">
        <f>HYPERLINK("http://stackoverflow.com/users/5271956", "Roy Wang")</f>
        <v>Roy Wang</v>
      </c>
      <c r="D4211" t="s">
        <v>7</v>
      </c>
      <c r="E4211">
        <v>38</v>
      </c>
    </row>
    <row r="4212" spans="1:5" x14ac:dyDescent="0.25">
      <c r="A4212">
        <v>4211</v>
      </c>
      <c r="B4212">
        <v>5137367</v>
      </c>
      <c r="C4212" s="1" t="str">
        <f>HYPERLINK("http://stackoverflow.com/users/5137367", "symons1992")</f>
        <v>symons1992</v>
      </c>
      <c r="D4212" t="s">
        <v>5</v>
      </c>
      <c r="E4212">
        <v>38</v>
      </c>
    </row>
    <row r="4213" spans="1:5" x14ac:dyDescent="0.25">
      <c r="A4213">
        <v>4212</v>
      </c>
      <c r="B4213">
        <v>5090106</v>
      </c>
      <c r="C4213" s="1" t="str">
        <f>HYPERLINK("http://stackoverflow.com/users/5090106", "Jianchao Li")</f>
        <v>Jianchao Li</v>
      </c>
      <c r="D4213" t="s">
        <v>5</v>
      </c>
      <c r="E4213">
        <v>38</v>
      </c>
    </row>
    <row r="4214" spans="1:5" x14ac:dyDescent="0.25">
      <c r="A4214">
        <v>4213</v>
      </c>
      <c r="B4214">
        <v>3810899</v>
      </c>
      <c r="C4214" s="1" t="str">
        <f>HYPERLINK("http://stackoverflow.com/users/3810899", "ark338")</f>
        <v>ark338</v>
      </c>
      <c r="D4214" t="s">
        <v>5</v>
      </c>
      <c r="E4214">
        <v>38</v>
      </c>
    </row>
    <row r="4215" spans="1:5" x14ac:dyDescent="0.25">
      <c r="A4215">
        <v>4214</v>
      </c>
      <c r="B4215">
        <v>4015704</v>
      </c>
      <c r="C4215" s="1" t="str">
        <f>HYPERLINK("http://stackoverflow.com/users/4015704", "Xiaotong Yang")</f>
        <v>Xiaotong Yang</v>
      </c>
      <c r="D4215" t="s">
        <v>4</v>
      </c>
      <c r="E4215">
        <v>38</v>
      </c>
    </row>
    <row r="4216" spans="1:5" x14ac:dyDescent="0.25">
      <c r="A4216">
        <v>4215</v>
      </c>
      <c r="B4216">
        <v>4039098</v>
      </c>
      <c r="C4216" s="1" t="str">
        <f>HYPERLINK("http://stackoverflow.com/users/4039098", "Wenchao Cai")</f>
        <v>Wenchao Cai</v>
      </c>
      <c r="D4216" t="s">
        <v>8</v>
      </c>
      <c r="E4216">
        <v>38</v>
      </c>
    </row>
    <row r="4217" spans="1:5" x14ac:dyDescent="0.25">
      <c r="A4217">
        <v>4216</v>
      </c>
      <c r="B4217">
        <v>5902539</v>
      </c>
      <c r="C4217" s="1" t="str">
        <f>HYPERLINK("http://stackoverflow.com/users/5902539", "imcmy")</f>
        <v>imcmy</v>
      </c>
      <c r="D4217" t="s">
        <v>5</v>
      </c>
      <c r="E4217">
        <v>38</v>
      </c>
    </row>
    <row r="4218" spans="1:5" x14ac:dyDescent="0.25">
      <c r="A4218">
        <v>4217</v>
      </c>
      <c r="B4218">
        <v>2114496</v>
      </c>
      <c r="C4218" s="1" t="str">
        <f>HYPERLINK("http://stackoverflow.com/users/2114496", "hjwsm1989")</f>
        <v>hjwsm1989</v>
      </c>
      <c r="D4218" t="s">
        <v>8</v>
      </c>
      <c r="E4218">
        <v>38</v>
      </c>
    </row>
    <row r="4219" spans="1:5" x14ac:dyDescent="0.25">
      <c r="A4219">
        <v>4218</v>
      </c>
      <c r="B4219">
        <v>1802269</v>
      </c>
      <c r="C4219" s="1" t="str">
        <f>HYPERLINK("http://stackoverflow.com/users/1802269", "flowyi")</f>
        <v>flowyi</v>
      </c>
      <c r="D4219" t="s">
        <v>17</v>
      </c>
      <c r="E4219">
        <v>38</v>
      </c>
    </row>
    <row r="4220" spans="1:5" x14ac:dyDescent="0.25">
      <c r="A4220">
        <v>4219</v>
      </c>
      <c r="B4220">
        <v>3453652</v>
      </c>
      <c r="C4220" s="1" t="str">
        <f>HYPERLINK("http://stackoverflow.com/users/3453652", "西风逍遥游")</f>
        <v>西风逍遥游</v>
      </c>
      <c r="D4220" t="s">
        <v>5</v>
      </c>
      <c r="E4220">
        <v>38</v>
      </c>
    </row>
    <row r="4221" spans="1:5" x14ac:dyDescent="0.25">
      <c r="A4221">
        <v>4220</v>
      </c>
      <c r="B4221">
        <v>3534252</v>
      </c>
      <c r="C4221" s="1" t="str">
        <f>HYPERLINK("http://stackoverflow.com/users/3534252", "zhangxm1991")</f>
        <v>zhangxm1991</v>
      </c>
      <c r="D4221" t="s">
        <v>5</v>
      </c>
      <c r="E4221">
        <v>38</v>
      </c>
    </row>
    <row r="4222" spans="1:5" x14ac:dyDescent="0.25">
      <c r="A4222">
        <v>4221</v>
      </c>
      <c r="B4222">
        <v>4082598</v>
      </c>
      <c r="C4222" s="1" t="str">
        <f>HYPERLINK("http://stackoverflow.com/users/4082598", "Junhao")</f>
        <v>Junhao</v>
      </c>
      <c r="D4222" t="s">
        <v>12</v>
      </c>
      <c r="E4222">
        <v>38</v>
      </c>
    </row>
    <row r="4223" spans="1:5" x14ac:dyDescent="0.25">
      <c r="A4223">
        <v>4222</v>
      </c>
      <c r="B4223">
        <v>5878035</v>
      </c>
      <c r="C4223" s="1" t="str">
        <f>HYPERLINK("http://stackoverflow.com/users/5878035", "Aylei")</f>
        <v>Aylei</v>
      </c>
      <c r="D4223" t="s">
        <v>16</v>
      </c>
      <c r="E4223">
        <v>38</v>
      </c>
    </row>
    <row r="4224" spans="1:5" x14ac:dyDescent="0.25">
      <c r="A4224">
        <v>4223</v>
      </c>
      <c r="B4224">
        <v>4030090</v>
      </c>
      <c r="C4224" s="1" t="str">
        <f>HYPERLINK("http://stackoverflow.com/users/4030090", "cls1991")</f>
        <v>cls1991</v>
      </c>
      <c r="D4224" t="s">
        <v>5</v>
      </c>
      <c r="E4224">
        <v>38</v>
      </c>
    </row>
    <row r="4225" spans="1:5" x14ac:dyDescent="0.25">
      <c r="A4225">
        <v>4224</v>
      </c>
      <c r="B4225">
        <v>1651577</v>
      </c>
      <c r="C4225" s="1" t="str">
        <f>HYPERLINK("http://stackoverflow.com/users/1651577", "Chenyu Wu")</f>
        <v>Chenyu Wu</v>
      </c>
      <c r="D4225" t="s">
        <v>4</v>
      </c>
      <c r="E4225">
        <v>38</v>
      </c>
    </row>
    <row r="4226" spans="1:5" x14ac:dyDescent="0.25">
      <c r="A4226">
        <v>4225</v>
      </c>
      <c r="B4226">
        <v>1064915</v>
      </c>
      <c r="C4226" s="1" t="str">
        <f>HYPERLINK("http://stackoverflow.com/users/1064915", "Glaive")</f>
        <v>Glaive</v>
      </c>
      <c r="D4226" t="s">
        <v>4</v>
      </c>
      <c r="E4226">
        <v>38</v>
      </c>
    </row>
    <row r="4227" spans="1:5" x14ac:dyDescent="0.25">
      <c r="A4227">
        <v>4226</v>
      </c>
      <c r="B4227">
        <v>1063578</v>
      </c>
      <c r="C4227" s="1" t="str">
        <f>HYPERLINK("http://stackoverflow.com/users/1063578", "booby")</f>
        <v>booby</v>
      </c>
      <c r="D4227" t="s">
        <v>5</v>
      </c>
      <c r="E4227">
        <v>38</v>
      </c>
    </row>
    <row r="4228" spans="1:5" x14ac:dyDescent="0.25">
      <c r="A4228">
        <v>4227</v>
      </c>
      <c r="B4228">
        <v>2994935</v>
      </c>
      <c r="C4228" s="1" t="str">
        <f>HYPERLINK("http://stackoverflow.com/users/2994935", "Shawn Clovie")</f>
        <v>Shawn Clovie</v>
      </c>
      <c r="D4228" t="s">
        <v>5</v>
      </c>
      <c r="E4228">
        <v>38</v>
      </c>
    </row>
    <row r="4229" spans="1:5" x14ac:dyDescent="0.25">
      <c r="A4229">
        <v>4228</v>
      </c>
      <c r="B4229">
        <v>4777406</v>
      </c>
      <c r="C4229" s="1" t="str">
        <f>HYPERLINK("http://stackoverflow.com/users/4777406", "Unipheas")</f>
        <v>Unipheas</v>
      </c>
      <c r="D4229" t="s">
        <v>28</v>
      </c>
      <c r="E4229">
        <v>38</v>
      </c>
    </row>
    <row r="4230" spans="1:5" x14ac:dyDescent="0.25">
      <c r="A4230">
        <v>4229</v>
      </c>
      <c r="B4230">
        <v>2476767</v>
      </c>
      <c r="C4230" s="1" t="str">
        <f>HYPERLINK("http://stackoverflow.com/users/2476767", "mingjun")</f>
        <v>mingjun</v>
      </c>
      <c r="D4230" t="s">
        <v>4</v>
      </c>
      <c r="E4230">
        <v>38</v>
      </c>
    </row>
    <row r="4231" spans="1:5" x14ac:dyDescent="0.25">
      <c r="A4231">
        <v>4230</v>
      </c>
      <c r="B4231">
        <v>292037</v>
      </c>
      <c r="C4231" s="1" t="str">
        <f>HYPERLINK("http://stackoverflow.com/users/292037", "Smart_Joe")</f>
        <v>Smart_Joe</v>
      </c>
      <c r="D4231" t="s">
        <v>21</v>
      </c>
      <c r="E4231">
        <v>38</v>
      </c>
    </row>
    <row r="4232" spans="1:5" x14ac:dyDescent="0.25">
      <c r="A4232">
        <v>4231</v>
      </c>
      <c r="B4232">
        <v>191067</v>
      </c>
      <c r="C4232" s="1" t="str">
        <f>HYPERLINK("http://stackoverflow.com/users/191067", "lxneng")</f>
        <v>lxneng</v>
      </c>
      <c r="D4232" t="s">
        <v>4</v>
      </c>
      <c r="E4232">
        <v>37</v>
      </c>
    </row>
    <row r="4233" spans="1:5" x14ac:dyDescent="0.25">
      <c r="A4233">
        <v>4232</v>
      </c>
      <c r="B4233">
        <v>674330</v>
      </c>
      <c r="C4233" s="1" t="str">
        <f>HYPERLINK("http://stackoverflow.com/users/674330", "Jiez")</f>
        <v>Jiez</v>
      </c>
      <c r="D4233" t="s">
        <v>264</v>
      </c>
      <c r="E4233">
        <v>37</v>
      </c>
    </row>
    <row r="4234" spans="1:5" x14ac:dyDescent="0.25">
      <c r="A4234">
        <v>4233</v>
      </c>
      <c r="B4234">
        <v>1578178</v>
      </c>
      <c r="C4234" s="1" t="str">
        <f>HYPERLINK("http://stackoverflow.com/users/1578178", "Alkali")</f>
        <v>Alkali</v>
      </c>
      <c r="D4234" t="s">
        <v>37</v>
      </c>
      <c r="E4234">
        <v>37</v>
      </c>
    </row>
    <row r="4235" spans="1:5" x14ac:dyDescent="0.25">
      <c r="A4235">
        <v>4234</v>
      </c>
      <c r="B4235">
        <v>1841463</v>
      </c>
      <c r="C4235" s="1" t="str">
        <f>HYPERLINK("http://stackoverflow.com/users/1841463", "Kevin Guo")</f>
        <v>Kevin Guo</v>
      </c>
      <c r="D4235" t="s">
        <v>25</v>
      </c>
      <c r="E4235">
        <v>37</v>
      </c>
    </row>
    <row r="4236" spans="1:5" x14ac:dyDescent="0.25">
      <c r="A4236">
        <v>4235</v>
      </c>
      <c r="B4236">
        <v>3898444</v>
      </c>
      <c r="C4236" s="1" t="str">
        <f>HYPERLINK("http://stackoverflow.com/users/3898444", "Jian")</f>
        <v>Jian</v>
      </c>
      <c r="D4236" t="s">
        <v>22</v>
      </c>
      <c r="E4236">
        <v>37</v>
      </c>
    </row>
    <row r="4237" spans="1:5" x14ac:dyDescent="0.25">
      <c r="A4237">
        <v>4236</v>
      </c>
      <c r="B4237">
        <v>5566610</v>
      </c>
      <c r="C4237" s="1" t="str">
        <f>HYPERLINK("http://stackoverflow.com/users/5566610", "Origin Jing")</f>
        <v>Origin Jing</v>
      </c>
      <c r="D4237" t="s">
        <v>5</v>
      </c>
      <c r="E4237">
        <v>37</v>
      </c>
    </row>
    <row r="4238" spans="1:5" x14ac:dyDescent="0.25">
      <c r="A4238">
        <v>4237</v>
      </c>
      <c r="B4238">
        <v>4404683</v>
      </c>
      <c r="C4238" s="1" t="str">
        <f>HYPERLINK("http://stackoverflow.com/users/4404683", "AdamWei")</f>
        <v>AdamWei</v>
      </c>
      <c r="D4238" t="s">
        <v>5</v>
      </c>
      <c r="E4238">
        <v>37</v>
      </c>
    </row>
    <row r="4239" spans="1:5" x14ac:dyDescent="0.25">
      <c r="A4239">
        <v>4238</v>
      </c>
      <c r="B4239">
        <v>4393811</v>
      </c>
      <c r="C4239" s="1" t="str">
        <f>HYPERLINK("http://stackoverflow.com/users/4393811", "norshtein")</f>
        <v>norshtein</v>
      </c>
      <c r="D4239" t="s">
        <v>4</v>
      </c>
      <c r="E4239">
        <v>37</v>
      </c>
    </row>
    <row r="4240" spans="1:5" x14ac:dyDescent="0.25">
      <c r="A4240">
        <v>4239</v>
      </c>
      <c r="B4240">
        <v>1384124</v>
      </c>
      <c r="C4240" s="1" t="str">
        <f>HYPERLINK("http://stackoverflow.com/users/1384124", "windchaser")</f>
        <v>windchaser</v>
      </c>
      <c r="D4240" t="s">
        <v>4</v>
      </c>
      <c r="E4240">
        <v>37</v>
      </c>
    </row>
    <row r="4241" spans="1:5" x14ac:dyDescent="0.25">
      <c r="A4241">
        <v>4240</v>
      </c>
      <c r="B4241">
        <v>3030848</v>
      </c>
      <c r="C4241" s="1" t="str">
        <f>HYPERLINK("http://stackoverflow.com/users/3030848", "super_fish")</f>
        <v>super_fish</v>
      </c>
      <c r="D4241" t="s">
        <v>4</v>
      </c>
      <c r="E4241">
        <v>37</v>
      </c>
    </row>
    <row r="4242" spans="1:5" x14ac:dyDescent="0.25">
      <c r="A4242">
        <v>4241</v>
      </c>
      <c r="B4242">
        <v>957453</v>
      </c>
      <c r="C4242" s="1" t="str">
        <f>HYPERLINK("http://stackoverflow.com/users/957453", "epi.clyce")</f>
        <v>epi.clyce</v>
      </c>
      <c r="D4242" t="s">
        <v>4</v>
      </c>
      <c r="E4242">
        <v>37</v>
      </c>
    </row>
    <row r="4243" spans="1:5" x14ac:dyDescent="0.25">
      <c r="A4243">
        <v>4242</v>
      </c>
      <c r="B4243">
        <v>3539991</v>
      </c>
      <c r="C4243" s="1" t="str">
        <f>HYPERLINK("http://stackoverflow.com/users/3539991", "chentaocuc")</f>
        <v>chentaocuc</v>
      </c>
      <c r="D4243" t="s">
        <v>5</v>
      </c>
      <c r="E4243">
        <v>37</v>
      </c>
    </row>
    <row r="4244" spans="1:5" x14ac:dyDescent="0.25">
      <c r="A4244">
        <v>4243</v>
      </c>
      <c r="B4244">
        <v>7788331</v>
      </c>
      <c r="C4244" s="1" t="str">
        <f>HYPERLINK("http://stackoverflow.com/users/7788331", "Wang90925")</f>
        <v>Wang90925</v>
      </c>
      <c r="D4244" t="s">
        <v>33</v>
      </c>
      <c r="E4244">
        <v>37</v>
      </c>
    </row>
    <row r="4245" spans="1:5" x14ac:dyDescent="0.25">
      <c r="A4245">
        <v>4244</v>
      </c>
      <c r="B4245">
        <v>2450938</v>
      </c>
      <c r="C4245" s="1" t="str">
        <f>HYPERLINK("http://stackoverflow.com/users/2450938", "Allen211")</f>
        <v>Allen211</v>
      </c>
      <c r="D4245" t="s">
        <v>6</v>
      </c>
      <c r="E4245">
        <v>37</v>
      </c>
    </row>
    <row r="4246" spans="1:5" x14ac:dyDescent="0.25">
      <c r="A4246">
        <v>4245</v>
      </c>
      <c r="B4246">
        <v>1787760</v>
      </c>
      <c r="C4246" s="1" t="str">
        <f>HYPERLINK("http://stackoverflow.com/users/1787760", "jon_junay")</f>
        <v>jon_junay</v>
      </c>
      <c r="D4246" t="s">
        <v>5</v>
      </c>
      <c r="E4246">
        <v>37</v>
      </c>
    </row>
    <row r="4247" spans="1:5" x14ac:dyDescent="0.25">
      <c r="A4247">
        <v>4246</v>
      </c>
      <c r="B4247">
        <v>7172549</v>
      </c>
      <c r="C4247" s="1" t="str">
        <f>HYPERLINK("http://stackoverflow.com/users/7172549", "Xing  Zhou")</f>
        <v>Xing  Zhou</v>
      </c>
      <c r="D4247" t="s">
        <v>4</v>
      </c>
      <c r="E4247">
        <v>36</v>
      </c>
    </row>
    <row r="4248" spans="1:5" x14ac:dyDescent="0.25">
      <c r="A4248">
        <v>4247</v>
      </c>
      <c r="B4248">
        <v>5445301</v>
      </c>
      <c r="C4248" s="1" t="str">
        <f>HYPERLINK("http://stackoverflow.com/users/5445301", "joseph")</f>
        <v>joseph</v>
      </c>
      <c r="D4248" t="s">
        <v>25</v>
      </c>
      <c r="E4248">
        <v>36</v>
      </c>
    </row>
    <row r="4249" spans="1:5" x14ac:dyDescent="0.25">
      <c r="A4249">
        <v>4248</v>
      </c>
      <c r="B4249">
        <v>7397774</v>
      </c>
      <c r="C4249" s="1" t="str">
        <f>HYPERLINK("http://stackoverflow.com/users/7397774", "Terence")</f>
        <v>Terence</v>
      </c>
      <c r="D4249" t="s">
        <v>4</v>
      </c>
      <c r="E4249">
        <v>36</v>
      </c>
    </row>
    <row r="4250" spans="1:5" x14ac:dyDescent="0.25">
      <c r="A4250">
        <v>4249</v>
      </c>
      <c r="B4250">
        <v>1919137</v>
      </c>
      <c r="C4250" s="1" t="str">
        <f>HYPERLINK("http://stackoverflow.com/users/1919137", "Weicuan Yan")</f>
        <v>Weicuan Yan</v>
      </c>
      <c r="D4250" t="s">
        <v>4</v>
      </c>
      <c r="E4250">
        <v>36</v>
      </c>
    </row>
    <row r="4251" spans="1:5" x14ac:dyDescent="0.25">
      <c r="A4251">
        <v>4250</v>
      </c>
      <c r="B4251">
        <v>5510476</v>
      </c>
      <c r="C4251" s="1" t="str">
        <f>HYPERLINK("http://stackoverflow.com/users/5510476", "wanglin")</f>
        <v>wanglin</v>
      </c>
      <c r="D4251" t="s">
        <v>16</v>
      </c>
      <c r="E4251">
        <v>36</v>
      </c>
    </row>
    <row r="4252" spans="1:5" x14ac:dyDescent="0.25">
      <c r="A4252">
        <v>4251</v>
      </c>
      <c r="B4252">
        <v>1998924</v>
      </c>
      <c r="C4252" s="1" t="str">
        <f>HYPERLINK("http://stackoverflow.com/users/1998924", "Julian")</f>
        <v>Julian</v>
      </c>
      <c r="D4252" t="s">
        <v>22</v>
      </c>
      <c r="E4252">
        <v>36</v>
      </c>
    </row>
    <row r="4253" spans="1:5" x14ac:dyDescent="0.25">
      <c r="A4253">
        <v>4252</v>
      </c>
      <c r="B4253">
        <v>7762401</v>
      </c>
      <c r="C4253" s="1" t="str">
        <f>HYPERLINK("http://stackoverflow.com/users/7762401", "drimyus")</f>
        <v>drimyus</v>
      </c>
      <c r="D4253" t="s">
        <v>4</v>
      </c>
      <c r="E4253">
        <v>36</v>
      </c>
    </row>
    <row r="4254" spans="1:5" x14ac:dyDescent="0.25">
      <c r="A4254">
        <v>4253</v>
      </c>
      <c r="B4254">
        <v>392461</v>
      </c>
      <c r="C4254" s="1" t="str">
        <f>HYPERLINK("http://stackoverflow.com/users/392461", "leona")</f>
        <v>leona</v>
      </c>
      <c r="D4254" t="s">
        <v>5</v>
      </c>
      <c r="E4254">
        <v>36</v>
      </c>
    </row>
    <row r="4255" spans="1:5" x14ac:dyDescent="0.25">
      <c r="A4255">
        <v>4254</v>
      </c>
      <c r="B4255">
        <v>8011423</v>
      </c>
      <c r="C4255" s="1" t="str">
        <f>HYPERLINK("http://stackoverflow.com/users/8011423", "Irufaan Ali")</f>
        <v>Irufaan Ali</v>
      </c>
      <c r="D4255" t="s">
        <v>265</v>
      </c>
      <c r="E4255">
        <v>36</v>
      </c>
    </row>
    <row r="4256" spans="1:5" x14ac:dyDescent="0.25">
      <c r="A4256">
        <v>4255</v>
      </c>
      <c r="B4256">
        <v>420752</v>
      </c>
      <c r="C4256" s="1" t="str">
        <f>HYPERLINK("http://stackoverflow.com/users/420752", "Xu Chen")</f>
        <v>Xu Chen</v>
      </c>
      <c r="D4256" t="s">
        <v>5</v>
      </c>
      <c r="E4256">
        <v>36</v>
      </c>
    </row>
    <row r="4257" spans="1:5" x14ac:dyDescent="0.25">
      <c r="A4257">
        <v>4256</v>
      </c>
      <c r="B4257">
        <v>707097</v>
      </c>
      <c r="C4257" s="1" t="str">
        <f>HYPERLINK("http://stackoverflow.com/users/707097", "perry")</f>
        <v>perry</v>
      </c>
      <c r="D4257" t="s">
        <v>21</v>
      </c>
      <c r="E4257">
        <v>36</v>
      </c>
    </row>
    <row r="4258" spans="1:5" x14ac:dyDescent="0.25">
      <c r="A4258">
        <v>4257</v>
      </c>
      <c r="B4258">
        <v>6331626</v>
      </c>
      <c r="C4258" s="1" t="str">
        <f>HYPERLINK("http://stackoverflow.com/users/6331626", "Weston.Wu")</f>
        <v>Weston.Wu</v>
      </c>
      <c r="D4258" t="s">
        <v>266</v>
      </c>
      <c r="E4258">
        <v>36</v>
      </c>
    </row>
    <row r="4259" spans="1:5" x14ac:dyDescent="0.25">
      <c r="A4259">
        <v>4258</v>
      </c>
      <c r="B4259">
        <v>806627</v>
      </c>
      <c r="C4259" s="1" t="str">
        <f>HYPERLINK("http://stackoverflow.com/users/806627", "Franz")</f>
        <v>Franz</v>
      </c>
      <c r="D4259" t="s">
        <v>5</v>
      </c>
      <c r="E4259">
        <v>36</v>
      </c>
    </row>
    <row r="4260" spans="1:5" x14ac:dyDescent="0.25">
      <c r="A4260">
        <v>4259</v>
      </c>
      <c r="B4260">
        <v>909188</v>
      </c>
      <c r="C4260" s="1" t="str">
        <f>HYPERLINK("http://stackoverflow.com/users/909188", "hongtu_zang")</f>
        <v>hongtu_zang</v>
      </c>
      <c r="D4260" t="s">
        <v>5</v>
      </c>
      <c r="E4260">
        <v>36</v>
      </c>
    </row>
    <row r="4261" spans="1:5" x14ac:dyDescent="0.25">
      <c r="A4261">
        <v>4260</v>
      </c>
      <c r="B4261">
        <v>6522955</v>
      </c>
      <c r="C4261" s="1" t="str">
        <f>HYPERLINK("http://stackoverflow.com/users/6522955", "Hulk")</f>
        <v>Hulk</v>
      </c>
      <c r="D4261" t="s">
        <v>4</v>
      </c>
      <c r="E4261">
        <v>36</v>
      </c>
    </row>
    <row r="4262" spans="1:5" x14ac:dyDescent="0.25">
      <c r="A4262">
        <v>4261</v>
      </c>
      <c r="B4262">
        <v>3138549</v>
      </c>
      <c r="C4262" s="1" t="str">
        <f>HYPERLINK("http://stackoverflow.com/users/3138549", "Darren")</f>
        <v>Darren</v>
      </c>
      <c r="D4262" t="s">
        <v>5</v>
      </c>
      <c r="E4262">
        <v>36</v>
      </c>
    </row>
    <row r="4263" spans="1:5" x14ac:dyDescent="0.25">
      <c r="A4263">
        <v>4262</v>
      </c>
      <c r="B4263">
        <v>1254680</v>
      </c>
      <c r="C4263" s="1" t="str">
        <f>HYPERLINK("http://stackoverflow.com/users/1254680", "yungtrizzle")</f>
        <v>yungtrizzle</v>
      </c>
      <c r="D4263" t="s">
        <v>4</v>
      </c>
      <c r="E4263">
        <v>36</v>
      </c>
    </row>
    <row r="4264" spans="1:5" x14ac:dyDescent="0.25">
      <c r="A4264">
        <v>4263</v>
      </c>
      <c r="B4264">
        <v>1044817</v>
      </c>
      <c r="C4264" s="1" t="str">
        <f>HYPERLINK("http://stackoverflow.com/users/1044817", "sancai")</f>
        <v>sancai</v>
      </c>
      <c r="D4264" t="s">
        <v>17</v>
      </c>
      <c r="E4264">
        <v>36</v>
      </c>
    </row>
    <row r="4265" spans="1:5" x14ac:dyDescent="0.25">
      <c r="A4265">
        <v>4264</v>
      </c>
      <c r="B4265">
        <v>1574399</v>
      </c>
      <c r="C4265" s="1" t="str">
        <f>HYPERLINK("http://stackoverflow.com/users/1574399", "Christy Lee")</f>
        <v>Christy Lee</v>
      </c>
      <c r="D4265" t="s">
        <v>4</v>
      </c>
      <c r="E4265">
        <v>36</v>
      </c>
    </row>
    <row r="4266" spans="1:5" x14ac:dyDescent="0.25">
      <c r="A4266">
        <v>4265</v>
      </c>
      <c r="B4266">
        <v>8607487</v>
      </c>
      <c r="C4266" s="1" t="str">
        <f>HYPERLINK("http://stackoverflow.com/users/8607487", "JackySong")</f>
        <v>JackySong</v>
      </c>
      <c r="D4266" t="s">
        <v>12</v>
      </c>
      <c r="E4266">
        <v>36</v>
      </c>
    </row>
    <row r="4267" spans="1:5" x14ac:dyDescent="0.25">
      <c r="A4267">
        <v>4266</v>
      </c>
      <c r="B4267">
        <v>3315807</v>
      </c>
      <c r="C4267" s="1" t="str">
        <f>HYPERLINK("http://stackoverflow.com/users/3315807", "Ray")</f>
        <v>Ray</v>
      </c>
      <c r="D4267" t="s">
        <v>4</v>
      </c>
      <c r="E4267">
        <v>36</v>
      </c>
    </row>
    <row r="4268" spans="1:5" x14ac:dyDescent="0.25">
      <c r="A4268">
        <v>4267</v>
      </c>
      <c r="B4268">
        <v>3871877</v>
      </c>
      <c r="C4268" s="1" t="str">
        <f>HYPERLINK("http://stackoverflow.com/users/3871877", "hanxu")</f>
        <v>hanxu</v>
      </c>
      <c r="D4268" t="s">
        <v>28</v>
      </c>
      <c r="E4268">
        <v>36</v>
      </c>
    </row>
    <row r="4269" spans="1:5" x14ac:dyDescent="0.25">
      <c r="A4269">
        <v>4268</v>
      </c>
      <c r="B4269">
        <v>4037017</v>
      </c>
      <c r="C4269" s="1" t="str">
        <f>HYPERLINK("http://stackoverflow.com/users/4037017", "wuruxu")</f>
        <v>wuruxu</v>
      </c>
      <c r="D4269" t="s">
        <v>12</v>
      </c>
      <c r="E4269">
        <v>36</v>
      </c>
    </row>
    <row r="4270" spans="1:5" x14ac:dyDescent="0.25">
      <c r="A4270">
        <v>4269</v>
      </c>
      <c r="B4270">
        <v>5760476</v>
      </c>
      <c r="C4270" s="1" t="str">
        <f>HYPERLINK("http://stackoverflow.com/users/5760476", "bramble")</f>
        <v>bramble</v>
      </c>
      <c r="D4270" t="s">
        <v>4</v>
      </c>
      <c r="E4270">
        <v>36</v>
      </c>
    </row>
    <row r="4271" spans="1:5" x14ac:dyDescent="0.25">
      <c r="A4271">
        <v>4270</v>
      </c>
      <c r="B4271">
        <v>2318609</v>
      </c>
      <c r="C4271" s="1" t="str">
        <f>HYPERLINK("http://stackoverflow.com/users/2318609", "huip")</f>
        <v>huip</v>
      </c>
      <c r="D4271" t="s">
        <v>8</v>
      </c>
      <c r="E4271">
        <v>36</v>
      </c>
    </row>
    <row r="4272" spans="1:5" x14ac:dyDescent="0.25">
      <c r="A4272">
        <v>4271</v>
      </c>
      <c r="B4272">
        <v>7270602</v>
      </c>
      <c r="C4272" s="1" t="str">
        <f>HYPERLINK("http://stackoverflow.com/users/7270602", "cheon")</f>
        <v>cheon</v>
      </c>
      <c r="D4272" t="s">
        <v>265</v>
      </c>
      <c r="E4272">
        <v>36</v>
      </c>
    </row>
    <row r="4273" spans="1:5" x14ac:dyDescent="0.25">
      <c r="A4273">
        <v>4272</v>
      </c>
      <c r="B4273">
        <v>7252743</v>
      </c>
      <c r="C4273" s="1" t="str">
        <f>HYPERLINK("http://stackoverflow.com/users/7252743", "Villian79")</f>
        <v>Villian79</v>
      </c>
      <c r="D4273" t="s">
        <v>267</v>
      </c>
      <c r="E4273">
        <v>36</v>
      </c>
    </row>
    <row r="4274" spans="1:5" x14ac:dyDescent="0.25">
      <c r="A4274">
        <v>4273</v>
      </c>
      <c r="B4274">
        <v>1785989</v>
      </c>
      <c r="C4274" s="1" t="str">
        <f>HYPERLINK("http://stackoverflow.com/users/1785989", "everright.chen")</f>
        <v>everright.chen</v>
      </c>
      <c r="D4274" t="s">
        <v>4</v>
      </c>
      <c r="E4274">
        <v>36</v>
      </c>
    </row>
    <row r="4275" spans="1:5" x14ac:dyDescent="0.25">
      <c r="A4275">
        <v>4274</v>
      </c>
      <c r="B4275">
        <v>9059542</v>
      </c>
      <c r="C4275" s="1" t="str">
        <f>HYPERLINK("http://stackoverflow.com/users/9059542", "Shawn Niu")</f>
        <v>Shawn Niu</v>
      </c>
      <c r="D4275" t="s">
        <v>5</v>
      </c>
      <c r="E4275">
        <v>36</v>
      </c>
    </row>
    <row r="4276" spans="1:5" x14ac:dyDescent="0.25">
      <c r="A4276">
        <v>4275</v>
      </c>
      <c r="B4276">
        <v>440360</v>
      </c>
      <c r="C4276" s="1" t="str">
        <f>HYPERLINK("http://stackoverflow.com/users/440360", "marcofang")</f>
        <v>marcofang</v>
      </c>
      <c r="D4276" t="s">
        <v>4</v>
      </c>
      <c r="E4276">
        <v>36</v>
      </c>
    </row>
    <row r="4277" spans="1:5" x14ac:dyDescent="0.25">
      <c r="A4277">
        <v>4276</v>
      </c>
      <c r="B4277">
        <v>1550207</v>
      </c>
      <c r="C4277" s="1" t="str">
        <f>HYPERLINK("http://stackoverflow.com/users/1550207", "Bruce_Van")</f>
        <v>Bruce_Van</v>
      </c>
      <c r="D4277" t="s">
        <v>5</v>
      </c>
      <c r="E4277">
        <v>36</v>
      </c>
    </row>
    <row r="4278" spans="1:5" x14ac:dyDescent="0.25">
      <c r="A4278">
        <v>4277</v>
      </c>
      <c r="B4278">
        <v>10588933</v>
      </c>
      <c r="C4278" s="1" t="str">
        <f>HYPERLINK("http://stackoverflow.com/users/10588933", "cefh")</f>
        <v>cefh</v>
      </c>
      <c r="D4278" t="s">
        <v>244</v>
      </c>
      <c r="E4278">
        <v>36</v>
      </c>
    </row>
    <row r="4279" spans="1:5" x14ac:dyDescent="0.25">
      <c r="A4279">
        <v>4278</v>
      </c>
      <c r="B4279">
        <v>1603193</v>
      </c>
      <c r="C4279" s="1" t="str">
        <f>HYPERLINK("http://stackoverflow.com/users/1603193", "everding")</f>
        <v>everding</v>
      </c>
      <c r="D4279" t="s">
        <v>5</v>
      </c>
      <c r="E4279">
        <v>36</v>
      </c>
    </row>
    <row r="4280" spans="1:5" x14ac:dyDescent="0.25">
      <c r="A4280">
        <v>4279</v>
      </c>
      <c r="B4280">
        <v>4808613</v>
      </c>
      <c r="C4280" s="1" t="str">
        <f>HYPERLINK("http://stackoverflow.com/users/4808613", "jinyu0310")</f>
        <v>jinyu0310</v>
      </c>
      <c r="D4280" t="s">
        <v>16</v>
      </c>
      <c r="E4280">
        <v>36</v>
      </c>
    </row>
    <row r="4281" spans="1:5" x14ac:dyDescent="0.25">
      <c r="A4281">
        <v>4280</v>
      </c>
      <c r="B4281">
        <v>1017619</v>
      </c>
      <c r="C4281" s="1" t="str">
        <f>HYPERLINK("http://stackoverflow.com/users/1017619", "fayTu")</f>
        <v>fayTu</v>
      </c>
      <c r="D4281" t="s">
        <v>17</v>
      </c>
      <c r="E4281">
        <v>36</v>
      </c>
    </row>
    <row r="4282" spans="1:5" x14ac:dyDescent="0.25">
      <c r="A4282">
        <v>4281</v>
      </c>
      <c r="B4282">
        <v>1163065</v>
      </c>
      <c r="C4282" s="1" t="str">
        <f>HYPERLINK("http://stackoverflow.com/users/1163065", "evasnowind")</f>
        <v>evasnowind</v>
      </c>
      <c r="D4282" t="s">
        <v>5</v>
      </c>
      <c r="E4282">
        <v>36</v>
      </c>
    </row>
    <row r="4283" spans="1:5" x14ac:dyDescent="0.25">
      <c r="A4283">
        <v>4282</v>
      </c>
      <c r="B4283">
        <v>4945486</v>
      </c>
      <c r="C4283" s="1" t="str">
        <f>HYPERLINK("http://stackoverflow.com/users/4945486", "herrk")</f>
        <v>herrk</v>
      </c>
      <c r="D4283" t="s">
        <v>5</v>
      </c>
      <c r="E4283">
        <v>36</v>
      </c>
    </row>
    <row r="4284" spans="1:5" x14ac:dyDescent="0.25">
      <c r="A4284">
        <v>4283</v>
      </c>
      <c r="B4284">
        <v>6709737</v>
      </c>
      <c r="C4284" s="1" t="str">
        <f>HYPERLINK("http://stackoverflow.com/users/6709737", "Zhi Yuan Wang")</f>
        <v>Zhi Yuan Wang</v>
      </c>
      <c r="D4284" t="s">
        <v>131</v>
      </c>
      <c r="E4284">
        <v>36</v>
      </c>
    </row>
    <row r="4285" spans="1:5" x14ac:dyDescent="0.25">
      <c r="A4285">
        <v>4284</v>
      </c>
      <c r="B4285">
        <v>8875518</v>
      </c>
      <c r="C4285" s="1" t="str">
        <f>HYPERLINK("http://stackoverflow.com/users/8875518", "Zhang")</f>
        <v>Zhang</v>
      </c>
      <c r="D4285" t="s">
        <v>33</v>
      </c>
      <c r="E4285">
        <v>36</v>
      </c>
    </row>
    <row r="4286" spans="1:5" x14ac:dyDescent="0.25">
      <c r="A4286">
        <v>4285</v>
      </c>
      <c r="B4286">
        <v>1210726</v>
      </c>
      <c r="C4286" s="1" t="str">
        <f>HYPERLINK("http://stackoverflow.com/users/1210726", "Kevin Lui")</f>
        <v>Kevin Lui</v>
      </c>
      <c r="D4286" t="s">
        <v>4</v>
      </c>
      <c r="E4286">
        <v>36</v>
      </c>
    </row>
    <row r="4287" spans="1:5" x14ac:dyDescent="0.25">
      <c r="A4287">
        <v>4286</v>
      </c>
      <c r="B4287">
        <v>3202363</v>
      </c>
      <c r="C4287" s="1" t="str">
        <f>HYPERLINK("http://stackoverflow.com/users/3202363", "Jun")</f>
        <v>Jun</v>
      </c>
      <c r="D4287" t="s">
        <v>22</v>
      </c>
      <c r="E4287">
        <v>36</v>
      </c>
    </row>
    <row r="4288" spans="1:5" x14ac:dyDescent="0.25">
      <c r="A4288">
        <v>4287</v>
      </c>
      <c r="B4288">
        <v>1366091</v>
      </c>
      <c r="C4288" s="1" t="str">
        <f>HYPERLINK("http://stackoverflow.com/users/1366091", "edwardpku")</f>
        <v>edwardpku</v>
      </c>
      <c r="D4288" t="s">
        <v>5</v>
      </c>
      <c r="E4288">
        <v>36</v>
      </c>
    </row>
    <row r="4289" spans="1:5" x14ac:dyDescent="0.25">
      <c r="A4289">
        <v>4288</v>
      </c>
      <c r="B4289">
        <v>1388923</v>
      </c>
      <c r="C4289" s="1" t="str">
        <f>HYPERLINK("http://stackoverflow.com/users/1388923", "Yunfei.Xiao")</f>
        <v>Yunfei.Xiao</v>
      </c>
      <c r="D4289" t="s">
        <v>17</v>
      </c>
      <c r="E4289">
        <v>36</v>
      </c>
    </row>
    <row r="4290" spans="1:5" x14ac:dyDescent="0.25">
      <c r="A4290">
        <v>4289</v>
      </c>
      <c r="B4290">
        <v>1035182</v>
      </c>
      <c r="C4290" s="1" t="str">
        <f>HYPERLINK("http://stackoverflow.com/users/1035182", "lijinfeng042")</f>
        <v>lijinfeng042</v>
      </c>
      <c r="D4290" t="s">
        <v>4</v>
      </c>
      <c r="E4290">
        <v>36</v>
      </c>
    </row>
    <row r="4291" spans="1:5" x14ac:dyDescent="0.25">
      <c r="A4291">
        <v>4290</v>
      </c>
      <c r="B4291">
        <v>4699604</v>
      </c>
      <c r="C4291" s="1" t="str">
        <f>HYPERLINK("http://stackoverflow.com/users/4699604", "Liangmin Li")</f>
        <v>Liangmin Li</v>
      </c>
      <c r="D4291" t="s">
        <v>17</v>
      </c>
      <c r="E4291">
        <v>36</v>
      </c>
    </row>
    <row r="4292" spans="1:5" x14ac:dyDescent="0.25">
      <c r="A4292">
        <v>4291</v>
      </c>
      <c r="B4292">
        <v>712824</v>
      </c>
      <c r="C4292" s="1" t="str">
        <f>HYPERLINK("http://stackoverflow.com/users/712824", "jumpingstone")</f>
        <v>jumpingstone</v>
      </c>
      <c r="D4292" t="s">
        <v>4</v>
      </c>
      <c r="E4292">
        <v>36</v>
      </c>
    </row>
    <row r="4293" spans="1:5" x14ac:dyDescent="0.25">
      <c r="A4293">
        <v>4292</v>
      </c>
      <c r="B4293">
        <v>712965</v>
      </c>
      <c r="C4293" s="1" t="str">
        <f>HYPERLINK("http://stackoverflow.com/users/712965", "Minilin")</f>
        <v>Minilin</v>
      </c>
      <c r="D4293" t="s">
        <v>5</v>
      </c>
      <c r="E4293">
        <v>36</v>
      </c>
    </row>
    <row r="4294" spans="1:5" x14ac:dyDescent="0.25">
      <c r="A4294">
        <v>4293</v>
      </c>
      <c r="B4294">
        <v>2964428</v>
      </c>
      <c r="C4294" s="1" t="str">
        <f>HYPERLINK("http://stackoverflow.com/users/2964428", "da_miao_zi")</f>
        <v>da_miao_zi</v>
      </c>
      <c r="D4294" t="s">
        <v>5</v>
      </c>
      <c r="E4294">
        <v>36</v>
      </c>
    </row>
    <row r="4295" spans="1:5" x14ac:dyDescent="0.25">
      <c r="A4295">
        <v>4294</v>
      </c>
      <c r="B4295">
        <v>6043576</v>
      </c>
      <c r="C4295" s="1" t="str">
        <f>HYPERLINK("http://stackoverflow.com/users/6043576", "Leona Shu")</f>
        <v>Leona Shu</v>
      </c>
      <c r="D4295" t="s">
        <v>5</v>
      </c>
      <c r="E4295">
        <v>36</v>
      </c>
    </row>
    <row r="4296" spans="1:5" x14ac:dyDescent="0.25">
      <c r="A4296">
        <v>4295</v>
      </c>
      <c r="B4296">
        <v>3825920</v>
      </c>
      <c r="C4296" s="1" t="str">
        <f>HYPERLINK("http://stackoverflow.com/users/3825920", "Kuangfeng")</f>
        <v>Kuangfeng</v>
      </c>
      <c r="D4296" t="s">
        <v>4</v>
      </c>
      <c r="E4296">
        <v>36</v>
      </c>
    </row>
    <row r="4297" spans="1:5" x14ac:dyDescent="0.25">
      <c r="A4297">
        <v>4296</v>
      </c>
      <c r="B4297">
        <v>2024114</v>
      </c>
      <c r="C4297" s="1" t="str">
        <f>HYPERLINK("http://stackoverflow.com/users/2024114", "by_unicorn")</f>
        <v>by_unicorn</v>
      </c>
      <c r="D4297" t="s">
        <v>4</v>
      </c>
      <c r="E4297">
        <v>36</v>
      </c>
    </row>
    <row r="4298" spans="1:5" x14ac:dyDescent="0.25">
      <c r="A4298">
        <v>4297</v>
      </c>
      <c r="B4298">
        <v>5579887</v>
      </c>
      <c r="C4298" s="1" t="str">
        <f>HYPERLINK("http://stackoverflow.com/users/5579887", "Will Zhao")</f>
        <v>Will Zhao</v>
      </c>
      <c r="D4298" t="s">
        <v>5</v>
      </c>
      <c r="E4298">
        <v>36</v>
      </c>
    </row>
    <row r="4299" spans="1:5" x14ac:dyDescent="0.25">
      <c r="A4299">
        <v>4298</v>
      </c>
      <c r="B4299">
        <v>4003204</v>
      </c>
      <c r="C4299" s="1" t="str">
        <f>HYPERLINK("http://stackoverflow.com/users/4003204", "Aris Chow")</f>
        <v>Aris Chow</v>
      </c>
      <c r="D4299" t="s">
        <v>25</v>
      </c>
      <c r="E4299">
        <v>36</v>
      </c>
    </row>
    <row r="4300" spans="1:5" x14ac:dyDescent="0.25">
      <c r="A4300">
        <v>4299</v>
      </c>
      <c r="B4300">
        <v>2175251</v>
      </c>
      <c r="C4300" s="1" t="str">
        <f>HYPERLINK("http://stackoverflow.com/users/2175251", "Joshua")</f>
        <v>Joshua</v>
      </c>
      <c r="D4300" t="s">
        <v>4</v>
      </c>
      <c r="E4300">
        <v>36</v>
      </c>
    </row>
    <row r="4301" spans="1:5" x14ac:dyDescent="0.25">
      <c r="A4301">
        <v>4300</v>
      </c>
      <c r="B4301">
        <v>4222801</v>
      </c>
      <c r="C4301" s="1" t="str">
        <f>HYPERLINK("http://stackoverflow.com/users/4222801", "JoShin")</f>
        <v>JoShin</v>
      </c>
      <c r="D4301" t="s">
        <v>4</v>
      </c>
      <c r="E4301">
        <v>36</v>
      </c>
    </row>
    <row r="4302" spans="1:5" x14ac:dyDescent="0.25">
      <c r="A4302">
        <v>4301</v>
      </c>
      <c r="B4302">
        <v>9482733</v>
      </c>
      <c r="C4302" s="1" t="str">
        <f>HYPERLINK("http://stackoverflow.com/users/9482733", "Delphie")</f>
        <v>Delphie</v>
      </c>
      <c r="D4302" t="s">
        <v>4</v>
      </c>
      <c r="E4302">
        <v>36</v>
      </c>
    </row>
    <row r="4303" spans="1:5" x14ac:dyDescent="0.25">
      <c r="A4303">
        <v>4302</v>
      </c>
      <c r="B4303">
        <v>4051278</v>
      </c>
      <c r="C4303" s="1" t="str">
        <f>HYPERLINK("http://stackoverflow.com/users/4051278", "Kaayan")</f>
        <v>Kaayan</v>
      </c>
      <c r="D4303" t="s">
        <v>21</v>
      </c>
      <c r="E4303">
        <v>36</v>
      </c>
    </row>
    <row r="4304" spans="1:5" x14ac:dyDescent="0.25">
      <c r="A4304">
        <v>4303</v>
      </c>
      <c r="B4304">
        <v>2278762</v>
      </c>
      <c r="C4304" s="1" t="str">
        <f>HYPERLINK("http://stackoverflow.com/users/2278762", "fangwz0577")</f>
        <v>fangwz0577</v>
      </c>
      <c r="D4304" t="s">
        <v>17</v>
      </c>
      <c r="E4304">
        <v>36</v>
      </c>
    </row>
    <row r="4305" spans="1:5" x14ac:dyDescent="0.25">
      <c r="A4305">
        <v>4304</v>
      </c>
      <c r="B4305">
        <v>5862903</v>
      </c>
      <c r="C4305" s="1" t="str">
        <f>HYPERLINK("http://stackoverflow.com/users/5862903", "JianWan")</f>
        <v>JianWan</v>
      </c>
      <c r="D4305" t="s">
        <v>5</v>
      </c>
      <c r="E4305">
        <v>36</v>
      </c>
    </row>
    <row r="4306" spans="1:5" x14ac:dyDescent="0.25">
      <c r="A4306">
        <v>4305</v>
      </c>
      <c r="B4306">
        <v>3065512</v>
      </c>
      <c r="C4306" s="1" t="str">
        <f>HYPERLINK("http://stackoverflow.com/users/3065512", "WilhelmJung")</f>
        <v>WilhelmJung</v>
      </c>
      <c r="D4306" t="s">
        <v>17</v>
      </c>
      <c r="E4306">
        <v>36</v>
      </c>
    </row>
    <row r="4307" spans="1:5" x14ac:dyDescent="0.25">
      <c r="A4307">
        <v>4306</v>
      </c>
      <c r="B4307">
        <v>2859987</v>
      </c>
      <c r="C4307" s="1" t="str">
        <f>HYPERLINK("http://stackoverflow.com/users/2859987", "Mona Sanqian")</f>
        <v>Mona Sanqian</v>
      </c>
      <c r="D4307" t="s">
        <v>16</v>
      </c>
      <c r="E4307">
        <v>36</v>
      </c>
    </row>
    <row r="4308" spans="1:5" x14ac:dyDescent="0.25">
      <c r="A4308">
        <v>4307</v>
      </c>
      <c r="B4308">
        <v>2444223</v>
      </c>
      <c r="C4308" s="1" t="str">
        <f>HYPERLINK("http://stackoverflow.com/users/2444223", "Yushan Lu")</f>
        <v>Yushan Lu</v>
      </c>
      <c r="D4308" t="s">
        <v>268</v>
      </c>
      <c r="E4308">
        <v>36</v>
      </c>
    </row>
    <row r="4309" spans="1:5" x14ac:dyDescent="0.25">
      <c r="A4309">
        <v>4308</v>
      </c>
      <c r="B4309">
        <v>2630686</v>
      </c>
      <c r="C4309" s="1" t="str">
        <f>HYPERLINK("http://stackoverflow.com/users/2630686", "Youth overturn")</f>
        <v>Youth overturn</v>
      </c>
      <c r="D4309" t="s">
        <v>5</v>
      </c>
      <c r="E4309">
        <v>36</v>
      </c>
    </row>
    <row r="4310" spans="1:5" x14ac:dyDescent="0.25">
      <c r="A4310">
        <v>4309</v>
      </c>
      <c r="B4310">
        <v>1397628</v>
      </c>
      <c r="C4310" s="1" t="str">
        <f>HYPERLINK("http://stackoverflow.com/users/1397628", "Jane Hsiun")</f>
        <v>Jane Hsiun</v>
      </c>
      <c r="D4310" t="s">
        <v>21</v>
      </c>
      <c r="E4310">
        <v>36</v>
      </c>
    </row>
    <row r="4311" spans="1:5" x14ac:dyDescent="0.25">
      <c r="A4311">
        <v>4310</v>
      </c>
      <c r="B4311">
        <v>1364826</v>
      </c>
      <c r="C4311" s="1" t="str">
        <f>HYPERLINK("http://stackoverflow.com/users/1364826", "Rainius")</f>
        <v>Rainius</v>
      </c>
      <c r="D4311" t="s">
        <v>5</v>
      </c>
      <c r="E4311">
        <v>36</v>
      </c>
    </row>
    <row r="4312" spans="1:5" x14ac:dyDescent="0.25">
      <c r="A4312">
        <v>4311</v>
      </c>
      <c r="B4312">
        <v>5117513</v>
      </c>
      <c r="C4312" s="1" t="str">
        <f>HYPERLINK("http://stackoverflow.com/users/5117513", "JinQian Chen")</f>
        <v>JinQian Chen</v>
      </c>
      <c r="D4312" t="s">
        <v>17</v>
      </c>
      <c r="E4312">
        <v>36</v>
      </c>
    </row>
    <row r="4313" spans="1:5" x14ac:dyDescent="0.25">
      <c r="A4313">
        <v>4312</v>
      </c>
      <c r="B4313">
        <v>10561964</v>
      </c>
      <c r="C4313" s="1" t="str">
        <f>HYPERLINK("http://stackoverflow.com/users/10561964", "Rengao Zhou")</f>
        <v>Rengao Zhou</v>
      </c>
      <c r="D4313" t="s">
        <v>4</v>
      </c>
      <c r="E4313">
        <v>36</v>
      </c>
    </row>
    <row r="4314" spans="1:5" x14ac:dyDescent="0.25">
      <c r="A4314">
        <v>4313</v>
      </c>
      <c r="B4314">
        <v>6681045</v>
      </c>
      <c r="C4314" s="1" t="str">
        <f>HYPERLINK("http://stackoverflow.com/users/6681045", "riversxiao")</f>
        <v>riversxiao</v>
      </c>
      <c r="D4314" t="s">
        <v>4</v>
      </c>
      <c r="E4314">
        <v>36</v>
      </c>
    </row>
    <row r="4315" spans="1:5" x14ac:dyDescent="0.25">
      <c r="A4315">
        <v>4314</v>
      </c>
      <c r="B4315">
        <v>4946734</v>
      </c>
      <c r="C4315" s="1" t="str">
        <f>HYPERLINK("http://stackoverflow.com/users/4946734", "Albert Leung")</f>
        <v>Albert Leung</v>
      </c>
      <c r="D4315" t="s">
        <v>5</v>
      </c>
      <c r="E4315">
        <v>36</v>
      </c>
    </row>
    <row r="4316" spans="1:5" x14ac:dyDescent="0.25">
      <c r="A4316">
        <v>4315</v>
      </c>
      <c r="B4316">
        <v>8556385</v>
      </c>
      <c r="C4316" s="1" t="str">
        <f>HYPERLINK("http://stackoverflow.com/users/8556385", "veggie crunch burger")</f>
        <v>veggie crunch burger</v>
      </c>
      <c r="D4316" t="s">
        <v>269</v>
      </c>
      <c r="E4316">
        <v>36</v>
      </c>
    </row>
    <row r="4317" spans="1:5" x14ac:dyDescent="0.25">
      <c r="A4317">
        <v>4316</v>
      </c>
      <c r="B4317">
        <v>5264121</v>
      </c>
      <c r="C4317" s="1" t="str">
        <f>HYPERLINK("http://stackoverflow.com/users/5264121", "Zheng Kun")</f>
        <v>Zheng Kun</v>
      </c>
      <c r="D4317" t="s">
        <v>5</v>
      </c>
      <c r="E4317">
        <v>36</v>
      </c>
    </row>
    <row r="4318" spans="1:5" x14ac:dyDescent="0.25">
      <c r="A4318">
        <v>4317</v>
      </c>
      <c r="B4318">
        <v>1634994</v>
      </c>
      <c r="C4318" s="1" t="str">
        <f>HYPERLINK("http://stackoverflow.com/users/1634994", "jimmyk")</f>
        <v>jimmyk</v>
      </c>
      <c r="D4318" t="s">
        <v>21</v>
      </c>
      <c r="E4318">
        <v>36</v>
      </c>
    </row>
    <row r="4319" spans="1:5" x14ac:dyDescent="0.25">
      <c r="A4319">
        <v>4318</v>
      </c>
      <c r="B4319">
        <v>5283118</v>
      </c>
      <c r="C4319" s="1" t="str">
        <f>HYPERLINK("http://stackoverflow.com/users/5283118", "Jacky")</f>
        <v>Jacky</v>
      </c>
      <c r="D4319" t="s">
        <v>5</v>
      </c>
      <c r="E4319">
        <v>36</v>
      </c>
    </row>
    <row r="4320" spans="1:5" x14ac:dyDescent="0.25">
      <c r="A4320">
        <v>4319</v>
      </c>
      <c r="B4320">
        <v>5440884</v>
      </c>
      <c r="C4320" s="1" t="str">
        <f>HYPERLINK("http://stackoverflow.com/users/5440884", "John Lee")</f>
        <v>John Lee</v>
      </c>
      <c r="D4320" t="s">
        <v>5</v>
      </c>
      <c r="E4320">
        <v>36</v>
      </c>
    </row>
    <row r="4321" spans="1:5" x14ac:dyDescent="0.25">
      <c r="A4321">
        <v>4320</v>
      </c>
      <c r="B4321">
        <v>5474063</v>
      </c>
      <c r="C4321" s="1" t="str">
        <f>HYPERLINK("http://stackoverflow.com/users/5474063", "Song Jia")</f>
        <v>Song Jia</v>
      </c>
      <c r="D4321" t="s">
        <v>57</v>
      </c>
      <c r="E4321">
        <v>36</v>
      </c>
    </row>
    <row r="4322" spans="1:5" x14ac:dyDescent="0.25">
      <c r="A4322">
        <v>4321</v>
      </c>
      <c r="B4322">
        <v>7114531</v>
      </c>
      <c r="C4322" s="1" t="str">
        <f>HYPERLINK("http://stackoverflow.com/users/7114531", "abccsss")</f>
        <v>abccsss</v>
      </c>
      <c r="D4322" t="s">
        <v>270</v>
      </c>
      <c r="E4322">
        <v>36</v>
      </c>
    </row>
    <row r="4323" spans="1:5" x14ac:dyDescent="0.25">
      <c r="A4323">
        <v>4322</v>
      </c>
      <c r="B4323">
        <v>10920285</v>
      </c>
      <c r="C4323" s="1" t="str">
        <f>HYPERLINK("http://stackoverflow.com/users/10920285", "Li Jin")</f>
        <v>Li Jin</v>
      </c>
      <c r="D4323" t="s">
        <v>90</v>
      </c>
      <c r="E4323">
        <v>36</v>
      </c>
    </row>
    <row r="4324" spans="1:5" x14ac:dyDescent="0.25">
      <c r="A4324">
        <v>4323</v>
      </c>
      <c r="B4324">
        <v>6037913</v>
      </c>
      <c r="C4324" s="1" t="str">
        <f>HYPERLINK("http://stackoverflow.com/users/6037913", "Kohaku")</f>
        <v>Kohaku</v>
      </c>
      <c r="D4324" t="s">
        <v>5</v>
      </c>
      <c r="E4324">
        <v>36</v>
      </c>
    </row>
    <row r="4325" spans="1:5" x14ac:dyDescent="0.25">
      <c r="A4325">
        <v>4324</v>
      </c>
      <c r="B4325">
        <v>6092418</v>
      </c>
      <c r="C4325" s="1" t="str">
        <f>HYPERLINK("http://stackoverflow.com/users/6092418", "oudi")</f>
        <v>oudi</v>
      </c>
      <c r="D4325" t="s">
        <v>4</v>
      </c>
      <c r="E4325">
        <v>36</v>
      </c>
    </row>
    <row r="4326" spans="1:5" x14ac:dyDescent="0.25">
      <c r="A4326">
        <v>4325</v>
      </c>
      <c r="B4326">
        <v>402238</v>
      </c>
      <c r="C4326" s="1" t="str">
        <f>HYPERLINK("http://stackoverflow.com/users/402238", "Lipingtababa")</f>
        <v>Lipingtababa</v>
      </c>
      <c r="D4326" t="s">
        <v>17</v>
      </c>
      <c r="E4326">
        <v>36</v>
      </c>
    </row>
    <row r="4327" spans="1:5" x14ac:dyDescent="0.25">
      <c r="A4327">
        <v>4326</v>
      </c>
      <c r="B4327">
        <v>457210</v>
      </c>
      <c r="C4327" s="1" t="str">
        <f>HYPERLINK("http://stackoverflow.com/users/457210", "user457210")</f>
        <v>user457210</v>
      </c>
      <c r="D4327" t="s">
        <v>5</v>
      </c>
      <c r="E4327">
        <v>36</v>
      </c>
    </row>
    <row r="4328" spans="1:5" x14ac:dyDescent="0.25">
      <c r="A4328">
        <v>4327</v>
      </c>
      <c r="B4328">
        <v>4525679</v>
      </c>
      <c r="C4328" s="1" t="str">
        <f>HYPERLINK("http://stackoverflow.com/users/4525679", "wufucious")</f>
        <v>wufucious</v>
      </c>
      <c r="D4328" t="s">
        <v>4</v>
      </c>
      <c r="E4328">
        <v>36</v>
      </c>
    </row>
    <row r="4329" spans="1:5" x14ac:dyDescent="0.25">
      <c r="A4329">
        <v>4328</v>
      </c>
      <c r="B4329">
        <v>893624</v>
      </c>
      <c r="C4329" s="1" t="str">
        <f>HYPERLINK("http://stackoverflow.com/users/893624", "marvyn")</f>
        <v>marvyn</v>
      </c>
      <c r="D4329" t="s">
        <v>4</v>
      </c>
      <c r="E4329">
        <v>36</v>
      </c>
    </row>
    <row r="4330" spans="1:5" x14ac:dyDescent="0.25">
      <c r="A4330">
        <v>4329</v>
      </c>
      <c r="B4330">
        <v>520178</v>
      </c>
      <c r="C4330" s="1" t="str">
        <f>HYPERLINK("http://stackoverflow.com/users/520178", "yangyang")</f>
        <v>yangyang</v>
      </c>
      <c r="D4330" t="s">
        <v>4</v>
      </c>
      <c r="E4330">
        <v>36</v>
      </c>
    </row>
    <row r="4331" spans="1:5" x14ac:dyDescent="0.25">
      <c r="A4331">
        <v>4330</v>
      </c>
      <c r="B4331">
        <v>1731916</v>
      </c>
      <c r="C4331" s="1" t="str">
        <f>HYPERLINK("http://stackoverflow.com/users/1731916", "chenxi.hou")</f>
        <v>chenxi.hou</v>
      </c>
      <c r="D4331" t="s">
        <v>5</v>
      </c>
      <c r="E4331">
        <v>36</v>
      </c>
    </row>
    <row r="4332" spans="1:5" x14ac:dyDescent="0.25">
      <c r="A4332">
        <v>4331</v>
      </c>
      <c r="B4332">
        <v>6851218</v>
      </c>
      <c r="C4332" s="1" t="str">
        <f>HYPERLINK("http://stackoverflow.com/users/6851218", "Qin.Bruno")</f>
        <v>Qin.Bruno</v>
      </c>
      <c r="D4332" t="s">
        <v>4</v>
      </c>
      <c r="E4332">
        <v>36</v>
      </c>
    </row>
    <row r="4333" spans="1:5" x14ac:dyDescent="0.25">
      <c r="A4333">
        <v>4332</v>
      </c>
      <c r="B4333">
        <v>1205094</v>
      </c>
      <c r="C4333" s="1" t="str">
        <f>HYPERLINK("http://stackoverflow.com/users/1205094", "jack")</f>
        <v>jack</v>
      </c>
      <c r="D4333" t="s">
        <v>22</v>
      </c>
      <c r="E4333">
        <v>36</v>
      </c>
    </row>
    <row r="4334" spans="1:5" x14ac:dyDescent="0.25">
      <c r="A4334">
        <v>4333</v>
      </c>
      <c r="B4334">
        <v>3132252</v>
      </c>
      <c r="C4334" s="1" t="str">
        <f>HYPERLINK("http://stackoverflow.com/users/3132252", "hjason")</f>
        <v>hjason</v>
      </c>
      <c r="D4334" t="s">
        <v>5</v>
      </c>
      <c r="E4334">
        <v>36</v>
      </c>
    </row>
    <row r="4335" spans="1:5" x14ac:dyDescent="0.25">
      <c r="A4335">
        <v>4334</v>
      </c>
      <c r="B4335">
        <v>1047544</v>
      </c>
      <c r="C4335" s="1" t="str">
        <f>HYPERLINK("http://stackoverflow.com/users/1047544", "tonychow")</f>
        <v>tonychow</v>
      </c>
      <c r="D4335" t="s">
        <v>17</v>
      </c>
      <c r="E4335">
        <v>36</v>
      </c>
    </row>
    <row r="4336" spans="1:5" x14ac:dyDescent="0.25">
      <c r="A4336">
        <v>4335</v>
      </c>
      <c r="B4336">
        <v>962228</v>
      </c>
      <c r="C4336" s="1" t="str">
        <f>HYPERLINK("http://stackoverflow.com/users/962228", "ghostonleft")</f>
        <v>ghostonleft</v>
      </c>
      <c r="D4336" t="s">
        <v>12</v>
      </c>
      <c r="E4336">
        <v>36</v>
      </c>
    </row>
    <row r="4337" spans="1:5" x14ac:dyDescent="0.25">
      <c r="A4337">
        <v>4336</v>
      </c>
      <c r="B4337">
        <v>2995647</v>
      </c>
      <c r="C4337" s="1" t="str">
        <f>HYPERLINK("http://stackoverflow.com/users/2995647", "devbean")</f>
        <v>devbean</v>
      </c>
      <c r="D4337" t="s">
        <v>37</v>
      </c>
      <c r="E4337">
        <v>36</v>
      </c>
    </row>
    <row r="4338" spans="1:5" x14ac:dyDescent="0.25">
      <c r="A4338">
        <v>4337</v>
      </c>
      <c r="B4338">
        <v>7361843</v>
      </c>
      <c r="C4338" s="1" t="str">
        <f>HYPERLINK("http://stackoverflow.com/users/7361843", "Jack Shen")</f>
        <v>Jack Shen</v>
      </c>
      <c r="D4338" t="s">
        <v>271</v>
      </c>
      <c r="E4338">
        <v>36</v>
      </c>
    </row>
    <row r="4339" spans="1:5" x14ac:dyDescent="0.25">
      <c r="A4339">
        <v>4338</v>
      </c>
      <c r="B4339">
        <v>5549579</v>
      </c>
      <c r="C4339" s="1" t="str">
        <f>HYPERLINK("http://stackoverflow.com/users/5549579", "ArianeLu")</f>
        <v>ArianeLu</v>
      </c>
      <c r="D4339" t="s">
        <v>25</v>
      </c>
      <c r="E4339">
        <v>36</v>
      </c>
    </row>
    <row r="4340" spans="1:5" x14ac:dyDescent="0.25">
      <c r="A4340">
        <v>4339</v>
      </c>
      <c r="B4340">
        <v>9192289</v>
      </c>
      <c r="C4340" s="1" t="str">
        <f>HYPERLINK("http://stackoverflow.com/users/9192289", "Huang Jianan")</f>
        <v>Huang Jianan</v>
      </c>
      <c r="D4340" t="s">
        <v>131</v>
      </c>
      <c r="E4340">
        <v>36</v>
      </c>
    </row>
    <row r="4341" spans="1:5" x14ac:dyDescent="0.25">
      <c r="A4341">
        <v>4340</v>
      </c>
      <c r="B4341">
        <v>4039247</v>
      </c>
      <c r="C4341" s="1" t="str">
        <f>HYPERLINK("http://stackoverflow.com/users/4039247", "Yinuo")</f>
        <v>Yinuo</v>
      </c>
      <c r="D4341" t="s">
        <v>8</v>
      </c>
      <c r="E4341">
        <v>36</v>
      </c>
    </row>
    <row r="4342" spans="1:5" x14ac:dyDescent="0.25">
      <c r="A4342">
        <v>4341</v>
      </c>
      <c r="B4342">
        <v>2378071</v>
      </c>
      <c r="C4342" s="1" t="str">
        <f>HYPERLINK("http://stackoverflow.com/users/2378071", "Monqi")</f>
        <v>Monqi</v>
      </c>
      <c r="D4342" t="s">
        <v>21</v>
      </c>
      <c r="E4342">
        <v>36</v>
      </c>
    </row>
    <row r="4343" spans="1:5" x14ac:dyDescent="0.25">
      <c r="A4343">
        <v>4342</v>
      </c>
      <c r="B4343">
        <v>5667168</v>
      </c>
      <c r="C4343" s="1" t="str">
        <f>HYPERLINK("http://stackoverflow.com/users/5667168", "xiao shaung")</f>
        <v>xiao shaung</v>
      </c>
      <c r="D4343" t="s">
        <v>4</v>
      </c>
      <c r="E4343">
        <v>36</v>
      </c>
    </row>
    <row r="4344" spans="1:5" x14ac:dyDescent="0.25">
      <c r="A4344">
        <v>4343</v>
      </c>
      <c r="B4344">
        <v>1820331</v>
      </c>
      <c r="C4344" s="1" t="str">
        <f>HYPERLINK("http://stackoverflow.com/users/1820331", "Ren Yong")</f>
        <v>Ren Yong</v>
      </c>
      <c r="D4344" t="s">
        <v>5</v>
      </c>
      <c r="E4344">
        <v>36</v>
      </c>
    </row>
    <row r="4345" spans="1:5" x14ac:dyDescent="0.25">
      <c r="A4345">
        <v>4344</v>
      </c>
      <c r="B4345">
        <v>7557437</v>
      </c>
      <c r="C4345" s="1" t="str">
        <f>HYPERLINK("http://stackoverflow.com/users/7557437", "MengZhi")</f>
        <v>MengZhi</v>
      </c>
      <c r="D4345" t="s">
        <v>52</v>
      </c>
      <c r="E4345">
        <v>36</v>
      </c>
    </row>
    <row r="4346" spans="1:5" x14ac:dyDescent="0.25">
      <c r="A4346">
        <v>4345</v>
      </c>
      <c r="B4346">
        <v>5722759</v>
      </c>
      <c r="C4346" s="1" t="str">
        <f>HYPERLINK("http://stackoverflow.com/users/5722759", "zhicheng")</f>
        <v>zhicheng</v>
      </c>
      <c r="D4346" t="s">
        <v>4</v>
      </c>
      <c r="E4346">
        <v>36</v>
      </c>
    </row>
    <row r="4347" spans="1:5" x14ac:dyDescent="0.25">
      <c r="A4347">
        <v>4346</v>
      </c>
      <c r="B4347">
        <v>2210157</v>
      </c>
      <c r="C4347" s="1" t="str">
        <f>HYPERLINK("http://stackoverflow.com/users/2210157", "Lambda47")</f>
        <v>Lambda47</v>
      </c>
      <c r="D4347" t="s">
        <v>90</v>
      </c>
      <c r="E4347">
        <v>36</v>
      </c>
    </row>
    <row r="4348" spans="1:5" x14ac:dyDescent="0.25">
      <c r="A4348">
        <v>4347</v>
      </c>
      <c r="B4348">
        <v>6005763</v>
      </c>
      <c r="C4348" s="1" t="str">
        <f>HYPERLINK("http://stackoverflow.com/users/6005763", "Sunrise")</f>
        <v>Sunrise</v>
      </c>
      <c r="D4348" t="s">
        <v>7</v>
      </c>
      <c r="E4348">
        <v>36</v>
      </c>
    </row>
    <row r="4349" spans="1:5" x14ac:dyDescent="0.25">
      <c r="A4349">
        <v>4348</v>
      </c>
      <c r="B4349">
        <v>1334651</v>
      </c>
      <c r="C4349" s="1" t="str">
        <f>HYPERLINK("http://stackoverflow.com/users/1334651", "tujingxuan")</f>
        <v>tujingxuan</v>
      </c>
      <c r="D4349" t="s">
        <v>37</v>
      </c>
      <c r="E4349">
        <v>36</v>
      </c>
    </row>
    <row r="4350" spans="1:5" x14ac:dyDescent="0.25">
      <c r="A4350">
        <v>4349</v>
      </c>
      <c r="B4350">
        <v>1334301</v>
      </c>
      <c r="C4350" s="1" t="str">
        <f>HYPERLINK("http://stackoverflow.com/users/1334301", "Chantz Yang")</f>
        <v>Chantz Yang</v>
      </c>
      <c r="D4350" t="s">
        <v>4</v>
      </c>
      <c r="E4350">
        <v>36</v>
      </c>
    </row>
    <row r="4351" spans="1:5" x14ac:dyDescent="0.25">
      <c r="A4351">
        <v>4350</v>
      </c>
      <c r="B4351">
        <v>1064597</v>
      </c>
      <c r="C4351" s="1" t="str">
        <f>HYPERLINK("http://stackoverflow.com/users/1064597", "Jason Ma")</f>
        <v>Jason Ma</v>
      </c>
      <c r="D4351" t="s">
        <v>4</v>
      </c>
      <c r="E4351">
        <v>36</v>
      </c>
    </row>
    <row r="4352" spans="1:5" x14ac:dyDescent="0.25">
      <c r="A4352">
        <v>4351</v>
      </c>
      <c r="B4352">
        <v>10295381</v>
      </c>
      <c r="C4352" s="1" t="str">
        <f>HYPERLINK("http://stackoverflow.com/users/10295381", "PeppaCat")</f>
        <v>PeppaCat</v>
      </c>
      <c r="D4352" t="s">
        <v>4</v>
      </c>
      <c r="E4352">
        <v>36</v>
      </c>
    </row>
    <row r="4353" spans="1:5" x14ac:dyDescent="0.25">
      <c r="A4353">
        <v>4352</v>
      </c>
      <c r="B4353">
        <v>520923</v>
      </c>
      <c r="C4353" s="1" t="str">
        <f>HYPERLINK("http://stackoverflow.com/users/520923", "darkangel")</f>
        <v>darkangel</v>
      </c>
      <c r="D4353" t="s">
        <v>5</v>
      </c>
      <c r="E4353">
        <v>36</v>
      </c>
    </row>
    <row r="4354" spans="1:5" x14ac:dyDescent="0.25">
      <c r="A4354">
        <v>4353</v>
      </c>
      <c r="B4354">
        <v>511854</v>
      </c>
      <c r="C4354" s="1" t="str">
        <f>HYPERLINK("http://stackoverflow.com/users/511854", "lushnis")</f>
        <v>lushnis</v>
      </c>
      <c r="D4354" t="s">
        <v>5</v>
      </c>
      <c r="E4354">
        <v>36</v>
      </c>
    </row>
    <row r="4355" spans="1:5" x14ac:dyDescent="0.25">
      <c r="A4355">
        <v>4354</v>
      </c>
      <c r="B4355">
        <v>2552543</v>
      </c>
      <c r="C4355" s="1" t="str">
        <f>HYPERLINK("http://stackoverflow.com/users/2552543", "SunXiaoqiang")</f>
        <v>SunXiaoqiang</v>
      </c>
      <c r="D4355" t="s">
        <v>12</v>
      </c>
      <c r="E4355">
        <v>36</v>
      </c>
    </row>
    <row r="4356" spans="1:5" x14ac:dyDescent="0.25">
      <c r="A4356">
        <v>4355</v>
      </c>
      <c r="B4356">
        <v>4026893</v>
      </c>
      <c r="C4356" s="1" t="str">
        <f>HYPERLINK("http://stackoverflow.com/users/4026893", "telehan")</f>
        <v>telehan</v>
      </c>
      <c r="D4356" t="s">
        <v>4</v>
      </c>
      <c r="E4356">
        <v>35</v>
      </c>
    </row>
    <row r="4357" spans="1:5" x14ac:dyDescent="0.25">
      <c r="A4357">
        <v>4356</v>
      </c>
      <c r="B4357">
        <v>5726964</v>
      </c>
      <c r="C4357" s="1" t="str">
        <f>HYPERLINK("http://stackoverflow.com/users/5726964", "Brickgao")</f>
        <v>Brickgao</v>
      </c>
      <c r="D4357" t="s">
        <v>3</v>
      </c>
      <c r="E4357">
        <v>35</v>
      </c>
    </row>
    <row r="4358" spans="1:5" x14ac:dyDescent="0.25">
      <c r="A4358">
        <v>4357</v>
      </c>
      <c r="B4358">
        <v>4257239</v>
      </c>
      <c r="C4358" s="1" t="str">
        <f>HYPERLINK("http://stackoverflow.com/users/4257239", "Leo Que")</f>
        <v>Leo Que</v>
      </c>
      <c r="D4358" t="s">
        <v>5</v>
      </c>
      <c r="E4358">
        <v>35</v>
      </c>
    </row>
    <row r="4359" spans="1:5" x14ac:dyDescent="0.25">
      <c r="A4359">
        <v>4358</v>
      </c>
      <c r="B4359">
        <v>984897</v>
      </c>
      <c r="C4359" s="1" t="str">
        <f>HYPERLINK("http://stackoverflow.com/users/984897", "Cloverstd")</f>
        <v>Cloverstd</v>
      </c>
      <c r="D4359" t="s">
        <v>4</v>
      </c>
      <c r="E4359">
        <v>35</v>
      </c>
    </row>
    <row r="4360" spans="1:5" x14ac:dyDescent="0.25">
      <c r="A4360">
        <v>4359</v>
      </c>
      <c r="B4360">
        <v>4928348</v>
      </c>
      <c r="C4360" s="1" t="str">
        <f>HYPERLINK("http://stackoverflow.com/users/4928348", "neo1218")</f>
        <v>neo1218</v>
      </c>
      <c r="D4360" t="s">
        <v>8</v>
      </c>
      <c r="E4360">
        <v>35</v>
      </c>
    </row>
    <row r="4361" spans="1:5" x14ac:dyDescent="0.25">
      <c r="A4361">
        <v>4360</v>
      </c>
      <c r="B4361">
        <v>3261923</v>
      </c>
      <c r="C4361" s="1" t="str">
        <f>HYPERLINK("http://stackoverflow.com/users/3261923", "hanabi_noir")</f>
        <v>hanabi_noir</v>
      </c>
      <c r="D4361" t="s">
        <v>7</v>
      </c>
      <c r="E4361">
        <v>35</v>
      </c>
    </row>
    <row r="4362" spans="1:5" x14ac:dyDescent="0.25">
      <c r="A4362">
        <v>4361</v>
      </c>
      <c r="B4362">
        <v>2640589</v>
      </c>
      <c r="C4362" s="1" t="str">
        <f>HYPERLINK("http://stackoverflow.com/users/2640589", "Chen Xiaoshen")</f>
        <v>Chen Xiaoshen</v>
      </c>
      <c r="D4362" t="s">
        <v>4</v>
      </c>
      <c r="E4362">
        <v>35</v>
      </c>
    </row>
    <row r="4363" spans="1:5" x14ac:dyDescent="0.25">
      <c r="A4363">
        <v>4362</v>
      </c>
      <c r="B4363">
        <v>5702300</v>
      </c>
      <c r="C4363" s="1" t="str">
        <f>HYPERLINK("http://stackoverflow.com/users/5702300", "Kimson Dooland")</f>
        <v>Kimson Dooland</v>
      </c>
      <c r="D4363" t="s">
        <v>5</v>
      </c>
      <c r="E4363">
        <v>35</v>
      </c>
    </row>
    <row r="4364" spans="1:5" x14ac:dyDescent="0.25">
      <c r="A4364">
        <v>4363</v>
      </c>
      <c r="B4364">
        <v>3859269</v>
      </c>
      <c r="C4364" s="1" t="str">
        <f>HYPERLINK("http://stackoverflow.com/users/3859269", "yuizhou")</f>
        <v>yuizhou</v>
      </c>
      <c r="D4364" t="s">
        <v>4</v>
      </c>
      <c r="E4364">
        <v>35</v>
      </c>
    </row>
    <row r="4365" spans="1:5" x14ac:dyDescent="0.25">
      <c r="A4365">
        <v>4364</v>
      </c>
      <c r="B4365">
        <v>477681</v>
      </c>
      <c r="C4365" s="1" t="str">
        <f>HYPERLINK("http://stackoverflow.com/users/477681", "suiyemin")</f>
        <v>suiyemin</v>
      </c>
      <c r="D4365" t="s">
        <v>37</v>
      </c>
      <c r="E4365">
        <v>35</v>
      </c>
    </row>
    <row r="4366" spans="1:5" x14ac:dyDescent="0.25">
      <c r="A4366">
        <v>4365</v>
      </c>
      <c r="B4366">
        <v>871922</v>
      </c>
      <c r="C4366" s="1" t="str">
        <f>HYPERLINK("http://stackoverflow.com/users/871922", "suchasplus")</f>
        <v>suchasplus</v>
      </c>
      <c r="D4366" t="s">
        <v>5</v>
      </c>
      <c r="E4366">
        <v>35</v>
      </c>
    </row>
    <row r="4367" spans="1:5" x14ac:dyDescent="0.25">
      <c r="A4367">
        <v>4366</v>
      </c>
      <c r="B4367">
        <v>4915511</v>
      </c>
      <c r="C4367" s="1" t="str">
        <f>HYPERLINK("http://stackoverflow.com/users/4915511", "Rex Tsao")</f>
        <v>Rex Tsao</v>
      </c>
      <c r="D4367" t="s">
        <v>131</v>
      </c>
      <c r="E4367">
        <v>35</v>
      </c>
    </row>
    <row r="4368" spans="1:5" x14ac:dyDescent="0.25">
      <c r="A4368">
        <v>4367</v>
      </c>
      <c r="B4368">
        <v>995513</v>
      </c>
      <c r="C4368" s="1" t="str">
        <f>HYPERLINK("http://stackoverflow.com/users/995513", "Shrek Ding")</f>
        <v>Shrek Ding</v>
      </c>
      <c r="D4368" t="s">
        <v>54</v>
      </c>
      <c r="E4368">
        <v>35</v>
      </c>
    </row>
    <row r="4369" spans="1:5" x14ac:dyDescent="0.25">
      <c r="A4369">
        <v>4368</v>
      </c>
      <c r="B4369">
        <v>8355650</v>
      </c>
      <c r="C4369" s="1" t="str">
        <f>HYPERLINK("http://stackoverflow.com/users/8355650", "Qinshi Wang")</f>
        <v>Qinshi Wang</v>
      </c>
      <c r="D4369" t="s">
        <v>5</v>
      </c>
      <c r="E4369">
        <v>35</v>
      </c>
    </row>
    <row r="4370" spans="1:5" x14ac:dyDescent="0.25">
      <c r="A4370">
        <v>4369</v>
      </c>
      <c r="B4370">
        <v>1528534</v>
      </c>
      <c r="C4370" s="1" t="str">
        <f>HYPERLINK("http://stackoverflow.com/users/1528534", "wind13")</f>
        <v>wind13</v>
      </c>
      <c r="D4370" t="s">
        <v>54</v>
      </c>
      <c r="E4370">
        <v>35</v>
      </c>
    </row>
    <row r="4371" spans="1:5" x14ac:dyDescent="0.25">
      <c r="A4371">
        <v>4370</v>
      </c>
      <c r="B4371">
        <v>9847515</v>
      </c>
      <c r="C4371" s="1" t="str">
        <f>HYPERLINK("http://stackoverflow.com/users/9847515", "scharnyw")</f>
        <v>scharnyw</v>
      </c>
      <c r="D4371" t="s">
        <v>5</v>
      </c>
      <c r="E4371">
        <v>35</v>
      </c>
    </row>
    <row r="4372" spans="1:5" x14ac:dyDescent="0.25">
      <c r="A4372">
        <v>4371</v>
      </c>
      <c r="B4372">
        <v>10069290</v>
      </c>
      <c r="C4372" s="1" t="str">
        <f>HYPERLINK("http://stackoverflow.com/users/10069290", "Pengfei Zhan")</f>
        <v>Pengfei Zhan</v>
      </c>
      <c r="D4372" t="s">
        <v>4</v>
      </c>
      <c r="E4372">
        <v>35</v>
      </c>
    </row>
    <row r="4373" spans="1:5" x14ac:dyDescent="0.25">
      <c r="A4373">
        <v>4372</v>
      </c>
      <c r="B4373">
        <v>6224878</v>
      </c>
      <c r="C4373" s="1" t="str">
        <f>HYPERLINK("http://stackoverflow.com/users/6224878", "Kevin Gao")</f>
        <v>Kevin Gao</v>
      </c>
      <c r="D4373" t="s">
        <v>4</v>
      </c>
      <c r="E4373">
        <v>35</v>
      </c>
    </row>
    <row r="4374" spans="1:5" x14ac:dyDescent="0.25">
      <c r="A4374">
        <v>4373</v>
      </c>
      <c r="B4374">
        <v>4426030</v>
      </c>
      <c r="C4374" s="1" t="str">
        <f>HYPERLINK("http://stackoverflow.com/users/4426030", "Cici")</f>
        <v>Cici</v>
      </c>
      <c r="D4374" t="s">
        <v>4</v>
      </c>
      <c r="E4374">
        <v>35</v>
      </c>
    </row>
    <row r="4375" spans="1:5" x14ac:dyDescent="0.25">
      <c r="A4375">
        <v>4374</v>
      </c>
      <c r="B4375">
        <v>2307785</v>
      </c>
      <c r="C4375" s="1" t="str">
        <f>HYPERLINK("http://stackoverflow.com/users/2307785", "LiamHsia")</f>
        <v>LiamHsia</v>
      </c>
      <c r="D4375" t="s">
        <v>4</v>
      </c>
      <c r="E4375">
        <v>35</v>
      </c>
    </row>
    <row r="4376" spans="1:5" x14ac:dyDescent="0.25">
      <c r="A4376">
        <v>4375</v>
      </c>
      <c r="B4376">
        <v>5819888</v>
      </c>
      <c r="C4376" s="1" t="str">
        <f>HYPERLINK("http://stackoverflow.com/users/5819888", "Magenta")</f>
        <v>Magenta</v>
      </c>
      <c r="D4376" t="s">
        <v>4</v>
      </c>
      <c r="E4376">
        <v>35</v>
      </c>
    </row>
    <row r="4377" spans="1:5" x14ac:dyDescent="0.25">
      <c r="A4377">
        <v>4376</v>
      </c>
      <c r="B4377">
        <v>1421549</v>
      </c>
      <c r="C4377" s="1" t="str">
        <f>HYPERLINK("http://stackoverflow.com/users/1421549", "frankskywalker")</f>
        <v>frankskywalker</v>
      </c>
      <c r="D4377" t="s">
        <v>16</v>
      </c>
      <c r="E4377">
        <v>35</v>
      </c>
    </row>
    <row r="4378" spans="1:5" x14ac:dyDescent="0.25">
      <c r="A4378">
        <v>4377</v>
      </c>
      <c r="B4378">
        <v>3063834</v>
      </c>
      <c r="C4378" s="1" t="str">
        <f>HYPERLINK("http://stackoverflow.com/users/3063834", "Definiter")</f>
        <v>Definiter</v>
      </c>
      <c r="D4378" t="s">
        <v>5</v>
      </c>
      <c r="E4378">
        <v>35</v>
      </c>
    </row>
    <row r="4379" spans="1:5" x14ac:dyDescent="0.25">
      <c r="A4379">
        <v>4378</v>
      </c>
      <c r="B4379">
        <v>1256599</v>
      </c>
      <c r="C4379" s="1" t="str">
        <f>HYPERLINK("http://stackoverflow.com/users/1256599", "ayuppie")</f>
        <v>ayuppie</v>
      </c>
      <c r="D4379" t="s">
        <v>4</v>
      </c>
      <c r="E4379">
        <v>35</v>
      </c>
    </row>
    <row r="4380" spans="1:5" x14ac:dyDescent="0.25">
      <c r="A4380">
        <v>4379</v>
      </c>
      <c r="B4380">
        <v>909128</v>
      </c>
      <c r="C4380" s="1" t="str">
        <f>HYPERLINK("http://stackoverflow.com/users/909128", "tsaowe")</f>
        <v>tsaowe</v>
      </c>
      <c r="D4380" t="s">
        <v>5</v>
      </c>
      <c r="E4380">
        <v>35</v>
      </c>
    </row>
    <row r="4381" spans="1:5" x14ac:dyDescent="0.25">
      <c r="A4381">
        <v>4380</v>
      </c>
      <c r="B4381">
        <v>2749119</v>
      </c>
      <c r="C4381" s="1" t="str">
        <f>HYPERLINK("http://stackoverflow.com/users/2749119", "honorfight")</f>
        <v>honorfight</v>
      </c>
      <c r="D4381" t="s">
        <v>5</v>
      </c>
      <c r="E4381">
        <v>35</v>
      </c>
    </row>
    <row r="4382" spans="1:5" x14ac:dyDescent="0.25">
      <c r="A4382">
        <v>4381</v>
      </c>
      <c r="B4382">
        <v>4028913</v>
      </c>
      <c r="C4382" s="1" t="str">
        <f>HYPERLINK("http://stackoverflow.com/users/4028913", "AlchemistLi")</f>
        <v>AlchemistLi</v>
      </c>
      <c r="D4382" t="s">
        <v>4</v>
      </c>
      <c r="E4382">
        <v>35</v>
      </c>
    </row>
    <row r="4383" spans="1:5" x14ac:dyDescent="0.25">
      <c r="A4383">
        <v>4382</v>
      </c>
      <c r="B4383">
        <v>4250678</v>
      </c>
      <c r="C4383" s="1" t="str">
        <f>HYPERLINK("http://stackoverflow.com/users/4250678", "igou")</f>
        <v>igou</v>
      </c>
      <c r="D4383" t="s">
        <v>5</v>
      </c>
      <c r="E4383">
        <v>35</v>
      </c>
    </row>
    <row r="4384" spans="1:5" x14ac:dyDescent="0.25">
      <c r="A4384">
        <v>4383</v>
      </c>
      <c r="B4384">
        <v>4112857</v>
      </c>
      <c r="C4384" s="1" t="str">
        <f>HYPERLINK("http://stackoverflow.com/users/4112857", "OrionNebular")</f>
        <v>OrionNebular</v>
      </c>
      <c r="D4384" t="s">
        <v>4</v>
      </c>
      <c r="E4384">
        <v>34</v>
      </c>
    </row>
    <row r="4385" spans="1:5" x14ac:dyDescent="0.25">
      <c r="A4385">
        <v>4384</v>
      </c>
      <c r="B4385">
        <v>541459</v>
      </c>
      <c r="C4385" s="1" t="str">
        <f>HYPERLINK("http://stackoverflow.com/users/541459", "andy.why")</f>
        <v>andy.why</v>
      </c>
      <c r="D4385" t="s">
        <v>5</v>
      </c>
      <c r="E4385">
        <v>34</v>
      </c>
    </row>
    <row r="4386" spans="1:5" x14ac:dyDescent="0.25">
      <c r="A4386">
        <v>4385</v>
      </c>
      <c r="B4386">
        <v>619640</v>
      </c>
      <c r="C4386" s="1" t="str">
        <f>HYPERLINK("http://stackoverflow.com/users/619640", "tianwei")</f>
        <v>tianwei</v>
      </c>
      <c r="D4386" t="s">
        <v>35</v>
      </c>
      <c r="E4386">
        <v>34</v>
      </c>
    </row>
    <row r="4387" spans="1:5" x14ac:dyDescent="0.25">
      <c r="A4387">
        <v>4386</v>
      </c>
      <c r="B4387">
        <v>295503</v>
      </c>
      <c r="C4387" s="1" t="str">
        <f>HYPERLINK("http://stackoverflow.com/users/295503", "oyishi")</f>
        <v>oyishi</v>
      </c>
      <c r="D4387" t="s">
        <v>5</v>
      </c>
      <c r="E4387">
        <v>34</v>
      </c>
    </row>
    <row r="4388" spans="1:5" x14ac:dyDescent="0.25">
      <c r="A4388">
        <v>4387</v>
      </c>
      <c r="B4388">
        <v>9740954</v>
      </c>
      <c r="C4388" s="1" t="str">
        <f>HYPERLINK("http://stackoverflow.com/users/9740954", "Coal143")</f>
        <v>Coal143</v>
      </c>
      <c r="D4388" t="s">
        <v>7</v>
      </c>
      <c r="E4388">
        <v>34</v>
      </c>
    </row>
    <row r="4389" spans="1:5" x14ac:dyDescent="0.25">
      <c r="A4389">
        <v>4388</v>
      </c>
      <c r="B4389">
        <v>1123917</v>
      </c>
      <c r="C4389" s="1" t="str">
        <f>HYPERLINK("http://stackoverflow.com/users/1123917", "Michael Cheng")</f>
        <v>Michael Cheng</v>
      </c>
      <c r="D4389" t="s">
        <v>5</v>
      </c>
      <c r="E4389">
        <v>34</v>
      </c>
    </row>
    <row r="4390" spans="1:5" x14ac:dyDescent="0.25">
      <c r="A4390">
        <v>4389</v>
      </c>
      <c r="B4390">
        <v>1046664</v>
      </c>
      <c r="C4390" s="1" t="str">
        <f>HYPERLINK("http://stackoverflow.com/users/1046664", "anerevol")</f>
        <v>anerevol</v>
      </c>
      <c r="D4390" t="s">
        <v>22</v>
      </c>
      <c r="E4390">
        <v>34</v>
      </c>
    </row>
    <row r="4391" spans="1:5" x14ac:dyDescent="0.25">
      <c r="A4391">
        <v>4390</v>
      </c>
      <c r="B4391">
        <v>1412290</v>
      </c>
      <c r="C4391" s="1" t="str">
        <f>HYPERLINK("http://stackoverflow.com/users/1412290", "xiaoye")</f>
        <v>xiaoye</v>
      </c>
      <c r="D4391" t="s">
        <v>54</v>
      </c>
      <c r="E4391">
        <v>34</v>
      </c>
    </row>
    <row r="4392" spans="1:5" x14ac:dyDescent="0.25">
      <c r="A4392">
        <v>4391</v>
      </c>
      <c r="B4392">
        <v>5827627</v>
      </c>
      <c r="C4392" s="1" t="str">
        <f>HYPERLINK("http://stackoverflow.com/users/5827627", "Bean")</f>
        <v>Bean</v>
      </c>
      <c r="D4392" t="s">
        <v>5</v>
      </c>
      <c r="E4392">
        <v>34</v>
      </c>
    </row>
    <row r="4393" spans="1:5" x14ac:dyDescent="0.25">
      <c r="A4393">
        <v>4392</v>
      </c>
      <c r="B4393">
        <v>1744985</v>
      </c>
      <c r="C4393" s="1" t="str">
        <f>HYPERLINK("http://stackoverflow.com/users/1744985", "chengjf")</f>
        <v>chengjf</v>
      </c>
      <c r="D4393" t="s">
        <v>17</v>
      </c>
      <c r="E4393">
        <v>34</v>
      </c>
    </row>
    <row r="4394" spans="1:5" x14ac:dyDescent="0.25">
      <c r="A4394">
        <v>4393</v>
      </c>
      <c r="B4394">
        <v>4109761</v>
      </c>
      <c r="C4394" s="1" t="str">
        <f>HYPERLINK("http://stackoverflow.com/users/4109761", "Zhao")</f>
        <v>Zhao</v>
      </c>
      <c r="D4394" t="s">
        <v>5</v>
      </c>
      <c r="E4394">
        <v>34</v>
      </c>
    </row>
    <row r="4395" spans="1:5" x14ac:dyDescent="0.25">
      <c r="A4395">
        <v>4394</v>
      </c>
      <c r="B4395">
        <v>487256</v>
      </c>
      <c r="C4395" s="1" t="str">
        <f>HYPERLINK("http://stackoverflow.com/users/487256", "Wei dong")</f>
        <v>Wei dong</v>
      </c>
      <c r="D4395" t="s">
        <v>5</v>
      </c>
      <c r="E4395">
        <v>34</v>
      </c>
    </row>
    <row r="4396" spans="1:5" x14ac:dyDescent="0.25">
      <c r="A4396">
        <v>4395</v>
      </c>
      <c r="B4396">
        <v>6354364</v>
      </c>
      <c r="C4396" s="1" t="str">
        <f>HYPERLINK("http://stackoverflow.com/users/6354364", "William_Zheng")</f>
        <v>William_Zheng</v>
      </c>
      <c r="D4396" t="s">
        <v>25</v>
      </c>
      <c r="E4396">
        <v>34</v>
      </c>
    </row>
    <row r="4397" spans="1:5" x14ac:dyDescent="0.25">
      <c r="A4397">
        <v>4396</v>
      </c>
      <c r="B4397">
        <v>8522155</v>
      </c>
      <c r="C4397" s="1" t="str">
        <f>HYPERLINK("http://stackoverflow.com/users/8522155", "Anabas")</f>
        <v>Anabas</v>
      </c>
      <c r="D4397" t="s">
        <v>4</v>
      </c>
      <c r="E4397">
        <v>34</v>
      </c>
    </row>
    <row r="4398" spans="1:5" x14ac:dyDescent="0.25">
      <c r="A4398">
        <v>4397</v>
      </c>
      <c r="B4398">
        <v>8590713</v>
      </c>
      <c r="C4398" s="1" t="str">
        <f>HYPERLINK("http://stackoverflow.com/users/8590713", "fengliutie")</f>
        <v>fengliutie</v>
      </c>
      <c r="D4398" t="s">
        <v>5</v>
      </c>
      <c r="E4398">
        <v>34</v>
      </c>
    </row>
    <row r="4399" spans="1:5" x14ac:dyDescent="0.25">
      <c r="A4399">
        <v>4398</v>
      </c>
      <c r="B4399">
        <v>8336048</v>
      </c>
      <c r="C4399" s="1" t="str">
        <f>HYPERLINK("http://stackoverflow.com/users/8336048", "JohnRambo")</f>
        <v>JohnRambo</v>
      </c>
      <c r="D4399" t="s">
        <v>4</v>
      </c>
      <c r="E4399">
        <v>34</v>
      </c>
    </row>
    <row r="4400" spans="1:5" x14ac:dyDescent="0.25">
      <c r="A4400">
        <v>4399</v>
      </c>
      <c r="B4400">
        <v>933086</v>
      </c>
      <c r="C4400" s="1" t="str">
        <f>HYPERLINK("http://stackoverflow.com/users/933086", "Johnonly")</f>
        <v>Johnonly</v>
      </c>
      <c r="D4400" t="s">
        <v>5</v>
      </c>
      <c r="E4400">
        <v>34</v>
      </c>
    </row>
    <row r="4401" spans="1:5" x14ac:dyDescent="0.25">
      <c r="A4401">
        <v>4400</v>
      </c>
      <c r="B4401">
        <v>1945840</v>
      </c>
      <c r="C4401" s="1" t="str">
        <f>HYPERLINK("http://stackoverflow.com/users/1945840", "1987zfp")</f>
        <v>1987zfp</v>
      </c>
      <c r="D4401" t="s">
        <v>12</v>
      </c>
      <c r="E4401">
        <v>34</v>
      </c>
    </row>
    <row r="4402" spans="1:5" x14ac:dyDescent="0.25">
      <c r="A4402">
        <v>4401</v>
      </c>
      <c r="B4402">
        <v>1425643</v>
      </c>
      <c r="C4402" s="1" t="str">
        <f>HYPERLINK("http://stackoverflow.com/users/1425643", "ryo")</f>
        <v>ryo</v>
      </c>
      <c r="D4402" t="s">
        <v>5</v>
      </c>
      <c r="E4402">
        <v>34</v>
      </c>
    </row>
    <row r="4403" spans="1:5" x14ac:dyDescent="0.25">
      <c r="A4403">
        <v>4402</v>
      </c>
      <c r="B4403">
        <v>1626617</v>
      </c>
      <c r="C4403" s="1" t="str">
        <f>HYPERLINK("http://stackoverflow.com/users/1626617", "zhuxy")</f>
        <v>zhuxy</v>
      </c>
      <c r="D4403" t="s">
        <v>4</v>
      </c>
      <c r="E4403">
        <v>34</v>
      </c>
    </row>
    <row r="4404" spans="1:5" x14ac:dyDescent="0.25">
      <c r="A4404">
        <v>4403</v>
      </c>
      <c r="B4404">
        <v>1283460</v>
      </c>
      <c r="C4404" s="1" t="str">
        <f>HYPERLINK("http://stackoverflow.com/users/1283460", "Jelly")</f>
        <v>Jelly</v>
      </c>
      <c r="D4404" t="s">
        <v>22</v>
      </c>
      <c r="E4404">
        <v>34</v>
      </c>
    </row>
    <row r="4405" spans="1:5" x14ac:dyDescent="0.25">
      <c r="A4405">
        <v>4404</v>
      </c>
      <c r="B4405">
        <v>1954737</v>
      </c>
      <c r="C4405" s="1" t="str">
        <f>HYPERLINK("http://stackoverflow.com/users/1954737", "hustlzp")</f>
        <v>hustlzp</v>
      </c>
      <c r="D4405" t="s">
        <v>8</v>
      </c>
      <c r="E4405">
        <v>34</v>
      </c>
    </row>
    <row r="4406" spans="1:5" x14ac:dyDescent="0.25">
      <c r="A4406">
        <v>4405</v>
      </c>
      <c r="B4406">
        <v>1810949</v>
      </c>
      <c r="C4406" s="1" t="str">
        <f>HYPERLINK("http://stackoverflow.com/users/1810949", "Geo Zhang")</f>
        <v>Geo Zhang</v>
      </c>
      <c r="D4406" t="s">
        <v>5</v>
      </c>
      <c r="E4406">
        <v>34</v>
      </c>
    </row>
    <row r="4407" spans="1:5" x14ac:dyDescent="0.25">
      <c r="A4407">
        <v>4406</v>
      </c>
      <c r="B4407">
        <v>233478</v>
      </c>
      <c r="C4407" s="1" t="str">
        <f>HYPERLINK("http://stackoverflow.com/users/233478", "cqin")</f>
        <v>cqin</v>
      </c>
      <c r="D4407" t="s">
        <v>21</v>
      </c>
      <c r="E4407">
        <v>34</v>
      </c>
    </row>
    <row r="4408" spans="1:5" x14ac:dyDescent="0.25">
      <c r="A4408">
        <v>4407</v>
      </c>
      <c r="B4408">
        <v>2516526</v>
      </c>
      <c r="C4408" s="1" t="str">
        <f>HYPERLINK("http://stackoverflow.com/users/2516526", "Dejauu")</f>
        <v>Dejauu</v>
      </c>
      <c r="D4408" t="s">
        <v>5</v>
      </c>
      <c r="E4408">
        <v>34</v>
      </c>
    </row>
    <row r="4409" spans="1:5" x14ac:dyDescent="0.25">
      <c r="A4409">
        <v>4408</v>
      </c>
      <c r="B4409">
        <v>4919147</v>
      </c>
      <c r="C4409" s="1" t="str">
        <f>HYPERLINK("http://stackoverflow.com/users/4919147", "Van_ZERO")</f>
        <v>Van_ZERO</v>
      </c>
      <c r="D4409" t="s">
        <v>12</v>
      </c>
      <c r="E4409">
        <v>34</v>
      </c>
    </row>
    <row r="4410" spans="1:5" x14ac:dyDescent="0.25">
      <c r="A4410">
        <v>4409</v>
      </c>
      <c r="B4410">
        <v>1705930</v>
      </c>
      <c r="C4410" s="1" t="str">
        <f>HYPERLINK("http://stackoverflow.com/users/1705930", "zhi liu")</f>
        <v>zhi liu</v>
      </c>
      <c r="D4410" t="s">
        <v>12</v>
      </c>
      <c r="E4410">
        <v>33</v>
      </c>
    </row>
    <row r="4411" spans="1:5" x14ac:dyDescent="0.25">
      <c r="A4411">
        <v>4410</v>
      </c>
      <c r="B4411">
        <v>4407604</v>
      </c>
      <c r="C4411" s="1" t="str">
        <f>HYPERLINK("http://stackoverflow.com/users/4407604", "Araell")</f>
        <v>Araell</v>
      </c>
      <c r="D4411" t="s">
        <v>37</v>
      </c>
      <c r="E4411">
        <v>33</v>
      </c>
    </row>
    <row r="4412" spans="1:5" x14ac:dyDescent="0.25">
      <c r="A4412">
        <v>4411</v>
      </c>
      <c r="B4412">
        <v>269172</v>
      </c>
      <c r="C4412" s="1" t="str">
        <f>HYPERLINK("http://stackoverflow.com/users/269172", "Zhiguang Wang")</f>
        <v>Zhiguang Wang</v>
      </c>
      <c r="D4412" t="s">
        <v>5</v>
      </c>
      <c r="E4412">
        <v>33</v>
      </c>
    </row>
    <row r="4413" spans="1:5" x14ac:dyDescent="0.25">
      <c r="A4413">
        <v>4412</v>
      </c>
      <c r="B4413">
        <v>6284917</v>
      </c>
      <c r="C4413" s="1" t="str">
        <f>HYPERLINK("http://stackoverflow.com/users/6284917", "Story5")</f>
        <v>Story5</v>
      </c>
      <c r="D4413" t="s">
        <v>4</v>
      </c>
      <c r="E4413">
        <v>33</v>
      </c>
    </row>
    <row r="4414" spans="1:5" x14ac:dyDescent="0.25">
      <c r="A4414">
        <v>4413</v>
      </c>
      <c r="B4414">
        <v>8356523</v>
      </c>
      <c r="C4414" s="1" t="str">
        <f>HYPERLINK("http://stackoverflow.com/users/8356523", "Super Guo")</f>
        <v>Super Guo</v>
      </c>
      <c r="D4414" t="s">
        <v>4</v>
      </c>
      <c r="E4414">
        <v>33</v>
      </c>
    </row>
    <row r="4415" spans="1:5" x14ac:dyDescent="0.25">
      <c r="A4415">
        <v>4414</v>
      </c>
      <c r="B4415">
        <v>3751459</v>
      </c>
      <c r="C4415" s="1" t="str">
        <f>HYPERLINK("http://stackoverflow.com/users/3751459", "ivanC")</f>
        <v>ivanC</v>
      </c>
      <c r="D4415" t="s">
        <v>21</v>
      </c>
      <c r="E4415">
        <v>33</v>
      </c>
    </row>
    <row r="4416" spans="1:5" x14ac:dyDescent="0.25">
      <c r="A4416">
        <v>4415</v>
      </c>
      <c r="B4416">
        <v>1206237</v>
      </c>
      <c r="C4416" s="1" t="str">
        <f>HYPERLINK("http://stackoverflow.com/users/1206237", "Yuan")</f>
        <v>Yuan</v>
      </c>
      <c r="D4416" t="s">
        <v>35</v>
      </c>
      <c r="E4416">
        <v>33</v>
      </c>
    </row>
    <row r="4417" spans="1:5" x14ac:dyDescent="0.25">
      <c r="A4417">
        <v>4416</v>
      </c>
      <c r="B4417">
        <v>3262422</v>
      </c>
      <c r="C4417" s="1" t="str">
        <f>HYPERLINK("http://stackoverflow.com/users/3262422", "TreEnt")</f>
        <v>TreEnt</v>
      </c>
      <c r="D4417" t="s">
        <v>5</v>
      </c>
      <c r="E4417">
        <v>33</v>
      </c>
    </row>
    <row r="4418" spans="1:5" x14ac:dyDescent="0.25">
      <c r="A4418">
        <v>4417</v>
      </c>
      <c r="B4418">
        <v>333140</v>
      </c>
      <c r="C4418" s="1" t="str">
        <f>HYPERLINK("http://stackoverflow.com/users/333140", "liupeng")</f>
        <v>liupeng</v>
      </c>
      <c r="D4418" t="s">
        <v>5</v>
      </c>
      <c r="E4418">
        <v>33</v>
      </c>
    </row>
    <row r="4419" spans="1:5" x14ac:dyDescent="0.25">
      <c r="A4419">
        <v>4418</v>
      </c>
      <c r="B4419">
        <v>9620940</v>
      </c>
      <c r="C4419" s="1" t="str">
        <f>HYPERLINK("http://stackoverflow.com/users/9620940", "L. C.")</f>
        <v>L. C.</v>
      </c>
      <c r="D4419" t="s">
        <v>4</v>
      </c>
      <c r="E4419">
        <v>33</v>
      </c>
    </row>
    <row r="4420" spans="1:5" x14ac:dyDescent="0.25">
      <c r="A4420">
        <v>4419</v>
      </c>
      <c r="B4420">
        <v>2530524</v>
      </c>
      <c r="C4420" s="1" t="str">
        <f>HYPERLINK("http://stackoverflow.com/users/2530524", "gucheen")</f>
        <v>gucheen</v>
      </c>
      <c r="D4420" t="s">
        <v>4</v>
      </c>
      <c r="E4420">
        <v>33</v>
      </c>
    </row>
    <row r="4421" spans="1:5" x14ac:dyDescent="0.25">
      <c r="A4421">
        <v>4420</v>
      </c>
      <c r="B4421">
        <v>4678944</v>
      </c>
      <c r="C4421" s="1" t="str">
        <f>HYPERLINK("http://stackoverflow.com/users/4678944", "daocaoren1027")</f>
        <v>daocaoren1027</v>
      </c>
      <c r="D4421" t="s">
        <v>12</v>
      </c>
      <c r="E4421">
        <v>33</v>
      </c>
    </row>
    <row r="4422" spans="1:5" x14ac:dyDescent="0.25">
      <c r="A4422">
        <v>4421</v>
      </c>
      <c r="B4422">
        <v>2346341</v>
      </c>
      <c r="C4422" s="1" t="str">
        <f>HYPERLINK("http://stackoverflow.com/users/2346341", "Tom.Song")</f>
        <v>Tom.Song</v>
      </c>
      <c r="D4422" t="s">
        <v>17</v>
      </c>
      <c r="E4422">
        <v>33</v>
      </c>
    </row>
    <row r="4423" spans="1:5" x14ac:dyDescent="0.25">
      <c r="A4423">
        <v>4422</v>
      </c>
      <c r="B4423">
        <v>883321</v>
      </c>
      <c r="C4423" s="1" t="str">
        <f>HYPERLINK("http://stackoverflow.com/users/883321", "Oliver")</f>
        <v>Oliver</v>
      </c>
      <c r="D4423" t="s">
        <v>4</v>
      </c>
      <c r="E4423">
        <v>33</v>
      </c>
    </row>
    <row r="4424" spans="1:5" x14ac:dyDescent="0.25">
      <c r="A4424">
        <v>4423</v>
      </c>
      <c r="B4424">
        <v>2990222</v>
      </c>
      <c r="C4424" s="1" t="str">
        <f>HYPERLINK("http://stackoverflow.com/users/2990222", "by_phper")</f>
        <v>by_phper</v>
      </c>
      <c r="D4424" t="s">
        <v>17</v>
      </c>
      <c r="E4424">
        <v>33</v>
      </c>
    </row>
    <row r="4425" spans="1:5" x14ac:dyDescent="0.25">
      <c r="A4425">
        <v>4424</v>
      </c>
      <c r="B4425">
        <v>446027</v>
      </c>
      <c r="C4425" s="1" t="str">
        <f>HYPERLINK("http://stackoverflow.com/users/446027", "John Cai")</f>
        <v>John Cai</v>
      </c>
      <c r="D4425" t="s">
        <v>4</v>
      </c>
      <c r="E4425">
        <v>33</v>
      </c>
    </row>
    <row r="4426" spans="1:5" x14ac:dyDescent="0.25">
      <c r="A4426">
        <v>4425</v>
      </c>
      <c r="B4426">
        <v>3674013</v>
      </c>
      <c r="C4426" s="1" t="str">
        <f>HYPERLINK("http://stackoverflow.com/users/3674013", "Xun")</f>
        <v>Xun</v>
      </c>
      <c r="D4426" t="s">
        <v>5</v>
      </c>
      <c r="E4426">
        <v>33</v>
      </c>
    </row>
    <row r="4427" spans="1:5" x14ac:dyDescent="0.25">
      <c r="A4427">
        <v>4426</v>
      </c>
      <c r="B4427">
        <v>1273415</v>
      </c>
      <c r="C4427" s="1" t="str">
        <f>HYPERLINK("http://stackoverflow.com/users/1273415", "luotasha")</f>
        <v>luotasha</v>
      </c>
      <c r="D4427" t="s">
        <v>5</v>
      </c>
      <c r="E4427">
        <v>33</v>
      </c>
    </row>
    <row r="4428" spans="1:5" x14ac:dyDescent="0.25">
      <c r="A4428">
        <v>4427</v>
      </c>
      <c r="B4428">
        <v>6080275</v>
      </c>
      <c r="C4428" s="1" t="str">
        <f>HYPERLINK("http://stackoverflow.com/users/6080275", "Sam Chow")</f>
        <v>Sam Chow</v>
      </c>
      <c r="D4428" t="s">
        <v>79</v>
      </c>
      <c r="E4428">
        <v>33</v>
      </c>
    </row>
    <row r="4429" spans="1:5" x14ac:dyDescent="0.25">
      <c r="A4429">
        <v>4428</v>
      </c>
      <c r="B4429">
        <v>5382024</v>
      </c>
      <c r="C4429" s="1" t="str">
        <f>HYPERLINK("http://stackoverflow.com/users/5382024", "phxism")</f>
        <v>phxism</v>
      </c>
      <c r="D4429" t="s">
        <v>4</v>
      </c>
      <c r="E4429">
        <v>33</v>
      </c>
    </row>
    <row r="4430" spans="1:5" x14ac:dyDescent="0.25">
      <c r="A4430">
        <v>4429</v>
      </c>
      <c r="B4430">
        <v>1452642</v>
      </c>
      <c r="C4430" s="1" t="str">
        <f>HYPERLINK("http://stackoverflow.com/users/1452642", "Gary")</f>
        <v>Gary</v>
      </c>
      <c r="D4430" t="s">
        <v>21</v>
      </c>
      <c r="E4430">
        <v>33</v>
      </c>
    </row>
    <row r="4431" spans="1:5" x14ac:dyDescent="0.25">
      <c r="A4431">
        <v>4430</v>
      </c>
      <c r="B4431">
        <v>11208550</v>
      </c>
      <c r="C4431" s="1" t="str">
        <f>HYPERLINK("http://stackoverflow.com/users/11208550", "zan shaw")</f>
        <v>zan shaw</v>
      </c>
      <c r="D4431" t="s">
        <v>4</v>
      </c>
      <c r="E4431">
        <v>33</v>
      </c>
    </row>
    <row r="4432" spans="1:5" x14ac:dyDescent="0.25">
      <c r="A4432">
        <v>4431</v>
      </c>
      <c r="B4432">
        <v>647625</v>
      </c>
      <c r="C4432" s="1" t="str">
        <f>HYPERLINK("http://stackoverflow.com/users/647625", "Vincent")</f>
        <v>Vincent</v>
      </c>
      <c r="D4432" t="s">
        <v>5</v>
      </c>
      <c r="E4432">
        <v>33</v>
      </c>
    </row>
    <row r="4433" spans="1:5" x14ac:dyDescent="0.25">
      <c r="A4433">
        <v>4432</v>
      </c>
      <c r="B4433">
        <v>2581977</v>
      </c>
      <c r="C4433" s="1" t="str">
        <f>HYPERLINK("http://stackoverflow.com/users/2581977", "hao")</f>
        <v>hao</v>
      </c>
      <c r="D4433" t="s">
        <v>4</v>
      </c>
      <c r="E4433">
        <v>33</v>
      </c>
    </row>
    <row r="4434" spans="1:5" x14ac:dyDescent="0.25">
      <c r="A4434">
        <v>4433</v>
      </c>
      <c r="B4434">
        <v>432505</v>
      </c>
      <c r="C4434" s="1" t="str">
        <f>HYPERLINK("http://stackoverflow.com/users/432505", "alexduncan")</f>
        <v>alexduncan</v>
      </c>
      <c r="D4434" t="s">
        <v>4</v>
      </c>
      <c r="E4434">
        <v>33</v>
      </c>
    </row>
    <row r="4435" spans="1:5" x14ac:dyDescent="0.25">
      <c r="A4435">
        <v>4434</v>
      </c>
      <c r="B4435">
        <v>6037273</v>
      </c>
      <c r="C4435" s="1" t="str">
        <f>HYPERLINK("http://stackoverflow.com/users/6037273", "panw3i")</f>
        <v>panw3i</v>
      </c>
      <c r="D4435" t="s">
        <v>52</v>
      </c>
      <c r="E4435">
        <v>33</v>
      </c>
    </row>
    <row r="4436" spans="1:5" x14ac:dyDescent="0.25">
      <c r="A4436">
        <v>4435</v>
      </c>
      <c r="B4436">
        <v>1684787</v>
      </c>
      <c r="C4436" s="1" t="str">
        <f>HYPERLINK("http://stackoverflow.com/users/1684787", "Lua Zhang")</f>
        <v>Lua Zhang</v>
      </c>
      <c r="D4436" t="s">
        <v>54</v>
      </c>
      <c r="E4436">
        <v>33</v>
      </c>
    </row>
    <row r="4437" spans="1:5" x14ac:dyDescent="0.25">
      <c r="A4437">
        <v>4436</v>
      </c>
      <c r="B4437">
        <v>7165616</v>
      </c>
      <c r="C4437" s="1" t="str">
        <f>HYPERLINK("http://stackoverflow.com/users/7165616", "LiShuaiyuan")</f>
        <v>LiShuaiyuan</v>
      </c>
      <c r="D4437" t="s">
        <v>5</v>
      </c>
      <c r="E4437">
        <v>33</v>
      </c>
    </row>
    <row r="4438" spans="1:5" x14ac:dyDescent="0.25">
      <c r="A4438">
        <v>4437</v>
      </c>
      <c r="B4438">
        <v>1862341</v>
      </c>
      <c r="C4438" s="1" t="str">
        <f>HYPERLINK("http://stackoverflow.com/users/1862341", "user1862341")</f>
        <v>user1862341</v>
      </c>
      <c r="D4438" t="s">
        <v>38</v>
      </c>
      <c r="E4438">
        <v>33</v>
      </c>
    </row>
    <row r="4439" spans="1:5" x14ac:dyDescent="0.25">
      <c r="A4439">
        <v>4438</v>
      </c>
      <c r="B4439">
        <v>1965348</v>
      </c>
      <c r="C4439" s="1" t="str">
        <f>HYPERLINK("http://stackoverflow.com/users/1965348", "wuent")</f>
        <v>wuent</v>
      </c>
      <c r="D4439" t="s">
        <v>5</v>
      </c>
      <c r="E4439">
        <v>33</v>
      </c>
    </row>
    <row r="4440" spans="1:5" x14ac:dyDescent="0.25">
      <c r="A4440">
        <v>4439</v>
      </c>
      <c r="B4440">
        <v>7539305</v>
      </c>
      <c r="C4440" s="1" t="str">
        <f>HYPERLINK("http://stackoverflow.com/users/7539305", "C. Junior")</f>
        <v>C. Junior</v>
      </c>
      <c r="D4440" t="s">
        <v>43</v>
      </c>
      <c r="E4440">
        <v>33</v>
      </c>
    </row>
    <row r="4441" spans="1:5" x14ac:dyDescent="0.25">
      <c r="A4441">
        <v>4440</v>
      </c>
      <c r="B4441">
        <v>3811955</v>
      </c>
      <c r="C4441" s="1" t="str">
        <f>HYPERLINK("http://stackoverflow.com/users/3811955", "Winlandiano")</f>
        <v>Winlandiano</v>
      </c>
      <c r="D4441" t="s">
        <v>56</v>
      </c>
      <c r="E4441">
        <v>33</v>
      </c>
    </row>
    <row r="4442" spans="1:5" x14ac:dyDescent="0.25">
      <c r="A4442">
        <v>4441</v>
      </c>
      <c r="B4442">
        <v>3243462</v>
      </c>
      <c r="C4442" s="1" t="str">
        <f>HYPERLINK("http://stackoverflow.com/users/3243462", "Jimmy Cheng")</f>
        <v>Jimmy Cheng</v>
      </c>
      <c r="D4442" t="s">
        <v>4</v>
      </c>
      <c r="E4442">
        <v>33</v>
      </c>
    </row>
    <row r="4443" spans="1:5" x14ac:dyDescent="0.25">
      <c r="A4443">
        <v>4442</v>
      </c>
      <c r="B4443">
        <v>1175977</v>
      </c>
      <c r="C4443" s="1" t="str">
        <f>HYPERLINK("http://stackoverflow.com/users/1175977", "FurtherLee")</f>
        <v>FurtherLee</v>
      </c>
      <c r="D4443" t="s">
        <v>4</v>
      </c>
      <c r="E4443">
        <v>33</v>
      </c>
    </row>
    <row r="4444" spans="1:5" x14ac:dyDescent="0.25">
      <c r="A4444">
        <v>4443</v>
      </c>
      <c r="B4444">
        <v>2607272</v>
      </c>
      <c r="C4444" s="1" t="str">
        <f>HYPERLINK("http://stackoverflow.com/users/2607272", "gaobiaoqing")</f>
        <v>gaobiaoqing</v>
      </c>
      <c r="D4444" t="s">
        <v>31</v>
      </c>
      <c r="E4444">
        <v>33</v>
      </c>
    </row>
    <row r="4445" spans="1:5" x14ac:dyDescent="0.25">
      <c r="A4445">
        <v>4444</v>
      </c>
      <c r="B4445">
        <v>2619161</v>
      </c>
      <c r="C4445" s="1" t="str">
        <f>HYPERLINK("http://stackoverflow.com/users/2619161", "Alsor Zhou")</f>
        <v>Alsor Zhou</v>
      </c>
      <c r="D4445" t="s">
        <v>22</v>
      </c>
      <c r="E4445">
        <v>33</v>
      </c>
    </row>
    <row r="4446" spans="1:5" x14ac:dyDescent="0.25">
      <c r="A4446">
        <v>4445</v>
      </c>
      <c r="B4446">
        <v>478874</v>
      </c>
      <c r="C4446" s="1" t="str">
        <f>HYPERLINK("http://stackoverflow.com/users/478874", "Tian Bai")</f>
        <v>Tian Bai</v>
      </c>
      <c r="D4446" t="s">
        <v>5</v>
      </c>
      <c r="E4446">
        <v>33</v>
      </c>
    </row>
    <row r="4447" spans="1:5" x14ac:dyDescent="0.25">
      <c r="A4447">
        <v>4446</v>
      </c>
      <c r="B4447">
        <v>2526471</v>
      </c>
      <c r="C4447" s="1" t="str">
        <f>HYPERLINK("http://stackoverflow.com/users/2526471", "bbsmrdj")</f>
        <v>bbsmrdj</v>
      </c>
      <c r="D4447" t="s">
        <v>4</v>
      </c>
      <c r="E4447">
        <v>33</v>
      </c>
    </row>
    <row r="4448" spans="1:5" x14ac:dyDescent="0.25">
      <c r="A4448">
        <v>4447</v>
      </c>
      <c r="B4448">
        <v>4551076</v>
      </c>
      <c r="C4448" s="1" t="str">
        <f>HYPERLINK("http://stackoverflow.com/users/4551076", "Huichuang Xuanyuan")</f>
        <v>Huichuang Xuanyuan</v>
      </c>
      <c r="D4448" t="s">
        <v>4</v>
      </c>
      <c r="E4448">
        <v>33</v>
      </c>
    </row>
    <row r="4449" spans="1:5" x14ac:dyDescent="0.25">
      <c r="A4449">
        <v>4448</v>
      </c>
      <c r="B4449">
        <v>910997</v>
      </c>
      <c r="C4449" s="1" t="str">
        <f>HYPERLINK("http://stackoverflow.com/users/910997", "0xa5a5")</f>
        <v>0xa5a5</v>
      </c>
      <c r="D4449" t="s">
        <v>5</v>
      </c>
      <c r="E4449">
        <v>33</v>
      </c>
    </row>
    <row r="4450" spans="1:5" x14ac:dyDescent="0.25">
      <c r="A4450">
        <v>4449</v>
      </c>
      <c r="B4450">
        <v>7722868</v>
      </c>
      <c r="C4450" s="1" t="str">
        <f>HYPERLINK("http://stackoverflow.com/users/7722868", "Hyder khan")</f>
        <v>Hyder khan</v>
      </c>
      <c r="D4450" t="s">
        <v>184</v>
      </c>
      <c r="E4450">
        <v>33</v>
      </c>
    </row>
    <row r="4451" spans="1:5" x14ac:dyDescent="0.25">
      <c r="A4451">
        <v>4450</v>
      </c>
      <c r="B4451">
        <v>3759190</v>
      </c>
      <c r="C4451" s="1" t="str">
        <f>HYPERLINK("http://stackoverflow.com/users/3759190", "limuxy")</f>
        <v>limuxy</v>
      </c>
      <c r="D4451" t="s">
        <v>4</v>
      </c>
      <c r="E4451">
        <v>33</v>
      </c>
    </row>
    <row r="4452" spans="1:5" x14ac:dyDescent="0.25">
      <c r="A4452">
        <v>4451</v>
      </c>
      <c r="B4452">
        <v>9445038</v>
      </c>
      <c r="C4452" s="1" t="str">
        <f>HYPERLINK("http://stackoverflow.com/users/9445038", "chao jay")</f>
        <v>chao jay</v>
      </c>
      <c r="D4452" t="s">
        <v>7</v>
      </c>
      <c r="E4452">
        <v>32</v>
      </c>
    </row>
    <row r="4453" spans="1:5" x14ac:dyDescent="0.25">
      <c r="A4453">
        <v>4452</v>
      </c>
      <c r="B4453">
        <v>4665773</v>
      </c>
      <c r="C4453" s="1" t="str">
        <f>HYPERLINK("http://stackoverflow.com/users/4665773", "Forelax")</f>
        <v>Forelax</v>
      </c>
      <c r="D4453" t="s">
        <v>5</v>
      </c>
      <c r="E4453">
        <v>32</v>
      </c>
    </row>
    <row r="4454" spans="1:5" x14ac:dyDescent="0.25">
      <c r="A4454">
        <v>4453</v>
      </c>
      <c r="B4454">
        <v>1318778</v>
      </c>
      <c r="C4454" s="1" t="str">
        <f>HYPERLINK("http://stackoverflow.com/users/1318778", "mjt0704")</f>
        <v>mjt0704</v>
      </c>
      <c r="D4454" t="s">
        <v>5</v>
      </c>
      <c r="E4454">
        <v>32</v>
      </c>
    </row>
    <row r="4455" spans="1:5" x14ac:dyDescent="0.25">
      <c r="A4455">
        <v>4454</v>
      </c>
      <c r="B4455">
        <v>7201318</v>
      </c>
      <c r="C4455" s="1" t="str">
        <f>HYPERLINK("http://stackoverflow.com/users/7201318", "ilivenicely")</f>
        <v>ilivenicely</v>
      </c>
      <c r="D4455" t="s">
        <v>5</v>
      </c>
      <c r="E4455">
        <v>32</v>
      </c>
    </row>
    <row r="4456" spans="1:5" x14ac:dyDescent="0.25">
      <c r="A4456">
        <v>4455</v>
      </c>
      <c r="B4456">
        <v>2641480</v>
      </c>
      <c r="C4456" s="1" t="str">
        <f>HYPERLINK("http://stackoverflow.com/users/2641480", "Pan.")</f>
        <v>Pan.</v>
      </c>
      <c r="D4456" t="s">
        <v>12</v>
      </c>
      <c r="E4456">
        <v>32</v>
      </c>
    </row>
    <row r="4457" spans="1:5" x14ac:dyDescent="0.25">
      <c r="A4457">
        <v>4456</v>
      </c>
      <c r="B4457">
        <v>3133839</v>
      </c>
      <c r="C4457" s="1" t="str">
        <f>HYPERLINK("http://stackoverflow.com/users/3133839", "andyron")</f>
        <v>andyron</v>
      </c>
      <c r="D4457" t="s">
        <v>4</v>
      </c>
      <c r="E4457">
        <v>32</v>
      </c>
    </row>
    <row r="4458" spans="1:5" x14ac:dyDescent="0.25">
      <c r="A4458">
        <v>4457</v>
      </c>
      <c r="B4458">
        <v>2252173</v>
      </c>
      <c r="C4458" s="1" t="str">
        <f>HYPERLINK("http://stackoverflow.com/users/2252173", "SeanSnow")</f>
        <v>SeanSnow</v>
      </c>
      <c r="D4458" t="s">
        <v>4</v>
      </c>
      <c r="E4458">
        <v>32</v>
      </c>
    </row>
    <row r="4459" spans="1:5" x14ac:dyDescent="0.25">
      <c r="A4459">
        <v>4458</v>
      </c>
      <c r="B4459">
        <v>1957484</v>
      </c>
      <c r="C4459" s="1" t="str">
        <f>HYPERLINK("http://stackoverflow.com/users/1957484", "interchen")</f>
        <v>interchen</v>
      </c>
      <c r="D4459" t="s">
        <v>15</v>
      </c>
      <c r="E4459">
        <v>32</v>
      </c>
    </row>
    <row r="4460" spans="1:5" x14ac:dyDescent="0.25">
      <c r="A4460">
        <v>4459</v>
      </c>
      <c r="B4460">
        <v>9181343</v>
      </c>
      <c r="C4460" s="1" t="str">
        <f>HYPERLINK("http://stackoverflow.com/users/9181343", "leeyang")</f>
        <v>leeyang</v>
      </c>
      <c r="D4460" t="s">
        <v>272</v>
      </c>
      <c r="E4460">
        <v>32</v>
      </c>
    </row>
    <row r="4461" spans="1:5" x14ac:dyDescent="0.25">
      <c r="A4461">
        <v>4460</v>
      </c>
      <c r="B4461">
        <v>1326172</v>
      </c>
      <c r="C4461" s="1" t="str">
        <f>HYPERLINK("http://stackoverflow.com/users/1326172", "SICON")</f>
        <v>SICON</v>
      </c>
      <c r="D4461" t="s">
        <v>4</v>
      </c>
      <c r="E4461">
        <v>32</v>
      </c>
    </row>
    <row r="4462" spans="1:5" x14ac:dyDescent="0.25">
      <c r="A4462">
        <v>4461</v>
      </c>
      <c r="B4462">
        <v>1696429</v>
      </c>
      <c r="C4462" s="1" t="str">
        <f>HYPERLINK("http://stackoverflow.com/users/1696429", "heqingbao")</f>
        <v>heqingbao</v>
      </c>
      <c r="D4462" t="s">
        <v>17</v>
      </c>
      <c r="E4462">
        <v>32</v>
      </c>
    </row>
    <row r="4463" spans="1:5" x14ac:dyDescent="0.25">
      <c r="A4463">
        <v>4462</v>
      </c>
      <c r="B4463">
        <v>814012</v>
      </c>
      <c r="C4463" s="1" t="str">
        <f>HYPERLINK("http://stackoverflow.com/users/814012", "rockeet")</f>
        <v>rockeet</v>
      </c>
      <c r="D4463" t="s">
        <v>5</v>
      </c>
      <c r="E4463">
        <v>32</v>
      </c>
    </row>
    <row r="4464" spans="1:5" x14ac:dyDescent="0.25">
      <c r="A4464">
        <v>4463</v>
      </c>
      <c r="B4464">
        <v>5055930</v>
      </c>
      <c r="C4464" s="1" t="str">
        <f>HYPERLINK("http://stackoverflow.com/users/5055930", "sabertazimi")</f>
        <v>sabertazimi</v>
      </c>
      <c r="D4464" t="s">
        <v>273</v>
      </c>
      <c r="E4464">
        <v>32</v>
      </c>
    </row>
    <row r="4465" spans="1:5" x14ac:dyDescent="0.25">
      <c r="A4465">
        <v>4464</v>
      </c>
      <c r="B4465">
        <v>5685733</v>
      </c>
      <c r="C4465" s="1" t="str">
        <f>HYPERLINK("http://stackoverflow.com/users/5685733", "yuiopt")</f>
        <v>yuiopt</v>
      </c>
      <c r="D4465" t="s">
        <v>4</v>
      </c>
      <c r="E4465">
        <v>32</v>
      </c>
    </row>
    <row r="4466" spans="1:5" x14ac:dyDescent="0.25">
      <c r="A4466">
        <v>4465</v>
      </c>
      <c r="B4466">
        <v>3886881</v>
      </c>
      <c r="C4466" s="1" t="str">
        <f>HYPERLINK("http://stackoverflow.com/users/3886881", "archeryue")</f>
        <v>archeryue</v>
      </c>
      <c r="D4466" t="s">
        <v>7</v>
      </c>
      <c r="E4466">
        <v>31</v>
      </c>
    </row>
    <row r="4467" spans="1:5" x14ac:dyDescent="0.25">
      <c r="A4467">
        <v>4466</v>
      </c>
      <c r="B4467">
        <v>3931837</v>
      </c>
      <c r="C4467" s="1" t="str">
        <f>HYPERLINK("http://stackoverflow.com/users/3931837", "Hope Sun")</f>
        <v>Hope Sun</v>
      </c>
      <c r="D4467" t="s">
        <v>5</v>
      </c>
      <c r="E4467">
        <v>31</v>
      </c>
    </row>
    <row r="4468" spans="1:5" x14ac:dyDescent="0.25">
      <c r="A4468">
        <v>4467</v>
      </c>
      <c r="B4468">
        <v>7694856</v>
      </c>
      <c r="C4468" s="1" t="str">
        <f>HYPERLINK("http://stackoverflow.com/users/7694856", "Cauchyzhou")</f>
        <v>Cauchyzhou</v>
      </c>
      <c r="D4468" t="s">
        <v>5</v>
      </c>
      <c r="E4468">
        <v>31</v>
      </c>
    </row>
    <row r="4469" spans="1:5" x14ac:dyDescent="0.25">
      <c r="A4469">
        <v>4468</v>
      </c>
      <c r="B4469">
        <v>2302352</v>
      </c>
      <c r="C4469" s="1" t="str">
        <f>HYPERLINK("http://stackoverflow.com/users/2302352", "ad.s")</f>
        <v>ad.s</v>
      </c>
      <c r="D4469" t="s">
        <v>5</v>
      </c>
      <c r="E4469">
        <v>31</v>
      </c>
    </row>
    <row r="4470" spans="1:5" x14ac:dyDescent="0.25">
      <c r="A4470">
        <v>4469</v>
      </c>
      <c r="B4470">
        <v>2000455</v>
      </c>
      <c r="C4470" s="1" t="str">
        <f>HYPERLINK("http://stackoverflow.com/users/2000455", "mtosic")</f>
        <v>mtosic</v>
      </c>
      <c r="D4470" t="s">
        <v>4</v>
      </c>
      <c r="E4470">
        <v>31</v>
      </c>
    </row>
    <row r="4471" spans="1:5" x14ac:dyDescent="0.25">
      <c r="A4471">
        <v>4470</v>
      </c>
      <c r="B4471">
        <v>2043813</v>
      </c>
      <c r="C4471" s="1" t="str">
        <f>HYPERLINK("http://stackoverflow.com/users/2043813", "BetaRabbit")</f>
        <v>BetaRabbit</v>
      </c>
      <c r="D4471" t="s">
        <v>37</v>
      </c>
      <c r="E4471">
        <v>31</v>
      </c>
    </row>
    <row r="4472" spans="1:5" x14ac:dyDescent="0.25">
      <c r="A4472">
        <v>4471</v>
      </c>
      <c r="B4472">
        <v>7377929</v>
      </c>
      <c r="C4472" s="1" t="str">
        <f>HYPERLINK("http://stackoverflow.com/users/7377929", "Joe Chan")</f>
        <v>Joe Chan</v>
      </c>
      <c r="D4472" t="s">
        <v>16</v>
      </c>
      <c r="E4472">
        <v>31</v>
      </c>
    </row>
    <row r="4473" spans="1:5" x14ac:dyDescent="0.25">
      <c r="A4473">
        <v>4472</v>
      </c>
      <c r="B4473">
        <v>7187725</v>
      </c>
      <c r="C4473" s="1" t="str">
        <f>HYPERLINK("http://stackoverflow.com/users/7187725", "EthanGong")</f>
        <v>EthanGong</v>
      </c>
      <c r="D4473" t="s">
        <v>78</v>
      </c>
      <c r="E4473">
        <v>31</v>
      </c>
    </row>
    <row r="4474" spans="1:5" x14ac:dyDescent="0.25">
      <c r="A4474">
        <v>4473</v>
      </c>
      <c r="B4474">
        <v>1746824</v>
      </c>
      <c r="C4474" s="1" t="str">
        <f>HYPERLINK("http://stackoverflow.com/users/1746824", "Wu Yupu")</f>
        <v>Wu Yupu</v>
      </c>
      <c r="D4474" t="s">
        <v>57</v>
      </c>
      <c r="E4474">
        <v>31</v>
      </c>
    </row>
    <row r="4475" spans="1:5" x14ac:dyDescent="0.25">
      <c r="A4475">
        <v>4474</v>
      </c>
      <c r="B4475">
        <v>1746454</v>
      </c>
      <c r="C4475" s="1" t="str">
        <f>HYPERLINK("http://stackoverflow.com/users/1746454", "Yang Zhou")</f>
        <v>Yang Zhou</v>
      </c>
      <c r="D4475" t="s">
        <v>22</v>
      </c>
      <c r="E4475">
        <v>31</v>
      </c>
    </row>
    <row r="4476" spans="1:5" x14ac:dyDescent="0.25">
      <c r="A4476">
        <v>4475</v>
      </c>
      <c r="B4476">
        <v>1353942</v>
      </c>
      <c r="C4476" s="1" t="str">
        <f>HYPERLINK("http://stackoverflow.com/users/1353942", "Sum Chan")</f>
        <v>Sum Chan</v>
      </c>
      <c r="D4476" t="s">
        <v>21</v>
      </c>
      <c r="E4476">
        <v>31</v>
      </c>
    </row>
    <row r="4477" spans="1:5" x14ac:dyDescent="0.25">
      <c r="A4477">
        <v>4476</v>
      </c>
      <c r="B4477">
        <v>1448158</v>
      </c>
      <c r="C4477" s="1" t="str">
        <f>HYPERLINK("http://stackoverflow.com/users/1448158", "Relaed")</f>
        <v>Relaed</v>
      </c>
      <c r="D4477" t="s">
        <v>4</v>
      </c>
      <c r="E4477">
        <v>31</v>
      </c>
    </row>
    <row r="4478" spans="1:5" x14ac:dyDescent="0.25">
      <c r="A4478">
        <v>4477</v>
      </c>
      <c r="B4478">
        <v>5272166</v>
      </c>
      <c r="C4478" s="1" t="str">
        <f>HYPERLINK("http://stackoverflow.com/users/5272166", "xiedidan")</f>
        <v>xiedidan</v>
      </c>
      <c r="D4478" t="s">
        <v>28</v>
      </c>
      <c r="E4478">
        <v>31</v>
      </c>
    </row>
    <row r="4479" spans="1:5" x14ac:dyDescent="0.25">
      <c r="A4479">
        <v>4478</v>
      </c>
      <c r="B4479">
        <v>5340985</v>
      </c>
      <c r="C4479" s="1" t="str">
        <f>HYPERLINK("http://stackoverflow.com/users/5340985", "Jiajun Wang")</f>
        <v>Jiajun Wang</v>
      </c>
      <c r="D4479" t="s">
        <v>4</v>
      </c>
      <c r="E4479">
        <v>31</v>
      </c>
    </row>
    <row r="4480" spans="1:5" x14ac:dyDescent="0.25">
      <c r="A4480">
        <v>4479</v>
      </c>
      <c r="B4480">
        <v>3148469</v>
      </c>
      <c r="C4480" s="1" t="str">
        <f>HYPERLINK("http://stackoverflow.com/users/3148469", "ElvisMcak")</f>
        <v>ElvisMcak</v>
      </c>
      <c r="D4480" t="s">
        <v>4</v>
      </c>
      <c r="E4480">
        <v>31</v>
      </c>
    </row>
    <row r="4481" spans="1:5" x14ac:dyDescent="0.25">
      <c r="A4481">
        <v>4480</v>
      </c>
      <c r="B4481">
        <v>3125468</v>
      </c>
      <c r="C4481" s="1" t="str">
        <f>HYPERLINK("http://stackoverflow.com/users/3125468", "Bin Hao")</f>
        <v>Bin Hao</v>
      </c>
      <c r="D4481" t="s">
        <v>5</v>
      </c>
      <c r="E4481">
        <v>31</v>
      </c>
    </row>
    <row r="4482" spans="1:5" x14ac:dyDescent="0.25">
      <c r="A4482">
        <v>4481</v>
      </c>
      <c r="B4482">
        <v>1115752</v>
      </c>
      <c r="C4482" s="1" t="str">
        <f>HYPERLINK("http://stackoverflow.com/users/1115752", "spaadecon")</f>
        <v>spaadecon</v>
      </c>
      <c r="D4482" t="s">
        <v>5</v>
      </c>
      <c r="E4482">
        <v>31</v>
      </c>
    </row>
    <row r="4483" spans="1:5" x14ac:dyDescent="0.25">
      <c r="A4483">
        <v>4482</v>
      </c>
      <c r="B4483">
        <v>8583471</v>
      </c>
      <c r="C4483" s="1" t="str">
        <f>HYPERLINK("http://stackoverflow.com/users/8583471", "leyliu.com")</f>
        <v>leyliu.com</v>
      </c>
      <c r="D4483" t="s">
        <v>25</v>
      </c>
      <c r="E4483">
        <v>31</v>
      </c>
    </row>
    <row r="4484" spans="1:5" x14ac:dyDescent="0.25">
      <c r="A4484">
        <v>4483</v>
      </c>
      <c r="B4484">
        <v>1103320</v>
      </c>
      <c r="C4484" s="1" t="str">
        <f>HYPERLINK("http://stackoverflow.com/users/1103320", "kai")</f>
        <v>kai</v>
      </c>
      <c r="D4484" t="s">
        <v>5</v>
      </c>
      <c r="E4484">
        <v>31</v>
      </c>
    </row>
    <row r="4485" spans="1:5" x14ac:dyDescent="0.25">
      <c r="A4485">
        <v>4484</v>
      </c>
      <c r="B4485">
        <v>8427397</v>
      </c>
      <c r="C4485" s="1" t="str">
        <f>HYPERLINK("http://stackoverflow.com/users/8427397", "Jason.chen")</f>
        <v>Jason.chen</v>
      </c>
      <c r="D4485" t="s">
        <v>131</v>
      </c>
      <c r="E4485">
        <v>31</v>
      </c>
    </row>
    <row r="4486" spans="1:5" x14ac:dyDescent="0.25">
      <c r="A4486">
        <v>4485</v>
      </c>
      <c r="B4486">
        <v>985117</v>
      </c>
      <c r="C4486" s="1" t="str">
        <f>HYPERLINK("http://stackoverflow.com/users/985117", "NaN")</f>
        <v>NaN</v>
      </c>
      <c r="D4486" t="s">
        <v>5</v>
      </c>
      <c r="E4486">
        <v>31</v>
      </c>
    </row>
    <row r="4487" spans="1:5" x14ac:dyDescent="0.25">
      <c r="A4487">
        <v>4486</v>
      </c>
      <c r="B4487">
        <v>954545</v>
      </c>
      <c r="C4487" s="1" t="str">
        <f>HYPERLINK("http://stackoverflow.com/users/954545", "stillzhl")</f>
        <v>stillzhl</v>
      </c>
      <c r="D4487" t="s">
        <v>5</v>
      </c>
      <c r="E4487">
        <v>31</v>
      </c>
    </row>
    <row r="4488" spans="1:5" x14ac:dyDescent="0.25">
      <c r="A4488">
        <v>4487</v>
      </c>
      <c r="B4488">
        <v>1023326</v>
      </c>
      <c r="C4488" s="1" t="str">
        <f>HYPERLINK("http://stackoverflow.com/users/1023326", "HonestyGong")</f>
        <v>HonestyGong</v>
      </c>
      <c r="D4488" t="s">
        <v>5</v>
      </c>
      <c r="E4488">
        <v>31</v>
      </c>
    </row>
    <row r="4489" spans="1:5" x14ac:dyDescent="0.25">
      <c r="A4489">
        <v>4488</v>
      </c>
      <c r="B4489">
        <v>2902825</v>
      </c>
      <c r="C4489" s="1" t="str">
        <f>HYPERLINK("http://stackoverflow.com/users/2902825", "xfhenver")</f>
        <v>xfhenver</v>
      </c>
      <c r="D4489" t="s">
        <v>274</v>
      </c>
      <c r="E4489">
        <v>31</v>
      </c>
    </row>
    <row r="4490" spans="1:5" x14ac:dyDescent="0.25">
      <c r="A4490">
        <v>4489</v>
      </c>
      <c r="B4490">
        <v>502186</v>
      </c>
      <c r="C4490" s="1" t="str">
        <f>HYPERLINK("http://stackoverflow.com/users/502186", "Solomon Sun")</f>
        <v>Solomon Sun</v>
      </c>
      <c r="D4490" t="s">
        <v>17</v>
      </c>
      <c r="E4490">
        <v>31</v>
      </c>
    </row>
    <row r="4491" spans="1:5" x14ac:dyDescent="0.25">
      <c r="A4491">
        <v>4490</v>
      </c>
      <c r="B4491">
        <v>502777</v>
      </c>
      <c r="C4491" s="1" t="str">
        <f>HYPERLINK("http://stackoverflow.com/users/502777", "pansunyou")</f>
        <v>pansunyou</v>
      </c>
      <c r="D4491" t="s">
        <v>108</v>
      </c>
      <c r="E4491">
        <v>31</v>
      </c>
    </row>
    <row r="4492" spans="1:5" x14ac:dyDescent="0.25">
      <c r="A4492">
        <v>4491</v>
      </c>
      <c r="B4492">
        <v>2503408</v>
      </c>
      <c r="C4492" s="1" t="str">
        <f>HYPERLINK("http://stackoverflow.com/users/2503408", "eureka")</f>
        <v>eureka</v>
      </c>
      <c r="D4492" t="s">
        <v>4</v>
      </c>
      <c r="E4492">
        <v>31</v>
      </c>
    </row>
    <row r="4493" spans="1:5" x14ac:dyDescent="0.25">
      <c r="A4493">
        <v>4492</v>
      </c>
      <c r="B4493">
        <v>5429860</v>
      </c>
      <c r="C4493" s="1" t="str">
        <f>HYPERLINK("http://stackoverflow.com/users/5429860", "夜阑听风")</f>
        <v>夜阑听风</v>
      </c>
      <c r="D4493" t="s">
        <v>5</v>
      </c>
      <c r="E4493">
        <v>31</v>
      </c>
    </row>
    <row r="4494" spans="1:5" x14ac:dyDescent="0.25">
      <c r="A4494">
        <v>4493</v>
      </c>
      <c r="B4494">
        <v>1881000</v>
      </c>
      <c r="C4494" s="1" t="str">
        <f>HYPERLINK("http://stackoverflow.com/users/1881000", "imzhangliang")</f>
        <v>imzhangliang</v>
      </c>
      <c r="D4494" t="s">
        <v>275</v>
      </c>
      <c r="E4494">
        <v>31</v>
      </c>
    </row>
    <row r="4495" spans="1:5" x14ac:dyDescent="0.25">
      <c r="A4495">
        <v>4494</v>
      </c>
      <c r="B4495">
        <v>3981328</v>
      </c>
      <c r="C4495" s="1" t="str">
        <f>HYPERLINK("http://stackoverflow.com/users/3981328", "Medo Paw")</f>
        <v>Medo Paw</v>
      </c>
      <c r="D4495" t="s">
        <v>5</v>
      </c>
      <c r="E4495">
        <v>31</v>
      </c>
    </row>
    <row r="4496" spans="1:5" x14ac:dyDescent="0.25">
      <c r="A4496">
        <v>4495</v>
      </c>
      <c r="B4496">
        <v>2345502</v>
      </c>
      <c r="C4496" s="1" t="str">
        <f>HYPERLINK("http://stackoverflow.com/users/2345502", "wxy068")</f>
        <v>wxy068</v>
      </c>
      <c r="D4496" t="s">
        <v>4</v>
      </c>
      <c r="E4496">
        <v>31</v>
      </c>
    </row>
    <row r="4497" spans="1:5" x14ac:dyDescent="0.25">
      <c r="A4497">
        <v>4496</v>
      </c>
      <c r="B4497">
        <v>2383995</v>
      </c>
      <c r="C4497" s="1" t="str">
        <f>HYPERLINK("http://stackoverflow.com/users/2383995", "Richard Mei")</f>
        <v>Richard Mei</v>
      </c>
      <c r="D4497" t="s">
        <v>4</v>
      </c>
      <c r="E4497">
        <v>31</v>
      </c>
    </row>
    <row r="4498" spans="1:5" x14ac:dyDescent="0.25">
      <c r="A4498">
        <v>4497</v>
      </c>
      <c r="B4498">
        <v>5983832</v>
      </c>
      <c r="C4498" s="1" t="str">
        <f>HYPERLINK("http://stackoverflow.com/users/5983832", "毕晓峰")</f>
        <v>毕晓峰</v>
      </c>
      <c r="D4498" t="s">
        <v>5</v>
      </c>
      <c r="E4498">
        <v>31</v>
      </c>
    </row>
    <row r="4499" spans="1:5" x14ac:dyDescent="0.25">
      <c r="A4499">
        <v>4498</v>
      </c>
      <c r="B4499">
        <v>2899160</v>
      </c>
      <c r="C4499" s="1" t="str">
        <f>HYPERLINK("http://stackoverflow.com/users/2899160", "john zhang")</f>
        <v>john zhang</v>
      </c>
      <c r="D4499" t="s">
        <v>5</v>
      </c>
      <c r="E4499">
        <v>31</v>
      </c>
    </row>
    <row r="4500" spans="1:5" x14ac:dyDescent="0.25">
      <c r="A4500">
        <v>4499</v>
      </c>
      <c r="B4500">
        <v>10084341</v>
      </c>
      <c r="C4500" s="1" t="str">
        <f>HYPERLINK("http://stackoverflow.com/users/10084341", "Simon Xueming Duan")</f>
        <v>Simon Xueming Duan</v>
      </c>
      <c r="D4500" t="s">
        <v>5</v>
      </c>
      <c r="E4500">
        <v>31</v>
      </c>
    </row>
    <row r="4501" spans="1:5" x14ac:dyDescent="0.25">
      <c r="A4501">
        <v>4500</v>
      </c>
      <c r="B4501">
        <v>522090</v>
      </c>
      <c r="C4501" s="1" t="str">
        <f>HYPERLINK("http://stackoverflow.com/users/522090", "Kainy")</f>
        <v>Kainy</v>
      </c>
      <c r="D4501" t="s">
        <v>24</v>
      </c>
      <c r="E4501">
        <v>31</v>
      </c>
    </row>
    <row r="4502" spans="1:5" x14ac:dyDescent="0.25">
      <c r="A4502">
        <v>4501</v>
      </c>
      <c r="B4502">
        <v>7877700</v>
      </c>
      <c r="C4502" s="1" t="str">
        <f>HYPERLINK("http://stackoverflow.com/users/7877700", "wangxiaolei")</f>
        <v>wangxiaolei</v>
      </c>
      <c r="D4502" t="s">
        <v>16</v>
      </c>
      <c r="E4502">
        <v>31</v>
      </c>
    </row>
    <row r="4503" spans="1:5" x14ac:dyDescent="0.25">
      <c r="A4503">
        <v>4502</v>
      </c>
      <c r="B4503">
        <v>2434960</v>
      </c>
      <c r="C4503" s="1" t="str">
        <f>HYPERLINK("http://stackoverflow.com/users/2434960", "ryan.lan1")</f>
        <v>ryan.lan1</v>
      </c>
      <c r="D4503" t="s">
        <v>4</v>
      </c>
      <c r="E4503">
        <v>31</v>
      </c>
    </row>
    <row r="4504" spans="1:5" x14ac:dyDescent="0.25">
      <c r="A4504">
        <v>4503</v>
      </c>
      <c r="B4504">
        <v>88450</v>
      </c>
      <c r="C4504" s="1" t="str">
        <f>HYPERLINK("http://stackoverflow.com/users/88450", "sbabybird")</f>
        <v>sbabybird</v>
      </c>
      <c r="D4504" t="s">
        <v>5</v>
      </c>
      <c r="E4504">
        <v>31</v>
      </c>
    </row>
    <row r="4505" spans="1:5" x14ac:dyDescent="0.25">
      <c r="A4505">
        <v>4504</v>
      </c>
      <c r="B4505">
        <v>7979286</v>
      </c>
      <c r="C4505" s="1" t="str">
        <f>HYPERLINK("http://stackoverflow.com/users/7979286", "summer wind")</f>
        <v>summer wind</v>
      </c>
      <c r="D4505" t="s">
        <v>54</v>
      </c>
      <c r="E4505">
        <v>31</v>
      </c>
    </row>
    <row r="4506" spans="1:5" x14ac:dyDescent="0.25">
      <c r="A4506">
        <v>4505</v>
      </c>
      <c r="B4506">
        <v>400901</v>
      </c>
      <c r="C4506" s="1" t="str">
        <f>HYPERLINK("http://stackoverflow.com/users/400901", "nilekurt")</f>
        <v>nilekurt</v>
      </c>
      <c r="D4506" t="s">
        <v>5</v>
      </c>
      <c r="E4506">
        <v>31</v>
      </c>
    </row>
    <row r="4507" spans="1:5" x14ac:dyDescent="0.25">
      <c r="A4507">
        <v>4506</v>
      </c>
      <c r="B4507">
        <v>3494356</v>
      </c>
      <c r="C4507" s="1" t="str">
        <f>HYPERLINK("http://stackoverflow.com/users/3494356", "AdamWang")</f>
        <v>AdamWang</v>
      </c>
      <c r="D4507" t="s">
        <v>5</v>
      </c>
      <c r="E4507">
        <v>31</v>
      </c>
    </row>
    <row r="4508" spans="1:5" x14ac:dyDescent="0.25">
      <c r="A4508">
        <v>4507</v>
      </c>
      <c r="B4508">
        <v>1553978</v>
      </c>
      <c r="C4508" s="1" t="str">
        <f>HYPERLINK("http://stackoverflow.com/users/1553978", "leonyuan")</f>
        <v>leonyuan</v>
      </c>
      <c r="D4508" t="s">
        <v>12</v>
      </c>
      <c r="E4508">
        <v>31</v>
      </c>
    </row>
    <row r="4509" spans="1:5" x14ac:dyDescent="0.25">
      <c r="A4509">
        <v>4508</v>
      </c>
      <c r="B4509">
        <v>3237311</v>
      </c>
      <c r="C4509" s="1" t="str">
        <f>HYPERLINK("http://stackoverflow.com/users/3237311", "zhanglongpan")</f>
        <v>zhanglongpan</v>
      </c>
      <c r="D4509" t="s">
        <v>17</v>
      </c>
      <c r="E4509">
        <v>31</v>
      </c>
    </row>
    <row r="4510" spans="1:5" x14ac:dyDescent="0.25">
      <c r="A4510">
        <v>4509</v>
      </c>
      <c r="B4510">
        <v>10511164</v>
      </c>
      <c r="C4510" s="1" t="str">
        <f>HYPERLINK("http://stackoverflow.com/users/10511164", "Stef Marais")</f>
        <v>Stef Marais</v>
      </c>
      <c r="D4510" t="s">
        <v>5</v>
      </c>
      <c r="E4510">
        <v>31</v>
      </c>
    </row>
    <row r="4511" spans="1:5" x14ac:dyDescent="0.25">
      <c r="A4511">
        <v>4510</v>
      </c>
      <c r="B4511">
        <v>1133704</v>
      </c>
      <c r="C4511" s="1" t="str">
        <f>HYPERLINK("http://stackoverflow.com/users/1133704", "Lijie Huang")</f>
        <v>Lijie Huang</v>
      </c>
      <c r="D4511" t="s">
        <v>5</v>
      </c>
      <c r="E4511">
        <v>31</v>
      </c>
    </row>
    <row r="4512" spans="1:5" x14ac:dyDescent="0.25">
      <c r="A4512">
        <v>4511</v>
      </c>
      <c r="B4512">
        <v>1241057</v>
      </c>
      <c r="C4512" s="1" t="str">
        <f>HYPERLINK("http://stackoverflow.com/users/1241057", "Jeonkwan")</f>
        <v>Jeonkwan</v>
      </c>
      <c r="D4512" t="s">
        <v>41</v>
      </c>
      <c r="E4512">
        <v>31</v>
      </c>
    </row>
    <row r="4513" spans="1:5" x14ac:dyDescent="0.25">
      <c r="A4513">
        <v>4512</v>
      </c>
      <c r="B4513">
        <v>3221728</v>
      </c>
      <c r="C4513" s="1" t="str">
        <f>HYPERLINK("http://stackoverflow.com/users/3221728", "Bob Luo")</f>
        <v>Bob Luo</v>
      </c>
      <c r="D4513" t="s">
        <v>48</v>
      </c>
      <c r="E4513">
        <v>31</v>
      </c>
    </row>
    <row r="4514" spans="1:5" x14ac:dyDescent="0.25">
      <c r="A4514">
        <v>4513</v>
      </c>
      <c r="B4514">
        <v>3217519</v>
      </c>
      <c r="C4514" s="1" t="str">
        <f>HYPERLINK("http://stackoverflow.com/users/3217519", "AndyZhuang")</f>
        <v>AndyZhuang</v>
      </c>
      <c r="D4514" t="s">
        <v>5</v>
      </c>
      <c r="E4514">
        <v>31</v>
      </c>
    </row>
    <row r="4515" spans="1:5" x14ac:dyDescent="0.25">
      <c r="A4515">
        <v>4514</v>
      </c>
      <c r="B4515">
        <v>1228032</v>
      </c>
      <c r="C4515" s="1" t="str">
        <f>HYPERLINK("http://stackoverflow.com/users/1228032", "Rechtar")</f>
        <v>Rechtar</v>
      </c>
      <c r="D4515" t="s">
        <v>4</v>
      </c>
      <c r="E4515">
        <v>31</v>
      </c>
    </row>
    <row r="4516" spans="1:5" x14ac:dyDescent="0.25">
      <c r="A4516">
        <v>4515</v>
      </c>
      <c r="B4516">
        <v>1242045</v>
      </c>
      <c r="C4516" s="1" t="str">
        <f>HYPERLINK("http://stackoverflow.com/users/1242045", "Happyday")</f>
        <v>Happyday</v>
      </c>
      <c r="D4516" t="s">
        <v>5</v>
      </c>
      <c r="E4516">
        <v>31</v>
      </c>
    </row>
    <row r="4517" spans="1:5" x14ac:dyDescent="0.25">
      <c r="A4517">
        <v>4516</v>
      </c>
      <c r="B4517">
        <v>1241728</v>
      </c>
      <c r="C4517" s="1" t="str">
        <f>HYPERLINK("http://stackoverflow.com/users/1241728", "bruce")</f>
        <v>bruce</v>
      </c>
      <c r="D4517" t="s">
        <v>8</v>
      </c>
      <c r="E4517">
        <v>31</v>
      </c>
    </row>
    <row r="4518" spans="1:5" x14ac:dyDescent="0.25">
      <c r="A4518">
        <v>4517</v>
      </c>
      <c r="B4518">
        <v>3162417</v>
      </c>
      <c r="C4518" s="1" t="str">
        <f>HYPERLINK("http://stackoverflow.com/users/3162417", "Jet CHEN")</f>
        <v>Jet CHEN</v>
      </c>
      <c r="D4518" t="s">
        <v>11</v>
      </c>
      <c r="E4518">
        <v>31</v>
      </c>
    </row>
    <row r="4519" spans="1:5" x14ac:dyDescent="0.25">
      <c r="A4519">
        <v>4518</v>
      </c>
      <c r="B4519">
        <v>795307</v>
      </c>
      <c r="C4519" s="1" t="str">
        <f>HYPERLINK("http://stackoverflow.com/users/795307", "harleyw")</f>
        <v>harleyw</v>
      </c>
      <c r="D4519" t="s">
        <v>22</v>
      </c>
      <c r="E4519">
        <v>31</v>
      </c>
    </row>
    <row r="4520" spans="1:5" x14ac:dyDescent="0.25">
      <c r="A4520">
        <v>4519</v>
      </c>
      <c r="B4520">
        <v>732036</v>
      </c>
      <c r="C4520" s="1" t="str">
        <f>HYPERLINK("http://stackoverflow.com/users/732036", "chenxiaoqino")</f>
        <v>chenxiaoqino</v>
      </c>
      <c r="D4520" t="s">
        <v>21</v>
      </c>
      <c r="E4520">
        <v>31</v>
      </c>
    </row>
    <row r="4521" spans="1:5" x14ac:dyDescent="0.25">
      <c r="A4521">
        <v>4520</v>
      </c>
      <c r="B4521">
        <v>4715081</v>
      </c>
      <c r="C4521" s="1" t="str">
        <f>HYPERLINK("http://stackoverflow.com/users/4715081", "feiffy")</f>
        <v>feiffy</v>
      </c>
      <c r="D4521" t="s">
        <v>55</v>
      </c>
      <c r="E4521">
        <v>31</v>
      </c>
    </row>
    <row r="4522" spans="1:5" x14ac:dyDescent="0.25">
      <c r="A4522">
        <v>4521</v>
      </c>
      <c r="B4522">
        <v>760394</v>
      </c>
      <c r="C4522" s="1" t="str">
        <f>HYPERLINK("http://stackoverflow.com/users/760394", "sgzhan")</f>
        <v>sgzhan</v>
      </c>
      <c r="D4522" t="s">
        <v>5</v>
      </c>
      <c r="E4522">
        <v>31</v>
      </c>
    </row>
    <row r="4523" spans="1:5" x14ac:dyDescent="0.25">
      <c r="A4523">
        <v>4522</v>
      </c>
      <c r="B4523">
        <v>6496702</v>
      </c>
      <c r="C4523" s="1" t="str">
        <f>HYPERLINK("http://stackoverflow.com/users/6496702", "Maggie")</f>
        <v>Maggie</v>
      </c>
      <c r="D4523" t="s">
        <v>5</v>
      </c>
      <c r="E4523">
        <v>31</v>
      </c>
    </row>
    <row r="4524" spans="1:5" x14ac:dyDescent="0.25">
      <c r="A4524">
        <v>4523</v>
      </c>
      <c r="B4524">
        <v>424767</v>
      </c>
      <c r="C4524" s="1" t="str">
        <f>HYPERLINK("http://stackoverflow.com/users/424767", "Howl Wong")</f>
        <v>Howl Wong</v>
      </c>
      <c r="D4524" t="s">
        <v>4</v>
      </c>
      <c r="E4524">
        <v>31</v>
      </c>
    </row>
    <row r="4525" spans="1:5" x14ac:dyDescent="0.25">
      <c r="A4525">
        <v>4524</v>
      </c>
      <c r="B4525">
        <v>8012749</v>
      </c>
      <c r="C4525" s="1" t="str">
        <f>HYPERLINK("http://stackoverflow.com/users/8012749", "sunweifeng")</f>
        <v>sunweifeng</v>
      </c>
      <c r="D4525" t="s">
        <v>16</v>
      </c>
      <c r="E4525">
        <v>31</v>
      </c>
    </row>
    <row r="4526" spans="1:5" x14ac:dyDescent="0.25">
      <c r="A4526">
        <v>4525</v>
      </c>
      <c r="B4526">
        <v>4440299</v>
      </c>
      <c r="C4526" s="1" t="str">
        <f>HYPERLINK("http://stackoverflow.com/users/4440299", "Yixian")</f>
        <v>Yixian</v>
      </c>
      <c r="D4526" t="s">
        <v>5</v>
      </c>
      <c r="E4526">
        <v>31</v>
      </c>
    </row>
    <row r="4527" spans="1:5" x14ac:dyDescent="0.25">
      <c r="A4527">
        <v>4526</v>
      </c>
      <c r="B4527">
        <v>4402334</v>
      </c>
      <c r="C4527" s="1" t="str">
        <f>HYPERLINK("http://stackoverflow.com/users/4402334", "徐珍琦")</f>
        <v>徐珍琦</v>
      </c>
      <c r="D4527" t="s">
        <v>5</v>
      </c>
      <c r="E4527">
        <v>31</v>
      </c>
    </row>
    <row r="4528" spans="1:5" x14ac:dyDescent="0.25">
      <c r="A4528">
        <v>4527</v>
      </c>
      <c r="B4528">
        <v>517048</v>
      </c>
      <c r="C4528" s="1" t="str">
        <f>HYPERLINK("http://stackoverflow.com/users/517048", "dengjiebin")</f>
        <v>dengjiebin</v>
      </c>
      <c r="D4528" t="s">
        <v>5</v>
      </c>
      <c r="E4528">
        <v>31</v>
      </c>
    </row>
    <row r="4529" spans="1:5" x14ac:dyDescent="0.25">
      <c r="A4529">
        <v>4528</v>
      </c>
      <c r="B4529">
        <v>1299964</v>
      </c>
      <c r="C4529" s="1" t="str">
        <f>HYPERLINK("http://stackoverflow.com/users/1299964", "ukoki")</f>
        <v>ukoki</v>
      </c>
      <c r="D4529" t="s">
        <v>113</v>
      </c>
      <c r="E4529">
        <v>31</v>
      </c>
    </row>
    <row r="4530" spans="1:5" x14ac:dyDescent="0.25">
      <c r="A4530">
        <v>4529</v>
      </c>
      <c r="B4530">
        <v>1292317</v>
      </c>
      <c r="C4530" s="1" t="str">
        <f>HYPERLINK("http://stackoverflow.com/users/1292317", "Chao")</f>
        <v>Chao</v>
      </c>
      <c r="D4530" t="s">
        <v>5</v>
      </c>
      <c r="E4530">
        <v>31</v>
      </c>
    </row>
    <row r="4531" spans="1:5" x14ac:dyDescent="0.25">
      <c r="A4531">
        <v>4530</v>
      </c>
      <c r="B4531">
        <v>8594873</v>
      </c>
      <c r="C4531" s="1" t="str">
        <f>HYPERLINK("http://stackoverflow.com/users/8594873", "kfpanda")</f>
        <v>kfpanda</v>
      </c>
      <c r="D4531" t="s">
        <v>5</v>
      </c>
      <c r="E4531">
        <v>31</v>
      </c>
    </row>
    <row r="4532" spans="1:5" x14ac:dyDescent="0.25">
      <c r="A4532">
        <v>4531</v>
      </c>
      <c r="B4532">
        <v>1349708</v>
      </c>
      <c r="C4532" s="1" t="str">
        <f>HYPERLINK("http://stackoverflow.com/users/1349708", "ustc-geeker")</f>
        <v>ustc-geeker</v>
      </c>
      <c r="D4532" t="s">
        <v>22</v>
      </c>
      <c r="E4532">
        <v>31</v>
      </c>
    </row>
    <row r="4533" spans="1:5" x14ac:dyDescent="0.25">
      <c r="A4533">
        <v>4532</v>
      </c>
      <c r="B4533">
        <v>1184709</v>
      </c>
      <c r="C4533" s="1" t="str">
        <f>HYPERLINK("http://stackoverflow.com/users/1184709", "dphacker")</f>
        <v>dphacker</v>
      </c>
      <c r="D4533" t="s">
        <v>17</v>
      </c>
      <c r="E4533">
        <v>31</v>
      </c>
    </row>
    <row r="4534" spans="1:5" x14ac:dyDescent="0.25">
      <c r="A4534">
        <v>4533</v>
      </c>
      <c r="B4534">
        <v>3111045</v>
      </c>
      <c r="C4534" s="1" t="str">
        <f>HYPERLINK("http://stackoverflow.com/users/3111045", "David Hu")</f>
        <v>David Hu</v>
      </c>
      <c r="D4534" t="s">
        <v>4</v>
      </c>
      <c r="E4534">
        <v>31</v>
      </c>
    </row>
    <row r="4535" spans="1:5" x14ac:dyDescent="0.25">
      <c r="A4535">
        <v>4534</v>
      </c>
      <c r="B4535">
        <v>1239212</v>
      </c>
      <c r="C4535" s="1" t="str">
        <f>HYPERLINK("http://stackoverflow.com/users/1239212", "Snow")</f>
        <v>Snow</v>
      </c>
      <c r="D4535" t="s">
        <v>5</v>
      </c>
      <c r="E4535">
        <v>31</v>
      </c>
    </row>
    <row r="4536" spans="1:5" x14ac:dyDescent="0.25">
      <c r="A4536">
        <v>4535</v>
      </c>
      <c r="B4536">
        <v>5193058</v>
      </c>
      <c r="C4536" s="1" t="str">
        <f>HYPERLINK("http://stackoverflow.com/users/5193058", "EchoXuan")</f>
        <v>EchoXuan</v>
      </c>
      <c r="D4536" t="s">
        <v>57</v>
      </c>
      <c r="E4536">
        <v>31</v>
      </c>
    </row>
    <row r="4537" spans="1:5" x14ac:dyDescent="0.25">
      <c r="A4537">
        <v>4536</v>
      </c>
      <c r="B4537">
        <v>6800295</v>
      </c>
      <c r="C4537" s="1" t="str">
        <f>HYPERLINK("http://stackoverflow.com/users/6800295", "Li An")</f>
        <v>Li An</v>
      </c>
      <c r="D4537" t="s">
        <v>27</v>
      </c>
      <c r="E4537">
        <v>31</v>
      </c>
    </row>
    <row r="4538" spans="1:5" x14ac:dyDescent="0.25">
      <c r="A4538">
        <v>4537</v>
      </c>
      <c r="B4538">
        <v>5308632</v>
      </c>
      <c r="C4538" s="1" t="str">
        <f>HYPERLINK("http://stackoverflow.com/users/5308632", "neilwu")</f>
        <v>neilwu</v>
      </c>
      <c r="D4538" t="s">
        <v>22</v>
      </c>
      <c r="E4538">
        <v>31</v>
      </c>
    </row>
    <row r="4539" spans="1:5" x14ac:dyDescent="0.25">
      <c r="A4539">
        <v>4538</v>
      </c>
      <c r="B4539">
        <v>5349276</v>
      </c>
      <c r="C4539" s="1" t="str">
        <f>HYPERLINK("http://stackoverflow.com/users/5349276", "marchen")</f>
        <v>marchen</v>
      </c>
      <c r="D4539" t="s">
        <v>4</v>
      </c>
      <c r="E4539">
        <v>31</v>
      </c>
    </row>
    <row r="4540" spans="1:5" x14ac:dyDescent="0.25">
      <c r="A4540">
        <v>4539</v>
      </c>
      <c r="B4540">
        <v>1635386</v>
      </c>
      <c r="C4540" s="1" t="str">
        <f>HYPERLINK("http://stackoverflow.com/users/1635386", "kuangi")</f>
        <v>kuangi</v>
      </c>
      <c r="D4540" t="s">
        <v>17</v>
      </c>
      <c r="E4540">
        <v>31</v>
      </c>
    </row>
    <row r="4541" spans="1:5" x14ac:dyDescent="0.25">
      <c r="A4541">
        <v>4540</v>
      </c>
      <c r="B4541">
        <v>2293211</v>
      </c>
      <c r="C4541" s="1" t="str">
        <f>HYPERLINK("http://stackoverflow.com/users/2293211", "Lyux")</f>
        <v>Lyux</v>
      </c>
      <c r="D4541" t="s">
        <v>34</v>
      </c>
      <c r="E4541">
        <v>31</v>
      </c>
    </row>
    <row r="4542" spans="1:5" x14ac:dyDescent="0.25">
      <c r="A4542">
        <v>4541</v>
      </c>
      <c r="B4542">
        <v>5928055</v>
      </c>
      <c r="C4542" s="1" t="str">
        <f>HYPERLINK("http://stackoverflow.com/users/5928055", "jeffzh")</f>
        <v>jeffzh</v>
      </c>
      <c r="D4542" t="s">
        <v>25</v>
      </c>
      <c r="E4542">
        <v>31</v>
      </c>
    </row>
    <row r="4543" spans="1:5" x14ac:dyDescent="0.25">
      <c r="A4543">
        <v>4542</v>
      </c>
      <c r="B4543">
        <v>6016321</v>
      </c>
      <c r="C4543" s="1" t="str">
        <f>HYPERLINK("http://stackoverflow.com/users/6016321", "qiyon")</f>
        <v>qiyon</v>
      </c>
      <c r="D4543" t="s">
        <v>25</v>
      </c>
      <c r="E4543">
        <v>31</v>
      </c>
    </row>
    <row r="4544" spans="1:5" x14ac:dyDescent="0.25">
      <c r="A4544">
        <v>4543</v>
      </c>
      <c r="B4544">
        <v>3741594</v>
      </c>
      <c r="C4544" s="1" t="str">
        <f>HYPERLINK("http://stackoverflow.com/users/3741594", "zhpmatrix")</f>
        <v>zhpmatrix</v>
      </c>
      <c r="D4544" t="s">
        <v>276</v>
      </c>
      <c r="E4544">
        <v>31</v>
      </c>
    </row>
    <row r="4545" spans="1:5" x14ac:dyDescent="0.25">
      <c r="A4545">
        <v>4544</v>
      </c>
      <c r="B4545">
        <v>7262342</v>
      </c>
      <c r="C4545" s="1" t="str">
        <f>HYPERLINK("http://stackoverflow.com/users/7262342", "SeiU")</f>
        <v>SeiU</v>
      </c>
      <c r="D4545" t="s">
        <v>131</v>
      </c>
      <c r="E4545">
        <v>31</v>
      </c>
    </row>
    <row r="4546" spans="1:5" x14ac:dyDescent="0.25">
      <c r="A4546">
        <v>4545</v>
      </c>
      <c r="B4546">
        <v>2017074</v>
      </c>
      <c r="C4546" s="1" t="str">
        <f>HYPERLINK("http://stackoverflow.com/users/2017074", "zangbianxuegu")</f>
        <v>zangbianxuegu</v>
      </c>
      <c r="D4546" t="s">
        <v>5</v>
      </c>
      <c r="E4546">
        <v>31</v>
      </c>
    </row>
    <row r="4547" spans="1:5" x14ac:dyDescent="0.25">
      <c r="A4547">
        <v>4546</v>
      </c>
      <c r="B4547">
        <v>5606640</v>
      </c>
      <c r="C4547" s="1" t="str">
        <f>HYPERLINK("http://stackoverflow.com/users/5606640", "林晖杰")</f>
        <v>林晖杰</v>
      </c>
      <c r="D4547" t="s">
        <v>21</v>
      </c>
      <c r="E4547">
        <v>31</v>
      </c>
    </row>
    <row r="4548" spans="1:5" x14ac:dyDescent="0.25">
      <c r="A4548">
        <v>4547</v>
      </c>
      <c r="B4548">
        <v>3774436</v>
      </c>
      <c r="C4548" s="1" t="str">
        <f>HYPERLINK("http://stackoverflow.com/users/3774436", "jiechic")</f>
        <v>jiechic</v>
      </c>
      <c r="D4548" t="s">
        <v>17</v>
      </c>
      <c r="E4548">
        <v>31</v>
      </c>
    </row>
    <row r="4549" spans="1:5" x14ac:dyDescent="0.25">
      <c r="A4549">
        <v>4548</v>
      </c>
      <c r="B4549">
        <v>1686360</v>
      </c>
      <c r="C4549" s="1" t="str">
        <f>HYPERLINK("http://stackoverflow.com/users/1686360", "yayun")</f>
        <v>yayun</v>
      </c>
      <c r="D4549" t="s">
        <v>277</v>
      </c>
      <c r="E4549">
        <v>31</v>
      </c>
    </row>
    <row r="4550" spans="1:5" x14ac:dyDescent="0.25">
      <c r="A4550">
        <v>4549</v>
      </c>
      <c r="B4550">
        <v>3480333</v>
      </c>
      <c r="C4550" s="1" t="str">
        <f>HYPERLINK("http://stackoverflow.com/users/3480333", "Houqi")</f>
        <v>Houqi</v>
      </c>
      <c r="D4550" t="s">
        <v>5</v>
      </c>
      <c r="E4550">
        <v>31</v>
      </c>
    </row>
    <row r="4551" spans="1:5" x14ac:dyDescent="0.25">
      <c r="A4551">
        <v>4550</v>
      </c>
      <c r="B4551">
        <v>1623020</v>
      </c>
      <c r="C4551" s="1" t="str">
        <f>HYPERLINK("http://stackoverflow.com/users/1623020", "ainopara")</f>
        <v>ainopara</v>
      </c>
      <c r="D4551" t="s">
        <v>5</v>
      </c>
      <c r="E4551">
        <v>31</v>
      </c>
    </row>
    <row r="4552" spans="1:5" x14ac:dyDescent="0.25">
      <c r="A4552">
        <v>4551</v>
      </c>
      <c r="B4552">
        <v>7141043</v>
      </c>
      <c r="C4552" s="1" t="str">
        <f>HYPERLINK("http://stackoverflow.com/users/7141043", "allen zhang")</f>
        <v>allen zhang</v>
      </c>
      <c r="D4552" t="s">
        <v>5</v>
      </c>
      <c r="E4552">
        <v>31</v>
      </c>
    </row>
    <row r="4553" spans="1:5" x14ac:dyDescent="0.25">
      <c r="A4553">
        <v>4552</v>
      </c>
      <c r="B4553">
        <v>1791890</v>
      </c>
      <c r="C4553" s="1" t="str">
        <f>HYPERLINK("http://stackoverflow.com/users/1791890", "northcamel")</f>
        <v>northcamel</v>
      </c>
      <c r="D4553" t="s">
        <v>22</v>
      </c>
      <c r="E4553">
        <v>31</v>
      </c>
    </row>
    <row r="4554" spans="1:5" x14ac:dyDescent="0.25">
      <c r="A4554">
        <v>4553</v>
      </c>
      <c r="B4554">
        <v>3667743</v>
      </c>
      <c r="C4554" s="1" t="str">
        <f>HYPERLINK("http://stackoverflow.com/users/3667743", "herozhang")</f>
        <v>herozhang</v>
      </c>
      <c r="D4554" t="s">
        <v>5</v>
      </c>
      <c r="E4554">
        <v>31</v>
      </c>
    </row>
    <row r="4555" spans="1:5" x14ac:dyDescent="0.25">
      <c r="A4555">
        <v>4554</v>
      </c>
      <c r="B4555">
        <v>1254153</v>
      </c>
      <c r="C4555" s="1" t="str">
        <f>HYPERLINK("http://stackoverflow.com/users/1254153", "Angel Devil")</f>
        <v>Angel Devil</v>
      </c>
      <c r="D4555" t="s">
        <v>7</v>
      </c>
      <c r="E4555">
        <v>31</v>
      </c>
    </row>
    <row r="4556" spans="1:5" x14ac:dyDescent="0.25">
      <c r="A4556">
        <v>4555</v>
      </c>
      <c r="B4556">
        <v>6080232</v>
      </c>
      <c r="C4556" s="1" t="str">
        <f>HYPERLINK("http://stackoverflow.com/users/6080232", "Hai Zhou")</f>
        <v>Hai Zhou</v>
      </c>
      <c r="D4556" t="s">
        <v>5</v>
      </c>
      <c r="E4556">
        <v>31</v>
      </c>
    </row>
    <row r="4557" spans="1:5" x14ac:dyDescent="0.25">
      <c r="A4557">
        <v>4556</v>
      </c>
      <c r="B4557">
        <v>6170444</v>
      </c>
      <c r="C4557" s="1" t="str">
        <f>HYPERLINK("http://stackoverflow.com/users/6170444", "forAllBright")</f>
        <v>forAllBright</v>
      </c>
      <c r="D4557" t="s">
        <v>4</v>
      </c>
      <c r="E4557">
        <v>31</v>
      </c>
    </row>
    <row r="4558" spans="1:5" x14ac:dyDescent="0.25">
      <c r="A4558">
        <v>4557</v>
      </c>
      <c r="B4558">
        <v>573654</v>
      </c>
      <c r="C4558" s="1" t="str">
        <f>HYPERLINK("http://stackoverflow.com/users/573654", "Peter Qi")</f>
        <v>Peter Qi</v>
      </c>
      <c r="D4558" t="s">
        <v>153</v>
      </c>
      <c r="E4558">
        <v>31</v>
      </c>
    </row>
    <row r="4559" spans="1:5" x14ac:dyDescent="0.25">
      <c r="A4559">
        <v>4558</v>
      </c>
      <c r="B4559">
        <v>6310346</v>
      </c>
      <c r="C4559" s="1" t="str">
        <f>HYPERLINK("http://stackoverflow.com/users/6310346", "DKZ")</f>
        <v>DKZ</v>
      </c>
      <c r="D4559" t="s">
        <v>25</v>
      </c>
      <c r="E4559">
        <v>31</v>
      </c>
    </row>
    <row r="4560" spans="1:5" x14ac:dyDescent="0.25">
      <c r="A4560">
        <v>4559</v>
      </c>
      <c r="B4560">
        <v>6243814</v>
      </c>
      <c r="C4560" s="1" t="str">
        <f>HYPERLINK("http://stackoverflow.com/users/6243814", "Hongzhi")</f>
        <v>Hongzhi</v>
      </c>
      <c r="D4560" t="s">
        <v>5</v>
      </c>
      <c r="E4560">
        <v>31</v>
      </c>
    </row>
    <row r="4561" spans="1:5" x14ac:dyDescent="0.25">
      <c r="A4561">
        <v>4560</v>
      </c>
      <c r="B4561">
        <v>8355250</v>
      </c>
      <c r="C4561" s="1" t="str">
        <f>HYPERLINK("http://stackoverflow.com/users/8355250", "Vigilans")</f>
        <v>Vigilans</v>
      </c>
      <c r="D4561" t="s">
        <v>278</v>
      </c>
      <c r="E4561">
        <v>31</v>
      </c>
    </row>
    <row r="4562" spans="1:5" x14ac:dyDescent="0.25">
      <c r="A4562">
        <v>4561</v>
      </c>
      <c r="B4562">
        <v>856024</v>
      </c>
      <c r="C4562" s="1" t="str">
        <f>HYPERLINK("http://stackoverflow.com/users/856024", "Hongchao Li")</f>
        <v>Hongchao Li</v>
      </c>
      <c r="D4562" t="s">
        <v>5</v>
      </c>
      <c r="E4562">
        <v>31</v>
      </c>
    </row>
    <row r="4563" spans="1:5" x14ac:dyDescent="0.25">
      <c r="A4563">
        <v>4562</v>
      </c>
      <c r="B4563">
        <v>5787664</v>
      </c>
      <c r="C4563" s="1" t="str">
        <f>HYPERLINK("http://stackoverflow.com/users/5787664", "Aaron Ouyang")</f>
        <v>Aaron Ouyang</v>
      </c>
      <c r="D4563" t="s">
        <v>279</v>
      </c>
      <c r="E4563">
        <v>31</v>
      </c>
    </row>
    <row r="4564" spans="1:5" x14ac:dyDescent="0.25">
      <c r="A4564">
        <v>4563</v>
      </c>
      <c r="B4564">
        <v>5792930</v>
      </c>
      <c r="C4564" s="1" t="str">
        <f>HYPERLINK("http://stackoverflow.com/users/5792930", "user5792930")</f>
        <v>user5792930</v>
      </c>
      <c r="D4564" t="s">
        <v>4</v>
      </c>
      <c r="E4564">
        <v>31</v>
      </c>
    </row>
    <row r="4565" spans="1:5" x14ac:dyDescent="0.25">
      <c r="A4565">
        <v>4564</v>
      </c>
      <c r="B4565">
        <v>2198145</v>
      </c>
      <c r="C4565" s="1" t="str">
        <f>HYPERLINK("http://stackoverflow.com/users/2198145", "haiyuanzhang")</f>
        <v>haiyuanzhang</v>
      </c>
      <c r="D4565" t="s">
        <v>76</v>
      </c>
      <c r="E4565">
        <v>31</v>
      </c>
    </row>
    <row r="4566" spans="1:5" x14ac:dyDescent="0.25">
      <c r="A4566">
        <v>4565</v>
      </c>
      <c r="B4566">
        <v>7447267</v>
      </c>
      <c r="C4566" s="1" t="str">
        <f>HYPERLINK("http://stackoverflow.com/users/7447267", "Alex.Wang")</f>
        <v>Alex.Wang</v>
      </c>
      <c r="D4566" t="s">
        <v>33</v>
      </c>
      <c r="E4566">
        <v>31</v>
      </c>
    </row>
    <row r="4567" spans="1:5" x14ac:dyDescent="0.25">
      <c r="A4567">
        <v>4566</v>
      </c>
      <c r="B4567">
        <v>4202137</v>
      </c>
      <c r="C4567" s="1" t="str">
        <f>HYPERLINK("http://stackoverflow.com/users/4202137", "Beanocean")</f>
        <v>Beanocean</v>
      </c>
      <c r="D4567" t="s">
        <v>57</v>
      </c>
      <c r="E4567">
        <v>31</v>
      </c>
    </row>
    <row r="4568" spans="1:5" x14ac:dyDescent="0.25">
      <c r="A4568">
        <v>4567</v>
      </c>
      <c r="B4568">
        <v>2404882</v>
      </c>
      <c r="C4568" s="1" t="str">
        <f>HYPERLINK("http://stackoverflow.com/users/2404882", "jackie")</f>
        <v>jackie</v>
      </c>
      <c r="D4568" t="s">
        <v>17</v>
      </c>
      <c r="E4568">
        <v>31</v>
      </c>
    </row>
    <row r="4569" spans="1:5" x14ac:dyDescent="0.25">
      <c r="A4569">
        <v>4568</v>
      </c>
      <c r="B4569">
        <v>4115632</v>
      </c>
      <c r="C4569" s="1" t="str">
        <f>HYPERLINK("http://stackoverflow.com/users/4115632", "khahux")</f>
        <v>khahux</v>
      </c>
      <c r="D4569" t="s">
        <v>5</v>
      </c>
      <c r="E4569">
        <v>31</v>
      </c>
    </row>
    <row r="4570" spans="1:5" x14ac:dyDescent="0.25">
      <c r="A4570">
        <v>4569</v>
      </c>
      <c r="B4570">
        <v>4949154</v>
      </c>
      <c r="C4570" s="1" t="str">
        <f>HYPERLINK("http://stackoverflow.com/users/4949154", "hamwj1991")</f>
        <v>hamwj1991</v>
      </c>
      <c r="D4570" t="s">
        <v>16</v>
      </c>
      <c r="E4570">
        <v>31</v>
      </c>
    </row>
    <row r="4571" spans="1:5" x14ac:dyDescent="0.25">
      <c r="A4571">
        <v>4570</v>
      </c>
      <c r="B4571">
        <v>1219039</v>
      </c>
      <c r="C4571" s="1" t="str">
        <f>HYPERLINK("http://stackoverflow.com/users/1219039", "Aston")</f>
        <v>Aston</v>
      </c>
      <c r="D4571" t="s">
        <v>5</v>
      </c>
      <c r="E4571">
        <v>31</v>
      </c>
    </row>
    <row r="4572" spans="1:5" x14ac:dyDescent="0.25">
      <c r="A4572">
        <v>4571</v>
      </c>
      <c r="B4572">
        <v>981994</v>
      </c>
      <c r="C4572" s="1" t="str">
        <f>HYPERLINK("http://stackoverflow.com/users/981994", "bjzhanghao")</f>
        <v>bjzhanghao</v>
      </c>
      <c r="D4572" t="s">
        <v>5</v>
      </c>
      <c r="E4572">
        <v>31</v>
      </c>
    </row>
    <row r="4573" spans="1:5" x14ac:dyDescent="0.25">
      <c r="A4573">
        <v>4572</v>
      </c>
      <c r="B4573">
        <v>8332771</v>
      </c>
      <c r="C4573" s="1" t="str">
        <f>HYPERLINK("http://stackoverflow.com/users/8332771", "Zhaoxiong Cui")</f>
        <v>Zhaoxiong Cui</v>
      </c>
      <c r="D4573" t="s">
        <v>5</v>
      </c>
      <c r="E4573">
        <v>31</v>
      </c>
    </row>
    <row r="4574" spans="1:5" x14ac:dyDescent="0.25">
      <c r="A4574">
        <v>4573</v>
      </c>
      <c r="B4574">
        <v>970302</v>
      </c>
      <c r="C4574" s="1" t="str">
        <f>HYPERLINK("http://stackoverflow.com/users/970302", "carya.liu")</f>
        <v>carya.liu</v>
      </c>
      <c r="D4574" t="s">
        <v>5</v>
      </c>
      <c r="E4574">
        <v>31</v>
      </c>
    </row>
    <row r="4575" spans="1:5" x14ac:dyDescent="0.25">
      <c r="A4575">
        <v>4574</v>
      </c>
      <c r="B4575">
        <v>6750322</v>
      </c>
      <c r="C4575" s="1" t="str">
        <f>HYPERLINK("http://stackoverflow.com/users/6750322", "comwrg")</f>
        <v>comwrg</v>
      </c>
      <c r="D4575" t="s">
        <v>280</v>
      </c>
      <c r="E4575">
        <v>31</v>
      </c>
    </row>
    <row r="4576" spans="1:5" x14ac:dyDescent="0.25">
      <c r="A4576">
        <v>4575</v>
      </c>
      <c r="B4576">
        <v>1471452</v>
      </c>
      <c r="C4576" s="1" t="str">
        <f>HYPERLINK("http://stackoverflow.com/users/1471452", "lipbb")</f>
        <v>lipbb</v>
      </c>
      <c r="D4576" t="s">
        <v>5</v>
      </c>
      <c r="E4576">
        <v>31</v>
      </c>
    </row>
    <row r="4577" spans="1:5" x14ac:dyDescent="0.25">
      <c r="A4577">
        <v>4576</v>
      </c>
      <c r="B4577">
        <v>330728</v>
      </c>
      <c r="C4577" s="1" t="str">
        <f>HYPERLINK("http://stackoverflow.com/users/330728", "dazuiba")</f>
        <v>dazuiba</v>
      </c>
      <c r="D4577" t="s">
        <v>12</v>
      </c>
      <c r="E4577">
        <v>31</v>
      </c>
    </row>
    <row r="4578" spans="1:5" x14ac:dyDescent="0.25">
      <c r="A4578">
        <v>4577</v>
      </c>
      <c r="B4578">
        <v>6097667</v>
      </c>
      <c r="C4578" s="1" t="str">
        <f>HYPERLINK("http://stackoverflow.com/users/6097667", "Shuitao")</f>
        <v>Shuitao</v>
      </c>
      <c r="D4578" t="s">
        <v>25</v>
      </c>
      <c r="E4578">
        <v>31</v>
      </c>
    </row>
    <row r="4579" spans="1:5" x14ac:dyDescent="0.25">
      <c r="A4579">
        <v>4578</v>
      </c>
      <c r="B4579">
        <v>903483</v>
      </c>
      <c r="C4579" s="1" t="str">
        <f>HYPERLINK("http://stackoverflow.com/users/903483", "kai10k")</f>
        <v>kai10k</v>
      </c>
      <c r="D4579" t="s">
        <v>4</v>
      </c>
      <c r="E4579">
        <v>31</v>
      </c>
    </row>
    <row r="4580" spans="1:5" x14ac:dyDescent="0.25">
      <c r="A4580">
        <v>4579</v>
      </c>
      <c r="B4580">
        <v>6361148</v>
      </c>
      <c r="C4580" s="1" t="str">
        <f>HYPERLINK("http://stackoverflow.com/users/6361148", "user6361148")</f>
        <v>user6361148</v>
      </c>
      <c r="D4580" t="s">
        <v>5</v>
      </c>
      <c r="E4580">
        <v>31</v>
      </c>
    </row>
    <row r="4581" spans="1:5" x14ac:dyDescent="0.25">
      <c r="A4581">
        <v>4580</v>
      </c>
      <c r="B4581">
        <v>4566202</v>
      </c>
      <c r="C4581" s="1" t="str">
        <f>HYPERLINK("http://stackoverflow.com/users/4566202", "xiangjia kong")</f>
        <v>xiangjia kong</v>
      </c>
      <c r="D4581" t="s">
        <v>281</v>
      </c>
      <c r="E4581">
        <v>31</v>
      </c>
    </row>
    <row r="4582" spans="1:5" x14ac:dyDescent="0.25">
      <c r="A4582">
        <v>4581</v>
      </c>
      <c r="B4582">
        <v>2724412</v>
      </c>
      <c r="C4582" s="1" t="str">
        <f>HYPERLINK("http://stackoverflow.com/users/2724412", "David Wang")</f>
        <v>David Wang</v>
      </c>
      <c r="D4582" t="s">
        <v>5</v>
      </c>
      <c r="E4582">
        <v>31</v>
      </c>
    </row>
    <row r="4583" spans="1:5" x14ac:dyDescent="0.25">
      <c r="A4583">
        <v>4582</v>
      </c>
      <c r="B4583">
        <v>439442</v>
      </c>
      <c r="C4583" s="1" t="str">
        <f>HYPERLINK("http://stackoverflow.com/users/439442", "TookiQ")</f>
        <v>TookiQ</v>
      </c>
      <c r="D4583" t="s">
        <v>56</v>
      </c>
      <c r="E4583">
        <v>31</v>
      </c>
    </row>
    <row r="4584" spans="1:5" x14ac:dyDescent="0.25">
      <c r="A4584">
        <v>4583</v>
      </c>
      <c r="B4584">
        <v>6249278</v>
      </c>
      <c r="C4584" s="1" t="str">
        <f>HYPERLINK("http://stackoverflow.com/users/6249278", "C.L. Wang")</f>
        <v>C.L. Wang</v>
      </c>
      <c r="D4584" t="s">
        <v>5</v>
      </c>
      <c r="E4584">
        <v>31</v>
      </c>
    </row>
    <row r="4585" spans="1:5" x14ac:dyDescent="0.25">
      <c r="A4585">
        <v>4584</v>
      </c>
      <c r="B4585">
        <v>3611755</v>
      </c>
      <c r="C4585" s="1" t="str">
        <f>HYPERLINK("http://stackoverflow.com/users/3611755", "cfig")</f>
        <v>cfig</v>
      </c>
      <c r="D4585" t="s">
        <v>4</v>
      </c>
      <c r="E4585">
        <v>31</v>
      </c>
    </row>
    <row r="4586" spans="1:5" x14ac:dyDescent="0.25">
      <c r="A4586">
        <v>4585</v>
      </c>
      <c r="B4586">
        <v>5544593</v>
      </c>
      <c r="C4586" s="1" t="str">
        <f>HYPERLINK("http://stackoverflow.com/users/5544593", "Rob Stark")</f>
        <v>Rob Stark</v>
      </c>
      <c r="D4586" t="s">
        <v>17</v>
      </c>
      <c r="E4586">
        <v>31</v>
      </c>
    </row>
    <row r="4587" spans="1:5" x14ac:dyDescent="0.25">
      <c r="A4587">
        <v>4586</v>
      </c>
      <c r="B4587">
        <v>8942536</v>
      </c>
      <c r="C4587" s="1" t="str">
        <f>HYPERLINK("http://stackoverflow.com/users/8942536", "A. Chang")</f>
        <v>A. Chang</v>
      </c>
      <c r="D4587" t="s">
        <v>5</v>
      </c>
      <c r="E4587">
        <v>31</v>
      </c>
    </row>
    <row r="4588" spans="1:5" x14ac:dyDescent="0.25">
      <c r="A4588">
        <v>4587</v>
      </c>
      <c r="B4588">
        <v>11050014</v>
      </c>
      <c r="C4588" s="1" t="str">
        <f>HYPERLINK("http://stackoverflow.com/users/11050014", "Yiting Lu")</f>
        <v>Yiting Lu</v>
      </c>
      <c r="D4588" t="s">
        <v>11</v>
      </c>
      <c r="E4588">
        <v>31</v>
      </c>
    </row>
    <row r="4589" spans="1:5" x14ac:dyDescent="0.25">
      <c r="A4589">
        <v>4588</v>
      </c>
      <c r="B4589">
        <v>11094213</v>
      </c>
      <c r="C4589" s="1" t="str">
        <f>HYPERLINK("http://stackoverflow.com/users/11094213", "Sergii")</f>
        <v>Sergii</v>
      </c>
      <c r="D4589" t="s">
        <v>282</v>
      </c>
      <c r="E4589">
        <v>31</v>
      </c>
    </row>
    <row r="4590" spans="1:5" x14ac:dyDescent="0.25">
      <c r="A4590">
        <v>4589</v>
      </c>
      <c r="B4590">
        <v>5702730</v>
      </c>
      <c r="C4590" s="1" t="str">
        <f>HYPERLINK("http://stackoverflow.com/users/5702730", "xinxin yao")</f>
        <v>xinxin yao</v>
      </c>
      <c r="D4590" t="s">
        <v>5</v>
      </c>
      <c r="E4590">
        <v>31</v>
      </c>
    </row>
    <row r="4591" spans="1:5" x14ac:dyDescent="0.25">
      <c r="A4591">
        <v>4590</v>
      </c>
      <c r="B4591">
        <v>2202371</v>
      </c>
      <c r="C4591" s="1" t="str">
        <f>HYPERLINK("http://stackoverflow.com/users/2202371", "Sam Huang")</f>
        <v>Sam Huang</v>
      </c>
      <c r="D4591" t="s">
        <v>21</v>
      </c>
      <c r="E4591">
        <v>31</v>
      </c>
    </row>
    <row r="4592" spans="1:5" x14ac:dyDescent="0.25">
      <c r="A4592">
        <v>4591</v>
      </c>
      <c r="B4592">
        <v>4021972</v>
      </c>
      <c r="C4592" s="1" t="str">
        <f>HYPERLINK("http://stackoverflow.com/users/4021972", "hollton")</f>
        <v>hollton</v>
      </c>
      <c r="D4592" t="s">
        <v>24</v>
      </c>
      <c r="E4592">
        <v>31</v>
      </c>
    </row>
    <row r="4593" spans="1:5" x14ac:dyDescent="0.25">
      <c r="A4593">
        <v>4592</v>
      </c>
      <c r="B4593">
        <v>5944282</v>
      </c>
      <c r="C4593" s="1" t="str">
        <f>HYPERLINK("http://stackoverflow.com/users/5944282", "Hui Chen")</f>
        <v>Hui Chen</v>
      </c>
      <c r="D4593" t="s">
        <v>5</v>
      </c>
      <c r="E4593">
        <v>31</v>
      </c>
    </row>
    <row r="4594" spans="1:5" x14ac:dyDescent="0.25">
      <c r="A4594">
        <v>4593</v>
      </c>
      <c r="B4594">
        <v>8595063</v>
      </c>
      <c r="C4594" s="1" t="str">
        <f>HYPERLINK("http://stackoverflow.com/users/8595063", "Pari")</f>
        <v>Pari</v>
      </c>
      <c r="D4594" t="s">
        <v>5</v>
      </c>
      <c r="E4594">
        <v>31</v>
      </c>
    </row>
    <row r="4595" spans="1:5" x14ac:dyDescent="0.25">
      <c r="A4595">
        <v>4594</v>
      </c>
      <c r="B4595">
        <v>3205043</v>
      </c>
      <c r="C4595" s="1" t="str">
        <f>HYPERLINK("http://stackoverflow.com/users/3205043", "vincent")</f>
        <v>vincent</v>
      </c>
      <c r="D4595" t="s">
        <v>5</v>
      </c>
      <c r="E4595">
        <v>31</v>
      </c>
    </row>
    <row r="4596" spans="1:5" x14ac:dyDescent="0.25">
      <c r="A4596">
        <v>4595</v>
      </c>
      <c r="B4596">
        <v>1290592</v>
      </c>
      <c r="C4596" s="1" t="str">
        <f>HYPERLINK("http://stackoverflow.com/users/1290592", "gashero")</f>
        <v>gashero</v>
      </c>
      <c r="D4596" t="s">
        <v>5</v>
      </c>
      <c r="E4596">
        <v>31</v>
      </c>
    </row>
    <row r="4597" spans="1:5" x14ac:dyDescent="0.25">
      <c r="A4597">
        <v>4596</v>
      </c>
      <c r="B4597">
        <v>5009763</v>
      </c>
      <c r="C4597" s="1" t="str">
        <f>HYPERLINK("http://stackoverflow.com/users/5009763", "Xin Guo")</f>
        <v>Xin Guo</v>
      </c>
      <c r="D4597" t="s">
        <v>5</v>
      </c>
      <c r="E4597">
        <v>31</v>
      </c>
    </row>
    <row r="4598" spans="1:5" x14ac:dyDescent="0.25">
      <c r="A4598">
        <v>4597</v>
      </c>
      <c r="B4598">
        <v>6671223</v>
      </c>
      <c r="C4598" s="1" t="str">
        <f>HYPERLINK("http://stackoverflow.com/users/6671223", "huwei")</f>
        <v>huwei</v>
      </c>
      <c r="D4598" t="s">
        <v>52</v>
      </c>
      <c r="E4598">
        <v>31</v>
      </c>
    </row>
    <row r="4599" spans="1:5" x14ac:dyDescent="0.25">
      <c r="A4599">
        <v>4598</v>
      </c>
      <c r="B4599">
        <v>3146367</v>
      </c>
      <c r="C4599" s="1" t="str">
        <f>HYPERLINK("http://stackoverflow.com/users/3146367", "BigZ")</f>
        <v>BigZ</v>
      </c>
      <c r="D4599" t="s">
        <v>12</v>
      </c>
      <c r="E4599">
        <v>31</v>
      </c>
    </row>
    <row r="4600" spans="1:5" x14ac:dyDescent="0.25">
      <c r="A4600">
        <v>4599</v>
      </c>
      <c r="B4600">
        <v>1045028</v>
      </c>
      <c r="C4600" s="1" t="str">
        <f>HYPERLINK("http://stackoverflow.com/users/1045028", "Juntao")</f>
        <v>Juntao</v>
      </c>
      <c r="D4600" t="s">
        <v>4</v>
      </c>
      <c r="E4600">
        <v>31</v>
      </c>
    </row>
    <row r="4601" spans="1:5" x14ac:dyDescent="0.25">
      <c r="A4601">
        <v>4600</v>
      </c>
      <c r="B4601">
        <v>3048052</v>
      </c>
      <c r="C4601" s="1" t="str">
        <f>HYPERLINK("http://stackoverflow.com/users/3048052", "wfy")</f>
        <v>wfy</v>
      </c>
      <c r="D4601" t="s">
        <v>5</v>
      </c>
      <c r="E4601">
        <v>31</v>
      </c>
    </row>
    <row r="4602" spans="1:5" x14ac:dyDescent="0.25">
      <c r="A4602">
        <v>4601</v>
      </c>
      <c r="B4602">
        <v>1142809</v>
      </c>
      <c r="C4602" s="1" t="str">
        <f>HYPERLINK("http://stackoverflow.com/users/1142809", "XiNGRZ")</f>
        <v>XiNGRZ</v>
      </c>
      <c r="D4602" t="s">
        <v>21</v>
      </c>
      <c r="E4602">
        <v>31</v>
      </c>
    </row>
    <row r="4603" spans="1:5" x14ac:dyDescent="0.25">
      <c r="A4603">
        <v>4602</v>
      </c>
      <c r="B4603">
        <v>8438352</v>
      </c>
      <c r="C4603" s="1" t="str">
        <f>HYPERLINK("http://stackoverflow.com/users/8438352", "lisan.tang")</f>
        <v>lisan.tang</v>
      </c>
      <c r="D4603" t="s">
        <v>4</v>
      </c>
      <c r="E4603">
        <v>31</v>
      </c>
    </row>
    <row r="4604" spans="1:5" x14ac:dyDescent="0.25">
      <c r="A4604">
        <v>4603</v>
      </c>
      <c r="B4604">
        <v>1402559</v>
      </c>
      <c r="C4604" s="1" t="str">
        <f>HYPERLINK("http://stackoverflow.com/users/1402559", "tim")</f>
        <v>tim</v>
      </c>
      <c r="D4604" t="s">
        <v>5</v>
      </c>
      <c r="E4604">
        <v>31</v>
      </c>
    </row>
    <row r="4605" spans="1:5" x14ac:dyDescent="0.25">
      <c r="A4605">
        <v>4604</v>
      </c>
      <c r="B4605">
        <v>1411600</v>
      </c>
      <c r="C4605" s="1" t="str">
        <f>HYPERLINK("http://stackoverflow.com/users/1411600", "Rafael Zhou")</f>
        <v>Rafael Zhou</v>
      </c>
      <c r="D4605" t="s">
        <v>7</v>
      </c>
      <c r="E4605">
        <v>31</v>
      </c>
    </row>
    <row r="4606" spans="1:5" x14ac:dyDescent="0.25">
      <c r="A4606">
        <v>4605</v>
      </c>
      <c r="B4606">
        <v>5146156</v>
      </c>
      <c r="C4606" s="1" t="str">
        <f>HYPERLINK("http://stackoverflow.com/users/5146156", "yuan tian")</f>
        <v>yuan tian</v>
      </c>
      <c r="D4606" t="s">
        <v>8</v>
      </c>
      <c r="E4606">
        <v>31</v>
      </c>
    </row>
    <row r="4607" spans="1:5" x14ac:dyDescent="0.25">
      <c r="A4607">
        <v>4606</v>
      </c>
      <c r="B4607">
        <v>1505572</v>
      </c>
      <c r="C4607" s="1" t="str">
        <f>HYPERLINK("http://stackoverflow.com/users/1505572", "zhang_sl")</f>
        <v>zhang_sl</v>
      </c>
      <c r="D4607" t="s">
        <v>16</v>
      </c>
      <c r="E4607">
        <v>31</v>
      </c>
    </row>
    <row r="4608" spans="1:5" x14ac:dyDescent="0.25">
      <c r="A4608">
        <v>4607</v>
      </c>
      <c r="B4608">
        <v>5240330</v>
      </c>
      <c r="C4608" s="1" t="str">
        <f>HYPERLINK("http://stackoverflow.com/users/5240330", "Hsu Pu")</f>
        <v>Hsu Pu</v>
      </c>
      <c r="D4608" t="s">
        <v>5</v>
      </c>
      <c r="E4608">
        <v>31</v>
      </c>
    </row>
    <row r="4609" spans="1:5" x14ac:dyDescent="0.25">
      <c r="A4609">
        <v>4608</v>
      </c>
      <c r="B4609">
        <v>6359295</v>
      </c>
      <c r="C4609" s="1" t="str">
        <f>HYPERLINK("http://stackoverflow.com/users/6359295", "FlyFish")</f>
        <v>FlyFish</v>
      </c>
      <c r="D4609" t="s">
        <v>25</v>
      </c>
      <c r="E4609">
        <v>31</v>
      </c>
    </row>
    <row r="4610" spans="1:5" x14ac:dyDescent="0.25">
      <c r="A4610">
        <v>4609</v>
      </c>
      <c r="B4610">
        <v>619262</v>
      </c>
      <c r="C4610" s="1" t="str">
        <f>HYPERLINK("http://stackoverflow.com/users/619262", "Halton Huo")</f>
        <v>Halton Huo</v>
      </c>
      <c r="D4610" t="s">
        <v>5</v>
      </c>
      <c r="E4610">
        <v>31</v>
      </c>
    </row>
    <row r="4611" spans="1:5" x14ac:dyDescent="0.25">
      <c r="A4611">
        <v>4610</v>
      </c>
      <c r="B4611">
        <v>563541</v>
      </c>
      <c r="C4611" s="1" t="str">
        <f>HYPERLINK("http://stackoverflow.com/users/563541", "Dennis")</f>
        <v>Dennis</v>
      </c>
      <c r="D4611" t="s">
        <v>5</v>
      </c>
      <c r="E4611">
        <v>31</v>
      </c>
    </row>
    <row r="4612" spans="1:5" x14ac:dyDescent="0.25">
      <c r="A4612">
        <v>4611</v>
      </c>
      <c r="B4612">
        <v>2845064</v>
      </c>
      <c r="C4612" s="1" t="str">
        <f>HYPERLINK("http://stackoverflow.com/users/2845064", "user2845064")</f>
        <v>user2845064</v>
      </c>
      <c r="D4612" t="s">
        <v>5</v>
      </c>
      <c r="E4612">
        <v>31</v>
      </c>
    </row>
    <row r="4613" spans="1:5" x14ac:dyDescent="0.25">
      <c r="A4613">
        <v>4612</v>
      </c>
      <c r="B4613">
        <v>2442365</v>
      </c>
      <c r="C4613" s="1" t="str">
        <f>HYPERLINK("http://stackoverflow.com/users/2442365", "YeHao")</f>
        <v>YeHao</v>
      </c>
      <c r="D4613" t="s">
        <v>12</v>
      </c>
      <c r="E4613">
        <v>31</v>
      </c>
    </row>
    <row r="4614" spans="1:5" x14ac:dyDescent="0.25">
      <c r="A4614">
        <v>4613</v>
      </c>
      <c r="B4614">
        <v>4316924</v>
      </c>
      <c r="C4614" s="1" t="str">
        <f>HYPERLINK("http://stackoverflow.com/users/4316924", "Runbing")</f>
        <v>Runbing</v>
      </c>
      <c r="D4614" t="s">
        <v>79</v>
      </c>
      <c r="E4614">
        <v>31</v>
      </c>
    </row>
    <row r="4615" spans="1:5" x14ac:dyDescent="0.25">
      <c r="A4615">
        <v>4614</v>
      </c>
      <c r="B4615">
        <v>6155876</v>
      </c>
      <c r="C4615" s="1" t="str">
        <f>HYPERLINK("http://stackoverflow.com/users/6155876", "吴俣铖")</f>
        <v>吴俣铖</v>
      </c>
      <c r="D4615" t="s">
        <v>4</v>
      </c>
      <c r="E4615">
        <v>31</v>
      </c>
    </row>
    <row r="4616" spans="1:5" x14ac:dyDescent="0.25">
      <c r="A4616">
        <v>4615</v>
      </c>
      <c r="B4616">
        <v>2574983</v>
      </c>
      <c r="C4616" s="1" t="str">
        <f>HYPERLINK("http://stackoverflow.com/users/2574983", "carlhuting")</f>
        <v>carlhuting</v>
      </c>
      <c r="D4616" t="s">
        <v>5</v>
      </c>
      <c r="E4616">
        <v>31</v>
      </c>
    </row>
    <row r="4617" spans="1:5" x14ac:dyDescent="0.25">
      <c r="A4617">
        <v>4616</v>
      </c>
      <c r="B4617">
        <v>2178877</v>
      </c>
      <c r="C4617" s="1" t="str">
        <f>HYPERLINK("http://stackoverflow.com/users/2178877", "Francium")</f>
        <v>Francium</v>
      </c>
      <c r="D4617" t="s">
        <v>5</v>
      </c>
      <c r="E4617">
        <v>31</v>
      </c>
    </row>
    <row r="4618" spans="1:5" x14ac:dyDescent="0.25">
      <c r="A4618">
        <v>4617</v>
      </c>
      <c r="B4618">
        <v>9582403</v>
      </c>
      <c r="C4618" s="1" t="str">
        <f>HYPERLINK("http://stackoverflow.com/users/9582403", "Keating Smith")</f>
        <v>Keating Smith</v>
      </c>
      <c r="D4618" t="s">
        <v>28</v>
      </c>
      <c r="E4618">
        <v>31</v>
      </c>
    </row>
    <row r="4619" spans="1:5" x14ac:dyDescent="0.25">
      <c r="A4619">
        <v>4618</v>
      </c>
      <c r="B4619">
        <v>4161313</v>
      </c>
      <c r="C4619" s="1" t="str">
        <f>HYPERLINK("http://stackoverflow.com/users/4161313", "Christland")</f>
        <v>Christland</v>
      </c>
      <c r="D4619" t="s">
        <v>42</v>
      </c>
      <c r="E4619">
        <v>31</v>
      </c>
    </row>
    <row r="4620" spans="1:5" x14ac:dyDescent="0.25">
      <c r="A4620">
        <v>4619</v>
      </c>
      <c r="B4620">
        <v>9600489</v>
      </c>
      <c r="C4620" s="1" t="str">
        <f>HYPERLINK("http://stackoverflow.com/users/9600489", "Roy Wu")</f>
        <v>Roy Wu</v>
      </c>
      <c r="D4620" t="s">
        <v>74</v>
      </c>
      <c r="E4620">
        <v>31</v>
      </c>
    </row>
    <row r="4621" spans="1:5" x14ac:dyDescent="0.25">
      <c r="A4621">
        <v>4620</v>
      </c>
      <c r="B4621">
        <v>4042338</v>
      </c>
      <c r="C4621" s="1" t="str">
        <f>HYPERLINK("http://stackoverflow.com/users/4042338", "albuscrow")</f>
        <v>albuscrow</v>
      </c>
      <c r="D4621" t="s">
        <v>108</v>
      </c>
      <c r="E4621">
        <v>31</v>
      </c>
    </row>
    <row r="4622" spans="1:5" x14ac:dyDescent="0.25">
      <c r="A4622">
        <v>4621</v>
      </c>
      <c r="B4622">
        <v>1751726</v>
      </c>
      <c r="C4622" s="1" t="str">
        <f>HYPERLINK("http://stackoverflow.com/users/1751726", "romil")</f>
        <v>romil</v>
      </c>
      <c r="D4622" t="s">
        <v>3</v>
      </c>
      <c r="E4622">
        <v>31</v>
      </c>
    </row>
    <row r="4623" spans="1:5" x14ac:dyDescent="0.25">
      <c r="A4623">
        <v>4622</v>
      </c>
      <c r="B4623">
        <v>1748755</v>
      </c>
      <c r="C4623" s="1" t="str">
        <f>HYPERLINK("http://stackoverflow.com/users/1748755", "Creeve")</f>
        <v>Creeve</v>
      </c>
      <c r="D4623" t="s">
        <v>5</v>
      </c>
      <c r="E4623">
        <v>31</v>
      </c>
    </row>
    <row r="4624" spans="1:5" x14ac:dyDescent="0.25">
      <c r="A4624">
        <v>4623</v>
      </c>
      <c r="B4624">
        <v>3575578</v>
      </c>
      <c r="C4624" s="1" t="str">
        <f>HYPERLINK("http://stackoverflow.com/users/3575578", "shuhai")</f>
        <v>shuhai</v>
      </c>
      <c r="D4624" t="s">
        <v>5</v>
      </c>
      <c r="E4624">
        <v>31</v>
      </c>
    </row>
    <row r="4625" spans="1:5" x14ac:dyDescent="0.25">
      <c r="A4625">
        <v>4624</v>
      </c>
      <c r="B4625">
        <v>3765911</v>
      </c>
      <c r="C4625" s="1" t="str">
        <f>HYPERLINK("http://stackoverflow.com/users/3765911", "Hualiang Li")</f>
        <v>Hualiang Li</v>
      </c>
      <c r="D4625" t="s">
        <v>4</v>
      </c>
      <c r="E4625">
        <v>30</v>
      </c>
    </row>
    <row r="4626" spans="1:5" x14ac:dyDescent="0.25">
      <c r="A4626">
        <v>4625</v>
      </c>
      <c r="B4626">
        <v>2045422</v>
      </c>
      <c r="C4626" s="1" t="str">
        <f>HYPERLINK("http://stackoverflow.com/users/2045422", "Paul Allen")</f>
        <v>Paul Allen</v>
      </c>
      <c r="D4626" t="s">
        <v>4</v>
      </c>
      <c r="E4626">
        <v>30</v>
      </c>
    </row>
    <row r="4627" spans="1:5" x14ac:dyDescent="0.25">
      <c r="A4627">
        <v>4626</v>
      </c>
      <c r="B4627">
        <v>5928442</v>
      </c>
      <c r="C4627" s="1" t="str">
        <f>HYPERLINK("http://stackoverflow.com/users/5928442", "Soundsoul")</f>
        <v>Soundsoul</v>
      </c>
      <c r="D4627" t="s">
        <v>16</v>
      </c>
      <c r="E4627">
        <v>30</v>
      </c>
    </row>
    <row r="4628" spans="1:5" x14ac:dyDescent="0.25">
      <c r="A4628">
        <v>4627</v>
      </c>
      <c r="B4628">
        <v>7519543</v>
      </c>
      <c r="C4628" s="1" t="str">
        <f>HYPERLINK("http://stackoverflow.com/users/7519543", "HumbertZhang")</f>
        <v>HumbertZhang</v>
      </c>
      <c r="D4628" t="s">
        <v>283</v>
      </c>
      <c r="E4628">
        <v>30</v>
      </c>
    </row>
    <row r="4629" spans="1:5" x14ac:dyDescent="0.25">
      <c r="A4629">
        <v>4628</v>
      </c>
      <c r="B4629">
        <v>3890331</v>
      </c>
      <c r="C4629" s="1" t="str">
        <f>HYPERLINK("http://stackoverflow.com/users/3890331", "paul")</f>
        <v>paul</v>
      </c>
      <c r="D4629" t="s">
        <v>255</v>
      </c>
      <c r="E4629">
        <v>30</v>
      </c>
    </row>
    <row r="4630" spans="1:5" x14ac:dyDescent="0.25">
      <c r="A4630">
        <v>4629</v>
      </c>
      <c r="B4630">
        <v>4374091</v>
      </c>
      <c r="C4630" s="1" t="str">
        <f>HYPERLINK("http://stackoverflow.com/users/4374091", "魔王K")</f>
        <v>魔王K</v>
      </c>
      <c r="D4630" t="s">
        <v>12</v>
      </c>
      <c r="E4630">
        <v>30</v>
      </c>
    </row>
    <row r="4631" spans="1:5" x14ac:dyDescent="0.25">
      <c r="A4631">
        <v>4630</v>
      </c>
      <c r="B4631">
        <v>1104158</v>
      </c>
      <c r="C4631" s="1" t="str">
        <f>HYPERLINK("http://stackoverflow.com/users/1104158", "Feather")</f>
        <v>Feather</v>
      </c>
      <c r="D4631" t="s">
        <v>129</v>
      </c>
      <c r="E4631">
        <v>30</v>
      </c>
    </row>
    <row r="4632" spans="1:5" x14ac:dyDescent="0.25">
      <c r="A4632">
        <v>4631</v>
      </c>
      <c r="B4632">
        <v>2256514</v>
      </c>
      <c r="C4632" s="1" t="str">
        <f>HYPERLINK("http://stackoverflow.com/users/2256514", "Henry")</f>
        <v>Henry</v>
      </c>
      <c r="D4632" t="s">
        <v>131</v>
      </c>
      <c r="E4632">
        <v>30</v>
      </c>
    </row>
    <row r="4633" spans="1:5" x14ac:dyDescent="0.25">
      <c r="A4633">
        <v>4632</v>
      </c>
      <c r="B4633">
        <v>5200237</v>
      </c>
      <c r="C4633" s="1" t="str">
        <f>HYPERLINK("http://stackoverflow.com/users/5200237", "MiterV")</f>
        <v>MiterV</v>
      </c>
      <c r="D4633" t="s">
        <v>24</v>
      </c>
      <c r="E4633">
        <v>30</v>
      </c>
    </row>
    <row r="4634" spans="1:5" x14ac:dyDescent="0.25">
      <c r="A4634">
        <v>4633</v>
      </c>
      <c r="B4634">
        <v>3168341</v>
      </c>
      <c r="C4634" s="1" t="str">
        <f>HYPERLINK("http://stackoverflow.com/users/3168341", "Onetaway")</f>
        <v>Onetaway</v>
      </c>
      <c r="D4634" t="s">
        <v>4</v>
      </c>
      <c r="E4634">
        <v>30</v>
      </c>
    </row>
    <row r="4635" spans="1:5" x14ac:dyDescent="0.25">
      <c r="A4635">
        <v>4634</v>
      </c>
      <c r="B4635">
        <v>1077153</v>
      </c>
      <c r="C4635" s="1" t="str">
        <f>HYPERLINK("http://stackoverflow.com/users/1077153", "Johnny.Xiong")</f>
        <v>Johnny.Xiong</v>
      </c>
      <c r="D4635" t="s">
        <v>3</v>
      </c>
      <c r="E4635">
        <v>30</v>
      </c>
    </row>
    <row r="4636" spans="1:5" x14ac:dyDescent="0.25">
      <c r="A4636">
        <v>4635</v>
      </c>
      <c r="B4636">
        <v>5416917</v>
      </c>
      <c r="C4636" s="1" t="str">
        <f>HYPERLINK("http://stackoverflow.com/users/5416917", "Honpery")</f>
        <v>Honpery</v>
      </c>
      <c r="D4636" t="s">
        <v>35</v>
      </c>
      <c r="E4636">
        <v>30</v>
      </c>
    </row>
    <row r="4637" spans="1:5" x14ac:dyDescent="0.25">
      <c r="A4637">
        <v>4636</v>
      </c>
      <c r="B4637">
        <v>3488523</v>
      </c>
      <c r="C4637" s="1" t="str">
        <f>HYPERLINK("http://stackoverflow.com/users/3488523", "Shine Lee")</f>
        <v>Shine Lee</v>
      </c>
      <c r="D4637" t="s">
        <v>5</v>
      </c>
      <c r="E4637">
        <v>30</v>
      </c>
    </row>
    <row r="4638" spans="1:5" x14ac:dyDescent="0.25">
      <c r="A4638">
        <v>4637</v>
      </c>
      <c r="B4638">
        <v>2098342</v>
      </c>
      <c r="C4638" s="1" t="str">
        <f>HYPERLINK("http://stackoverflow.com/users/2098342", "wudijimao")</f>
        <v>wudijimao</v>
      </c>
      <c r="D4638" t="s">
        <v>5</v>
      </c>
      <c r="E4638">
        <v>30</v>
      </c>
    </row>
    <row r="4639" spans="1:5" x14ac:dyDescent="0.25">
      <c r="A4639">
        <v>4638</v>
      </c>
      <c r="B4639">
        <v>4097466</v>
      </c>
      <c r="C4639" s="1" t="str">
        <f>HYPERLINK("http://stackoverflow.com/users/4097466", "sheldon shen")</f>
        <v>sheldon shen</v>
      </c>
      <c r="D4639" t="s">
        <v>17</v>
      </c>
      <c r="E4639">
        <v>30</v>
      </c>
    </row>
    <row r="4640" spans="1:5" x14ac:dyDescent="0.25">
      <c r="A4640">
        <v>4639</v>
      </c>
      <c r="B4640">
        <v>1641694</v>
      </c>
      <c r="C4640" s="1" t="str">
        <f>HYPERLINK("http://stackoverflow.com/users/1641694", "TommyLike")</f>
        <v>TommyLike</v>
      </c>
      <c r="D4640" t="s">
        <v>22</v>
      </c>
      <c r="E4640">
        <v>30</v>
      </c>
    </row>
    <row r="4641" spans="1:5" x14ac:dyDescent="0.25">
      <c r="A4641">
        <v>4640</v>
      </c>
      <c r="B4641">
        <v>5433459</v>
      </c>
      <c r="C4641" s="1" t="str">
        <f>HYPERLINK("http://stackoverflow.com/users/5433459", "Klaus Ma")</f>
        <v>Klaus Ma</v>
      </c>
      <c r="D4641" t="s">
        <v>5</v>
      </c>
      <c r="E4641">
        <v>30</v>
      </c>
    </row>
    <row r="4642" spans="1:5" x14ac:dyDescent="0.25">
      <c r="A4642">
        <v>4641</v>
      </c>
      <c r="B4642">
        <v>6745677</v>
      </c>
      <c r="C4642" s="1" t="str">
        <f>HYPERLINK("http://stackoverflow.com/users/6745677", "WUSO01")</f>
        <v>WUSO01</v>
      </c>
      <c r="D4642" t="s">
        <v>284</v>
      </c>
      <c r="E4642">
        <v>30</v>
      </c>
    </row>
    <row r="4643" spans="1:5" x14ac:dyDescent="0.25">
      <c r="A4643">
        <v>4642</v>
      </c>
      <c r="B4643">
        <v>1278627</v>
      </c>
      <c r="C4643" s="1" t="str">
        <f>HYPERLINK("http://stackoverflow.com/users/1278627", "Latyas")</f>
        <v>Latyas</v>
      </c>
      <c r="D4643" t="s">
        <v>113</v>
      </c>
      <c r="E4643">
        <v>30</v>
      </c>
    </row>
    <row r="4644" spans="1:5" x14ac:dyDescent="0.25">
      <c r="A4644">
        <v>4643</v>
      </c>
      <c r="B4644">
        <v>5131804</v>
      </c>
      <c r="C4644" s="1" t="str">
        <f>HYPERLINK("http://stackoverflow.com/users/5131804", "DXL")</f>
        <v>DXL</v>
      </c>
      <c r="D4644" t="s">
        <v>285</v>
      </c>
      <c r="E4644">
        <v>30</v>
      </c>
    </row>
    <row r="4645" spans="1:5" x14ac:dyDescent="0.25">
      <c r="A4645">
        <v>4644</v>
      </c>
      <c r="B4645">
        <v>3414721</v>
      </c>
      <c r="C4645" s="1" t="str">
        <f>HYPERLINK("http://stackoverflow.com/users/3414721", "Yifei Teng")</f>
        <v>Yifei Teng</v>
      </c>
      <c r="D4645" t="s">
        <v>6</v>
      </c>
      <c r="E4645">
        <v>30</v>
      </c>
    </row>
    <row r="4646" spans="1:5" x14ac:dyDescent="0.25">
      <c r="A4646">
        <v>4645</v>
      </c>
      <c r="B4646">
        <v>3792303</v>
      </c>
      <c r="C4646" s="1" t="str">
        <f>HYPERLINK("http://stackoverflow.com/users/3792303", "Perry Chen")</f>
        <v>Perry Chen</v>
      </c>
      <c r="D4646" t="s">
        <v>3</v>
      </c>
      <c r="E4646">
        <v>30</v>
      </c>
    </row>
    <row r="4647" spans="1:5" x14ac:dyDescent="0.25">
      <c r="A4647">
        <v>4646</v>
      </c>
      <c r="B4647">
        <v>2545419</v>
      </c>
      <c r="C4647" s="1" t="str">
        <f>HYPERLINK("http://stackoverflow.com/users/2545419", "hsw117")</f>
        <v>hsw117</v>
      </c>
      <c r="D4647" t="s">
        <v>4</v>
      </c>
      <c r="E4647">
        <v>30</v>
      </c>
    </row>
    <row r="4648" spans="1:5" x14ac:dyDescent="0.25">
      <c r="A4648">
        <v>4647</v>
      </c>
      <c r="B4648">
        <v>4779380</v>
      </c>
      <c r="C4648" s="1" t="str">
        <f>HYPERLINK("http://stackoverflow.com/users/4779380", "iVanlIsh")</f>
        <v>iVanlIsh</v>
      </c>
      <c r="D4648" t="s">
        <v>4</v>
      </c>
      <c r="E4648">
        <v>30</v>
      </c>
    </row>
    <row r="4649" spans="1:5" x14ac:dyDescent="0.25">
      <c r="A4649">
        <v>4648</v>
      </c>
      <c r="B4649">
        <v>5034965</v>
      </c>
      <c r="C4649" s="1" t="str">
        <f>HYPERLINK("http://stackoverflow.com/users/5034965", "joey")</f>
        <v>joey</v>
      </c>
      <c r="D4649" t="s">
        <v>4</v>
      </c>
      <c r="E4649">
        <v>30</v>
      </c>
    </row>
    <row r="4650" spans="1:5" x14ac:dyDescent="0.25">
      <c r="A4650">
        <v>4649</v>
      </c>
      <c r="B4650">
        <v>815958</v>
      </c>
      <c r="C4650" s="1" t="str">
        <f>HYPERLINK("http://stackoverflow.com/users/815958", "Sedgwickz")</f>
        <v>Sedgwickz</v>
      </c>
      <c r="D4650" t="s">
        <v>4</v>
      </c>
      <c r="E4650">
        <v>29</v>
      </c>
    </row>
    <row r="4651" spans="1:5" x14ac:dyDescent="0.25">
      <c r="A4651">
        <v>4650</v>
      </c>
      <c r="B4651">
        <v>738288</v>
      </c>
      <c r="C4651" s="1" t="str">
        <f>HYPERLINK("http://stackoverflow.com/users/738288", "Witeman")</f>
        <v>Witeman</v>
      </c>
      <c r="D4651" t="s">
        <v>21</v>
      </c>
      <c r="E4651">
        <v>29</v>
      </c>
    </row>
    <row r="4652" spans="1:5" x14ac:dyDescent="0.25">
      <c r="A4652">
        <v>4651</v>
      </c>
      <c r="B4652">
        <v>2503449</v>
      </c>
      <c r="C4652" s="1" t="str">
        <f>HYPERLINK("http://stackoverflow.com/users/2503449", "fengshihao")</f>
        <v>fengshihao</v>
      </c>
      <c r="D4652" t="s">
        <v>5</v>
      </c>
      <c r="E4652">
        <v>29</v>
      </c>
    </row>
    <row r="4653" spans="1:5" x14ac:dyDescent="0.25">
      <c r="A4653">
        <v>4652</v>
      </c>
      <c r="B4653">
        <v>309767</v>
      </c>
      <c r="C4653" s="1" t="str">
        <f>HYPERLINK("http://stackoverflow.com/users/309767", "icyleaf")</f>
        <v>icyleaf</v>
      </c>
      <c r="D4653" t="s">
        <v>5</v>
      </c>
      <c r="E4653">
        <v>29</v>
      </c>
    </row>
    <row r="4654" spans="1:5" x14ac:dyDescent="0.25">
      <c r="A4654">
        <v>4653</v>
      </c>
      <c r="B4654">
        <v>4273417</v>
      </c>
      <c r="C4654" s="1" t="str">
        <f>HYPERLINK("http://stackoverflow.com/users/4273417", "yefeng")</f>
        <v>yefeng</v>
      </c>
      <c r="D4654" t="s">
        <v>5</v>
      </c>
      <c r="E4654">
        <v>29</v>
      </c>
    </row>
    <row r="4655" spans="1:5" x14ac:dyDescent="0.25">
      <c r="A4655">
        <v>4654</v>
      </c>
      <c r="B4655">
        <v>3820965</v>
      </c>
      <c r="C4655" s="1" t="str">
        <f>HYPERLINK("http://stackoverflow.com/users/3820965", "ThesQuid")</f>
        <v>ThesQuid</v>
      </c>
      <c r="D4655" t="s">
        <v>12</v>
      </c>
      <c r="E4655">
        <v>29</v>
      </c>
    </row>
    <row r="4656" spans="1:5" x14ac:dyDescent="0.25">
      <c r="A4656">
        <v>4655</v>
      </c>
      <c r="B4656">
        <v>1939274</v>
      </c>
      <c r="C4656" s="1" t="str">
        <f>HYPERLINK("http://stackoverflow.com/users/1939274", "kennyluck")</f>
        <v>kennyluck</v>
      </c>
      <c r="D4656" t="s">
        <v>5</v>
      </c>
      <c r="E4656">
        <v>29</v>
      </c>
    </row>
    <row r="4657" spans="1:5" x14ac:dyDescent="0.25">
      <c r="A4657">
        <v>4656</v>
      </c>
      <c r="B4657">
        <v>4045831</v>
      </c>
      <c r="C4657" s="1" t="str">
        <f>HYPERLINK("http://stackoverflow.com/users/4045831", "Wellington Cunha")</f>
        <v>Wellington Cunha</v>
      </c>
      <c r="D4657" t="s">
        <v>17</v>
      </c>
      <c r="E4657">
        <v>29</v>
      </c>
    </row>
    <row r="4658" spans="1:5" x14ac:dyDescent="0.25">
      <c r="A4658">
        <v>4657</v>
      </c>
      <c r="B4658">
        <v>4439032</v>
      </c>
      <c r="C4658" s="1" t="str">
        <f>HYPERLINK("http://stackoverflow.com/users/4439032", "tianshilei1992")</f>
        <v>tianshilei1992</v>
      </c>
      <c r="D4658" t="s">
        <v>4</v>
      </c>
      <c r="E4658">
        <v>29</v>
      </c>
    </row>
    <row r="4659" spans="1:5" x14ac:dyDescent="0.25">
      <c r="A4659">
        <v>4658</v>
      </c>
      <c r="B4659">
        <v>2430968</v>
      </c>
      <c r="C4659" s="1" t="str">
        <f>HYPERLINK("http://stackoverflow.com/users/2430968", "gold_luck")</f>
        <v>gold_luck</v>
      </c>
      <c r="D4659" t="s">
        <v>12</v>
      </c>
      <c r="E4659">
        <v>29</v>
      </c>
    </row>
    <row r="4660" spans="1:5" x14ac:dyDescent="0.25">
      <c r="A4660">
        <v>4659</v>
      </c>
      <c r="B4660">
        <v>2480640</v>
      </c>
      <c r="C4660" s="1" t="str">
        <f>HYPERLINK("http://stackoverflow.com/users/2480640", "Yemol")</f>
        <v>Yemol</v>
      </c>
      <c r="D4660" t="s">
        <v>4</v>
      </c>
      <c r="E4660">
        <v>29</v>
      </c>
    </row>
    <row r="4661" spans="1:5" x14ac:dyDescent="0.25">
      <c r="A4661">
        <v>4660</v>
      </c>
      <c r="B4661">
        <v>2741472</v>
      </c>
      <c r="C4661" s="1" t="str">
        <f>HYPERLINK("http://stackoverflow.com/users/2741472", "Zoe")</f>
        <v>Zoe</v>
      </c>
      <c r="D4661" t="s">
        <v>12</v>
      </c>
      <c r="E4661">
        <v>29</v>
      </c>
    </row>
    <row r="4662" spans="1:5" x14ac:dyDescent="0.25">
      <c r="A4662">
        <v>4661</v>
      </c>
      <c r="B4662">
        <v>8191745</v>
      </c>
      <c r="C4662" s="1" t="str">
        <f>HYPERLINK("http://stackoverflow.com/users/8191745", "Gnepux")</f>
        <v>Gnepux</v>
      </c>
      <c r="D4662" t="s">
        <v>55</v>
      </c>
      <c r="E4662">
        <v>29</v>
      </c>
    </row>
    <row r="4663" spans="1:5" x14ac:dyDescent="0.25">
      <c r="A4663">
        <v>4662</v>
      </c>
      <c r="B4663">
        <v>1446091</v>
      </c>
      <c r="C4663" s="1" t="str">
        <f>HYPERLINK("http://stackoverflow.com/users/1446091", "Bruce")</f>
        <v>Bruce</v>
      </c>
      <c r="D4663" t="s">
        <v>12</v>
      </c>
      <c r="E4663">
        <v>29</v>
      </c>
    </row>
    <row r="4664" spans="1:5" x14ac:dyDescent="0.25">
      <c r="A4664">
        <v>4663</v>
      </c>
      <c r="B4664">
        <v>2775272</v>
      </c>
      <c r="C4664" s="1" t="str">
        <f>HYPERLINK("http://stackoverflow.com/users/2775272", "Vienta")</f>
        <v>Vienta</v>
      </c>
      <c r="D4664" t="s">
        <v>5</v>
      </c>
      <c r="E4664">
        <v>29</v>
      </c>
    </row>
    <row r="4665" spans="1:5" x14ac:dyDescent="0.25">
      <c r="A4665">
        <v>4664</v>
      </c>
      <c r="B4665">
        <v>8234882</v>
      </c>
      <c r="C4665" s="1" t="str">
        <f>HYPERLINK("http://stackoverflow.com/users/8234882", "Yorkie")</f>
        <v>Yorkie</v>
      </c>
      <c r="D4665" t="s">
        <v>16</v>
      </c>
      <c r="E4665">
        <v>29</v>
      </c>
    </row>
    <row r="4666" spans="1:5" x14ac:dyDescent="0.25">
      <c r="A4666">
        <v>4665</v>
      </c>
      <c r="B4666">
        <v>3085371</v>
      </c>
      <c r="C4666" s="1" t="str">
        <f>HYPERLINK("http://stackoverflow.com/users/3085371", "adu")</f>
        <v>adu</v>
      </c>
      <c r="D4666" t="s">
        <v>4</v>
      </c>
      <c r="E4666">
        <v>29</v>
      </c>
    </row>
    <row r="4667" spans="1:5" x14ac:dyDescent="0.25">
      <c r="A4667">
        <v>4666</v>
      </c>
      <c r="B4667">
        <v>8414615</v>
      </c>
      <c r="C4667" s="1" t="str">
        <f>HYPERLINK("http://stackoverflow.com/users/8414615", "ChengXun Han")</f>
        <v>ChengXun Han</v>
      </c>
      <c r="D4667" t="s">
        <v>33</v>
      </c>
      <c r="E4667">
        <v>29</v>
      </c>
    </row>
    <row r="4668" spans="1:5" x14ac:dyDescent="0.25">
      <c r="A4668">
        <v>4667</v>
      </c>
      <c r="B4668">
        <v>7658485</v>
      </c>
      <c r="C4668" s="1" t="str">
        <f>HYPERLINK("http://stackoverflow.com/users/7658485", "韩向飞")</f>
        <v>韩向飞</v>
      </c>
      <c r="D4668" t="s">
        <v>4</v>
      </c>
      <c r="E4668">
        <v>29</v>
      </c>
    </row>
    <row r="4669" spans="1:5" x14ac:dyDescent="0.25">
      <c r="A4669">
        <v>4668</v>
      </c>
      <c r="B4669">
        <v>1184077</v>
      </c>
      <c r="C4669" s="1" t="str">
        <f>HYPERLINK("http://stackoverflow.com/users/1184077", "cloudsben")</f>
        <v>cloudsben</v>
      </c>
      <c r="D4669" t="s">
        <v>5</v>
      </c>
      <c r="E4669">
        <v>29</v>
      </c>
    </row>
    <row r="4670" spans="1:5" x14ac:dyDescent="0.25">
      <c r="A4670">
        <v>4669</v>
      </c>
      <c r="B4670">
        <v>2905857</v>
      </c>
      <c r="C4670" s="1" t="str">
        <f>HYPERLINK("http://stackoverflow.com/users/2905857", "Ejay")</f>
        <v>Ejay</v>
      </c>
      <c r="D4670" t="s">
        <v>4</v>
      </c>
      <c r="E4670">
        <v>29</v>
      </c>
    </row>
    <row r="4671" spans="1:5" x14ac:dyDescent="0.25">
      <c r="A4671">
        <v>4670</v>
      </c>
      <c r="B4671">
        <v>2835332</v>
      </c>
      <c r="C4671" s="1" t="str">
        <f>HYPERLINK("http://stackoverflow.com/users/2835332", "qizweb")</f>
        <v>qizweb</v>
      </c>
      <c r="D4671" t="s">
        <v>203</v>
      </c>
      <c r="E4671">
        <v>29</v>
      </c>
    </row>
    <row r="4672" spans="1:5" x14ac:dyDescent="0.25">
      <c r="A4672">
        <v>4671</v>
      </c>
      <c r="B4672">
        <v>533366</v>
      </c>
      <c r="C4672" s="1" t="str">
        <f>HYPERLINK("http://stackoverflow.com/users/533366", "lizhi")</f>
        <v>lizhi</v>
      </c>
      <c r="D4672" t="s">
        <v>4</v>
      </c>
      <c r="E4672">
        <v>29</v>
      </c>
    </row>
    <row r="4673" spans="1:5" x14ac:dyDescent="0.25">
      <c r="A4673">
        <v>4672</v>
      </c>
      <c r="B4673">
        <v>10989043</v>
      </c>
      <c r="C4673" s="1" t="str">
        <f>HYPERLINK("http://stackoverflow.com/users/10989043", "Chen")</f>
        <v>Chen</v>
      </c>
      <c r="D4673" t="s">
        <v>4</v>
      </c>
      <c r="E4673">
        <v>29</v>
      </c>
    </row>
    <row r="4674" spans="1:5" x14ac:dyDescent="0.25">
      <c r="A4674">
        <v>4673</v>
      </c>
      <c r="B4674">
        <v>1109277</v>
      </c>
      <c r="C4674" s="1" t="str">
        <f>HYPERLINK("http://stackoverflow.com/users/1109277", "Lyle Wang")</f>
        <v>Lyle Wang</v>
      </c>
      <c r="D4674" t="s">
        <v>5</v>
      </c>
      <c r="E4674">
        <v>29</v>
      </c>
    </row>
    <row r="4675" spans="1:5" x14ac:dyDescent="0.25">
      <c r="A4675">
        <v>4674</v>
      </c>
      <c r="B4675">
        <v>5219718</v>
      </c>
      <c r="C4675" s="1" t="str">
        <f>HYPERLINK("http://stackoverflow.com/users/5219718", "P. Frank")</f>
        <v>P. Frank</v>
      </c>
      <c r="D4675" t="s">
        <v>5</v>
      </c>
      <c r="E4675">
        <v>29</v>
      </c>
    </row>
    <row r="4676" spans="1:5" x14ac:dyDescent="0.25">
      <c r="A4676">
        <v>4675</v>
      </c>
      <c r="B4676">
        <v>1360111</v>
      </c>
      <c r="C4676" s="1" t="str">
        <f>HYPERLINK("http://stackoverflow.com/users/1360111", "Ika18")</f>
        <v>Ika18</v>
      </c>
      <c r="D4676" t="s">
        <v>4</v>
      </c>
      <c r="E4676">
        <v>29</v>
      </c>
    </row>
    <row r="4677" spans="1:5" x14ac:dyDescent="0.25">
      <c r="A4677">
        <v>4676</v>
      </c>
      <c r="B4677">
        <v>4619567</v>
      </c>
      <c r="C4677" s="1" t="str">
        <f>HYPERLINK("http://stackoverflow.com/users/4619567", "Hossein Bahrami Nekoo")</f>
        <v>Hossein Bahrami Nekoo</v>
      </c>
      <c r="D4677" t="s">
        <v>25</v>
      </c>
      <c r="E4677">
        <v>29</v>
      </c>
    </row>
    <row r="4678" spans="1:5" x14ac:dyDescent="0.25">
      <c r="A4678">
        <v>4677</v>
      </c>
      <c r="B4678">
        <v>536120</v>
      </c>
      <c r="C4678" s="1" t="str">
        <f>HYPERLINK("http://stackoverflow.com/users/536120", "David Pai")</f>
        <v>David Pai</v>
      </c>
      <c r="D4678" t="s">
        <v>4</v>
      </c>
      <c r="E4678">
        <v>29</v>
      </c>
    </row>
    <row r="4679" spans="1:5" x14ac:dyDescent="0.25">
      <c r="A4679">
        <v>4678</v>
      </c>
      <c r="B4679">
        <v>4358711</v>
      </c>
      <c r="C4679" s="1" t="str">
        <f>HYPERLINK("http://stackoverflow.com/users/4358711", "Sheffiled GE")</f>
        <v>Sheffiled GE</v>
      </c>
      <c r="D4679" t="s">
        <v>37</v>
      </c>
      <c r="E4679">
        <v>29</v>
      </c>
    </row>
    <row r="4680" spans="1:5" x14ac:dyDescent="0.25">
      <c r="A4680">
        <v>4679</v>
      </c>
      <c r="B4680">
        <v>2581966</v>
      </c>
      <c r="C4680" s="1" t="str">
        <f>HYPERLINK("http://stackoverflow.com/users/2581966", "Kai Guo")</f>
        <v>Kai Guo</v>
      </c>
      <c r="D4680" t="s">
        <v>16</v>
      </c>
      <c r="E4680">
        <v>29</v>
      </c>
    </row>
    <row r="4681" spans="1:5" x14ac:dyDescent="0.25">
      <c r="A4681">
        <v>4680</v>
      </c>
      <c r="B4681">
        <v>2201440</v>
      </c>
      <c r="C4681" s="1" t="str">
        <f>HYPERLINK("http://stackoverflow.com/users/2201440", "howsn")</f>
        <v>howsn</v>
      </c>
      <c r="D4681" t="s">
        <v>5</v>
      </c>
      <c r="E4681">
        <v>29</v>
      </c>
    </row>
    <row r="4682" spans="1:5" x14ac:dyDescent="0.25">
      <c r="A4682">
        <v>4681</v>
      </c>
      <c r="B4682">
        <v>3616173</v>
      </c>
      <c r="C4682" s="1" t="str">
        <f>HYPERLINK("http://stackoverflow.com/users/3616173", "dzhwinter")</f>
        <v>dzhwinter</v>
      </c>
      <c r="D4682" t="s">
        <v>5</v>
      </c>
      <c r="E4682">
        <v>29</v>
      </c>
    </row>
    <row r="4683" spans="1:5" x14ac:dyDescent="0.25">
      <c r="A4683">
        <v>4682</v>
      </c>
      <c r="B4683">
        <v>8380808</v>
      </c>
      <c r="C4683" s="1" t="str">
        <f>HYPERLINK("http://stackoverflow.com/users/8380808", "chenkh")</f>
        <v>chenkh</v>
      </c>
      <c r="D4683" t="s">
        <v>5</v>
      </c>
      <c r="E4683">
        <v>29</v>
      </c>
    </row>
    <row r="4684" spans="1:5" x14ac:dyDescent="0.25">
      <c r="A4684">
        <v>4683</v>
      </c>
      <c r="B4684">
        <v>1208336</v>
      </c>
      <c r="C4684" s="1" t="str">
        <f>HYPERLINK("http://stackoverflow.com/users/1208336", "Homo homilis")</f>
        <v>Homo homilis</v>
      </c>
      <c r="D4684" t="s">
        <v>286</v>
      </c>
      <c r="E4684">
        <v>29</v>
      </c>
    </row>
    <row r="4685" spans="1:5" x14ac:dyDescent="0.25">
      <c r="A4685">
        <v>4684</v>
      </c>
      <c r="B4685">
        <v>5038304</v>
      </c>
      <c r="C4685" s="1" t="str">
        <f>HYPERLINK("http://stackoverflow.com/users/5038304", "Ming")</f>
        <v>Ming</v>
      </c>
      <c r="D4685" t="s">
        <v>17</v>
      </c>
      <c r="E4685">
        <v>29</v>
      </c>
    </row>
    <row r="4686" spans="1:5" x14ac:dyDescent="0.25">
      <c r="A4686">
        <v>4685</v>
      </c>
      <c r="B4686">
        <v>5191995</v>
      </c>
      <c r="C4686" s="1" t="str">
        <f>HYPERLINK("http://stackoverflow.com/users/5191995", "SuAdrenine")</f>
        <v>SuAdrenine</v>
      </c>
      <c r="D4686" t="s">
        <v>287</v>
      </c>
      <c r="E4686">
        <v>29</v>
      </c>
    </row>
    <row r="4687" spans="1:5" x14ac:dyDescent="0.25">
      <c r="A4687">
        <v>4686</v>
      </c>
      <c r="B4687">
        <v>2802211</v>
      </c>
      <c r="C4687" s="1" t="str">
        <f>HYPERLINK("http://stackoverflow.com/users/2802211", "user2802211")</f>
        <v>user2802211</v>
      </c>
      <c r="D4687" t="s">
        <v>4</v>
      </c>
      <c r="E4687">
        <v>29</v>
      </c>
    </row>
    <row r="4688" spans="1:5" x14ac:dyDescent="0.25">
      <c r="A4688">
        <v>4687</v>
      </c>
      <c r="B4688">
        <v>4185047</v>
      </c>
      <c r="C4688" s="1" t="str">
        <f>HYPERLINK("http://stackoverflow.com/users/4185047", "BooksE")</f>
        <v>BooksE</v>
      </c>
      <c r="D4688" t="s">
        <v>52</v>
      </c>
      <c r="E4688">
        <v>29</v>
      </c>
    </row>
    <row r="4689" spans="1:5" x14ac:dyDescent="0.25">
      <c r="A4689">
        <v>4688</v>
      </c>
      <c r="B4689">
        <v>1890438</v>
      </c>
      <c r="C4689" s="1" t="str">
        <f>HYPERLINK("http://stackoverflow.com/users/1890438", "yuxingdubai")</f>
        <v>yuxingdubai</v>
      </c>
      <c r="D4689" t="s">
        <v>12</v>
      </c>
      <c r="E4689">
        <v>28</v>
      </c>
    </row>
    <row r="4690" spans="1:5" x14ac:dyDescent="0.25">
      <c r="A4690">
        <v>4689</v>
      </c>
      <c r="B4690">
        <v>610855</v>
      </c>
      <c r="C4690" s="1" t="str">
        <f>HYPERLINK("http://stackoverflow.com/users/610855", "shi.wangs")</f>
        <v>shi.wangs</v>
      </c>
      <c r="D4690" t="s">
        <v>12</v>
      </c>
      <c r="E4690">
        <v>28</v>
      </c>
    </row>
    <row r="4691" spans="1:5" x14ac:dyDescent="0.25">
      <c r="A4691">
        <v>4690</v>
      </c>
      <c r="B4691">
        <v>8171052</v>
      </c>
      <c r="C4691" s="1" t="str">
        <f>HYPERLINK("http://stackoverflow.com/users/8171052", "Leon Zhang")</f>
        <v>Leon Zhang</v>
      </c>
      <c r="D4691" t="s">
        <v>5</v>
      </c>
      <c r="E4691">
        <v>28</v>
      </c>
    </row>
    <row r="4692" spans="1:5" x14ac:dyDescent="0.25">
      <c r="A4692">
        <v>4691</v>
      </c>
      <c r="B4692">
        <v>4701367</v>
      </c>
      <c r="C4692" s="1" t="str">
        <f>HYPERLINK("http://stackoverflow.com/users/4701367", "Asahi Kuang")</f>
        <v>Asahi Kuang</v>
      </c>
      <c r="D4692" t="s">
        <v>28</v>
      </c>
      <c r="E4692">
        <v>28</v>
      </c>
    </row>
    <row r="4693" spans="1:5" x14ac:dyDescent="0.25">
      <c r="A4693">
        <v>4692</v>
      </c>
      <c r="B4693">
        <v>6507360</v>
      </c>
      <c r="C4693" s="1" t="str">
        <f>HYPERLINK("http://stackoverflow.com/users/6507360", "Jay Ou")</f>
        <v>Jay Ou</v>
      </c>
      <c r="D4693" t="s">
        <v>21</v>
      </c>
      <c r="E4693">
        <v>28</v>
      </c>
    </row>
    <row r="4694" spans="1:5" x14ac:dyDescent="0.25">
      <c r="A4694">
        <v>4693</v>
      </c>
      <c r="B4694">
        <v>7865377</v>
      </c>
      <c r="C4694" s="1" t="str">
        <f>HYPERLINK("http://stackoverflow.com/users/7865377", "RottenIvy")</f>
        <v>RottenIvy</v>
      </c>
      <c r="D4694" t="s">
        <v>29</v>
      </c>
      <c r="E4694">
        <v>28</v>
      </c>
    </row>
    <row r="4695" spans="1:5" x14ac:dyDescent="0.25">
      <c r="A4695">
        <v>4694</v>
      </c>
      <c r="B4695">
        <v>420724</v>
      </c>
      <c r="C4695" s="1" t="str">
        <f>HYPERLINK("http://stackoverflow.com/users/420724", "Fer")</f>
        <v>Fer</v>
      </c>
      <c r="D4695" t="s">
        <v>5</v>
      </c>
      <c r="E4695">
        <v>28</v>
      </c>
    </row>
    <row r="4696" spans="1:5" x14ac:dyDescent="0.25">
      <c r="A4696">
        <v>4695</v>
      </c>
      <c r="B4696">
        <v>5204781</v>
      </c>
      <c r="C4696" s="1" t="str">
        <f>HYPERLINK("http://stackoverflow.com/users/5204781", "Patrickgao91")</f>
        <v>Patrickgao91</v>
      </c>
      <c r="D4696" t="s">
        <v>5</v>
      </c>
      <c r="E4696">
        <v>28</v>
      </c>
    </row>
    <row r="4697" spans="1:5" x14ac:dyDescent="0.25">
      <c r="A4697">
        <v>4696</v>
      </c>
      <c r="B4697">
        <v>6925414</v>
      </c>
      <c r="C4697" s="1" t="str">
        <f>HYPERLINK("http://stackoverflow.com/users/6925414", "JH_EARTH")</f>
        <v>JH_EARTH</v>
      </c>
      <c r="D4697" t="s">
        <v>4</v>
      </c>
      <c r="E4697">
        <v>28</v>
      </c>
    </row>
    <row r="4698" spans="1:5" x14ac:dyDescent="0.25">
      <c r="A4698">
        <v>4697</v>
      </c>
      <c r="B4698">
        <v>8783797</v>
      </c>
      <c r="C4698" s="1" t="str">
        <f>HYPERLINK("http://stackoverflow.com/users/8783797", "TBozMac18")</f>
        <v>TBozMac18</v>
      </c>
      <c r="D4698" t="s">
        <v>4</v>
      </c>
      <c r="E4698">
        <v>28</v>
      </c>
    </row>
    <row r="4699" spans="1:5" x14ac:dyDescent="0.25">
      <c r="A4699">
        <v>4698</v>
      </c>
      <c r="B4699">
        <v>7098247</v>
      </c>
      <c r="C4699" s="1" t="str">
        <f>HYPERLINK("http://stackoverflow.com/users/7098247", "Bowen Fu")</f>
        <v>Bowen Fu</v>
      </c>
      <c r="D4699" t="s">
        <v>4</v>
      </c>
      <c r="E4699">
        <v>28</v>
      </c>
    </row>
    <row r="4700" spans="1:5" x14ac:dyDescent="0.25">
      <c r="A4700">
        <v>4699</v>
      </c>
      <c r="B4700">
        <v>2107077</v>
      </c>
      <c r="C4700" s="1" t="str">
        <f>HYPERLINK("http://stackoverflow.com/users/2107077", "jondring")</f>
        <v>jondring</v>
      </c>
      <c r="D4700" t="s">
        <v>4</v>
      </c>
      <c r="E4700">
        <v>28</v>
      </c>
    </row>
    <row r="4701" spans="1:5" x14ac:dyDescent="0.25">
      <c r="A4701">
        <v>4700</v>
      </c>
      <c r="B4701">
        <v>4480654</v>
      </c>
      <c r="C4701" s="1" t="str">
        <f>HYPERLINK("http://stackoverflow.com/users/4480654", "U three")</f>
        <v>U three</v>
      </c>
      <c r="D4701" t="s">
        <v>22</v>
      </c>
      <c r="E4701">
        <v>28</v>
      </c>
    </row>
    <row r="4702" spans="1:5" x14ac:dyDescent="0.25">
      <c r="A4702">
        <v>4701</v>
      </c>
      <c r="B4702">
        <v>2819307</v>
      </c>
      <c r="C4702" s="1" t="str">
        <f>HYPERLINK("http://stackoverflow.com/users/2819307", "zhanxin.lin")</f>
        <v>zhanxin.lin</v>
      </c>
      <c r="D4702" t="s">
        <v>12</v>
      </c>
      <c r="E4702">
        <v>28</v>
      </c>
    </row>
    <row r="4703" spans="1:5" x14ac:dyDescent="0.25">
      <c r="A4703">
        <v>4702</v>
      </c>
      <c r="B4703">
        <v>1470794</v>
      </c>
      <c r="C4703" s="1" t="str">
        <f>HYPERLINK("http://stackoverflow.com/users/1470794", "jimhj")</f>
        <v>jimhj</v>
      </c>
      <c r="D4703" t="s">
        <v>5</v>
      </c>
      <c r="E4703">
        <v>28</v>
      </c>
    </row>
    <row r="4704" spans="1:5" x14ac:dyDescent="0.25">
      <c r="A4704">
        <v>4703</v>
      </c>
      <c r="B4704">
        <v>8787270</v>
      </c>
      <c r="C4704" s="1" t="str">
        <f>HYPERLINK("http://stackoverflow.com/users/8787270", "Arman Asryan")</f>
        <v>Arman Asryan</v>
      </c>
      <c r="D4704" t="s">
        <v>5</v>
      </c>
      <c r="E4704">
        <v>28</v>
      </c>
    </row>
    <row r="4705" spans="1:5" x14ac:dyDescent="0.25">
      <c r="A4705">
        <v>4704</v>
      </c>
      <c r="B4705">
        <v>7019182</v>
      </c>
      <c r="C4705" s="1" t="str">
        <f>HYPERLINK("http://stackoverflow.com/users/7019182", "Borg Lin")</f>
        <v>Borg Lin</v>
      </c>
      <c r="D4705" t="s">
        <v>131</v>
      </c>
      <c r="E4705">
        <v>28</v>
      </c>
    </row>
    <row r="4706" spans="1:5" x14ac:dyDescent="0.25">
      <c r="A4706">
        <v>4705</v>
      </c>
      <c r="B4706">
        <v>5531685</v>
      </c>
      <c r="C4706" s="1" t="str">
        <f>HYPERLINK("http://stackoverflow.com/users/5531685", "ShuoshuoFan")</f>
        <v>ShuoshuoFan</v>
      </c>
      <c r="D4706" t="s">
        <v>4</v>
      </c>
      <c r="E4706">
        <v>28</v>
      </c>
    </row>
    <row r="4707" spans="1:5" x14ac:dyDescent="0.25">
      <c r="A4707">
        <v>4706</v>
      </c>
      <c r="B4707">
        <v>2147019</v>
      </c>
      <c r="C4707" s="1" t="str">
        <f>HYPERLINK("http://stackoverflow.com/users/2147019", "YuBo Xian")</f>
        <v>YuBo Xian</v>
      </c>
      <c r="D4707" t="s">
        <v>5</v>
      </c>
      <c r="E4707">
        <v>28</v>
      </c>
    </row>
    <row r="4708" spans="1:5" x14ac:dyDescent="0.25">
      <c r="A4708">
        <v>4707</v>
      </c>
      <c r="B4708">
        <v>4010022</v>
      </c>
      <c r="C4708" s="1" t="str">
        <f>HYPERLINK("http://stackoverflow.com/users/4010022", "itsapple")</f>
        <v>itsapple</v>
      </c>
      <c r="D4708" t="s">
        <v>5</v>
      </c>
      <c r="E4708">
        <v>28</v>
      </c>
    </row>
    <row r="4709" spans="1:5" x14ac:dyDescent="0.25">
      <c r="A4709">
        <v>4708</v>
      </c>
      <c r="B4709">
        <v>4269931</v>
      </c>
      <c r="C4709" s="1" t="str">
        <f>HYPERLINK("http://stackoverflow.com/users/4269931", "Tiange Luo")</f>
        <v>Tiange Luo</v>
      </c>
      <c r="D4709" t="s">
        <v>5</v>
      </c>
      <c r="E4709">
        <v>28</v>
      </c>
    </row>
    <row r="4710" spans="1:5" x14ac:dyDescent="0.25">
      <c r="A4710">
        <v>4709</v>
      </c>
      <c r="B4710">
        <v>6164381</v>
      </c>
      <c r="C4710" s="1" t="str">
        <f>HYPERLINK("http://stackoverflow.com/users/6164381", "Allen.L")</f>
        <v>Allen.L</v>
      </c>
      <c r="D4710" t="s">
        <v>21</v>
      </c>
      <c r="E4710">
        <v>28</v>
      </c>
    </row>
    <row r="4711" spans="1:5" x14ac:dyDescent="0.25">
      <c r="A4711">
        <v>4710</v>
      </c>
      <c r="B4711">
        <v>4703570</v>
      </c>
      <c r="C4711" s="1" t="str">
        <f>HYPERLINK("http://stackoverflow.com/users/4703570", "tristan_jia")</f>
        <v>tristan_jia</v>
      </c>
      <c r="D4711" t="s">
        <v>22</v>
      </c>
      <c r="E4711">
        <v>28</v>
      </c>
    </row>
    <row r="4712" spans="1:5" x14ac:dyDescent="0.25">
      <c r="A4712">
        <v>4711</v>
      </c>
      <c r="B4712">
        <v>8223681</v>
      </c>
      <c r="C4712" s="1" t="str">
        <f>HYPERLINK("http://stackoverflow.com/users/8223681", "Zeng Tianyu")</f>
        <v>Zeng Tianyu</v>
      </c>
      <c r="D4712" t="s">
        <v>25</v>
      </c>
      <c r="E4712">
        <v>28</v>
      </c>
    </row>
    <row r="4713" spans="1:5" x14ac:dyDescent="0.25">
      <c r="A4713">
        <v>4712</v>
      </c>
      <c r="B4713">
        <v>862633</v>
      </c>
      <c r="C4713" s="1" t="str">
        <f>HYPERLINK("http://stackoverflow.com/users/862633", "Lerous")</f>
        <v>Lerous</v>
      </c>
      <c r="D4713" t="s">
        <v>5</v>
      </c>
      <c r="E4713">
        <v>28</v>
      </c>
    </row>
    <row r="4714" spans="1:5" x14ac:dyDescent="0.25">
      <c r="A4714">
        <v>4713</v>
      </c>
      <c r="B4714">
        <v>6634349</v>
      </c>
      <c r="C4714" s="1" t="str">
        <f>HYPERLINK("http://stackoverflow.com/users/6634349", "neurobot")</f>
        <v>neurobot</v>
      </c>
      <c r="D4714" t="s">
        <v>5</v>
      </c>
      <c r="E4714">
        <v>28</v>
      </c>
    </row>
    <row r="4715" spans="1:5" x14ac:dyDescent="0.25">
      <c r="A4715">
        <v>4714</v>
      </c>
      <c r="B4715">
        <v>1829059</v>
      </c>
      <c r="C4715" s="1" t="str">
        <f>HYPERLINK("http://stackoverflow.com/users/1829059", "IvyTang")</f>
        <v>IvyTang</v>
      </c>
      <c r="D4715" t="s">
        <v>5</v>
      </c>
      <c r="E4715">
        <v>28</v>
      </c>
    </row>
    <row r="4716" spans="1:5" x14ac:dyDescent="0.25">
      <c r="A4716">
        <v>4715</v>
      </c>
      <c r="B4716">
        <v>1877742</v>
      </c>
      <c r="C4716" s="1" t="str">
        <f>HYPERLINK("http://stackoverflow.com/users/1877742", "ing")</f>
        <v>ing</v>
      </c>
      <c r="D4716" t="s">
        <v>5</v>
      </c>
      <c r="E4716">
        <v>28</v>
      </c>
    </row>
    <row r="4717" spans="1:5" x14ac:dyDescent="0.25">
      <c r="A4717">
        <v>4716</v>
      </c>
      <c r="B4717">
        <v>1714121</v>
      </c>
      <c r="C4717" s="1" t="str">
        <f>HYPERLINK("http://stackoverflow.com/users/1714121", "Zie Iuk")</f>
        <v>Zie Iuk</v>
      </c>
      <c r="D4717" t="s">
        <v>5</v>
      </c>
      <c r="E4717">
        <v>28</v>
      </c>
    </row>
    <row r="4718" spans="1:5" x14ac:dyDescent="0.25">
      <c r="A4718">
        <v>4717</v>
      </c>
      <c r="B4718">
        <v>9459711</v>
      </c>
      <c r="C4718" s="1" t="str">
        <f>HYPERLINK("http://stackoverflow.com/users/9459711", "lixun")</f>
        <v>lixun</v>
      </c>
      <c r="D4718" t="s">
        <v>114</v>
      </c>
      <c r="E4718">
        <v>28</v>
      </c>
    </row>
    <row r="4719" spans="1:5" x14ac:dyDescent="0.25">
      <c r="A4719">
        <v>4718</v>
      </c>
      <c r="B4719">
        <v>2013088</v>
      </c>
      <c r="C4719" s="1" t="str">
        <f>HYPERLINK("http://stackoverflow.com/users/2013088", "syokensyo")</f>
        <v>syokensyo</v>
      </c>
      <c r="D4719" t="s">
        <v>5</v>
      </c>
      <c r="E4719">
        <v>28</v>
      </c>
    </row>
    <row r="4720" spans="1:5" x14ac:dyDescent="0.25">
      <c r="A4720">
        <v>4719</v>
      </c>
      <c r="B4720">
        <v>5501390</v>
      </c>
      <c r="C4720" s="1" t="str">
        <f>HYPERLINK("http://stackoverflow.com/users/5501390", "Collin")</f>
        <v>Collin</v>
      </c>
      <c r="D4720" t="s">
        <v>17</v>
      </c>
      <c r="E4720">
        <v>28</v>
      </c>
    </row>
    <row r="4721" spans="1:5" x14ac:dyDescent="0.25">
      <c r="A4721">
        <v>4720</v>
      </c>
      <c r="B4721">
        <v>5515077</v>
      </c>
      <c r="C4721" s="1" t="str">
        <f>HYPERLINK("http://stackoverflow.com/users/5515077", "fallcool")</f>
        <v>fallcool</v>
      </c>
      <c r="D4721" t="s">
        <v>5</v>
      </c>
      <c r="E4721">
        <v>28</v>
      </c>
    </row>
    <row r="4722" spans="1:5" x14ac:dyDescent="0.25">
      <c r="A4722">
        <v>4721</v>
      </c>
      <c r="B4722">
        <v>1099023</v>
      </c>
      <c r="C4722" s="1" t="str">
        <f>HYPERLINK("http://stackoverflow.com/users/1099023", "DON1101")</f>
        <v>DON1101</v>
      </c>
      <c r="D4722" t="s">
        <v>5</v>
      </c>
      <c r="E4722">
        <v>28</v>
      </c>
    </row>
    <row r="4723" spans="1:5" x14ac:dyDescent="0.25">
      <c r="A4723">
        <v>4722</v>
      </c>
      <c r="B4723">
        <v>8456615</v>
      </c>
      <c r="C4723" s="1" t="str">
        <f>HYPERLINK("http://stackoverflow.com/users/8456615", "Jake")</f>
        <v>Jake</v>
      </c>
      <c r="D4723" t="s">
        <v>52</v>
      </c>
      <c r="E4723">
        <v>28</v>
      </c>
    </row>
    <row r="4724" spans="1:5" x14ac:dyDescent="0.25">
      <c r="A4724">
        <v>4723</v>
      </c>
      <c r="B4724">
        <v>2888626</v>
      </c>
      <c r="C4724" s="1" t="str">
        <f>HYPERLINK("http://stackoverflow.com/users/2888626", "Guy")</f>
        <v>Guy</v>
      </c>
      <c r="D4724" t="s">
        <v>5</v>
      </c>
      <c r="E4724">
        <v>28</v>
      </c>
    </row>
    <row r="4725" spans="1:5" x14ac:dyDescent="0.25">
      <c r="A4725">
        <v>4724</v>
      </c>
      <c r="B4725">
        <v>878149</v>
      </c>
      <c r="C4725" s="1" t="str">
        <f>HYPERLINK("http://stackoverflow.com/users/878149", "Nemesis")</f>
        <v>Nemesis</v>
      </c>
      <c r="D4725" t="s">
        <v>5</v>
      </c>
      <c r="E4725">
        <v>28</v>
      </c>
    </row>
    <row r="4726" spans="1:5" x14ac:dyDescent="0.25">
      <c r="A4726">
        <v>4725</v>
      </c>
      <c r="B4726">
        <v>570890</v>
      </c>
      <c r="C4726" s="1" t="str">
        <f>HYPERLINK("http://stackoverflow.com/users/570890", "Nicholas Ding")</f>
        <v>Nicholas Ding</v>
      </c>
      <c r="D4726" t="s">
        <v>5</v>
      </c>
      <c r="E4726">
        <v>28</v>
      </c>
    </row>
    <row r="4727" spans="1:5" x14ac:dyDescent="0.25">
      <c r="A4727">
        <v>4726</v>
      </c>
      <c r="B4727">
        <v>1286267</v>
      </c>
      <c r="C4727" s="1" t="str">
        <f>HYPERLINK("http://stackoverflow.com/users/1286267", "ichord")</f>
        <v>ichord</v>
      </c>
      <c r="D4727" t="s">
        <v>17</v>
      </c>
      <c r="E4727">
        <v>28</v>
      </c>
    </row>
    <row r="4728" spans="1:5" x14ac:dyDescent="0.25">
      <c r="A4728">
        <v>4727</v>
      </c>
      <c r="B4728">
        <v>820128</v>
      </c>
      <c r="C4728" s="1" t="str">
        <f>HYPERLINK("http://stackoverflow.com/users/820128", "akredible")</f>
        <v>akredible</v>
      </c>
      <c r="D4728" t="s">
        <v>5</v>
      </c>
      <c r="E4728">
        <v>28</v>
      </c>
    </row>
    <row r="4729" spans="1:5" x14ac:dyDescent="0.25">
      <c r="A4729">
        <v>4728</v>
      </c>
      <c r="B4729">
        <v>2857824</v>
      </c>
      <c r="C4729" s="1" t="str">
        <f>HYPERLINK("http://stackoverflow.com/users/2857824", "panqihg")</f>
        <v>panqihg</v>
      </c>
      <c r="D4729" t="s">
        <v>7</v>
      </c>
      <c r="E4729">
        <v>28</v>
      </c>
    </row>
    <row r="4730" spans="1:5" x14ac:dyDescent="0.25">
      <c r="A4730">
        <v>4729</v>
      </c>
      <c r="B4730">
        <v>2994477</v>
      </c>
      <c r="C4730" s="1" t="str">
        <f>HYPERLINK("http://stackoverflow.com/users/2994477", "zhangyanan")</f>
        <v>zhangyanan</v>
      </c>
      <c r="D4730" t="s">
        <v>4</v>
      </c>
      <c r="E4730">
        <v>28</v>
      </c>
    </row>
    <row r="4731" spans="1:5" x14ac:dyDescent="0.25">
      <c r="A4731">
        <v>4730</v>
      </c>
      <c r="B4731">
        <v>928220</v>
      </c>
      <c r="C4731" s="1" t="str">
        <f>HYPERLINK("http://stackoverflow.com/users/928220", "Simon")</f>
        <v>Simon</v>
      </c>
      <c r="D4731" t="s">
        <v>21</v>
      </c>
      <c r="E4731">
        <v>28</v>
      </c>
    </row>
    <row r="4732" spans="1:5" x14ac:dyDescent="0.25">
      <c r="A4732">
        <v>4731</v>
      </c>
      <c r="B4732">
        <v>4374902</v>
      </c>
      <c r="C4732" s="1" t="str">
        <f>HYPERLINK("http://stackoverflow.com/users/4374902", "George Chen")</f>
        <v>George Chen</v>
      </c>
      <c r="D4732" t="s">
        <v>4</v>
      </c>
      <c r="E4732">
        <v>28</v>
      </c>
    </row>
    <row r="4733" spans="1:5" x14ac:dyDescent="0.25">
      <c r="A4733">
        <v>4732</v>
      </c>
      <c r="B4733">
        <v>9713671</v>
      </c>
      <c r="C4733" s="1" t="str">
        <f>HYPERLINK("http://stackoverflow.com/users/9713671", " alpha")</f>
        <v xml:space="preserve"> alpha</v>
      </c>
      <c r="D4733" t="s">
        <v>7</v>
      </c>
      <c r="E4733">
        <v>28</v>
      </c>
    </row>
    <row r="4734" spans="1:5" x14ac:dyDescent="0.25">
      <c r="A4734">
        <v>4733</v>
      </c>
      <c r="B4734">
        <v>400071</v>
      </c>
      <c r="C4734" s="1" t="str">
        <f>HYPERLINK("http://stackoverflow.com/users/400071", "Jeff")</f>
        <v>Jeff</v>
      </c>
      <c r="D4734" t="s">
        <v>4</v>
      </c>
      <c r="E4734">
        <v>28</v>
      </c>
    </row>
    <row r="4735" spans="1:5" x14ac:dyDescent="0.25">
      <c r="A4735">
        <v>4734</v>
      </c>
      <c r="B4735">
        <v>1650718</v>
      </c>
      <c r="C4735" s="1" t="str">
        <f>HYPERLINK("http://stackoverflow.com/users/1650718", "xiaowing_sp")</f>
        <v>xiaowing_sp</v>
      </c>
      <c r="D4735" t="s">
        <v>37</v>
      </c>
      <c r="E4735">
        <v>28</v>
      </c>
    </row>
    <row r="4736" spans="1:5" x14ac:dyDescent="0.25">
      <c r="A4736">
        <v>4735</v>
      </c>
      <c r="B4736">
        <v>1144766</v>
      </c>
      <c r="C4736" s="1" t="str">
        <f>HYPERLINK("http://stackoverflow.com/users/1144766", "Leigh")</f>
        <v>Leigh</v>
      </c>
      <c r="D4736" t="s">
        <v>12</v>
      </c>
      <c r="E4736">
        <v>28</v>
      </c>
    </row>
    <row r="4737" spans="1:5" x14ac:dyDescent="0.25">
      <c r="A4737">
        <v>4736</v>
      </c>
      <c r="B4737">
        <v>5730641</v>
      </c>
      <c r="C4737" s="1" t="str">
        <f>HYPERLINK("http://stackoverflow.com/users/5730641", "Wafer Li")</f>
        <v>Wafer Li</v>
      </c>
      <c r="D4737" t="s">
        <v>5</v>
      </c>
      <c r="E4737">
        <v>28</v>
      </c>
    </row>
    <row r="4738" spans="1:5" x14ac:dyDescent="0.25">
      <c r="A4738">
        <v>4737</v>
      </c>
      <c r="B4738">
        <v>2159284</v>
      </c>
      <c r="C4738" s="1" t="str">
        <f>HYPERLINK("http://stackoverflow.com/users/2159284", "Matt")</f>
        <v>Matt</v>
      </c>
      <c r="D4738" t="s">
        <v>5</v>
      </c>
      <c r="E4738">
        <v>28</v>
      </c>
    </row>
    <row r="4739" spans="1:5" x14ac:dyDescent="0.25">
      <c r="A4739">
        <v>4738</v>
      </c>
      <c r="B4739">
        <v>6019328</v>
      </c>
      <c r="C4739" s="1" t="str">
        <f>HYPERLINK("http://stackoverflow.com/users/6019328", "Gio")</f>
        <v>Gio</v>
      </c>
      <c r="D4739" t="s">
        <v>7</v>
      </c>
      <c r="E4739">
        <v>28</v>
      </c>
    </row>
    <row r="4740" spans="1:5" x14ac:dyDescent="0.25">
      <c r="A4740">
        <v>4739</v>
      </c>
      <c r="B4740">
        <v>9075687</v>
      </c>
      <c r="C4740" s="1" t="str">
        <f>HYPERLINK("http://stackoverflow.com/users/9075687", "Lee Xin Lang")</f>
        <v>Lee Xin Lang</v>
      </c>
      <c r="D4740" t="s">
        <v>74</v>
      </c>
      <c r="E4740">
        <v>28</v>
      </c>
    </row>
    <row r="4741" spans="1:5" x14ac:dyDescent="0.25">
      <c r="A4741">
        <v>4740</v>
      </c>
      <c r="B4741">
        <v>5981256</v>
      </c>
      <c r="C4741" s="1" t="str">
        <f>HYPERLINK("http://stackoverflow.com/users/5981256", "Russell Bie")</f>
        <v>Russell Bie</v>
      </c>
      <c r="D4741" t="s">
        <v>5</v>
      </c>
      <c r="E4741">
        <v>28</v>
      </c>
    </row>
    <row r="4742" spans="1:5" x14ac:dyDescent="0.25">
      <c r="A4742">
        <v>4741</v>
      </c>
      <c r="B4742">
        <v>5431577</v>
      </c>
      <c r="C4742" s="1" t="str">
        <f>HYPERLINK("http://stackoverflow.com/users/5431577", "odiwxe")</f>
        <v>odiwxe</v>
      </c>
      <c r="D4742" t="s">
        <v>52</v>
      </c>
      <c r="E4742">
        <v>28</v>
      </c>
    </row>
    <row r="4743" spans="1:5" x14ac:dyDescent="0.25">
      <c r="A4743">
        <v>4742</v>
      </c>
      <c r="B4743">
        <v>5523781</v>
      </c>
      <c r="C4743" s="1" t="str">
        <f>HYPERLINK("http://stackoverflow.com/users/5523781", "Richard wei")</f>
        <v>Richard wei</v>
      </c>
      <c r="D4743" t="s">
        <v>22</v>
      </c>
      <c r="E4743">
        <v>28</v>
      </c>
    </row>
    <row r="4744" spans="1:5" x14ac:dyDescent="0.25">
      <c r="A4744">
        <v>4743</v>
      </c>
      <c r="B4744">
        <v>10364071</v>
      </c>
      <c r="C4744" s="1" t="str">
        <f>HYPERLINK("http://stackoverflow.com/users/10364071", "zbh2047")</f>
        <v>zbh2047</v>
      </c>
      <c r="D4744" t="s">
        <v>5</v>
      </c>
      <c r="E4744">
        <v>28</v>
      </c>
    </row>
    <row r="4745" spans="1:5" x14ac:dyDescent="0.25">
      <c r="A4745">
        <v>4744</v>
      </c>
      <c r="B4745">
        <v>1271008</v>
      </c>
      <c r="C4745" s="1" t="str">
        <f>HYPERLINK("http://stackoverflow.com/users/1271008", "Marlow.W")</f>
        <v>Marlow.W</v>
      </c>
      <c r="D4745" t="s">
        <v>37</v>
      </c>
      <c r="E4745">
        <v>28</v>
      </c>
    </row>
    <row r="4746" spans="1:5" x14ac:dyDescent="0.25">
      <c r="A4746">
        <v>4745</v>
      </c>
      <c r="B4746">
        <v>4935908</v>
      </c>
      <c r="C4746" s="1" t="str">
        <f>HYPERLINK("http://stackoverflow.com/users/4935908", "Moriarty")</f>
        <v>Moriarty</v>
      </c>
      <c r="D4746" t="s">
        <v>12</v>
      </c>
      <c r="E4746">
        <v>28</v>
      </c>
    </row>
    <row r="4747" spans="1:5" x14ac:dyDescent="0.25">
      <c r="A4747">
        <v>4746</v>
      </c>
      <c r="B4747">
        <v>3132217</v>
      </c>
      <c r="C4747" s="1" t="str">
        <f>HYPERLINK("http://stackoverflow.com/users/3132217", "yeahnoob")</f>
        <v>yeahnoob</v>
      </c>
      <c r="D4747" t="s">
        <v>22</v>
      </c>
      <c r="E4747">
        <v>28</v>
      </c>
    </row>
    <row r="4748" spans="1:5" x14ac:dyDescent="0.25">
      <c r="A4748">
        <v>4747</v>
      </c>
      <c r="B4748">
        <v>3003472</v>
      </c>
      <c r="C4748" s="1" t="str">
        <f>HYPERLINK("http://stackoverflow.com/users/3003472", "Nianing")</f>
        <v>Nianing</v>
      </c>
      <c r="D4748" t="s">
        <v>5</v>
      </c>
      <c r="E4748">
        <v>28</v>
      </c>
    </row>
    <row r="4749" spans="1:5" x14ac:dyDescent="0.25">
      <c r="A4749">
        <v>4748</v>
      </c>
      <c r="B4749">
        <v>10565868</v>
      </c>
      <c r="C4749" s="1" t="str">
        <f>HYPERLINK("http://stackoverflow.com/users/10565868", "Neo")</f>
        <v>Neo</v>
      </c>
      <c r="D4749" t="s">
        <v>28</v>
      </c>
      <c r="E4749">
        <v>28</v>
      </c>
    </row>
    <row r="4750" spans="1:5" x14ac:dyDescent="0.25">
      <c r="A4750">
        <v>4749</v>
      </c>
      <c r="B4750">
        <v>5059823</v>
      </c>
      <c r="C4750" s="1" t="str">
        <f>HYPERLINK("http://stackoverflow.com/users/5059823", "flingjie")</f>
        <v>flingjie</v>
      </c>
      <c r="D4750" t="s">
        <v>4</v>
      </c>
      <c r="E4750">
        <v>28</v>
      </c>
    </row>
    <row r="4751" spans="1:5" x14ac:dyDescent="0.25">
      <c r="A4751">
        <v>4750</v>
      </c>
      <c r="B4751">
        <v>1425608</v>
      </c>
      <c r="C4751" s="1" t="str">
        <f>HYPERLINK("http://stackoverflow.com/users/1425608", "FloatFish")</f>
        <v>FloatFish</v>
      </c>
      <c r="D4751" t="s">
        <v>21</v>
      </c>
      <c r="E4751">
        <v>27</v>
      </c>
    </row>
    <row r="4752" spans="1:5" x14ac:dyDescent="0.25">
      <c r="A4752">
        <v>4751</v>
      </c>
      <c r="B4752">
        <v>4710155</v>
      </c>
      <c r="C4752" s="1" t="str">
        <f>HYPERLINK("http://stackoverflow.com/users/4710155", "Ronnie Wang")</f>
        <v>Ronnie Wang</v>
      </c>
      <c r="D4752" t="s">
        <v>5</v>
      </c>
      <c r="E4752">
        <v>27</v>
      </c>
    </row>
    <row r="4753" spans="1:5" x14ac:dyDescent="0.25">
      <c r="A4753">
        <v>4752</v>
      </c>
      <c r="B4753">
        <v>1152343</v>
      </c>
      <c r="C4753" s="1" t="str">
        <f>HYPERLINK("http://stackoverflow.com/users/1152343", "DarkPirate")</f>
        <v>DarkPirate</v>
      </c>
      <c r="D4753" t="s">
        <v>5</v>
      </c>
      <c r="E4753">
        <v>27</v>
      </c>
    </row>
    <row r="4754" spans="1:5" x14ac:dyDescent="0.25">
      <c r="A4754">
        <v>4753</v>
      </c>
      <c r="B4754">
        <v>1280348</v>
      </c>
      <c r="C4754" s="1" t="str">
        <f>HYPERLINK("http://stackoverflow.com/users/1280348", "bitwjg")</f>
        <v>bitwjg</v>
      </c>
      <c r="D4754" t="s">
        <v>5</v>
      </c>
      <c r="E4754">
        <v>27</v>
      </c>
    </row>
    <row r="4755" spans="1:5" x14ac:dyDescent="0.25">
      <c r="A4755">
        <v>4754</v>
      </c>
      <c r="B4755">
        <v>6123555</v>
      </c>
      <c r="C4755" s="1" t="str">
        <f>HYPERLINK("http://stackoverflow.com/users/6123555", "solverpeng")</f>
        <v>solverpeng</v>
      </c>
      <c r="D4755" t="s">
        <v>5</v>
      </c>
      <c r="E4755">
        <v>27</v>
      </c>
    </row>
    <row r="4756" spans="1:5" x14ac:dyDescent="0.25">
      <c r="A4756">
        <v>4755</v>
      </c>
      <c r="B4756">
        <v>5463703</v>
      </c>
      <c r="C4756" s="1" t="str">
        <f>HYPERLINK("http://stackoverflow.com/users/5463703", "Huihui Li")</f>
        <v>Huihui Li</v>
      </c>
      <c r="D4756" t="s">
        <v>15</v>
      </c>
      <c r="E4756">
        <v>27</v>
      </c>
    </row>
    <row r="4757" spans="1:5" x14ac:dyDescent="0.25">
      <c r="A4757">
        <v>4756</v>
      </c>
      <c r="B4757">
        <v>5839794</v>
      </c>
      <c r="C4757" s="1" t="str">
        <f>HYPERLINK("http://stackoverflow.com/users/5839794", "stayfool")</f>
        <v>stayfool</v>
      </c>
      <c r="D4757" t="s">
        <v>4</v>
      </c>
      <c r="E4757">
        <v>27</v>
      </c>
    </row>
    <row r="4758" spans="1:5" x14ac:dyDescent="0.25">
      <c r="A4758">
        <v>4757</v>
      </c>
      <c r="B4758">
        <v>6472040</v>
      </c>
      <c r="C4758" s="1" t="str">
        <f>HYPERLINK("http://stackoverflow.com/users/6472040", "awais ahmed")</f>
        <v>awais ahmed</v>
      </c>
      <c r="D4758" t="s">
        <v>33</v>
      </c>
      <c r="E4758">
        <v>27</v>
      </c>
    </row>
    <row r="4759" spans="1:5" x14ac:dyDescent="0.25">
      <c r="A4759">
        <v>4758</v>
      </c>
      <c r="B4759">
        <v>497032</v>
      </c>
      <c r="C4759" s="1" t="str">
        <f>HYPERLINK("http://stackoverflow.com/users/497032", "user497032")</f>
        <v>user497032</v>
      </c>
      <c r="D4759" t="s">
        <v>131</v>
      </c>
      <c r="E4759">
        <v>27</v>
      </c>
    </row>
    <row r="4760" spans="1:5" x14ac:dyDescent="0.25">
      <c r="A4760">
        <v>4759</v>
      </c>
      <c r="B4760">
        <v>6348746</v>
      </c>
      <c r="C4760" s="1" t="str">
        <f>HYPERLINK("http://stackoverflow.com/users/6348746", "mirs")</f>
        <v>mirs</v>
      </c>
      <c r="D4760" t="s">
        <v>5</v>
      </c>
      <c r="E4760">
        <v>27</v>
      </c>
    </row>
    <row r="4761" spans="1:5" x14ac:dyDescent="0.25">
      <c r="A4761">
        <v>4760</v>
      </c>
      <c r="B4761">
        <v>4252038</v>
      </c>
      <c r="C4761" s="1" t="str">
        <f>HYPERLINK("http://stackoverflow.com/users/4252038", "Duke")</f>
        <v>Duke</v>
      </c>
      <c r="D4761" t="s">
        <v>110</v>
      </c>
      <c r="E4761">
        <v>27</v>
      </c>
    </row>
    <row r="4762" spans="1:5" x14ac:dyDescent="0.25">
      <c r="A4762">
        <v>4761</v>
      </c>
      <c r="B4762">
        <v>1109167</v>
      </c>
      <c r="C4762" s="1" t="str">
        <f>HYPERLINK("http://stackoverflow.com/users/1109167", "ibigbug")</f>
        <v>ibigbug</v>
      </c>
      <c r="D4762" t="s">
        <v>8</v>
      </c>
      <c r="E4762">
        <v>27</v>
      </c>
    </row>
    <row r="4763" spans="1:5" x14ac:dyDescent="0.25">
      <c r="A4763">
        <v>4762</v>
      </c>
      <c r="B4763">
        <v>3133647</v>
      </c>
      <c r="C4763" s="1" t="str">
        <f>HYPERLINK("http://stackoverflow.com/users/3133647", "David tsang")</f>
        <v>David tsang</v>
      </c>
      <c r="D4763" t="s">
        <v>288</v>
      </c>
      <c r="E4763">
        <v>27</v>
      </c>
    </row>
    <row r="4764" spans="1:5" x14ac:dyDescent="0.25">
      <c r="A4764">
        <v>4763</v>
      </c>
      <c r="B4764">
        <v>8320076</v>
      </c>
      <c r="C4764" s="1" t="str">
        <f>HYPERLINK("http://stackoverflow.com/users/8320076", "yk42b")</f>
        <v>yk42b</v>
      </c>
      <c r="D4764" t="s">
        <v>5</v>
      </c>
      <c r="E4764">
        <v>27</v>
      </c>
    </row>
    <row r="4765" spans="1:5" x14ac:dyDescent="0.25">
      <c r="A4765">
        <v>4764</v>
      </c>
      <c r="B4765">
        <v>8123601</v>
      </c>
      <c r="C4765" s="1" t="str">
        <f>HYPERLINK("http://stackoverflow.com/users/8123601", "Leo")</f>
        <v>Leo</v>
      </c>
      <c r="D4765" t="s">
        <v>55</v>
      </c>
      <c r="E4765">
        <v>27</v>
      </c>
    </row>
    <row r="4766" spans="1:5" x14ac:dyDescent="0.25">
      <c r="A4766">
        <v>4765</v>
      </c>
      <c r="B4766">
        <v>2497338</v>
      </c>
      <c r="C4766" s="1" t="str">
        <f>HYPERLINK("http://stackoverflow.com/users/2497338", "Dragonly")</f>
        <v>Dragonly</v>
      </c>
      <c r="D4766" t="s">
        <v>4</v>
      </c>
      <c r="E4766">
        <v>27</v>
      </c>
    </row>
    <row r="4767" spans="1:5" x14ac:dyDescent="0.25">
      <c r="A4767">
        <v>4766</v>
      </c>
      <c r="B4767">
        <v>1462633</v>
      </c>
      <c r="C4767" s="1" t="str">
        <f>HYPERLINK("http://stackoverflow.com/users/1462633", "Xin-Feng Li")</f>
        <v>Xin-Feng Li</v>
      </c>
      <c r="D4767" t="s">
        <v>12</v>
      </c>
      <c r="E4767">
        <v>27</v>
      </c>
    </row>
    <row r="4768" spans="1:5" x14ac:dyDescent="0.25">
      <c r="A4768">
        <v>4767</v>
      </c>
      <c r="B4768">
        <v>5136181</v>
      </c>
      <c r="C4768" s="1" t="str">
        <f>HYPERLINK("http://stackoverflow.com/users/5136181", "Tao Wen")</f>
        <v>Tao Wen</v>
      </c>
      <c r="D4768" t="s">
        <v>17</v>
      </c>
      <c r="E4768">
        <v>26</v>
      </c>
    </row>
    <row r="4769" spans="1:5" x14ac:dyDescent="0.25">
      <c r="A4769">
        <v>4768</v>
      </c>
      <c r="B4769">
        <v>5188109</v>
      </c>
      <c r="C4769" s="1" t="str">
        <f>HYPERLINK("http://stackoverflow.com/users/5188109", "liujc")</f>
        <v>liujc</v>
      </c>
      <c r="D4769" t="s">
        <v>38</v>
      </c>
      <c r="E4769">
        <v>26</v>
      </c>
    </row>
    <row r="4770" spans="1:5" x14ac:dyDescent="0.25">
      <c r="A4770">
        <v>4769</v>
      </c>
      <c r="B4770">
        <v>5076004</v>
      </c>
      <c r="C4770" s="1" t="str">
        <f>HYPERLINK("http://stackoverflow.com/users/5076004", "Zhao Yulong")</f>
        <v>Zhao Yulong</v>
      </c>
      <c r="D4770" t="s">
        <v>27</v>
      </c>
      <c r="E4770">
        <v>26</v>
      </c>
    </row>
    <row r="4771" spans="1:5" x14ac:dyDescent="0.25">
      <c r="A4771">
        <v>4770</v>
      </c>
      <c r="B4771">
        <v>3441619</v>
      </c>
      <c r="C4771" s="1" t="str">
        <f>HYPERLINK("http://stackoverflow.com/users/3441619", "William He")</f>
        <v>William He</v>
      </c>
      <c r="D4771" t="s">
        <v>7</v>
      </c>
      <c r="E4771">
        <v>26</v>
      </c>
    </row>
    <row r="4772" spans="1:5" x14ac:dyDescent="0.25">
      <c r="A4772">
        <v>4771</v>
      </c>
      <c r="B4772">
        <v>1672329</v>
      </c>
      <c r="C4772" s="1" t="str">
        <f>HYPERLINK("http://stackoverflow.com/users/1672329", "user1672329")</f>
        <v>user1672329</v>
      </c>
      <c r="D4772" t="s">
        <v>7</v>
      </c>
      <c r="E4772">
        <v>26</v>
      </c>
    </row>
    <row r="4773" spans="1:5" x14ac:dyDescent="0.25">
      <c r="A4773">
        <v>4772</v>
      </c>
      <c r="B4773">
        <v>10734200</v>
      </c>
      <c r="C4773" s="1" t="str">
        <f>HYPERLINK("http://stackoverflow.com/users/10734200", "Gabriel Melo de Paula")</f>
        <v>Gabriel Melo de Paula</v>
      </c>
      <c r="D4773" t="s">
        <v>5</v>
      </c>
      <c r="E4773">
        <v>26</v>
      </c>
    </row>
    <row r="4774" spans="1:5" x14ac:dyDescent="0.25">
      <c r="A4774">
        <v>4773</v>
      </c>
      <c r="B4774">
        <v>4831190</v>
      </c>
      <c r="C4774" s="1" t="str">
        <f>HYPERLINK("http://stackoverflow.com/users/4831190", "David Yang")</f>
        <v>David Yang</v>
      </c>
      <c r="D4774" t="s">
        <v>4</v>
      </c>
      <c r="E4774">
        <v>26</v>
      </c>
    </row>
    <row r="4775" spans="1:5" x14ac:dyDescent="0.25">
      <c r="A4775">
        <v>4774</v>
      </c>
      <c r="B4775">
        <v>408353</v>
      </c>
      <c r="C4775" s="1" t="str">
        <f>HYPERLINK("http://stackoverflow.com/users/408353", "xjcc")</f>
        <v>xjcc</v>
      </c>
      <c r="D4775" t="s">
        <v>17</v>
      </c>
      <c r="E4775">
        <v>26</v>
      </c>
    </row>
    <row r="4776" spans="1:5" x14ac:dyDescent="0.25">
      <c r="A4776">
        <v>4775</v>
      </c>
      <c r="B4776">
        <v>4526854</v>
      </c>
      <c r="C4776" s="1" t="str">
        <f>HYPERLINK("http://stackoverflow.com/users/4526854", "Michael Song")</f>
        <v>Michael Song</v>
      </c>
      <c r="D4776" t="s">
        <v>4</v>
      </c>
      <c r="E4776">
        <v>26</v>
      </c>
    </row>
    <row r="4777" spans="1:5" x14ac:dyDescent="0.25">
      <c r="A4777">
        <v>4776</v>
      </c>
      <c r="B4777">
        <v>354233</v>
      </c>
      <c r="C4777" s="1" t="str">
        <f>HYPERLINK("http://stackoverflow.com/users/354233", "Demo")</f>
        <v>Demo</v>
      </c>
      <c r="D4777" t="s">
        <v>12</v>
      </c>
      <c r="E4777">
        <v>26</v>
      </c>
    </row>
    <row r="4778" spans="1:5" x14ac:dyDescent="0.25">
      <c r="A4778">
        <v>4777</v>
      </c>
      <c r="B4778">
        <v>173716</v>
      </c>
      <c r="C4778" s="1" t="str">
        <f>HYPERLINK("http://stackoverflow.com/users/173716", "Lixiang Xie")</f>
        <v>Lixiang Xie</v>
      </c>
      <c r="D4778" t="s">
        <v>21</v>
      </c>
      <c r="E4778">
        <v>26</v>
      </c>
    </row>
    <row r="4779" spans="1:5" x14ac:dyDescent="0.25">
      <c r="A4779">
        <v>4778</v>
      </c>
      <c r="B4779">
        <v>4326907</v>
      </c>
      <c r="C4779" s="1" t="str">
        <f>HYPERLINK("http://stackoverflow.com/users/4326907", "Aquariuslt")</f>
        <v>Aquariuslt</v>
      </c>
      <c r="D4779" t="s">
        <v>59</v>
      </c>
      <c r="E4779">
        <v>26</v>
      </c>
    </row>
    <row r="4780" spans="1:5" x14ac:dyDescent="0.25">
      <c r="A4780">
        <v>4779</v>
      </c>
      <c r="B4780">
        <v>7848150</v>
      </c>
      <c r="C4780" s="1" t="str">
        <f>HYPERLINK("http://stackoverflow.com/users/7848150", "Siye")</f>
        <v>Siye</v>
      </c>
      <c r="D4780" t="s">
        <v>118</v>
      </c>
      <c r="E4780">
        <v>26</v>
      </c>
    </row>
    <row r="4781" spans="1:5" x14ac:dyDescent="0.25">
      <c r="A4781">
        <v>4780</v>
      </c>
      <c r="B4781">
        <v>726428</v>
      </c>
      <c r="C4781" s="1" t="str">
        <f>HYPERLINK("http://stackoverflow.com/users/726428", "Zhao Gang")</f>
        <v>Zhao Gang</v>
      </c>
      <c r="D4781" t="s">
        <v>7</v>
      </c>
      <c r="E4781">
        <v>26</v>
      </c>
    </row>
    <row r="4782" spans="1:5" x14ac:dyDescent="0.25">
      <c r="A4782">
        <v>4781</v>
      </c>
      <c r="B4782">
        <v>665633</v>
      </c>
      <c r="C4782" s="1" t="str">
        <f>HYPERLINK("http://stackoverflow.com/users/665633", "James")</f>
        <v>James</v>
      </c>
      <c r="D4782" t="s">
        <v>4</v>
      </c>
      <c r="E4782">
        <v>26</v>
      </c>
    </row>
    <row r="4783" spans="1:5" x14ac:dyDescent="0.25">
      <c r="A4783">
        <v>4782</v>
      </c>
      <c r="B4783">
        <v>4665799</v>
      </c>
      <c r="C4783" s="1" t="str">
        <f>HYPERLINK("http://stackoverflow.com/users/4665799", "Scott Lee")</f>
        <v>Scott Lee</v>
      </c>
      <c r="D4783" t="s">
        <v>5</v>
      </c>
      <c r="E4783">
        <v>26</v>
      </c>
    </row>
    <row r="4784" spans="1:5" x14ac:dyDescent="0.25">
      <c r="A4784">
        <v>4783</v>
      </c>
      <c r="B4784">
        <v>4626201</v>
      </c>
      <c r="C4784" s="1" t="str">
        <f>HYPERLINK("http://stackoverflow.com/users/4626201", "Junli Ou")</f>
        <v>Junli Ou</v>
      </c>
      <c r="D4784" t="s">
        <v>16</v>
      </c>
      <c r="E4784">
        <v>26</v>
      </c>
    </row>
    <row r="4785" spans="1:5" x14ac:dyDescent="0.25">
      <c r="A4785">
        <v>4784</v>
      </c>
      <c r="B4785">
        <v>1884894</v>
      </c>
      <c r="C4785" s="1" t="str">
        <f>HYPERLINK("http://stackoverflow.com/users/1884894", "Jin ZHANG")</f>
        <v>Jin ZHANG</v>
      </c>
      <c r="D4785" t="s">
        <v>4</v>
      </c>
      <c r="E4785">
        <v>26</v>
      </c>
    </row>
    <row r="4786" spans="1:5" x14ac:dyDescent="0.25">
      <c r="A4786">
        <v>4785</v>
      </c>
      <c r="B4786">
        <v>5419749</v>
      </c>
      <c r="C4786" s="1" t="str">
        <f>HYPERLINK("http://stackoverflow.com/users/5419749", "Jasondf")</f>
        <v>Jasondf</v>
      </c>
      <c r="D4786" t="s">
        <v>4</v>
      </c>
      <c r="E4786">
        <v>26</v>
      </c>
    </row>
    <row r="4787" spans="1:5" x14ac:dyDescent="0.25">
      <c r="A4787">
        <v>4786</v>
      </c>
      <c r="B4787">
        <v>9177870</v>
      </c>
      <c r="C4787" s="1" t="str">
        <f>HYPERLINK("http://stackoverflow.com/users/9177870", "Xue Ying")</f>
        <v>Xue Ying</v>
      </c>
      <c r="D4787" t="s">
        <v>47</v>
      </c>
      <c r="E4787">
        <v>26</v>
      </c>
    </row>
    <row r="4788" spans="1:5" x14ac:dyDescent="0.25">
      <c r="A4788">
        <v>4787</v>
      </c>
      <c r="B4788">
        <v>7651883</v>
      </c>
      <c r="C4788" s="1" t="str">
        <f>HYPERLINK("http://stackoverflow.com/users/7651883", "jianjian feng")</f>
        <v>jianjian feng</v>
      </c>
      <c r="D4788" t="s">
        <v>131</v>
      </c>
      <c r="E4788">
        <v>26</v>
      </c>
    </row>
    <row r="4789" spans="1:5" x14ac:dyDescent="0.25">
      <c r="A4789">
        <v>4788</v>
      </c>
      <c r="B4789">
        <v>2364634</v>
      </c>
      <c r="C4789" s="1" t="str">
        <f>HYPERLINK("http://stackoverflow.com/users/2364634", "Levey")</f>
        <v>Levey</v>
      </c>
      <c r="D4789" t="s">
        <v>12</v>
      </c>
      <c r="E4789">
        <v>26</v>
      </c>
    </row>
    <row r="4790" spans="1:5" x14ac:dyDescent="0.25">
      <c r="A4790">
        <v>4789</v>
      </c>
      <c r="B4790">
        <v>11109560</v>
      </c>
      <c r="C4790" s="1" t="str">
        <f>HYPERLINK("http://stackoverflow.com/users/11109560", "katmsft")</f>
        <v>katmsft</v>
      </c>
      <c r="D4790" t="s">
        <v>4</v>
      </c>
      <c r="E4790">
        <v>26</v>
      </c>
    </row>
    <row r="4791" spans="1:5" x14ac:dyDescent="0.25">
      <c r="A4791">
        <v>4790</v>
      </c>
      <c r="B4791">
        <v>7905291</v>
      </c>
      <c r="C4791" s="1" t="str">
        <f>HYPERLINK("http://stackoverflow.com/users/7905291", "Charles Dong")</f>
        <v>Charles Dong</v>
      </c>
      <c r="D4791" t="s">
        <v>129</v>
      </c>
      <c r="E4791">
        <v>26</v>
      </c>
    </row>
    <row r="4792" spans="1:5" x14ac:dyDescent="0.25">
      <c r="A4792">
        <v>4791</v>
      </c>
      <c r="B4792">
        <v>2641372</v>
      </c>
      <c r="C4792" s="1" t="str">
        <f>HYPERLINK("http://stackoverflow.com/users/2641372", "Brady Lee")</f>
        <v>Brady Lee</v>
      </c>
      <c r="D4792" t="s">
        <v>4</v>
      </c>
      <c r="E4792">
        <v>26</v>
      </c>
    </row>
    <row r="4793" spans="1:5" x14ac:dyDescent="0.25">
      <c r="A4793">
        <v>4792</v>
      </c>
      <c r="B4793">
        <v>8008734</v>
      </c>
      <c r="C4793" s="1" t="str">
        <f>HYPERLINK("http://stackoverflow.com/users/8008734", "Geansea")</f>
        <v>Geansea</v>
      </c>
      <c r="D4793" t="s">
        <v>5</v>
      </c>
      <c r="E4793">
        <v>26</v>
      </c>
    </row>
    <row r="4794" spans="1:5" x14ac:dyDescent="0.25">
      <c r="A4794">
        <v>4793</v>
      </c>
      <c r="B4794">
        <v>4623985</v>
      </c>
      <c r="C4794" s="1" t="str">
        <f>HYPERLINK("http://stackoverflow.com/users/4623985", "Lance")</f>
        <v>Lance</v>
      </c>
      <c r="D4794" t="s">
        <v>21</v>
      </c>
      <c r="E4794">
        <v>26</v>
      </c>
    </row>
    <row r="4795" spans="1:5" x14ac:dyDescent="0.25">
      <c r="A4795">
        <v>4794</v>
      </c>
      <c r="B4795">
        <v>6255158</v>
      </c>
      <c r="C4795" s="1" t="str">
        <f>HYPERLINK("http://stackoverflow.com/users/6255158", "w.wei")</f>
        <v>w.wei</v>
      </c>
      <c r="D4795" t="s">
        <v>5</v>
      </c>
      <c r="E4795">
        <v>26</v>
      </c>
    </row>
    <row r="4796" spans="1:5" x14ac:dyDescent="0.25">
      <c r="A4796">
        <v>4795</v>
      </c>
      <c r="B4796">
        <v>2968376</v>
      </c>
      <c r="C4796" s="1" t="str">
        <f>HYPERLINK("http://stackoverflow.com/users/2968376", "William Liu")</f>
        <v>William Liu</v>
      </c>
      <c r="D4796" t="s">
        <v>4</v>
      </c>
      <c r="E4796">
        <v>26</v>
      </c>
    </row>
    <row r="4797" spans="1:5" x14ac:dyDescent="0.25">
      <c r="A4797">
        <v>4796</v>
      </c>
      <c r="B4797">
        <v>8257994</v>
      </c>
      <c r="C4797" s="1" t="str">
        <f>HYPERLINK("http://stackoverflow.com/users/8257994", "lacsis")</f>
        <v>lacsis</v>
      </c>
      <c r="D4797" t="s">
        <v>58</v>
      </c>
      <c r="E4797">
        <v>26</v>
      </c>
    </row>
    <row r="4798" spans="1:5" x14ac:dyDescent="0.25">
      <c r="A4798">
        <v>4797</v>
      </c>
      <c r="B4798">
        <v>792293</v>
      </c>
      <c r="C4798" s="1" t="str">
        <f>HYPERLINK("http://stackoverflow.com/users/792293", "tonny zhang")</f>
        <v>tonny zhang</v>
      </c>
      <c r="D4798" t="s">
        <v>5</v>
      </c>
      <c r="E4798">
        <v>26</v>
      </c>
    </row>
    <row r="4799" spans="1:5" x14ac:dyDescent="0.25">
      <c r="A4799">
        <v>4798</v>
      </c>
      <c r="B4799">
        <v>1142241</v>
      </c>
      <c r="C4799" s="1" t="str">
        <f>HYPERLINK("http://stackoverflow.com/users/1142241", "Tao")</f>
        <v>Tao</v>
      </c>
      <c r="D4799" t="s">
        <v>4</v>
      </c>
      <c r="E4799">
        <v>26</v>
      </c>
    </row>
    <row r="4800" spans="1:5" x14ac:dyDescent="0.25">
      <c r="A4800">
        <v>4799</v>
      </c>
      <c r="B4800">
        <v>4845014</v>
      </c>
      <c r="C4800" s="1" t="str">
        <f>HYPERLINK("http://stackoverflow.com/users/4845014", "LiLinZhe")</f>
        <v>LiLinZhe</v>
      </c>
      <c r="D4800" t="s">
        <v>5</v>
      </c>
      <c r="E4800">
        <v>26</v>
      </c>
    </row>
    <row r="4801" spans="1:5" x14ac:dyDescent="0.25">
      <c r="A4801">
        <v>4800</v>
      </c>
      <c r="B4801">
        <v>5178744</v>
      </c>
      <c r="C4801" s="1" t="str">
        <f>HYPERLINK("http://stackoverflow.com/users/5178744", "airborne007")</f>
        <v>airborne007</v>
      </c>
      <c r="D4801" t="s">
        <v>17</v>
      </c>
      <c r="E4801">
        <v>26</v>
      </c>
    </row>
    <row r="4802" spans="1:5" x14ac:dyDescent="0.25">
      <c r="A4802">
        <v>4801</v>
      </c>
      <c r="B4802">
        <v>3367582</v>
      </c>
      <c r="C4802" s="1" t="str">
        <f>HYPERLINK("http://stackoverflow.com/users/3367582", "Byer Gallagher")</f>
        <v>Byer Gallagher</v>
      </c>
      <c r="D4802" t="s">
        <v>56</v>
      </c>
      <c r="E4802">
        <v>26</v>
      </c>
    </row>
    <row r="4803" spans="1:5" x14ac:dyDescent="0.25">
      <c r="A4803">
        <v>4802</v>
      </c>
      <c r="B4803">
        <v>5122389</v>
      </c>
      <c r="C4803" s="1" t="str">
        <f>HYPERLINK("http://stackoverflow.com/users/5122389", "anseey")</f>
        <v>anseey</v>
      </c>
      <c r="D4803" t="s">
        <v>5</v>
      </c>
      <c r="E4803">
        <v>26</v>
      </c>
    </row>
    <row r="4804" spans="1:5" x14ac:dyDescent="0.25">
      <c r="A4804">
        <v>4803</v>
      </c>
      <c r="B4804">
        <v>10482680</v>
      </c>
      <c r="C4804" s="1" t="str">
        <f>HYPERLINK("http://stackoverflow.com/users/10482680", "这个冬天有点冷灬")</f>
        <v>这个冬天有点冷灬</v>
      </c>
      <c r="D4804" t="s">
        <v>4</v>
      </c>
      <c r="E4804">
        <v>26</v>
      </c>
    </row>
    <row r="4805" spans="1:5" x14ac:dyDescent="0.25">
      <c r="A4805">
        <v>4804</v>
      </c>
      <c r="B4805">
        <v>1355633</v>
      </c>
      <c r="C4805" s="1" t="str">
        <f>HYPERLINK("http://stackoverflow.com/users/1355633", "wptree")</f>
        <v>wptree</v>
      </c>
      <c r="D4805" t="s">
        <v>12</v>
      </c>
      <c r="E4805">
        <v>26</v>
      </c>
    </row>
    <row r="4806" spans="1:5" x14ac:dyDescent="0.25">
      <c r="A4806">
        <v>4805</v>
      </c>
      <c r="B4806">
        <v>3863238</v>
      </c>
      <c r="C4806" s="1" t="str">
        <f>HYPERLINK("http://stackoverflow.com/users/3863238", "Trotyl")</f>
        <v>Trotyl</v>
      </c>
      <c r="D4806" t="s">
        <v>22</v>
      </c>
      <c r="E4806">
        <v>26</v>
      </c>
    </row>
    <row r="4807" spans="1:5" x14ac:dyDescent="0.25">
      <c r="A4807">
        <v>4806</v>
      </c>
      <c r="B4807">
        <v>3852508</v>
      </c>
      <c r="C4807" s="1" t="str">
        <f>HYPERLINK("http://stackoverflow.com/users/3852508", "Atlas")</f>
        <v>Atlas</v>
      </c>
      <c r="D4807" t="s">
        <v>5</v>
      </c>
      <c r="E4807">
        <v>26</v>
      </c>
    </row>
    <row r="4808" spans="1:5" x14ac:dyDescent="0.25">
      <c r="A4808">
        <v>4807</v>
      </c>
      <c r="B4808">
        <v>11050235</v>
      </c>
      <c r="C4808" s="1" t="str">
        <f>HYPERLINK("http://stackoverflow.com/users/11050235", "Francisco Fernández Díez")</f>
        <v>Francisco Fernández Díez</v>
      </c>
      <c r="D4808" t="s">
        <v>28</v>
      </c>
      <c r="E4808">
        <v>26</v>
      </c>
    </row>
    <row r="4809" spans="1:5" x14ac:dyDescent="0.25">
      <c r="A4809">
        <v>4808</v>
      </c>
      <c r="B4809">
        <v>2147634</v>
      </c>
      <c r="C4809" s="1" t="str">
        <f>HYPERLINK("http://stackoverflow.com/users/2147634", "kiwi95")</f>
        <v>kiwi95</v>
      </c>
      <c r="D4809" t="s">
        <v>5</v>
      </c>
      <c r="E4809">
        <v>26</v>
      </c>
    </row>
    <row r="4810" spans="1:5" x14ac:dyDescent="0.25">
      <c r="A4810">
        <v>4809</v>
      </c>
      <c r="B4810">
        <v>2257683</v>
      </c>
      <c r="C4810" s="1" t="str">
        <f>HYPERLINK("http://stackoverflow.com/users/2257683", "Evild")</f>
        <v>Evild</v>
      </c>
      <c r="D4810" t="s">
        <v>5</v>
      </c>
      <c r="E4810">
        <v>26</v>
      </c>
    </row>
    <row r="4811" spans="1:5" x14ac:dyDescent="0.25">
      <c r="A4811">
        <v>4810</v>
      </c>
      <c r="B4811">
        <v>2281382</v>
      </c>
      <c r="C4811" s="1" t="str">
        <f>HYPERLINK("http://stackoverflow.com/users/2281382", "xiaoy")</f>
        <v>xiaoy</v>
      </c>
      <c r="D4811" t="s">
        <v>5</v>
      </c>
      <c r="E4811">
        <v>26</v>
      </c>
    </row>
    <row r="4812" spans="1:5" x14ac:dyDescent="0.25">
      <c r="A4812">
        <v>4811</v>
      </c>
      <c r="B4812">
        <v>5772561</v>
      </c>
      <c r="C4812" s="1" t="str">
        <f>HYPERLINK("http://stackoverflow.com/users/5772561", "Chao Ouyang")</f>
        <v>Chao Ouyang</v>
      </c>
      <c r="D4812" t="s">
        <v>7</v>
      </c>
      <c r="E4812">
        <v>26</v>
      </c>
    </row>
    <row r="4813" spans="1:5" x14ac:dyDescent="0.25">
      <c r="A4813">
        <v>4812</v>
      </c>
      <c r="B4813">
        <v>3672147</v>
      </c>
      <c r="C4813" s="1" t="str">
        <f>HYPERLINK("http://stackoverflow.com/users/3672147", "Static Leo")</f>
        <v>Static Leo</v>
      </c>
      <c r="D4813" t="s">
        <v>257</v>
      </c>
      <c r="E4813">
        <v>26</v>
      </c>
    </row>
    <row r="4814" spans="1:5" x14ac:dyDescent="0.25">
      <c r="A4814">
        <v>4813</v>
      </c>
      <c r="B4814">
        <v>5875682</v>
      </c>
      <c r="C4814" s="1" t="str">
        <f>HYPERLINK("http://stackoverflow.com/users/5875682", "Sky")</f>
        <v>Sky</v>
      </c>
      <c r="D4814" t="s">
        <v>4</v>
      </c>
      <c r="E4814">
        <v>26</v>
      </c>
    </row>
    <row r="4815" spans="1:5" x14ac:dyDescent="0.25">
      <c r="A4815">
        <v>4814</v>
      </c>
      <c r="B4815">
        <v>7715852</v>
      </c>
      <c r="C4815" s="1" t="str">
        <f>HYPERLINK("http://stackoverflow.com/users/7715852", "hailong")</f>
        <v>hailong</v>
      </c>
      <c r="D4815" t="s">
        <v>55</v>
      </c>
      <c r="E4815">
        <v>26</v>
      </c>
    </row>
    <row r="4816" spans="1:5" x14ac:dyDescent="0.25">
      <c r="A4816">
        <v>4815</v>
      </c>
      <c r="B4816">
        <v>6001098</v>
      </c>
      <c r="C4816" s="1" t="str">
        <f>HYPERLINK("http://stackoverflow.com/users/6001098", "Tom Xiong")</f>
        <v>Tom Xiong</v>
      </c>
      <c r="D4816" t="s">
        <v>42</v>
      </c>
      <c r="E4816">
        <v>26</v>
      </c>
    </row>
    <row r="4817" spans="1:5" x14ac:dyDescent="0.25">
      <c r="A4817">
        <v>4816</v>
      </c>
      <c r="B4817">
        <v>9517353</v>
      </c>
      <c r="C4817" s="1" t="str">
        <f>HYPERLINK("http://stackoverflow.com/users/9517353", "Lijie Wang")</f>
        <v>Lijie Wang</v>
      </c>
      <c r="D4817" t="s">
        <v>5</v>
      </c>
      <c r="E4817">
        <v>26</v>
      </c>
    </row>
    <row r="4818" spans="1:5" x14ac:dyDescent="0.25">
      <c r="A4818">
        <v>4817</v>
      </c>
      <c r="B4818">
        <v>2285409</v>
      </c>
      <c r="C4818" s="1" t="str">
        <f>HYPERLINK("http://stackoverflow.com/users/2285409", "GUO Songchu")</f>
        <v>GUO Songchu</v>
      </c>
      <c r="D4818" t="s">
        <v>31</v>
      </c>
      <c r="E4818">
        <v>26</v>
      </c>
    </row>
    <row r="4819" spans="1:5" x14ac:dyDescent="0.25">
      <c r="A4819">
        <v>4818</v>
      </c>
      <c r="B4819">
        <v>5816236</v>
      </c>
      <c r="C4819" s="1" t="str">
        <f>HYPERLINK("http://stackoverflow.com/users/5816236", "zhigang")</f>
        <v>zhigang</v>
      </c>
      <c r="D4819" t="s">
        <v>37</v>
      </c>
      <c r="E4819">
        <v>26</v>
      </c>
    </row>
    <row r="4820" spans="1:5" x14ac:dyDescent="0.25">
      <c r="A4820">
        <v>4819</v>
      </c>
      <c r="B4820">
        <v>3989719</v>
      </c>
      <c r="C4820" s="1" t="str">
        <f>HYPERLINK("http://stackoverflow.com/users/3989719", "Hansdo")</f>
        <v>Hansdo</v>
      </c>
      <c r="D4820" t="s">
        <v>55</v>
      </c>
      <c r="E4820">
        <v>26</v>
      </c>
    </row>
    <row r="4821" spans="1:5" x14ac:dyDescent="0.25">
      <c r="A4821">
        <v>4820</v>
      </c>
      <c r="B4821">
        <v>7495316</v>
      </c>
      <c r="C4821" s="1" t="str">
        <f>HYPERLINK("http://stackoverflow.com/users/7495316", "Quantum state Bug")</f>
        <v>Quantum state Bug</v>
      </c>
      <c r="D4821" t="s">
        <v>289</v>
      </c>
      <c r="E4821">
        <v>26</v>
      </c>
    </row>
    <row r="4822" spans="1:5" x14ac:dyDescent="0.25">
      <c r="A4822">
        <v>4821</v>
      </c>
      <c r="B4822">
        <v>9274984</v>
      </c>
      <c r="C4822" s="1" t="str">
        <f>HYPERLINK("http://stackoverflow.com/users/9274984", "mobi_dev1191")</f>
        <v>mobi_dev1191</v>
      </c>
      <c r="D4822" t="s">
        <v>33</v>
      </c>
      <c r="E4822">
        <v>26</v>
      </c>
    </row>
    <row r="4823" spans="1:5" x14ac:dyDescent="0.25">
      <c r="A4823">
        <v>4822</v>
      </c>
      <c r="B4823">
        <v>2086279</v>
      </c>
      <c r="C4823" s="1" t="str">
        <f>HYPERLINK("http://stackoverflow.com/users/2086279", "Ivy_End")</f>
        <v>Ivy_End</v>
      </c>
      <c r="D4823" t="s">
        <v>290</v>
      </c>
      <c r="E4823">
        <v>26</v>
      </c>
    </row>
    <row r="4824" spans="1:5" x14ac:dyDescent="0.25">
      <c r="A4824">
        <v>4823</v>
      </c>
      <c r="B4824">
        <v>556659</v>
      </c>
      <c r="C4824" s="1" t="str">
        <f>HYPERLINK("http://stackoverflow.com/users/556659", "Lee")</f>
        <v>Lee</v>
      </c>
      <c r="D4824" t="s">
        <v>5</v>
      </c>
      <c r="E4824">
        <v>26</v>
      </c>
    </row>
    <row r="4825" spans="1:5" x14ac:dyDescent="0.25">
      <c r="A4825">
        <v>4824</v>
      </c>
      <c r="B4825">
        <v>6323113</v>
      </c>
      <c r="C4825" s="1" t="str">
        <f>HYPERLINK("http://stackoverflow.com/users/6323113", "Richeir")</f>
        <v>Richeir</v>
      </c>
      <c r="D4825" t="s">
        <v>4</v>
      </c>
      <c r="E4825">
        <v>26</v>
      </c>
    </row>
    <row r="4826" spans="1:5" x14ac:dyDescent="0.25">
      <c r="A4826">
        <v>4825</v>
      </c>
      <c r="B4826">
        <v>336605</v>
      </c>
      <c r="C4826" s="1" t="str">
        <f>HYPERLINK("http://stackoverflow.com/users/336605", "Kaid")</f>
        <v>Kaid</v>
      </c>
      <c r="D4826" t="s">
        <v>5</v>
      </c>
      <c r="E4826">
        <v>26</v>
      </c>
    </row>
    <row r="4827" spans="1:5" x14ac:dyDescent="0.25">
      <c r="A4827">
        <v>4826</v>
      </c>
      <c r="B4827">
        <v>2687542</v>
      </c>
      <c r="C4827" s="1" t="str">
        <f>HYPERLINK("http://stackoverflow.com/users/2687542", "zguangyu")</f>
        <v>zguangyu</v>
      </c>
      <c r="D4827" t="s">
        <v>118</v>
      </c>
      <c r="E4827">
        <v>26</v>
      </c>
    </row>
    <row r="4828" spans="1:5" x14ac:dyDescent="0.25">
      <c r="A4828">
        <v>4827</v>
      </c>
      <c r="B4828">
        <v>2424727</v>
      </c>
      <c r="C4828" s="1" t="str">
        <f>HYPERLINK("http://stackoverflow.com/users/2424727", "user2424727")</f>
        <v>user2424727</v>
      </c>
      <c r="D4828" t="s">
        <v>5</v>
      </c>
      <c r="E4828">
        <v>26</v>
      </c>
    </row>
    <row r="4829" spans="1:5" x14ac:dyDescent="0.25">
      <c r="A4829">
        <v>4828</v>
      </c>
      <c r="B4829">
        <v>712754</v>
      </c>
      <c r="C4829" s="1" t="str">
        <f>HYPERLINK("http://stackoverflow.com/users/712754", "ghosTM55")</f>
        <v>ghosTM55</v>
      </c>
      <c r="D4829" t="s">
        <v>4</v>
      </c>
      <c r="E4829">
        <v>26</v>
      </c>
    </row>
    <row r="4830" spans="1:5" x14ac:dyDescent="0.25">
      <c r="A4830">
        <v>4829</v>
      </c>
      <c r="B4830">
        <v>1115380</v>
      </c>
      <c r="C4830" s="1" t="str">
        <f>HYPERLINK("http://stackoverflow.com/users/1115380", "M77")</f>
        <v>M77</v>
      </c>
      <c r="D4830" t="s">
        <v>21</v>
      </c>
      <c r="E4830">
        <v>26</v>
      </c>
    </row>
    <row r="4831" spans="1:5" x14ac:dyDescent="0.25">
      <c r="A4831">
        <v>4830</v>
      </c>
      <c r="B4831">
        <v>4828069</v>
      </c>
      <c r="C4831" s="1" t="str">
        <f>HYPERLINK("http://stackoverflow.com/users/4828069", "Chen Yang")</f>
        <v>Chen Yang</v>
      </c>
      <c r="D4831" t="s">
        <v>5</v>
      </c>
      <c r="E4831">
        <v>26</v>
      </c>
    </row>
    <row r="4832" spans="1:5" x14ac:dyDescent="0.25">
      <c r="A4832">
        <v>4831</v>
      </c>
      <c r="B4832">
        <v>10855076</v>
      </c>
      <c r="C4832" s="1" t="str">
        <f>HYPERLINK("http://stackoverflow.com/users/10855076", "Masternode")</f>
        <v>Masternode</v>
      </c>
      <c r="D4832" t="s">
        <v>16</v>
      </c>
      <c r="E4832">
        <v>26</v>
      </c>
    </row>
    <row r="4833" spans="1:5" x14ac:dyDescent="0.25">
      <c r="A4833">
        <v>4832</v>
      </c>
      <c r="B4833">
        <v>7184162</v>
      </c>
      <c r="C4833" s="1" t="str">
        <f>HYPERLINK("http://stackoverflow.com/users/7184162", "IanHe")</f>
        <v>IanHe</v>
      </c>
      <c r="D4833" t="s">
        <v>172</v>
      </c>
      <c r="E4833">
        <v>26</v>
      </c>
    </row>
    <row r="4834" spans="1:5" x14ac:dyDescent="0.25">
      <c r="A4834">
        <v>4833</v>
      </c>
      <c r="B4834">
        <v>1681858</v>
      </c>
      <c r="C4834" s="1" t="str">
        <f>HYPERLINK("http://stackoverflow.com/users/1681858", "Wally Yu")</f>
        <v>Wally Yu</v>
      </c>
      <c r="D4834" t="s">
        <v>4</v>
      </c>
      <c r="E4834">
        <v>26</v>
      </c>
    </row>
    <row r="4835" spans="1:5" x14ac:dyDescent="0.25">
      <c r="A4835">
        <v>4834</v>
      </c>
      <c r="B4835">
        <v>3131246</v>
      </c>
      <c r="C4835" s="1" t="str">
        <f>HYPERLINK("http://stackoverflow.com/users/3131246", "hong")</f>
        <v>hong</v>
      </c>
      <c r="D4835" t="s">
        <v>291</v>
      </c>
      <c r="E4835">
        <v>26</v>
      </c>
    </row>
    <row r="4836" spans="1:5" x14ac:dyDescent="0.25">
      <c r="A4836">
        <v>4835</v>
      </c>
      <c r="B4836">
        <v>8517332</v>
      </c>
      <c r="C4836" s="1" t="str">
        <f>HYPERLINK("http://stackoverflow.com/users/8517332", "Hubs")</f>
        <v>Hubs</v>
      </c>
      <c r="D4836" t="s">
        <v>5</v>
      </c>
      <c r="E4836">
        <v>26</v>
      </c>
    </row>
    <row r="4837" spans="1:5" x14ac:dyDescent="0.25">
      <c r="A4837">
        <v>4836</v>
      </c>
      <c r="B4837">
        <v>6777460</v>
      </c>
      <c r="C4837" s="1" t="str">
        <f>HYPERLINK("http://stackoverflow.com/users/6777460", "Zukang")</f>
        <v>Zukang</v>
      </c>
      <c r="D4837" t="s">
        <v>4</v>
      </c>
      <c r="E4837">
        <v>26</v>
      </c>
    </row>
    <row r="4838" spans="1:5" x14ac:dyDescent="0.25">
      <c r="A4838">
        <v>4837</v>
      </c>
      <c r="B4838">
        <v>1409148</v>
      </c>
      <c r="C4838" s="1" t="str">
        <f>HYPERLINK("http://stackoverflow.com/users/1409148", "MSTR-Zhenlu")</f>
        <v>MSTR-Zhenlu</v>
      </c>
      <c r="D4838" t="s">
        <v>12</v>
      </c>
      <c r="E4838">
        <v>26</v>
      </c>
    </row>
    <row r="4839" spans="1:5" x14ac:dyDescent="0.25">
      <c r="A4839">
        <v>4838</v>
      </c>
      <c r="B4839">
        <v>7652290</v>
      </c>
      <c r="C4839" s="1" t="str">
        <f>HYPERLINK("http://stackoverflow.com/users/7652290", "yuping")</f>
        <v>yuping</v>
      </c>
      <c r="D4839" t="s">
        <v>4</v>
      </c>
      <c r="E4839">
        <v>26</v>
      </c>
    </row>
    <row r="4840" spans="1:5" x14ac:dyDescent="0.25">
      <c r="A4840">
        <v>4839</v>
      </c>
      <c r="B4840">
        <v>7756429</v>
      </c>
      <c r="C4840" s="1" t="str">
        <f>HYPERLINK("http://stackoverflow.com/users/7756429", "liny")</f>
        <v>liny</v>
      </c>
      <c r="D4840" t="s">
        <v>7</v>
      </c>
      <c r="E4840">
        <v>26</v>
      </c>
    </row>
    <row r="4841" spans="1:5" x14ac:dyDescent="0.25">
      <c r="A4841">
        <v>4840</v>
      </c>
      <c r="B4841">
        <v>6016521</v>
      </c>
      <c r="C4841" s="1" t="str">
        <f>HYPERLINK("http://stackoverflow.com/users/6016521", "KongFB")</f>
        <v>KongFB</v>
      </c>
      <c r="D4841" t="s">
        <v>4</v>
      </c>
      <c r="E4841">
        <v>26</v>
      </c>
    </row>
    <row r="4842" spans="1:5" x14ac:dyDescent="0.25">
      <c r="A4842">
        <v>4841</v>
      </c>
      <c r="B4842">
        <v>9228518</v>
      </c>
      <c r="C4842" s="1" t="str">
        <f>HYPERLINK("http://stackoverflow.com/users/9228518", "Shaul Hu")</f>
        <v>Shaul Hu</v>
      </c>
      <c r="D4842" t="s">
        <v>4</v>
      </c>
      <c r="E4842">
        <v>26</v>
      </c>
    </row>
    <row r="4843" spans="1:5" x14ac:dyDescent="0.25">
      <c r="A4843">
        <v>4842</v>
      </c>
      <c r="B4843">
        <v>5617011</v>
      </c>
      <c r="C4843" s="1" t="str">
        <f>HYPERLINK("http://stackoverflow.com/users/5617011", "Grain")</f>
        <v>Grain</v>
      </c>
      <c r="D4843" t="s">
        <v>22</v>
      </c>
      <c r="E4843">
        <v>26</v>
      </c>
    </row>
    <row r="4844" spans="1:5" x14ac:dyDescent="0.25">
      <c r="A4844">
        <v>4843</v>
      </c>
      <c r="B4844">
        <v>3859296</v>
      </c>
      <c r="C4844" s="1" t="str">
        <f>HYPERLINK("http://stackoverflow.com/users/3859296", "Moto")</f>
        <v>Moto</v>
      </c>
      <c r="D4844" t="s">
        <v>21</v>
      </c>
      <c r="E4844">
        <v>26</v>
      </c>
    </row>
    <row r="4845" spans="1:5" x14ac:dyDescent="0.25">
      <c r="A4845">
        <v>4844</v>
      </c>
      <c r="B4845">
        <v>3928951</v>
      </c>
      <c r="C4845" s="1" t="str">
        <f>HYPERLINK("http://stackoverflow.com/users/3928951", "Nick")</f>
        <v>Nick</v>
      </c>
      <c r="D4845" t="s">
        <v>4</v>
      </c>
      <c r="E4845">
        <v>26</v>
      </c>
    </row>
    <row r="4846" spans="1:5" x14ac:dyDescent="0.25">
      <c r="A4846">
        <v>4845</v>
      </c>
      <c r="B4846">
        <v>1704935</v>
      </c>
      <c r="C4846" s="1" t="str">
        <f>HYPERLINK("http://stackoverflow.com/users/1704935", "yudatou")</f>
        <v>yudatou</v>
      </c>
      <c r="D4846" t="s">
        <v>5</v>
      </c>
      <c r="E4846">
        <v>26</v>
      </c>
    </row>
    <row r="4847" spans="1:5" x14ac:dyDescent="0.25">
      <c r="A4847">
        <v>4846</v>
      </c>
      <c r="B4847">
        <v>3227904</v>
      </c>
      <c r="C4847" s="1" t="str">
        <f>HYPERLINK("http://stackoverflow.com/users/3227904", "Maxime Song")</f>
        <v>Maxime Song</v>
      </c>
      <c r="D4847" t="s">
        <v>4</v>
      </c>
      <c r="E4847">
        <v>26</v>
      </c>
    </row>
    <row r="4848" spans="1:5" x14ac:dyDescent="0.25">
      <c r="A4848">
        <v>4847</v>
      </c>
      <c r="B4848">
        <v>1350834</v>
      </c>
      <c r="C4848" s="1" t="str">
        <f>HYPERLINK("http://stackoverflow.com/users/1350834", "Jonny Young")</f>
        <v>Jonny Young</v>
      </c>
      <c r="D4848" t="s">
        <v>5</v>
      </c>
      <c r="E4848">
        <v>26</v>
      </c>
    </row>
    <row r="4849" spans="1:5" x14ac:dyDescent="0.25">
      <c r="A4849">
        <v>4848</v>
      </c>
      <c r="B4849">
        <v>8694628</v>
      </c>
      <c r="C4849" s="1" t="str">
        <f>HYPERLINK("http://stackoverflow.com/users/8694628", "Jincowboy")</f>
        <v>Jincowboy</v>
      </c>
      <c r="D4849" t="s">
        <v>7</v>
      </c>
      <c r="E4849">
        <v>26</v>
      </c>
    </row>
    <row r="4850" spans="1:5" x14ac:dyDescent="0.25">
      <c r="A4850">
        <v>4849</v>
      </c>
      <c r="B4850">
        <v>5137092</v>
      </c>
      <c r="C4850" s="1" t="str">
        <f>HYPERLINK("http://stackoverflow.com/users/5137092", "Liu Chao")</f>
        <v>Liu Chao</v>
      </c>
      <c r="D4850" t="s">
        <v>292</v>
      </c>
      <c r="E4850">
        <v>26</v>
      </c>
    </row>
    <row r="4851" spans="1:5" x14ac:dyDescent="0.25">
      <c r="A4851">
        <v>4850</v>
      </c>
      <c r="B4851">
        <v>1526928</v>
      </c>
      <c r="C4851" s="1" t="str">
        <f>HYPERLINK("http://stackoverflow.com/users/1526928", "Vamston")</f>
        <v>Vamston</v>
      </c>
      <c r="D4851" t="s">
        <v>12</v>
      </c>
      <c r="E4851">
        <v>26</v>
      </c>
    </row>
    <row r="4852" spans="1:5" x14ac:dyDescent="0.25">
      <c r="A4852">
        <v>4851</v>
      </c>
      <c r="B4852">
        <v>5163533</v>
      </c>
      <c r="C4852" s="1" t="str">
        <f>HYPERLINK("http://stackoverflow.com/users/5163533", "Aarron Zou")</f>
        <v>Aarron Zou</v>
      </c>
      <c r="D4852" t="s">
        <v>57</v>
      </c>
      <c r="E4852">
        <v>26</v>
      </c>
    </row>
    <row r="4853" spans="1:5" x14ac:dyDescent="0.25">
      <c r="A4853">
        <v>4852</v>
      </c>
      <c r="B4853">
        <v>2754524</v>
      </c>
      <c r="C4853" s="1" t="str">
        <f>HYPERLINK("http://stackoverflow.com/users/2754524", "kangkang")</f>
        <v>kangkang</v>
      </c>
      <c r="D4853" t="s">
        <v>52</v>
      </c>
      <c r="E4853">
        <v>26</v>
      </c>
    </row>
    <row r="4854" spans="1:5" x14ac:dyDescent="0.25">
      <c r="A4854">
        <v>4853</v>
      </c>
      <c r="B4854">
        <v>2763699</v>
      </c>
      <c r="C4854" s="1" t="str">
        <f>HYPERLINK("http://stackoverflow.com/users/2763699", "Daniel Yu")</f>
        <v>Daniel Yu</v>
      </c>
      <c r="D4854" t="s">
        <v>4</v>
      </c>
      <c r="E4854">
        <v>26</v>
      </c>
    </row>
    <row r="4855" spans="1:5" x14ac:dyDescent="0.25">
      <c r="A4855">
        <v>4854</v>
      </c>
      <c r="B4855">
        <v>624435</v>
      </c>
      <c r="C4855" s="1" t="str">
        <f>HYPERLINK("http://stackoverflow.com/users/624435", "Timmy")</f>
        <v>Timmy</v>
      </c>
      <c r="D4855" t="s">
        <v>8</v>
      </c>
      <c r="E4855">
        <v>26</v>
      </c>
    </row>
    <row r="4856" spans="1:5" x14ac:dyDescent="0.25">
      <c r="A4856">
        <v>4855</v>
      </c>
      <c r="B4856">
        <v>255890</v>
      </c>
      <c r="C4856" s="1" t="str">
        <f>HYPERLINK("http://stackoverflow.com/users/255890", "beof")</f>
        <v>beof</v>
      </c>
      <c r="D4856" t="s">
        <v>4</v>
      </c>
      <c r="E4856">
        <v>26</v>
      </c>
    </row>
    <row r="4857" spans="1:5" x14ac:dyDescent="0.25">
      <c r="A4857">
        <v>4856</v>
      </c>
      <c r="B4857">
        <v>4452523</v>
      </c>
      <c r="C4857" s="1" t="str">
        <f>HYPERLINK("http://stackoverflow.com/users/4452523", "stonemover")</f>
        <v>stonemover</v>
      </c>
      <c r="D4857" t="s">
        <v>52</v>
      </c>
      <c r="E4857">
        <v>26</v>
      </c>
    </row>
    <row r="4858" spans="1:5" x14ac:dyDescent="0.25">
      <c r="A4858">
        <v>4857</v>
      </c>
      <c r="B4858">
        <v>2663660</v>
      </c>
      <c r="C4858" s="1" t="str">
        <f>HYPERLINK("http://stackoverflow.com/users/2663660", "zheolong")</f>
        <v>zheolong</v>
      </c>
      <c r="D4858" t="s">
        <v>5</v>
      </c>
      <c r="E4858">
        <v>26</v>
      </c>
    </row>
    <row r="4859" spans="1:5" x14ac:dyDescent="0.25">
      <c r="A4859">
        <v>4858</v>
      </c>
      <c r="B4859">
        <v>6531954</v>
      </c>
      <c r="C4859" s="1" t="str">
        <f>HYPERLINK("http://stackoverflow.com/users/6531954", "Du Ang")</f>
        <v>Du Ang</v>
      </c>
      <c r="D4859" t="s">
        <v>79</v>
      </c>
      <c r="E4859">
        <v>26</v>
      </c>
    </row>
    <row r="4860" spans="1:5" x14ac:dyDescent="0.25">
      <c r="A4860">
        <v>4859</v>
      </c>
      <c r="B4860">
        <v>2851498</v>
      </c>
      <c r="C4860" s="1" t="str">
        <f>HYPERLINK("http://stackoverflow.com/users/2851498", "Yao")</f>
        <v>Yao</v>
      </c>
      <c r="D4860" t="s">
        <v>38</v>
      </c>
      <c r="E4860">
        <v>26</v>
      </c>
    </row>
    <row r="4861" spans="1:5" x14ac:dyDescent="0.25">
      <c r="A4861">
        <v>4860</v>
      </c>
      <c r="B4861">
        <v>1092325</v>
      </c>
      <c r="C4861" s="1" t="str">
        <f>HYPERLINK("http://stackoverflow.com/users/1092325", "Julian")</f>
        <v>Julian</v>
      </c>
      <c r="D4861" t="s">
        <v>5</v>
      </c>
      <c r="E4861">
        <v>26</v>
      </c>
    </row>
    <row r="4862" spans="1:5" x14ac:dyDescent="0.25">
      <c r="A4862">
        <v>4861</v>
      </c>
      <c r="B4862">
        <v>1091849</v>
      </c>
      <c r="C4862" s="1" t="str">
        <f>HYPERLINK("http://stackoverflow.com/users/1091849", "wjn161")</f>
        <v>wjn161</v>
      </c>
      <c r="D4862" t="s">
        <v>12</v>
      </c>
      <c r="E4862">
        <v>26</v>
      </c>
    </row>
    <row r="4863" spans="1:5" x14ac:dyDescent="0.25">
      <c r="A4863">
        <v>4862</v>
      </c>
      <c r="B4863">
        <v>2990264</v>
      </c>
      <c r="C4863" s="1" t="str">
        <f>HYPERLINK("http://stackoverflow.com/users/2990264", "Peilin Song")</f>
        <v>Peilin Song</v>
      </c>
      <c r="D4863" t="s">
        <v>37</v>
      </c>
      <c r="E4863">
        <v>26</v>
      </c>
    </row>
    <row r="4864" spans="1:5" x14ac:dyDescent="0.25">
      <c r="A4864">
        <v>4863</v>
      </c>
      <c r="B4864">
        <v>8388462</v>
      </c>
      <c r="C4864" s="1" t="str">
        <f>HYPERLINK("http://stackoverflow.com/users/8388462", "Grace Wong")</f>
        <v>Grace Wong</v>
      </c>
      <c r="D4864" t="s">
        <v>5</v>
      </c>
      <c r="E4864">
        <v>26</v>
      </c>
    </row>
    <row r="4865" spans="1:5" x14ac:dyDescent="0.25">
      <c r="A4865">
        <v>4864</v>
      </c>
      <c r="B4865">
        <v>2930733</v>
      </c>
      <c r="C4865" s="1" t="str">
        <f>HYPERLINK("http://stackoverflow.com/users/2930733", "Red")</f>
        <v>Red</v>
      </c>
      <c r="D4865" t="s">
        <v>25</v>
      </c>
      <c r="E4865">
        <v>26</v>
      </c>
    </row>
    <row r="4866" spans="1:5" x14ac:dyDescent="0.25">
      <c r="A4866">
        <v>4865</v>
      </c>
      <c r="B4866">
        <v>784017</v>
      </c>
      <c r="C4866" s="1" t="str">
        <f>HYPERLINK("http://stackoverflow.com/users/784017", "Zhoutao")</f>
        <v>Zhoutao</v>
      </c>
      <c r="D4866" t="s">
        <v>242</v>
      </c>
      <c r="E4866">
        <v>26</v>
      </c>
    </row>
    <row r="4867" spans="1:5" x14ac:dyDescent="0.25">
      <c r="A4867">
        <v>4866</v>
      </c>
      <c r="B4867">
        <v>8271421</v>
      </c>
      <c r="C4867" s="1" t="str">
        <f>HYPERLINK("http://stackoverflow.com/users/8271421", "ChangzhouPanda")</f>
        <v>ChangzhouPanda</v>
      </c>
      <c r="D4867" t="s">
        <v>4</v>
      </c>
      <c r="E4867">
        <v>26</v>
      </c>
    </row>
    <row r="4868" spans="1:5" x14ac:dyDescent="0.25">
      <c r="A4868">
        <v>4867</v>
      </c>
      <c r="B4868">
        <v>4732594</v>
      </c>
      <c r="C4868" s="1" t="str">
        <f>HYPERLINK("http://stackoverflow.com/users/4732594", "Raysmond")</f>
        <v>Raysmond</v>
      </c>
      <c r="D4868" t="s">
        <v>4</v>
      </c>
      <c r="E4868">
        <v>26</v>
      </c>
    </row>
    <row r="4869" spans="1:5" x14ac:dyDescent="0.25">
      <c r="A4869">
        <v>4868</v>
      </c>
      <c r="B4869">
        <v>521327</v>
      </c>
      <c r="C4869" s="1" t="str">
        <f>HYPERLINK("http://stackoverflow.com/users/521327", "Long Qian")</f>
        <v>Long Qian</v>
      </c>
      <c r="D4869" t="s">
        <v>12</v>
      </c>
      <c r="E4869">
        <v>26</v>
      </c>
    </row>
    <row r="4870" spans="1:5" x14ac:dyDescent="0.25">
      <c r="A4870">
        <v>4869</v>
      </c>
      <c r="B4870">
        <v>2737032</v>
      </c>
      <c r="C4870" s="1" t="str">
        <f>HYPERLINK("http://stackoverflow.com/users/2737032", "Monk Chu")</f>
        <v>Monk Chu</v>
      </c>
      <c r="D4870" t="s">
        <v>5</v>
      </c>
      <c r="E4870">
        <v>26</v>
      </c>
    </row>
    <row r="4871" spans="1:5" x14ac:dyDescent="0.25">
      <c r="A4871">
        <v>4870</v>
      </c>
      <c r="B4871">
        <v>1144835</v>
      </c>
      <c r="C4871" s="1" t="str">
        <f>HYPERLINK("http://stackoverflow.com/users/1144835", "Royshun")</f>
        <v>Royshun</v>
      </c>
      <c r="D4871" t="s">
        <v>21</v>
      </c>
      <c r="E4871">
        <v>26</v>
      </c>
    </row>
    <row r="4872" spans="1:5" x14ac:dyDescent="0.25">
      <c r="A4872">
        <v>4871</v>
      </c>
      <c r="B4872">
        <v>6611094</v>
      </c>
      <c r="C4872" s="1" t="str">
        <f>HYPERLINK("http://stackoverflow.com/users/6611094", "Seebok Hope")</f>
        <v>Seebok Hope</v>
      </c>
      <c r="D4872" t="s">
        <v>7</v>
      </c>
      <c r="E4872">
        <v>26</v>
      </c>
    </row>
    <row r="4873" spans="1:5" x14ac:dyDescent="0.25">
      <c r="A4873">
        <v>4872</v>
      </c>
      <c r="B4873">
        <v>1692171</v>
      </c>
      <c r="C4873" s="1" t="str">
        <f>HYPERLINK("http://stackoverflow.com/users/1692171", "Lijia Yu")</f>
        <v>Lijia Yu</v>
      </c>
      <c r="D4873" t="s">
        <v>134</v>
      </c>
      <c r="E4873">
        <v>26</v>
      </c>
    </row>
    <row r="4874" spans="1:5" x14ac:dyDescent="0.25">
      <c r="A4874">
        <v>4873</v>
      </c>
      <c r="B4874">
        <v>3400239</v>
      </c>
      <c r="C4874" s="1" t="str">
        <f>HYPERLINK("http://stackoverflow.com/users/3400239", "ersteLicht")</f>
        <v>ersteLicht</v>
      </c>
      <c r="D4874" t="s">
        <v>4</v>
      </c>
      <c r="E4874">
        <v>26</v>
      </c>
    </row>
    <row r="4875" spans="1:5" x14ac:dyDescent="0.25">
      <c r="A4875">
        <v>4874</v>
      </c>
      <c r="B4875">
        <v>8782773</v>
      </c>
      <c r="C4875" s="1" t="str">
        <f>HYPERLINK("http://stackoverflow.com/users/8782773", "foxer lee")</f>
        <v>foxer lee</v>
      </c>
      <c r="D4875" t="s">
        <v>4</v>
      </c>
      <c r="E4875">
        <v>26</v>
      </c>
    </row>
    <row r="4876" spans="1:5" x14ac:dyDescent="0.25">
      <c r="A4876">
        <v>4875</v>
      </c>
      <c r="B4876">
        <v>1513919</v>
      </c>
      <c r="C4876" s="1" t="str">
        <f>HYPERLINK("http://stackoverflow.com/users/1513919", "Seaborn Lee")</f>
        <v>Seaborn Lee</v>
      </c>
      <c r="D4876" t="s">
        <v>5</v>
      </c>
      <c r="E4876">
        <v>26</v>
      </c>
    </row>
    <row r="4877" spans="1:5" x14ac:dyDescent="0.25">
      <c r="A4877">
        <v>4876</v>
      </c>
      <c r="B4877">
        <v>7254649</v>
      </c>
      <c r="C4877" s="1" t="str">
        <f>HYPERLINK("http://stackoverflow.com/users/7254649", "Weiwen Zhong")</f>
        <v>Weiwen Zhong</v>
      </c>
      <c r="D4877" t="s">
        <v>5</v>
      </c>
      <c r="E4877">
        <v>26</v>
      </c>
    </row>
    <row r="4878" spans="1:5" x14ac:dyDescent="0.25">
      <c r="A4878">
        <v>4877</v>
      </c>
      <c r="B4878">
        <v>7261402</v>
      </c>
      <c r="C4878" s="1" t="str">
        <f>HYPERLINK("http://stackoverflow.com/users/7261402", "w11th")</f>
        <v>w11th</v>
      </c>
      <c r="D4878" t="s">
        <v>16</v>
      </c>
      <c r="E4878">
        <v>26</v>
      </c>
    </row>
    <row r="4879" spans="1:5" x14ac:dyDescent="0.25">
      <c r="A4879">
        <v>4878</v>
      </c>
      <c r="B4879">
        <v>2078354</v>
      </c>
      <c r="C4879" s="1" t="str">
        <f>HYPERLINK("http://stackoverflow.com/users/2078354", "Charlie.cui")</f>
        <v>Charlie.cui</v>
      </c>
      <c r="D4879" t="s">
        <v>5</v>
      </c>
      <c r="E4879">
        <v>26</v>
      </c>
    </row>
    <row r="4880" spans="1:5" x14ac:dyDescent="0.25">
      <c r="A4880">
        <v>4879</v>
      </c>
      <c r="B4880">
        <v>3876114</v>
      </c>
      <c r="C4880" s="1" t="str">
        <f>HYPERLINK("http://stackoverflow.com/users/3876114", "阡陌花开")</f>
        <v>阡陌花开</v>
      </c>
      <c r="D4880" t="s">
        <v>4</v>
      </c>
      <c r="E4880">
        <v>26</v>
      </c>
    </row>
    <row r="4881" spans="1:5" x14ac:dyDescent="0.25">
      <c r="A4881">
        <v>4880</v>
      </c>
      <c r="B4881">
        <v>9222298</v>
      </c>
      <c r="C4881" s="1" t="str">
        <f>HYPERLINK("http://stackoverflow.com/users/9222298", "Jixin Wei")</f>
        <v>Jixin Wei</v>
      </c>
      <c r="D4881" t="s">
        <v>7</v>
      </c>
      <c r="E4881">
        <v>26</v>
      </c>
    </row>
    <row r="4882" spans="1:5" x14ac:dyDescent="0.25">
      <c r="A4882">
        <v>4881</v>
      </c>
      <c r="B4882">
        <v>7312457</v>
      </c>
      <c r="C4882" s="1" t="str">
        <f>HYPERLINK("http://stackoverflow.com/users/7312457", "Heathcliff Hu")</f>
        <v>Heathcliff Hu</v>
      </c>
      <c r="D4882" t="s">
        <v>37</v>
      </c>
      <c r="E4882">
        <v>26</v>
      </c>
    </row>
    <row r="4883" spans="1:5" x14ac:dyDescent="0.25">
      <c r="A4883">
        <v>4882</v>
      </c>
      <c r="B4883">
        <v>5528238</v>
      </c>
      <c r="C4883" s="1" t="str">
        <f>HYPERLINK("http://stackoverflow.com/users/5528238", "YaphetS_Bo")</f>
        <v>YaphetS_Bo</v>
      </c>
      <c r="D4883" t="s">
        <v>4</v>
      </c>
      <c r="E4883">
        <v>26</v>
      </c>
    </row>
    <row r="4884" spans="1:5" x14ac:dyDescent="0.25">
      <c r="A4884">
        <v>4883</v>
      </c>
      <c r="B4884">
        <v>2365983</v>
      </c>
      <c r="C4884" s="1" t="str">
        <f>HYPERLINK("http://stackoverflow.com/users/2365983", "hai046")</f>
        <v>hai046</v>
      </c>
      <c r="D4884" t="s">
        <v>5</v>
      </c>
      <c r="E4884">
        <v>26</v>
      </c>
    </row>
    <row r="4885" spans="1:5" x14ac:dyDescent="0.25">
      <c r="A4885">
        <v>4884</v>
      </c>
      <c r="B4885">
        <v>2824353</v>
      </c>
      <c r="C4885" s="1" t="str">
        <f>HYPERLINK("http://stackoverflow.com/users/2824353", "Iridium Cao")</f>
        <v>Iridium Cao</v>
      </c>
      <c r="D4885" t="s">
        <v>28</v>
      </c>
      <c r="E4885">
        <v>26</v>
      </c>
    </row>
    <row r="4886" spans="1:5" x14ac:dyDescent="0.25">
      <c r="A4886">
        <v>4885</v>
      </c>
      <c r="B4886">
        <v>4779318</v>
      </c>
      <c r="C4886" s="1" t="str">
        <f>HYPERLINK("http://stackoverflow.com/users/4779318", "chenxi")</f>
        <v>chenxi</v>
      </c>
      <c r="D4886" t="s">
        <v>37</v>
      </c>
      <c r="E4886">
        <v>26</v>
      </c>
    </row>
    <row r="4887" spans="1:5" x14ac:dyDescent="0.25">
      <c r="A4887">
        <v>4886</v>
      </c>
      <c r="B4887">
        <v>892061</v>
      </c>
      <c r="C4887" s="1" t="str">
        <f>HYPERLINK("http://stackoverflow.com/users/892061", "Maverick")</f>
        <v>Maverick</v>
      </c>
      <c r="D4887" t="s">
        <v>22</v>
      </c>
      <c r="E4887">
        <v>26</v>
      </c>
    </row>
    <row r="4888" spans="1:5" x14ac:dyDescent="0.25">
      <c r="A4888">
        <v>4887</v>
      </c>
      <c r="B4888">
        <v>4786328</v>
      </c>
      <c r="C4888" s="1" t="str">
        <f>HYPERLINK("http://stackoverflow.com/users/4786328", "johnny")</f>
        <v>johnny</v>
      </c>
      <c r="D4888" t="s">
        <v>3</v>
      </c>
      <c r="E4888">
        <v>26</v>
      </c>
    </row>
    <row r="4889" spans="1:5" x14ac:dyDescent="0.25">
      <c r="A4889">
        <v>4888</v>
      </c>
      <c r="B4889">
        <v>633491</v>
      </c>
      <c r="C4889" s="1" t="str">
        <f>HYPERLINK("http://stackoverflow.com/users/633491", "bob")</f>
        <v>bob</v>
      </c>
      <c r="D4889" t="s">
        <v>8</v>
      </c>
      <c r="E4889">
        <v>26</v>
      </c>
    </row>
    <row r="4890" spans="1:5" x14ac:dyDescent="0.25">
      <c r="A4890">
        <v>4889</v>
      </c>
      <c r="B4890">
        <v>6181783</v>
      </c>
      <c r="C4890" s="1" t="str">
        <f>HYPERLINK("http://stackoverflow.com/users/6181783", "rudeigerc")</f>
        <v>rudeigerc</v>
      </c>
      <c r="D4890" t="s">
        <v>4</v>
      </c>
      <c r="E4890">
        <v>26</v>
      </c>
    </row>
    <row r="4891" spans="1:5" x14ac:dyDescent="0.25">
      <c r="A4891">
        <v>4890</v>
      </c>
      <c r="B4891">
        <v>2682727</v>
      </c>
      <c r="C4891" s="1" t="str">
        <f>HYPERLINK("http://stackoverflow.com/users/2682727", "sparrow")</f>
        <v>sparrow</v>
      </c>
      <c r="D4891" t="s">
        <v>5</v>
      </c>
      <c r="E4891">
        <v>26</v>
      </c>
    </row>
    <row r="4892" spans="1:5" x14ac:dyDescent="0.25">
      <c r="A4892">
        <v>4891</v>
      </c>
      <c r="B4892">
        <v>4387198</v>
      </c>
      <c r="C4892" s="1" t="str">
        <f>HYPERLINK("http://stackoverflow.com/users/4387198", "David Chow")</f>
        <v>David Chow</v>
      </c>
      <c r="D4892" t="s">
        <v>4</v>
      </c>
      <c r="E4892">
        <v>26</v>
      </c>
    </row>
    <row r="4893" spans="1:5" x14ac:dyDescent="0.25">
      <c r="A4893">
        <v>4892</v>
      </c>
      <c r="B4893">
        <v>2531052</v>
      </c>
      <c r="C4893" s="1" t="str">
        <f>HYPERLINK("http://stackoverflow.com/users/2531052", "vivlong")</f>
        <v>vivlong</v>
      </c>
      <c r="D4893" t="s">
        <v>38</v>
      </c>
      <c r="E4893">
        <v>26</v>
      </c>
    </row>
    <row r="4894" spans="1:5" x14ac:dyDescent="0.25">
      <c r="A4894">
        <v>4893</v>
      </c>
      <c r="B4894">
        <v>2432891</v>
      </c>
      <c r="C4894" s="1" t="str">
        <f>HYPERLINK("http://stackoverflow.com/users/2432891", "user2432891")</f>
        <v>user2432891</v>
      </c>
      <c r="D4894" t="s">
        <v>5</v>
      </c>
      <c r="E4894">
        <v>26</v>
      </c>
    </row>
    <row r="4895" spans="1:5" x14ac:dyDescent="0.25">
      <c r="A4895">
        <v>4894</v>
      </c>
      <c r="B4895">
        <v>2435773</v>
      </c>
      <c r="C4895" s="1" t="str">
        <f>HYPERLINK("http://stackoverflow.com/users/2435773", "oxygen")</f>
        <v>oxygen</v>
      </c>
      <c r="D4895" t="s">
        <v>12</v>
      </c>
      <c r="E4895">
        <v>26</v>
      </c>
    </row>
    <row r="4896" spans="1:5" x14ac:dyDescent="0.25">
      <c r="A4896">
        <v>4895</v>
      </c>
      <c r="B4896">
        <v>1345630</v>
      </c>
      <c r="C4896" s="1" t="str">
        <f>HYPERLINK("http://stackoverflow.com/users/1345630", "Gerhut")</f>
        <v>Gerhut</v>
      </c>
      <c r="D4896" t="s">
        <v>5</v>
      </c>
      <c r="E4896">
        <v>26</v>
      </c>
    </row>
    <row r="4897" spans="1:5" x14ac:dyDescent="0.25">
      <c r="A4897">
        <v>4896</v>
      </c>
      <c r="B4897">
        <v>1022377</v>
      </c>
      <c r="C4897" s="1" t="str">
        <f>HYPERLINK("http://stackoverflow.com/users/1022377", "glacierx")</f>
        <v>glacierx</v>
      </c>
      <c r="D4897" t="s">
        <v>5</v>
      </c>
      <c r="E4897">
        <v>26</v>
      </c>
    </row>
    <row r="4898" spans="1:5" x14ac:dyDescent="0.25">
      <c r="A4898">
        <v>4897</v>
      </c>
      <c r="B4898">
        <v>3008824</v>
      </c>
      <c r="C4898" s="1" t="str">
        <f>HYPERLINK("http://stackoverflow.com/users/3008824", "sadjezz")</f>
        <v>sadjezz</v>
      </c>
      <c r="D4898" t="s">
        <v>5</v>
      </c>
      <c r="E4898">
        <v>26</v>
      </c>
    </row>
    <row r="4899" spans="1:5" x14ac:dyDescent="0.25">
      <c r="A4899">
        <v>4898</v>
      </c>
      <c r="B4899">
        <v>6675819</v>
      </c>
      <c r="C4899" s="1" t="str">
        <f>HYPERLINK("http://stackoverflow.com/users/6675819", "William Jing")</f>
        <v>William Jing</v>
      </c>
      <c r="D4899" t="s">
        <v>4</v>
      </c>
      <c r="E4899">
        <v>26</v>
      </c>
    </row>
    <row r="4900" spans="1:5" x14ac:dyDescent="0.25">
      <c r="A4900">
        <v>4899</v>
      </c>
      <c r="B4900">
        <v>6661974</v>
      </c>
      <c r="C4900" s="1" t="str">
        <f>HYPERLINK("http://stackoverflow.com/users/6661974", "linx")</f>
        <v>linx</v>
      </c>
      <c r="D4900" t="s">
        <v>21</v>
      </c>
      <c r="E4900">
        <v>26</v>
      </c>
    </row>
    <row r="4901" spans="1:5" x14ac:dyDescent="0.25">
      <c r="A4901">
        <v>4900</v>
      </c>
      <c r="B4901">
        <v>1271878</v>
      </c>
      <c r="C4901" s="1" t="str">
        <f>HYPERLINK("http://stackoverflow.com/users/1271878", "arapat")</f>
        <v>arapat</v>
      </c>
      <c r="D4901" t="s">
        <v>4</v>
      </c>
      <c r="E4901">
        <v>26</v>
      </c>
    </row>
    <row r="4902" spans="1:5" x14ac:dyDescent="0.25">
      <c r="A4902">
        <v>4901</v>
      </c>
      <c r="B4902">
        <v>1297454</v>
      </c>
      <c r="C4902" s="1" t="str">
        <f>HYPERLINK("http://stackoverflow.com/users/1297454", "shiro")</f>
        <v>shiro</v>
      </c>
      <c r="D4902" t="s">
        <v>293</v>
      </c>
      <c r="E4902">
        <v>26</v>
      </c>
    </row>
    <row r="4903" spans="1:5" x14ac:dyDescent="0.25">
      <c r="A4903">
        <v>4902</v>
      </c>
      <c r="B4903">
        <v>9227573</v>
      </c>
      <c r="C4903" s="1" t="str">
        <f>HYPERLINK("http://stackoverflow.com/users/9227573", "CaiiChenr")</f>
        <v>CaiiChenr</v>
      </c>
      <c r="D4903" t="s">
        <v>52</v>
      </c>
      <c r="E4903">
        <v>26</v>
      </c>
    </row>
    <row r="4904" spans="1:5" x14ac:dyDescent="0.25">
      <c r="A4904">
        <v>4903</v>
      </c>
      <c r="B4904">
        <v>3854884</v>
      </c>
      <c r="C4904" s="1" t="str">
        <f>HYPERLINK("http://stackoverflow.com/users/3854884", "Daniel Long")</f>
        <v>Daniel Long</v>
      </c>
      <c r="D4904" t="s">
        <v>4</v>
      </c>
      <c r="E4904">
        <v>26</v>
      </c>
    </row>
    <row r="4905" spans="1:5" x14ac:dyDescent="0.25">
      <c r="A4905">
        <v>4904</v>
      </c>
      <c r="B4905">
        <v>2025428</v>
      </c>
      <c r="C4905" s="1" t="str">
        <f>HYPERLINK("http://stackoverflow.com/users/2025428", "Haruki Kirigaya")</f>
        <v>Haruki Kirigaya</v>
      </c>
      <c r="D4905" t="s">
        <v>5</v>
      </c>
      <c r="E4905">
        <v>26</v>
      </c>
    </row>
    <row r="4906" spans="1:5" x14ac:dyDescent="0.25">
      <c r="A4906">
        <v>4905</v>
      </c>
      <c r="B4906">
        <v>7407999</v>
      </c>
      <c r="C4906" s="1" t="str">
        <f>HYPERLINK("http://stackoverflow.com/users/7407999", "cover")</f>
        <v>cover</v>
      </c>
      <c r="D4906" t="s">
        <v>5</v>
      </c>
      <c r="E4906">
        <v>26</v>
      </c>
    </row>
    <row r="4907" spans="1:5" x14ac:dyDescent="0.25">
      <c r="A4907">
        <v>4906</v>
      </c>
      <c r="B4907">
        <v>2094988</v>
      </c>
      <c r="C4907" s="1" t="str">
        <f>HYPERLINK("http://stackoverflow.com/users/2094988", "zhicheng")</f>
        <v>zhicheng</v>
      </c>
      <c r="D4907" t="s">
        <v>5</v>
      </c>
      <c r="E4907">
        <v>26</v>
      </c>
    </row>
    <row r="4908" spans="1:5" x14ac:dyDescent="0.25">
      <c r="A4908">
        <v>4907</v>
      </c>
      <c r="B4908">
        <v>1802181</v>
      </c>
      <c r="C4908" s="1" t="str">
        <f>HYPERLINK("http://stackoverflow.com/users/1802181", "Victor")</f>
        <v>Victor</v>
      </c>
      <c r="D4908" t="s">
        <v>4</v>
      </c>
      <c r="E4908">
        <v>26</v>
      </c>
    </row>
    <row r="4909" spans="1:5" x14ac:dyDescent="0.25">
      <c r="A4909">
        <v>4908</v>
      </c>
      <c r="B4909">
        <v>1741206</v>
      </c>
      <c r="C4909" s="1" t="str">
        <f>HYPERLINK("http://stackoverflow.com/users/1741206", "notatestuser")</f>
        <v>notatestuser</v>
      </c>
      <c r="D4909" t="s">
        <v>294</v>
      </c>
      <c r="E4909">
        <v>26</v>
      </c>
    </row>
    <row r="4910" spans="1:5" x14ac:dyDescent="0.25">
      <c r="A4910">
        <v>4909</v>
      </c>
      <c r="B4910">
        <v>7645374</v>
      </c>
      <c r="C4910" s="1" t="str">
        <f>HYPERLINK("http://stackoverflow.com/users/7645374", "Randy")</f>
        <v>Randy</v>
      </c>
      <c r="D4910" t="s">
        <v>5</v>
      </c>
      <c r="E4910">
        <v>26</v>
      </c>
    </row>
    <row r="4911" spans="1:5" x14ac:dyDescent="0.25">
      <c r="A4911">
        <v>4910</v>
      </c>
      <c r="B4911">
        <v>2376701</v>
      </c>
      <c r="C4911" s="1" t="str">
        <f>HYPERLINK("http://stackoverflow.com/users/2376701", "KyleYang")</f>
        <v>KyleYang</v>
      </c>
      <c r="D4911" t="s">
        <v>17</v>
      </c>
      <c r="E4911">
        <v>26</v>
      </c>
    </row>
    <row r="4912" spans="1:5" x14ac:dyDescent="0.25">
      <c r="A4912">
        <v>4911</v>
      </c>
      <c r="B4912">
        <v>2153559</v>
      </c>
      <c r="C4912" s="1" t="str">
        <f>HYPERLINK("http://stackoverflow.com/users/2153559", "Owen")</f>
        <v>Owen</v>
      </c>
      <c r="D4912" t="s">
        <v>4</v>
      </c>
      <c r="E4912">
        <v>26</v>
      </c>
    </row>
    <row r="4913" spans="1:5" x14ac:dyDescent="0.25">
      <c r="A4913">
        <v>4912</v>
      </c>
      <c r="B4913">
        <v>2243263</v>
      </c>
      <c r="C4913" s="1" t="str">
        <f>HYPERLINK("http://stackoverflow.com/users/2243263", "Luoshihui")</f>
        <v>Luoshihui</v>
      </c>
      <c r="D4913" t="s">
        <v>38</v>
      </c>
      <c r="E4913">
        <v>26</v>
      </c>
    </row>
    <row r="4914" spans="1:5" x14ac:dyDescent="0.25">
      <c r="A4914">
        <v>4913</v>
      </c>
      <c r="B4914">
        <v>2025619</v>
      </c>
      <c r="C4914" s="1" t="str">
        <f>HYPERLINK("http://stackoverflow.com/users/2025619", "Babeler")</f>
        <v>Babeler</v>
      </c>
      <c r="D4914" t="s">
        <v>5</v>
      </c>
      <c r="E4914">
        <v>25</v>
      </c>
    </row>
    <row r="4915" spans="1:5" x14ac:dyDescent="0.25">
      <c r="A4915">
        <v>4914</v>
      </c>
      <c r="B4915">
        <v>946784</v>
      </c>
      <c r="C4915" s="1" t="str">
        <f>HYPERLINK("http://stackoverflow.com/users/946784", "hyt")</f>
        <v>hyt</v>
      </c>
      <c r="D4915" t="s">
        <v>12</v>
      </c>
      <c r="E4915">
        <v>25</v>
      </c>
    </row>
    <row r="4916" spans="1:5" x14ac:dyDescent="0.25">
      <c r="A4916">
        <v>4915</v>
      </c>
      <c r="B4916">
        <v>1055098</v>
      </c>
      <c r="C4916" s="1" t="str">
        <f>HYPERLINK("http://stackoverflow.com/users/1055098", "Lee Li")</f>
        <v>Lee Li</v>
      </c>
      <c r="D4916" t="s">
        <v>4</v>
      </c>
      <c r="E4916">
        <v>25</v>
      </c>
    </row>
    <row r="4917" spans="1:5" x14ac:dyDescent="0.25">
      <c r="A4917">
        <v>4916</v>
      </c>
      <c r="B4917">
        <v>5291182</v>
      </c>
      <c r="C4917" s="1" t="str">
        <f>HYPERLINK("http://stackoverflow.com/users/5291182", "D.Eric")</f>
        <v>D.Eric</v>
      </c>
      <c r="D4917" t="s">
        <v>16</v>
      </c>
      <c r="E4917">
        <v>25</v>
      </c>
    </row>
    <row r="4918" spans="1:5" x14ac:dyDescent="0.25">
      <c r="A4918">
        <v>4917</v>
      </c>
      <c r="B4918">
        <v>8135248</v>
      </c>
      <c r="C4918" s="1" t="str">
        <f>HYPERLINK("http://stackoverflow.com/users/8135248", "Moises .Li")</f>
        <v>Moises .Li</v>
      </c>
      <c r="D4918" t="s">
        <v>295</v>
      </c>
      <c r="E4918">
        <v>25</v>
      </c>
    </row>
    <row r="4919" spans="1:5" x14ac:dyDescent="0.25">
      <c r="A4919">
        <v>4918</v>
      </c>
      <c r="B4919">
        <v>2685186</v>
      </c>
      <c r="C4919" s="1" t="str">
        <f>HYPERLINK("http://stackoverflow.com/users/2685186", "Winmain")</f>
        <v>Winmain</v>
      </c>
      <c r="D4919" t="s">
        <v>296</v>
      </c>
      <c r="E4919">
        <v>25</v>
      </c>
    </row>
    <row r="4920" spans="1:5" x14ac:dyDescent="0.25">
      <c r="A4920">
        <v>4919</v>
      </c>
      <c r="B4920">
        <v>1492639</v>
      </c>
      <c r="C4920" s="1" t="str">
        <f>HYPERLINK("http://stackoverflow.com/users/1492639", "Bowen")</f>
        <v>Bowen</v>
      </c>
      <c r="D4920" t="s">
        <v>22</v>
      </c>
      <c r="E4920">
        <v>25</v>
      </c>
    </row>
    <row r="4921" spans="1:5" x14ac:dyDescent="0.25">
      <c r="A4921">
        <v>4920</v>
      </c>
      <c r="B4921">
        <v>5148671</v>
      </c>
      <c r="C4921" s="1" t="str">
        <f>HYPERLINK("http://stackoverflow.com/users/5148671", "jcxl")</f>
        <v>jcxl</v>
      </c>
      <c r="D4921" t="s">
        <v>5</v>
      </c>
      <c r="E4921">
        <v>25</v>
      </c>
    </row>
    <row r="4922" spans="1:5" x14ac:dyDescent="0.25">
      <c r="A4922">
        <v>4921</v>
      </c>
      <c r="B4922">
        <v>1179569</v>
      </c>
      <c r="C4922" s="1" t="str">
        <f>HYPERLINK("http://stackoverflow.com/users/1179569", "SilentTiger")</f>
        <v>SilentTiger</v>
      </c>
      <c r="D4922" t="s">
        <v>8</v>
      </c>
      <c r="E4922">
        <v>25</v>
      </c>
    </row>
    <row r="4923" spans="1:5" x14ac:dyDescent="0.25">
      <c r="A4923">
        <v>4922</v>
      </c>
      <c r="B4923">
        <v>4763594</v>
      </c>
      <c r="C4923" s="1" t="str">
        <f>HYPERLINK("http://stackoverflow.com/users/4763594", "Fred Xue")</f>
        <v>Fred Xue</v>
      </c>
      <c r="D4923" t="s">
        <v>4</v>
      </c>
      <c r="E4923">
        <v>25</v>
      </c>
    </row>
    <row r="4924" spans="1:5" x14ac:dyDescent="0.25">
      <c r="A4924">
        <v>4923</v>
      </c>
      <c r="B4924">
        <v>951820</v>
      </c>
      <c r="C4924" s="1" t="str">
        <f>HYPERLINK("http://stackoverflow.com/users/951820", "akara")</f>
        <v>akara</v>
      </c>
      <c r="D4924" t="s">
        <v>297</v>
      </c>
      <c r="E4924">
        <v>25</v>
      </c>
    </row>
    <row r="4925" spans="1:5" x14ac:dyDescent="0.25">
      <c r="A4925">
        <v>4924</v>
      </c>
      <c r="B4925">
        <v>8066182</v>
      </c>
      <c r="C4925" s="1" t="str">
        <f>HYPERLINK("http://stackoverflow.com/users/8066182", "Shadow")</f>
        <v>Shadow</v>
      </c>
      <c r="D4925" t="s">
        <v>47</v>
      </c>
      <c r="E4925">
        <v>25</v>
      </c>
    </row>
    <row r="4926" spans="1:5" x14ac:dyDescent="0.25">
      <c r="A4926">
        <v>4925</v>
      </c>
      <c r="B4926">
        <v>6818166</v>
      </c>
      <c r="C4926" s="1" t="str">
        <f>HYPERLINK("http://stackoverflow.com/users/6818166", "Chen Deng-Ta")</f>
        <v>Chen Deng-Ta</v>
      </c>
      <c r="D4926" t="s">
        <v>298</v>
      </c>
      <c r="E4926">
        <v>25</v>
      </c>
    </row>
    <row r="4927" spans="1:5" x14ac:dyDescent="0.25">
      <c r="A4927">
        <v>4926</v>
      </c>
      <c r="B4927">
        <v>3562782</v>
      </c>
      <c r="C4927" s="1" t="str">
        <f>HYPERLINK("http://stackoverflow.com/users/3562782", "Ruben")</f>
        <v>Ruben</v>
      </c>
      <c r="D4927" t="s">
        <v>7</v>
      </c>
      <c r="E4927">
        <v>25</v>
      </c>
    </row>
    <row r="4928" spans="1:5" x14ac:dyDescent="0.25">
      <c r="A4928">
        <v>4927</v>
      </c>
      <c r="B4928">
        <v>3831644</v>
      </c>
      <c r="C4928" s="1" t="str">
        <f>HYPERLINK("http://stackoverflow.com/users/3831644", "PerterPon")</f>
        <v>PerterPon</v>
      </c>
      <c r="D4928" t="s">
        <v>12</v>
      </c>
      <c r="E4928">
        <v>25</v>
      </c>
    </row>
    <row r="4929" spans="1:5" x14ac:dyDescent="0.25">
      <c r="A4929">
        <v>4928</v>
      </c>
      <c r="B4929">
        <v>8721124</v>
      </c>
      <c r="C4929" s="1" t="str">
        <f>HYPERLINK("http://stackoverflow.com/users/8721124", "Tehseen")</f>
        <v>Tehseen</v>
      </c>
      <c r="D4929" t="s">
        <v>4</v>
      </c>
      <c r="E4929">
        <v>25</v>
      </c>
    </row>
    <row r="4930" spans="1:5" x14ac:dyDescent="0.25">
      <c r="A4930">
        <v>4929</v>
      </c>
      <c r="B4930">
        <v>3148145</v>
      </c>
      <c r="C4930" s="1" t="str">
        <f>HYPERLINK("http://stackoverflow.com/users/3148145", "Liang Wang")</f>
        <v>Liang Wang</v>
      </c>
      <c r="D4930" t="s">
        <v>37</v>
      </c>
      <c r="E4930">
        <v>25</v>
      </c>
    </row>
    <row r="4931" spans="1:5" x14ac:dyDescent="0.25">
      <c r="A4931">
        <v>4930</v>
      </c>
      <c r="B4931">
        <v>10278989</v>
      </c>
      <c r="C4931" s="1" t="str">
        <f>HYPERLINK("http://stackoverflow.com/users/10278989", "JavaDeveloper")</f>
        <v>JavaDeveloper</v>
      </c>
      <c r="D4931" t="s">
        <v>10</v>
      </c>
      <c r="E4931">
        <v>25</v>
      </c>
    </row>
    <row r="4932" spans="1:5" x14ac:dyDescent="0.25">
      <c r="A4932">
        <v>4931</v>
      </c>
      <c r="B4932">
        <v>6916112</v>
      </c>
      <c r="C4932" s="1" t="str">
        <f>HYPERLINK("http://stackoverflow.com/users/6916112", "hengzhe")</f>
        <v>hengzhe</v>
      </c>
      <c r="D4932" t="s">
        <v>5</v>
      </c>
      <c r="E4932">
        <v>25</v>
      </c>
    </row>
    <row r="4933" spans="1:5" x14ac:dyDescent="0.25">
      <c r="A4933">
        <v>4932</v>
      </c>
      <c r="B4933">
        <v>1865570</v>
      </c>
      <c r="C4933" s="1" t="str">
        <f>HYPERLINK("http://stackoverflow.com/users/1865570", "Quark")</f>
        <v>Quark</v>
      </c>
      <c r="D4933" t="s">
        <v>5</v>
      </c>
      <c r="E4933">
        <v>25</v>
      </c>
    </row>
    <row r="4934" spans="1:5" x14ac:dyDescent="0.25">
      <c r="A4934">
        <v>4933</v>
      </c>
      <c r="B4934">
        <v>6348731</v>
      </c>
      <c r="C4934" s="1" t="str">
        <f>HYPERLINK("http://stackoverflow.com/users/6348731", "Dave Wu")</f>
        <v>Dave Wu</v>
      </c>
      <c r="D4934" t="s">
        <v>5</v>
      </c>
      <c r="E4934">
        <v>25</v>
      </c>
    </row>
    <row r="4935" spans="1:5" x14ac:dyDescent="0.25">
      <c r="A4935">
        <v>4934</v>
      </c>
      <c r="B4935">
        <v>800879</v>
      </c>
      <c r="C4935" s="1" t="str">
        <f>HYPERLINK("http://stackoverflow.com/users/800879", "farmer")</f>
        <v>farmer</v>
      </c>
      <c r="D4935" t="s">
        <v>3</v>
      </c>
      <c r="E4935">
        <v>25</v>
      </c>
    </row>
    <row r="4936" spans="1:5" x14ac:dyDescent="0.25">
      <c r="A4936">
        <v>4935</v>
      </c>
      <c r="B4936">
        <v>1744321</v>
      </c>
      <c r="C4936" s="1" t="str">
        <f>HYPERLINK("http://stackoverflow.com/users/1744321", "scola")</f>
        <v>scola</v>
      </c>
      <c r="D4936" t="s">
        <v>57</v>
      </c>
      <c r="E4936">
        <v>25</v>
      </c>
    </row>
    <row r="4937" spans="1:5" x14ac:dyDescent="0.25">
      <c r="A4937">
        <v>4936</v>
      </c>
      <c r="B4937">
        <v>1708041</v>
      </c>
      <c r="C4937" s="1" t="str">
        <f>HYPERLINK("http://stackoverflow.com/users/1708041", "TerryChao")</f>
        <v>TerryChao</v>
      </c>
      <c r="D4937" t="s">
        <v>4</v>
      </c>
      <c r="E4937">
        <v>25</v>
      </c>
    </row>
    <row r="4938" spans="1:5" x14ac:dyDescent="0.25">
      <c r="A4938">
        <v>4937</v>
      </c>
      <c r="B4938">
        <v>2122077</v>
      </c>
      <c r="C4938" s="1" t="str">
        <f>HYPERLINK("http://stackoverflow.com/users/2122077", "ihainan")</f>
        <v>ihainan</v>
      </c>
      <c r="D4938" t="s">
        <v>5</v>
      </c>
      <c r="E4938">
        <v>25</v>
      </c>
    </row>
    <row r="4939" spans="1:5" x14ac:dyDescent="0.25">
      <c r="A4939">
        <v>4938</v>
      </c>
      <c r="B4939">
        <v>2388843</v>
      </c>
      <c r="C4939" s="1" t="str">
        <f>HYPERLINK("http://stackoverflow.com/users/2388843", "BreakingDawn")</f>
        <v>BreakingDawn</v>
      </c>
      <c r="D4939" t="s">
        <v>5</v>
      </c>
      <c r="E4939">
        <v>25</v>
      </c>
    </row>
    <row r="4940" spans="1:5" x14ac:dyDescent="0.25">
      <c r="A4940">
        <v>4939</v>
      </c>
      <c r="B4940">
        <v>7777757</v>
      </c>
      <c r="C4940" s="1" t="str">
        <f>HYPERLINK("http://stackoverflow.com/users/7777757", "Grey")</f>
        <v>Grey</v>
      </c>
      <c r="D4940" t="s">
        <v>5</v>
      </c>
      <c r="E4940">
        <v>25</v>
      </c>
    </row>
    <row r="4941" spans="1:5" x14ac:dyDescent="0.25">
      <c r="A4941">
        <v>4940</v>
      </c>
      <c r="B4941">
        <v>3306361</v>
      </c>
      <c r="C4941" s="1" t="str">
        <f>HYPERLINK("http://stackoverflow.com/users/3306361", "richa.napo")</f>
        <v>richa.napo</v>
      </c>
      <c r="D4941" t="s">
        <v>299</v>
      </c>
      <c r="E4941">
        <v>25</v>
      </c>
    </row>
    <row r="4942" spans="1:5" x14ac:dyDescent="0.25">
      <c r="A4942">
        <v>4941</v>
      </c>
      <c r="B4942">
        <v>1486363</v>
      </c>
      <c r="C4942" s="1" t="str">
        <f>HYPERLINK("http://stackoverflow.com/users/1486363", "farta")</f>
        <v>farta</v>
      </c>
      <c r="D4942" t="s">
        <v>5</v>
      </c>
      <c r="E4942">
        <v>25</v>
      </c>
    </row>
    <row r="4943" spans="1:5" x14ac:dyDescent="0.25">
      <c r="A4943">
        <v>4942</v>
      </c>
      <c r="B4943">
        <v>1597018</v>
      </c>
      <c r="C4943" s="1" t="str">
        <f>HYPERLINK("http://stackoverflow.com/users/1597018", "hazir")</f>
        <v>hazir</v>
      </c>
      <c r="D4943" t="s">
        <v>31</v>
      </c>
      <c r="E4943">
        <v>25</v>
      </c>
    </row>
    <row r="4944" spans="1:5" x14ac:dyDescent="0.25">
      <c r="A4944">
        <v>4943</v>
      </c>
      <c r="B4944">
        <v>4694069</v>
      </c>
      <c r="C4944" s="1" t="str">
        <f>HYPERLINK("http://stackoverflow.com/users/4694069", "leopeng1995")</f>
        <v>leopeng1995</v>
      </c>
      <c r="D4944" t="s">
        <v>35</v>
      </c>
      <c r="E4944">
        <v>25</v>
      </c>
    </row>
    <row r="4945" spans="1:5" x14ac:dyDescent="0.25">
      <c r="A4945">
        <v>4944</v>
      </c>
      <c r="B4945">
        <v>7877277</v>
      </c>
      <c r="C4945" s="1" t="str">
        <f>HYPERLINK("http://stackoverflow.com/users/7877277", "vera")</f>
        <v>vera</v>
      </c>
      <c r="D4945" t="s">
        <v>16</v>
      </c>
      <c r="E4945">
        <v>25</v>
      </c>
    </row>
    <row r="4946" spans="1:5" x14ac:dyDescent="0.25">
      <c r="A4946">
        <v>4945</v>
      </c>
      <c r="B4946">
        <v>6103856</v>
      </c>
      <c r="C4946" s="1" t="str">
        <f>HYPERLINK("http://stackoverflow.com/users/6103856", "jinjun.zhu")</f>
        <v>jinjun.zhu</v>
      </c>
      <c r="D4946" t="s">
        <v>5</v>
      </c>
      <c r="E4946">
        <v>25</v>
      </c>
    </row>
    <row r="4947" spans="1:5" x14ac:dyDescent="0.25">
      <c r="A4947">
        <v>4946</v>
      </c>
      <c r="B4947">
        <v>4177695</v>
      </c>
      <c r="C4947" s="1" t="str">
        <f>HYPERLINK("http://stackoverflow.com/users/4177695", "goldenbull")</f>
        <v>goldenbull</v>
      </c>
      <c r="D4947" t="s">
        <v>5</v>
      </c>
      <c r="E4947">
        <v>25</v>
      </c>
    </row>
    <row r="4948" spans="1:5" x14ac:dyDescent="0.25">
      <c r="A4948">
        <v>4947</v>
      </c>
      <c r="B4948">
        <v>1730336</v>
      </c>
      <c r="C4948" s="1" t="str">
        <f>HYPERLINK("http://stackoverflow.com/users/1730336", "Tom")</f>
        <v>Tom</v>
      </c>
      <c r="D4948" t="s">
        <v>5</v>
      </c>
      <c r="E4948">
        <v>25</v>
      </c>
    </row>
    <row r="4949" spans="1:5" x14ac:dyDescent="0.25">
      <c r="A4949">
        <v>4948</v>
      </c>
      <c r="B4949">
        <v>6386802</v>
      </c>
      <c r="C4949" s="1" t="str">
        <f>HYPERLINK("http://stackoverflow.com/users/6386802", "Colin Zhang")</f>
        <v>Colin Zhang</v>
      </c>
      <c r="D4949" t="s">
        <v>4</v>
      </c>
      <c r="E4949">
        <v>25</v>
      </c>
    </row>
    <row r="4950" spans="1:5" x14ac:dyDescent="0.25">
      <c r="A4950">
        <v>4949</v>
      </c>
      <c r="B4950">
        <v>4799820</v>
      </c>
      <c r="C4950" s="1" t="str">
        <f>HYPERLINK("http://stackoverflow.com/users/4799820", "irfan")</f>
        <v>irfan</v>
      </c>
      <c r="D4950" t="s">
        <v>5</v>
      </c>
      <c r="E4950">
        <v>25</v>
      </c>
    </row>
    <row r="4951" spans="1:5" x14ac:dyDescent="0.25">
      <c r="A4951">
        <v>4950</v>
      </c>
      <c r="B4951">
        <v>1095759</v>
      </c>
      <c r="C4951" s="1" t="str">
        <f>HYPERLINK("http://stackoverflow.com/users/1095759", "Lubricy")</f>
        <v>Lubricy</v>
      </c>
      <c r="D4951" t="s">
        <v>74</v>
      </c>
      <c r="E4951">
        <v>25</v>
      </c>
    </row>
    <row r="4952" spans="1:5" x14ac:dyDescent="0.25">
      <c r="A4952">
        <v>4951</v>
      </c>
      <c r="B4952">
        <v>1142641</v>
      </c>
      <c r="C4952" s="1" t="str">
        <f>HYPERLINK("http://stackoverflow.com/users/1142641", "pstinghua")</f>
        <v>pstinghua</v>
      </c>
      <c r="D4952" t="s">
        <v>5</v>
      </c>
      <c r="E4952">
        <v>25</v>
      </c>
    </row>
    <row r="4953" spans="1:5" x14ac:dyDescent="0.25">
      <c r="A4953">
        <v>4952</v>
      </c>
      <c r="B4953">
        <v>1578755</v>
      </c>
      <c r="C4953" s="1" t="str">
        <f>HYPERLINK("http://stackoverflow.com/users/1578755", "comeonfox")</f>
        <v>comeonfox</v>
      </c>
      <c r="D4953" t="s">
        <v>5</v>
      </c>
      <c r="E4953">
        <v>25</v>
      </c>
    </row>
    <row r="4954" spans="1:5" x14ac:dyDescent="0.25">
      <c r="A4954">
        <v>4953</v>
      </c>
      <c r="B4954">
        <v>1402485</v>
      </c>
      <c r="C4954" s="1" t="str">
        <f>HYPERLINK("http://stackoverflow.com/users/1402485", "xufeng")</f>
        <v>xufeng</v>
      </c>
      <c r="D4954" t="s">
        <v>300</v>
      </c>
      <c r="E4954">
        <v>25</v>
      </c>
    </row>
    <row r="4955" spans="1:5" x14ac:dyDescent="0.25">
      <c r="A4955">
        <v>4954</v>
      </c>
      <c r="B4955">
        <v>1504445</v>
      </c>
      <c r="C4955" s="1" t="str">
        <f>HYPERLINK("http://stackoverflow.com/users/1504445", "cutxyz")</f>
        <v>cutxyz</v>
      </c>
      <c r="D4955" t="s">
        <v>5</v>
      </c>
      <c r="E4955">
        <v>25</v>
      </c>
    </row>
    <row r="4956" spans="1:5" x14ac:dyDescent="0.25">
      <c r="A4956">
        <v>4955</v>
      </c>
      <c r="B4956">
        <v>4514767</v>
      </c>
      <c r="C4956" s="1" t="str">
        <f>HYPERLINK("http://stackoverflow.com/users/4514767", "SaiLiu")</f>
        <v>SaiLiu</v>
      </c>
      <c r="D4956" t="s">
        <v>5</v>
      </c>
      <c r="E4956">
        <v>24</v>
      </c>
    </row>
    <row r="4957" spans="1:5" x14ac:dyDescent="0.25">
      <c r="A4957">
        <v>4956</v>
      </c>
      <c r="B4957">
        <v>6037066</v>
      </c>
      <c r="C4957" s="1" t="str">
        <f>HYPERLINK("http://stackoverflow.com/users/6037066", "nicky_s")</f>
        <v>nicky_s</v>
      </c>
      <c r="D4957" t="s">
        <v>25</v>
      </c>
      <c r="E4957">
        <v>24</v>
      </c>
    </row>
    <row r="4958" spans="1:5" x14ac:dyDescent="0.25">
      <c r="A4958">
        <v>4957</v>
      </c>
      <c r="B4958">
        <v>6085860</v>
      </c>
      <c r="C4958" s="1" t="str">
        <f>HYPERLINK("http://stackoverflow.com/users/6085860", "studyz")</f>
        <v>studyz</v>
      </c>
      <c r="D4958" t="s">
        <v>5</v>
      </c>
      <c r="E4958">
        <v>24</v>
      </c>
    </row>
    <row r="4959" spans="1:5" x14ac:dyDescent="0.25">
      <c r="A4959">
        <v>4958</v>
      </c>
      <c r="B4959">
        <v>2866918</v>
      </c>
      <c r="C4959" s="1" t="str">
        <f>HYPERLINK("http://stackoverflow.com/users/2866918", "skywang329")</f>
        <v>skywang329</v>
      </c>
      <c r="D4959" t="s">
        <v>5</v>
      </c>
      <c r="E4959">
        <v>24</v>
      </c>
    </row>
    <row r="4960" spans="1:5" x14ac:dyDescent="0.25">
      <c r="A4960">
        <v>4959</v>
      </c>
      <c r="B4960">
        <v>6361040</v>
      </c>
      <c r="C4960" s="1" t="str">
        <f>HYPERLINK("http://stackoverflow.com/users/6361040", "Arics Lee")</f>
        <v>Arics Lee</v>
      </c>
      <c r="D4960" t="s">
        <v>301</v>
      </c>
      <c r="E4960">
        <v>24</v>
      </c>
    </row>
    <row r="4961" spans="1:5" x14ac:dyDescent="0.25">
      <c r="A4961">
        <v>4960</v>
      </c>
      <c r="B4961">
        <v>10104336</v>
      </c>
      <c r="C4961" s="1" t="str">
        <f>HYPERLINK("http://stackoverflow.com/users/10104336", "asap diablo")</f>
        <v>asap diablo</v>
      </c>
      <c r="D4961" t="s">
        <v>78</v>
      </c>
      <c r="E4961">
        <v>24</v>
      </c>
    </row>
    <row r="4962" spans="1:5" x14ac:dyDescent="0.25">
      <c r="A4962">
        <v>4961</v>
      </c>
      <c r="B4962">
        <v>2947232</v>
      </c>
      <c r="C4962" s="1" t="str">
        <f>HYPERLINK("http://stackoverflow.com/users/2947232", "heqing")</f>
        <v>heqing</v>
      </c>
      <c r="D4962" t="s">
        <v>302</v>
      </c>
      <c r="E4962">
        <v>24</v>
      </c>
    </row>
    <row r="4963" spans="1:5" x14ac:dyDescent="0.25">
      <c r="A4963">
        <v>4962</v>
      </c>
      <c r="B4963">
        <v>6637566</v>
      </c>
      <c r="C4963" s="1" t="str">
        <f>HYPERLINK("http://stackoverflow.com/users/6637566", "Ws_")</f>
        <v>Ws_</v>
      </c>
      <c r="D4963" t="s">
        <v>131</v>
      </c>
      <c r="E4963">
        <v>24</v>
      </c>
    </row>
    <row r="4964" spans="1:5" x14ac:dyDescent="0.25">
      <c r="A4964">
        <v>4963</v>
      </c>
      <c r="B4964">
        <v>3138918</v>
      </c>
      <c r="C4964" s="1" t="str">
        <f>HYPERLINK("http://stackoverflow.com/users/3138918", "cuixiaozhuai")</f>
        <v>cuixiaozhuai</v>
      </c>
      <c r="D4964" t="s">
        <v>5</v>
      </c>
      <c r="E4964">
        <v>24</v>
      </c>
    </row>
    <row r="4965" spans="1:5" x14ac:dyDescent="0.25">
      <c r="A4965">
        <v>4964</v>
      </c>
      <c r="B4965">
        <v>1927806</v>
      </c>
      <c r="C4965" s="1" t="str">
        <f>HYPERLINK("http://stackoverflow.com/users/1927806", "Scofield")</f>
        <v>Scofield</v>
      </c>
      <c r="D4965" t="s">
        <v>5</v>
      </c>
      <c r="E4965">
        <v>24</v>
      </c>
    </row>
    <row r="4966" spans="1:5" x14ac:dyDescent="0.25">
      <c r="A4966">
        <v>4965</v>
      </c>
      <c r="B4966">
        <v>2061502</v>
      </c>
      <c r="C4966" s="1" t="str">
        <f>HYPERLINK("http://stackoverflow.com/users/2061502", "mediter")</f>
        <v>mediter</v>
      </c>
      <c r="D4966" t="s">
        <v>5</v>
      </c>
      <c r="E4966">
        <v>24</v>
      </c>
    </row>
    <row r="4967" spans="1:5" x14ac:dyDescent="0.25">
      <c r="A4967">
        <v>4966</v>
      </c>
      <c r="B4967">
        <v>1605811</v>
      </c>
      <c r="C4967" s="1" t="str">
        <f>HYPERLINK("http://stackoverflow.com/users/1605811", "Longli")</f>
        <v>Longli</v>
      </c>
      <c r="D4967" t="s">
        <v>12</v>
      </c>
      <c r="E4967">
        <v>24</v>
      </c>
    </row>
    <row r="4968" spans="1:5" x14ac:dyDescent="0.25">
      <c r="A4968">
        <v>4967</v>
      </c>
      <c r="B4968">
        <v>571044</v>
      </c>
      <c r="C4968" s="1" t="str">
        <f>HYPERLINK("http://stackoverflow.com/users/571044", "huaqihz")</f>
        <v>huaqihz</v>
      </c>
      <c r="D4968" t="s">
        <v>12</v>
      </c>
      <c r="E4968">
        <v>24</v>
      </c>
    </row>
    <row r="4969" spans="1:5" x14ac:dyDescent="0.25">
      <c r="A4969">
        <v>4968</v>
      </c>
      <c r="B4969">
        <v>8146626</v>
      </c>
      <c r="C4969" s="1" t="str">
        <f>HYPERLINK("http://stackoverflow.com/users/8146626", "Han Ye")</f>
        <v>Han Ye</v>
      </c>
      <c r="D4969" t="s">
        <v>5</v>
      </c>
      <c r="E4969">
        <v>24</v>
      </c>
    </row>
    <row r="4970" spans="1:5" x14ac:dyDescent="0.25">
      <c r="A4970">
        <v>4969</v>
      </c>
      <c r="B4970">
        <v>1021373</v>
      </c>
      <c r="C4970" s="1" t="str">
        <f>HYPERLINK("http://stackoverflow.com/users/1021373", "teedoo")</f>
        <v>teedoo</v>
      </c>
      <c r="D4970" t="s">
        <v>37</v>
      </c>
      <c r="E4970">
        <v>24</v>
      </c>
    </row>
    <row r="4971" spans="1:5" x14ac:dyDescent="0.25">
      <c r="A4971">
        <v>4970</v>
      </c>
      <c r="B4971">
        <v>908805</v>
      </c>
      <c r="C4971" s="1" t="str">
        <f>HYPERLINK("http://stackoverflow.com/users/908805", "Deep-Sea Whale")</f>
        <v>Deep-Sea Whale</v>
      </c>
      <c r="D4971" t="s">
        <v>4</v>
      </c>
      <c r="E4971">
        <v>24</v>
      </c>
    </row>
    <row r="4972" spans="1:5" x14ac:dyDescent="0.25">
      <c r="A4972">
        <v>4971</v>
      </c>
      <c r="B4972">
        <v>2837140</v>
      </c>
      <c r="C4972" s="1" t="str">
        <f>HYPERLINK("http://stackoverflow.com/users/2837140", "tonySilver")</f>
        <v>tonySilver</v>
      </c>
      <c r="D4972" t="s">
        <v>23</v>
      </c>
      <c r="E4972">
        <v>24</v>
      </c>
    </row>
    <row r="4973" spans="1:5" x14ac:dyDescent="0.25">
      <c r="A4973">
        <v>4972</v>
      </c>
      <c r="B4973">
        <v>551011</v>
      </c>
      <c r="C4973" s="1" t="str">
        <f>HYPERLINK("http://stackoverflow.com/users/551011", "Sheldon")</f>
        <v>Sheldon</v>
      </c>
      <c r="D4973" t="s">
        <v>78</v>
      </c>
      <c r="E4973">
        <v>24</v>
      </c>
    </row>
    <row r="4974" spans="1:5" x14ac:dyDescent="0.25">
      <c r="A4974">
        <v>4973</v>
      </c>
      <c r="B4974">
        <v>3162577</v>
      </c>
      <c r="C4974" s="1" t="str">
        <f>HYPERLINK("http://stackoverflow.com/users/3162577", "garry")</f>
        <v>garry</v>
      </c>
      <c r="D4974" t="s">
        <v>37</v>
      </c>
      <c r="E4974">
        <v>24</v>
      </c>
    </row>
    <row r="4975" spans="1:5" x14ac:dyDescent="0.25">
      <c r="A4975">
        <v>4974</v>
      </c>
      <c r="B4975">
        <v>8356958</v>
      </c>
      <c r="C4975" s="1" t="str">
        <f>HYPERLINK("http://stackoverflow.com/users/8356958", "Parsa shamaeezadeh")</f>
        <v>Parsa shamaeezadeh</v>
      </c>
      <c r="D4975" t="s">
        <v>5</v>
      </c>
      <c r="E4975">
        <v>24</v>
      </c>
    </row>
    <row r="4976" spans="1:5" x14ac:dyDescent="0.25">
      <c r="A4976">
        <v>4975</v>
      </c>
      <c r="B4976">
        <v>4902817</v>
      </c>
      <c r="C4976" s="1" t="str">
        <f>HYPERLINK("http://stackoverflow.com/users/4902817", "Mike Zhang")</f>
        <v>Mike Zhang</v>
      </c>
      <c r="D4976" t="s">
        <v>4</v>
      </c>
      <c r="E4976">
        <v>24</v>
      </c>
    </row>
    <row r="4977" spans="1:5" x14ac:dyDescent="0.25">
      <c r="A4977">
        <v>4976</v>
      </c>
      <c r="B4977">
        <v>6945456</v>
      </c>
      <c r="C4977" s="1" t="str">
        <f>HYPERLINK("http://stackoverflow.com/users/6945456", "Ken Hu")</f>
        <v>Ken Hu</v>
      </c>
      <c r="D4977" t="s">
        <v>43</v>
      </c>
      <c r="E4977">
        <v>24</v>
      </c>
    </row>
    <row r="4978" spans="1:5" x14ac:dyDescent="0.25">
      <c r="A4978">
        <v>4977</v>
      </c>
      <c r="B4978">
        <v>2305827</v>
      </c>
      <c r="C4978" s="1" t="str">
        <f>HYPERLINK("http://stackoverflow.com/users/2305827", "Roy")</f>
        <v>Roy</v>
      </c>
      <c r="D4978" t="s">
        <v>4</v>
      </c>
      <c r="E4978">
        <v>24</v>
      </c>
    </row>
    <row r="4979" spans="1:5" x14ac:dyDescent="0.25">
      <c r="A4979">
        <v>4978</v>
      </c>
      <c r="B4979">
        <v>5470741</v>
      </c>
      <c r="C4979" s="1" t="str">
        <f>HYPERLINK("http://stackoverflow.com/users/5470741", "Paul Yih")</f>
        <v>Paul Yih</v>
      </c>
      <c r="D4979" t="s">
        <v>90</v>
      </c>
      <c r="E4979">
        <v>24</v>
      </c>
    </row>
    <row r="4980" spans="1:5" x14ac:dyDescent="0.25">
      <c r="A4980">
        <v>4979</v>
      </c>
      <c r="B4980">
        <v>10158006</v>
      </c>
      <c r="C4980" s="1" t="str">
        <f>HYPERLINK("http://stackoverflow.com/users/10158006", "Jaeda")</f>
        <v>Jaeda</v>
      </c>
      <c r="D4980" t="s">
        <v>146</v>
      </c>
      <c r="E4980">
        <v>24</v>
      </c>
    </row>
    <row r="4981" spans="1:5" x14ac:dyDescent="0.25">
      <c r="A4981">
        <v>4980</v>
      </c>
      <c r="B4981">
        <v>101988</v>
      </c>
      <c r="C4981" s="1" t="str">
        <f>HYPERLINK("http://stackoverflow.com/users/101988", "Leo Zhang")</f>
        <v>Leo Zhang</v>
      </c>
      <c r="D4981" t="s">
        <v>5</v>
      </c>
      <c r="E4981">
        <v>24</v>
      </c>
    </row>
    <row r="4982" spans="1:5" x14ac:dyDescent="0.25">
      <c r="A4982">
        <v>4981</v>
      </c>
      <c r="B4982">
        <v>7996940</v>
      </c>
      <c r="C4982" s="1" t="str">
        <f>HYPERLINK("http://stackoverflow.com/users/7996940", "Shao")</f>
        <v>Shao</v>
      </c>
      <c r="D4982" t="s">
        <v>4</v>
      </c>
      <c r="E4982">
        <v>24</v>
      </c>
    </row>
    <row r="4983" spans="1:5" x14ac:dyDescent="0.25">
      <c r="A4983">
        <v>4982</v>
      </c>
      <c r="B4983">
        <v>8426528</v>
      </c>
      <c r="C4983" s="1" t="str">
        <f>HYPERLINK("http://stackoverflow.com/users/8426528", "Neo Gónzáles")</f>
        <v>Neo Gónzáles</v>
      </c>
      <c r="D4983" t="s">
        <v>4</v>
      </c>
      <c r="E4983">
        <v>24</v>
      </c>
    </row>
    <row r="4984" spans="1:5" x14ac:dyDescent="0.25">
      <c r="A4984">
        <v>4983</v>
      </c>
      <c r="B4984">
        <v>1014205</v>
      </c>
      <c r="C4984" s="1" t="str">
        <f>HYPERLINK("http://stackoverflow.com/users/1014205", "Will")</f>
        <v>Will</v>
      </c>
      <c r="D4984" t="s">
        <v>21</v>
      </c>
      <c r="E4984">
        <v>23</v>
      </c>
    </row>
    <row r="4985" spans="1:5" x14ac:dyDescent="0.25">
      <c r="A4985">
        <v>4984</v>
      </c>
      <c r="B4985">
        <v>3197280</v>
      </c>
      <c r="C4985" s="1" t="str">
        <f>HYPERLINK("http://stackoverflow.com/users/3197280", "Jack Zheng")</f>
        <v>Jack Zheng</v>
      </c>
      <c r="D4985" t="s">
        <v>245</v>
      </c>
      <c r="E4985">
        <v>23</v>
      </c>
    </row>
    <row r="4986" spans="1:5" x14ac:dyDescent="0.25">
      <c r="A4986">
        <v>4985</v>
      </c>
      <c r="B4986">
        <v>3401187</v>
      </c>
      <c r="C4986" s="1" t="str">
        <f>HYPERLINK("http://stackoverflow.com/users/3401187", "met7")</f>
        <v>met7</v>
      </c>
      <c r="D4986" t="s">
        <v>59</v>
      </c>
      <c r="E4986">
        <v>23</v>
      </c>
    </row>
    <row r="4987" spans="1:5" x14ac:dyDescent="0.25">
      <c r="A4987">
        <v>4986</v>
      </c>
      <c r="B4987">
        <v>10591746</v>
      </c>
      <c r="C4987" s="1" t="str">
        <f>HYPERLINK("http://stackoverflow.com/users/10591746", "Yu Ping")</f>
        <v>Yu Ping</v>
      </c>
      <c r="D4987" t="s">
        <v>214</v>
      </c>
      <c r="E4987">
        <v>23</v>
      </c>
    </row>
    <row r="4988" spans="1:5" x14ac:dyDescent="0.25">
      <c r="A4988">
        <v>4987</v>
      </c>
      <c r="B4988">
        <v>6233187</v>
      </c>
      <c r="C4988" s="1" t="str">
        <f>HYPERLINK("http://stackoverflow.com/users/6233187", "Alain")</f>
        <v>Alain</v>
      </c>
      <c r="D4988" t="s">
        <v>7</v>
      </c>
      <c r="E4988">
        <v>23</v>
      </c>
    </row>
    <row r="4989" spans="1:5" x14ac:dyDescent="0.25">
      <c r="A4989">
        <v>4988</v>
      </c>
      <c r="B4989">
        <v>3589118</v>
      </c>
      <c r="C4989" s="1" t="str">
        <f>HYPERLINK("http://stackoverflow.com/users/3589118", "haitong")</f>
        <v>haitong</v>
      </c>
      <c r="D4989" t="s">
        <v>5</v>
      </c>
      <c r="E4989">
        <v>23</v>
      </c>
    </row>
    <row r="4990" spans="1:5" x14ac:dyDescent="0.25">
      <c r="A4990">
        <v>4989</v>
      </c>
      <c r="B4990">
        <v>3600976</v>
      </c>
      <c r="C4990" s="1" t="str">
        <f>HYPERLINK("http://stackoverflow.com/users/3600976", "Skyler Tao")</f>
        <v>Skyler Tao</v>
      </c>
      <c r="D4990" t="s">
        <v>5</v>
      </c>
      <c r="E4990">
        <v>23</v>
      </c>
    </row>
    <row r="4991" spans="1:5" x14ac:dyDescent="0.25">
      <c r="A4991">
        <v>4990</v>
      </c>
      <c r="B4991">
        <v>7724480</v>
      </c>
      <c r="C4991" s="1" t="str">
        <f>HYPERLINK("http://stackoverflow.com/users/7724480", "Xu Dong Zhang")</f>
        <v>Xu Dong Zhang</v>
      </c>
      <c r="D4991" t="s">
        <v>118</v>
      </c>
      <c r="E4991">
        <v>23</v>
      </c>
    </row>
    <row r="4992" spans="1:5" x14ac:dyDescent="0.25">
      <c r="A4992">
        <v>4991</v>
      </c>
      <c r="B4992">
        <v>5463150</v>
      </c>
      <c r="C4992" s="1" t="str">
        <f>HYPERLINK("http://stackoverflow.com/users/5463150", "Leo")</f>
        <v>Leo</v>
      </c>
      <c r="D4992" t="s">
        <v>4</v>
      </c>
      <c r="E4992">
        <v>23</v>
      </c>
    </row>
    <row r="4993" spans="1:5" x14ac:dyDescent="0.25">
      <c r="A4993">
        <v>4992</v>
      </c>
      <c r="B4993">
        <v>5835358</v>
      </c>
      <c r="C4993" s="1" t="str">
        <f>HYPERLINK("http://stackoverflow.com/users/5835358", "CKboss")</f>
        <v>CKboss</v>
      </c>
      <c r="D4993" t="s">
        <v>4</v>
      </c>
      <c r="E4993">
        <v>23</v>
      </c>
    </row>
    <row r="4994" spans="1:5" x14ac:dyDescent="0.25">
      <c r="A4994">
        <v>4993</v>
      </c>
      <c r="B4994">
        <v>9411928</v>
      </c>
      <c r="C4994" s="1" t="str">
        <f>HYPERLINK("http://stackoverflow.com/users/9411928", "Apetsi Ampiah")</f>
        <v>Apetsi Ampiah</v>
      </c>
      <c r="D4994" t="s">
        <v>4</v>
      </c>
      <c r="E4994">
        <v>23</v>
      </c>
    </row>
    <row r="4995" spans="1:5" x14ac:dyDescent="0.25">
      <c r="A4995">
        <v>4994</v>
      </c>
      <c r="B4995">
        <v>4220983</v>
      </c>
      <c r="C4995" s="1" t="str">
        <f>HYPERLINK("http://stackoverflow.com/users/4220983", "henry")</f>
        <v>henry</v>
      </c>
      <c r="D4995" t="s">
        <v>7</v>
      </c>
      <c r="E4995">
        <v>23</v>
      </c>
    </row>
    <row r="4996" spans="1:5" x14ac:dyDescent="0.25">
      <c r="A4996">
        <v>4995</v>
      </c>
      <c r="B4996">
        <v>1593702</v>
      </c>
      <c r="C4996" s="1" t="str">
        <f>HYPERLINK("http://stackoverflow.com/users/1593702", "Codeup")</f>
        <v>Codeup</v>
      </c>
      <c r="D4996" t="s">
        <v>5</v>
      </c>
      <c r="E4996">
        <v>23</v>
      </c>
    </row>
    <row r="4997" spans="1:5" x14ac:dyDescent="0.25">
      <c r="A4997">
        <v>4996</v>
      </c>
      <c r="B4997">
        <v>3531285</v>
      </c>
      <c r="C4997" s="1" t="str">
        <f>HYPERLINK("http://stackoverflow.com/users/3531285", "Delbert")</f>
        <v>Delbert</v>
      </c>
      <c r="D4997" t="s">
        <v>34</v>
      </c>
      <c r="E4997">
        <v>23</v>
      </c>
    </row>
    <row r="4998" spans="1:5" x14ac:dyDescent="0.25">
      <c r="A4998">
        <v>4997</v>
      </c>
      <c r="B4998">
        <v>1520008</v>
      </c>
      <c r="C4998" s="1" t="str">
        <f>HYPERLINK("http://stackoverflow.com/users/1520008", "cantoraz")</f>
        <v>cantoraz</v>
      </c>
      <c r="D4998" t="s">
        <v>12</v>
      </c>
      <c r="E4998">
        <v>23</v>
      </c>
    </row>
    <row r="4999" spans="1:5" x14ac:dyDescent="0.25">
      <c r="A4999">
        <v>4998</v>
      </c>
      <c r="B4999">
        <v>6570986</v>
      </c>
      <c r="C4999" s="1" t="str">
        <f>HYPERLINK("http://stackoverflow.com/users/6570986", "jack_lv")</f>
        <v>jack_lv</v>
      </c>
      <c r="D4999" t="s">
        <v>16</v>
      </c>
      <c r="E4999">
        <v>23</v>
      </c>
    </row>
    <row r="5000" spans="1:5" x14ac:dyDescent="0.25">
      <c r="A5000">
        <v>4999</v>
      </c>
      <c r="B5000">
        <v>1057517</v>
      </c>
      <c r="C5000" s="1" t="str">
        <f>HYPERLINK("http://stackoverflow.com/users/1057517", "Howard Gong")</f>
        <v>Howard Gong</v>
      </c>
      <c r="D5000" t="s">
        <v>4</v>
      </c>
      <c r="E5000">
        <v>23</v>
      </c>
    </row>
    <row r="5001" spans="1:5" x14ac:dyDescent="0.25">
      <c r="A5001">
        <v>5000</v>
      </c>
      <c r="B5001">
        <v>1242449</v>
      </c>
      <c r="C5001" s="1" t="str">
        <f>HYPERLINK("http://stackoverflow.com/users/1242449", "coollzh")</f>
        <v>coollzh</v>
      </c>
      <c r="D5001" t="s">
        <v>4</v>
      </c>
      <c r="E5001">
        <v>23</v>
      </c>
    </row>
    <row r="5002" spans="1:5" x14ac:dyDescent="0.25">
      <c r="A5002">
        <v>5001</v>
      </c>
      <c r="B5002">
        <v>636061</v>
      </c>
      <c r="C5002" s="1" t="str">
        <f>HYPERLINK("http://stackoverflow.com/users/636061", "L.P.ms")</f>
        <v>L.P.ms</v>
      </c>
      <c r="D5002" t="s">
        <v>13</v>
      </c>
      <c r="E5002">
        <v>23</v>
      </c>
    </row>
    <row r="5003" spans="1:5" x14ac:dyDescent="0.25">
      <c r="A5003">
        <v>5002</v>
      </c>
      <c r="B5003">
        <v>4712855</v>
      </c>
      <c r="C5003" s="1" t="str">
        <f>HYPERLINK("http://stackoverflow.com/users/4712855", "forever LA")</f>
        <v>forever LA</v>
      </c>
      <c r="D5003" t="s">
        <v>5</v>
      </c>
      <c r="E5003">
        <v>23</v>
      </c>
    </row>
    <row r="5004" spans="1:5" x14ac:dyDescent="0.25">
      <c r="A5004">
        <v>5003</v>
      </c>
      <c r="B5004">
        <v>826697</v>
      </c>
      <c r="C5004" s="1" t="str">
        <f>HYPERLINK("http://stackoverflow.com/users/826697", "Stefan Rohlfing")</f>
        <v>Stefan Rohlfing</v>
      </c>
      <c r="D5004" t="s">
        <v>303</v>
      </c>
      <c r="E5004">
        <v>23</v>
      </c>
    </row>
    <row r="5005" spans="1:5" x14ac:dyDescent="0.25">
      <c r="A5005">
        <v>5004</v>
      </c>
      <c r="B5005">
        <v>6210034</v>
      </c>
      <c r="C5005" s="1" t="str">
        <f>HYPERLINK("http://stackoverflow.com/users/6210034", "Hugo.C")</f>
        <v>Hugo.C</v>
      </c>
      <c r="D5005" t="s">
        <v>7</v>
      </c>
      <c r="E5005">
        <v>23</v>
      </c>
    </row>
    <row r="5006" spans="1:5" x14ac:dyDescent="0.25">
      <c r="A5006">
        <v>5005</v>
      </c>
      <c r="B5006">
        <v>7946842</v>
      </c>
      <c r="C5006" s="1" t="str">
        <f>HYPERLINK("http://stackoverflow.com/users/7946842", "Stone-Ynn")</f>
        <v>Stone-Ynn</v>
      </c>
      <c r="D5006" t="s">
        <v>16</v>
      </c>
      <c r="E5006">
        <v>23</v>
      </c>
    </row>
    <row r="5007" spans="1:5" x14ac:dyDescent="0.25">
      <c r="A5007">
        <v>5006</v>
      </c>
      <c r="B5007">
        <v>3030764</v>
      </c>
      <c r="C5007" s="1" t="str">
        <f>HYPERLINK("http://stackoverflow.com/users/3030764", "Jianting Wang")</f>
        <v>Jianting Wang</v>
      </c>
      <c r="D5007" t="s">
        <v>31</v>
      </c>
      <c r="E5007">
        <v>23</v>
      </c>
    </row>
    <row r="5008" spans="1:5" x14ac:dyDescent="0.25">
      <c r="A5008">
        <v>5007</v>
      </c>
      <c r="B5008">
        <v>1107069</v>
      </c>
      <c r="C5008" s="1" t="str">
        <f>HYPERLINK("http://stackoverflow.com/users/1107069", "小臭蛋儿")</f>
        <v>小臭蛋儿</v>
      </c>
      <c r="D5008" t="s">
        <v>5</v>
      </c>
      <c r="E5008">
        <v>23</v>
      </c>
    </row>
    <row r="5009" spans="1:5" x14ac:dyDescent="0.25">
      <c r="A5009">
        <v>5008</v>
      </c>
      <c r="B5009">
        <v>2783355</v>
      </c>
      <c r="C5009" s="1" t="str">
        <f>HYPERLINK("http://stackoverflow.com/users/2783355", "Willin Wang")</f>
        <v>Willin Wang</v>
      </c>
      <c r="D5009" t="s">
        <v>37</v>
      </c>
      <c r="E5009">
        <v>23</v>
      </c>
    </row>
    <row r="5010" spans="1:5" x14ac:dyDescent="0.25">
      <c r="A5010">
        <v>5009</v>
      </c>
      <c r="B5010">
        <v>4674745</v>
      </c>
      <c r="C5010" s="1" t="str">
        <f>HYPERLINK("http://stackoverflow.com/users/4674745", "Everright Chen")</f>
        <v>Everright Chen</v>
      </c>
      <c r="D5010" t="s">
        <v>48</v>
      </c>
      <c r="E5010">
        <v>23</v>
      </c>
    </row>
    <row r="5011" spans="1:5" x14ac:dyDescent="0.25">
      <c r="A5011">
        <v>5010</v>
      </c>
      <c r="B5011">
        <v>9906457</v>
      </c>
      <c r="C5011" s="1" t="str">
        <f>HYPERLINK("http://stackoverflow.com/users/9906457", "chaotetung")</f>
        <v>chaotetung</v>
      </c>
      <c r="D5011" t="s">
        <v>4</v>
      </c>
      <c r="E5011">
        <v>23</v>
      </c>
    </row>
    <row r="5012" spans="1:5" x14ac:dyDescent="0.25">
      <c r="A5012">
        <v>5011</v>
      </c>
      <c r="B5012">
        <v>586144</v>
      </c>
      <c r="C5012" s="1" t="str">
        <f>HYPERLINK("http://stackoverflow.com/users/586144", "Yunwei Dai")</f>
        <v>Yunwei Dai</v>
      </c>
      <c r="D5012" t="s">
        <v>55</v>
      </c>
      <c r="E5012">
        <v>23</v>
      </c>
    </row>
    <row r="5013" spans="1:5" x14ac:dyDescent="0.25">
      <c r="A5013">
        <v>5012</v>
      </c>
      <c r="B5013">
        <v>523533</v>
      </c>
      <c r="C5013" s="1" t="str">
        <f>HYPERLINK("http://stackoverflow.com/users/523533", "tsinghua")</f>
        <v>tsinghua</v>
      </c>
      <c r="D5013" t="s">
        <v>12</v>
      </c>
      <c r="E5013">
        <v>23</v>
      </c>
    </row>
    <row r="5014" spans="1:5" x14ac:dyDescent="0.25">
      <c r="A5014">
        <v>5013</v>
      </c>
      <c r="B5014">
        <v>326823</v>
      </c>
      <c r="C5014" s="1" t="str">
        <f>HYPERLINK("http://stackoverflow.com/users/326823", "Jingle")</f>
        <v>Jingle</v>
      </c>
      <c r="D5014" t="s">
        <v>5</v>
      </c>
      <c r="E5014">
        <v>23</v>
      </c>
    </row>
    <row r="5015" spans="1:5" x14ac:dyDescent="0.25">
      <c r="A5015">
        <v>5014</v>
      </c>
      <c r="B5015">
        <v>7098482</v>
      </c>
      <c r="C5015" s="1" t="str">
        <f>HYPERLINK("http://stackoverflow.com/users/7098482", "叶乙作")</f>
        <v>叶乙作</v>
      </c>
      <c r="D5015" t="s">
        <v>4</v>
      </c>
      <c r="E5015">
        <v>23</v>
      </c>
    </row>
    <row r="5016" spans="1:5" x14ac:dyDescent="0.25">
      <c r="A5016">
        <v>5015</v>
      </c>
      <c r="B5016">
        <v>10829492</v>
      </c>
      <c r="C5016" s="1" t="str">
        <f>HYPERLINK("http://stackoverflow.com/users/10829492", "Tommy")</f>
        <v>Tommy</v>
      </c>
      <c r="D5016" t="s">
        <v>33</v>
      </c>
      <c r="E5016">
        <v>23</v>
      </c>
    </row>
    <row r="5017" spans="1:5" x14ac:dyDescent="0.25">
      <c r="A5017">
        <v>5016</v>
      </c>
      <c r="B5017">
        <v>5163126</v>
      </c>
      <c r="C5017" s="1" t="str">
        <f>HYPERLINK("http://stackoverflow.com/users/5163126", "Eric Fan")</f>
        <v>Eric Fan</v>
      </c>
      <c r="D5017" t="s">
        <v>4</v>
      </c>
      <c r="E5017">
        <v>23</v>
      </c>
    </row>
    <row r="5018" spans="1:5" x14ac:dyDescent="0.25">
      <c r="A5018">
        <v>5017</v>
      </c>
      <c r="B5018">
        <v>1199068</v>
      </c>
      <c r="C5018" s="1" t="str">
        <f>HYPERLINK("http://stackoverflow.com/users/1199068", "Caspar")</f>
        <v>Caspar</v>
      </c>
      <c r="D5018" t="s">
        <v>22</v>
      </c>
      <c r="E5018">
        <v>23</v>
      </c>
    </row>
    <row r="5019" spans="1:5" x14ac:dyDescent="0.25">
      <c r="A5019">
        <v>5018</v>
      </c>
      <c r="B5019">
        <v>3802092</v>
      </c>
      <c r="C5019" s="1" t="str">
        <f>HYPERLINK("http://stackoverflow.com/users/3802092", "Sean Chu")</f>
        <v>Sean Chu</v>
      </c>
      <c r="D5019" t="s">
        <v>62</v>
      </c>
      <c r="E5019">
        <v>23</v>
      </c>
    </row>
    <row r="5020" spans="1:5" x14ac:dyDescent="0.25">
      <c r="A5020">
        <v>5019</v>
      </c>
      <c r="B5020">
        <v>5584271</v>
      </c>
      <c r="C5020" s="1" t="str">
        <f>HYPERLINK("http://stackoverflow.com/users/5584271", "fmyblack")</f>
        <v>fmyblack</v>
      </c>
      <c r="D5020" t="s">
        <v>5</v>
      </c>
      <c r="E5020">
        <v>23</v>
      </c>
    </row>
    <row r="5021" spans="1:5" x14ac:dyDescent="0.25">
      <c r="A5021">
        <v>5020</v>
      </c>
      <c r="B5021">
        <v>1972675</v>
      </c>
      <c r="C5021" s="1" t="str">
        <f>HYPERLINK("http://stackoverflow.com/users/1972675", "sunchuo")</f>
        <v>sunchuo</v>
      </c>
      <c r="D5021" t="s">
        <v>3</v>
      </c>
      <c r="E5021">
        <v>23</v>
      </c>
    </row>
    <row r="5022" spans="1:5" x14ac:dyDescent="0.25">
      <c r="A5022">
        <v>5021</v>
      </c>
      <c r="B5022">
        <v>3131976</v>
      </c>
      <c r="C5022" s="1" t="str">
        <f>HYPERLINK("http://stackoverflow.com/users/3131976", "perlinson")</f>
        <v>perlinson</v>
      </c>
      <c r="D5022" t="s">
        <v>4</v>
      </c>
      <c r="E5022">
        <v>23</v>
      </c>
    </row>
    <row r="5023" spans="1:5" x14ac:dyDescent="0.25">
      <c r="A5023">
        <v>5022</v>
      </c>
      <c r="B5023">
        <v>1146886</v>
      </c>
      <c r="C5023" s="1" t="str">
        <f>HYPERLINK("http://stackoverflow.com/users/1146886", "lightboat")</f>
        <v>lightboat</v>
      </c>
      <c r="D5023" t="s">
        <v>12</v>
      </c>
      <c r="E5023">
        <v>23</v>
      </c>
    </row>
    <row r="5024" spans="1:5" x14ac:dyDescent="0.25">
      <c r="A5024">
        <v>5023</v>
      </c>
      <c r="B5024">
        <v>1232405</v>
      </c>
      <c r="C5024" s="1" t="str">
        <f>HYPERLINK("http://stackoverflow.com/users/1232405", "hotdogning")</f>
        <v>hotdogning</v>
      </c>
      <c r="D5024" t="s">
        <v>4</v>
      </c>
      <c r="E5024">
        <v>23</v>
      </c>
    </row>
    <row r="5025" spans="1:5" x14ac:dyDescent="0.25">
      <c r="A5025">
        <v>5024</v>
      </c>
      <c r="B5025">
        <v>1314202</v>
      </c>
      <c r="C5025" s="1" t="str">
        <f>HYPERLINK("http://stackoverflow.com/users/1314202", "kinloo")</f>
        <v>kinloo</v>
      </c>
      <c r="D5025" t="s">
        <v>17</v>
      </c>
      <c r="E5025">
        <v>23</v>
      </c>
    </row>
    <row r="5026" spans="1:5" x14ac:dyDescent="0.25">
      <c r="A5026">
        <v>5025</v>
      </c>
      <c r="B5026">
        <v>1365241</v>
      </c>
      <c r="C5026" s="1" t="str">
        <f>HYPERLINK("http://stackoverflow.com/users/1365241", "jeffreyji")</f>
        <v>jeffreyji</v>
      </c>
      <c r="D5026" t="s">
        <v>4</v>
      </c>
      <c r="E5026">
        <v>23</v>
      </c>
    </row>
    <row r="5027" spans="1:5" x14ac:dyDescent="0.25">
      <c r="A5027">
        <v>5026</v>
      </c>
      <c r="B5027">
        <v>3264481</v>
      </c>
      <c r="C5027" s="1" t="str">
        <f>HYPERLINK("http://stackoverflow.com/users/3264481", "HughParker")</f>
        <v>HughParker</v>
      </c>
      <c r="D5027" t="s">
        <v>5</v>
      </c>
      <c r="E5027">
        <v>23</v>
      </c>
    </row>
    <row r="5028" spans="1:5" x14ac:dyDescent="0.25">
      <c r="A5028">
        <v>5027</v>
      </c>
      <c r="B5028">
        <v>994940</v>
      </c>
      <c r="C5028" s="1" t="str">
        <f>HYPERLINK("http://stackoverflow.com/users/994940", "Bob")</f>
        <v>Bob</v>
      </c>
      <c r="D5028" t="s">
        <v>5</v>
      </c>
      <c r="E5028">
        <v>23</v>
      </c>
    </row>
    <row r="5029" spans="1:5" x14ac:dyDescent="0.25">
      <c r="A5029">
        <v>5028</v>
      </c>
      <c r="B5029">
        <v>1076981</v>
      </c>
      <c r="C5029" s="1" t="str">
        <f>HYPERLINK("http://stackoverflow.com/users/1076981", "ZhangCC")</f>
        <v>ZhangCC</v>
      </c>
      <c r="D5029" t="s">
        <v>4</v>
      </c>
      <c r="E5029">
        <v>23</v>
      </c>
    </row>
    <row r="5030" spans="1:5" x14ac:dyDescent="0.25">
      <c r="A5030">
        <v>5029</v>
      </c>
      <c r="B5030">
        <v>862647</v>
      </c>
      <c r="C5030" s="1" t="str">
        <f>HYPERLINK("http://stackoverflow.com/users/862647", "Lango")</f>
        <v>Lango</v>
      </c>
      <c r="D5030" t="s">
        <v>4</v>
      </c>
      <c r="E5030">
        <v>23</v>
      </c>
    </row>
    <row r="5031" spans="1:5" x14ac:dyDescent="0.25">
      <c r="A5031">
        <v>5030</v>
      </c>
      <c r="B5031">
        <v>706133</v>
      </c>
      <c r="C5031" s="1" t="str">
        <f>HYPERLINK("http://stackoverflow.com/users/706133", "flynn")</f>
        <v>flynn</v>
      </c>
      <c r="D5031" t="s">
        <v>5</v>
      </c>
      <c r="E5031">
        <v>23</v>
      </c>
    </row>
    <row r="5032" spans="1:5" x14ac:dyDescent="0.25">
      <c r="A5032">
        <v>5031</v>
      </c>
      <c r="B5032">
        <v>767123</v>
      </c>
      <c r="C5032" s="1" t="str">
        <f>HYPERLINK("http://stackoverflow.com/users/767123", "Yaozhen")</f>
        <v>Yaozhen</v>
      </c>
      <c r="D5032" t="s">
        <v>4</v>
      </c>
      <c r="E5032">
        <v>23</v>
      </c>
    </row>
    <row r="5033" spans="1:5" x14ac:dyDescent="0.25">
      <c r="A5033">
        <v>5032</v>
      </c>
      <c r="B5033">
        <v>651239</v>
      </c>
      <c r="C5033" s="1" t="str">
        <f>HYPERLINK("http://stackoverflow.com/users/651239", "张承龙")</f>
        <v>张承龙</v>
      </c>
      <c r="D5033" t="s">
        <v>5</v>
      </c>
      <c r="E5033">
        <v>23</v>
      </c>
    </row>
    <row r="5034" spans="1:5" x14ac:dyDescent="0.25">
      <c r="A5034">
        <v>5033</v>
      </c>
      <c r="B5034">
        <v>4010190</v>
      </c>
      <c r="C5034" s="1" t="str">
        <f>HYPERLINK("http://stackoverflow.com/users/4010190", "Bool.Du")</f>
        <v>Bool.Du</v>
      </c>
      <c r="D5034" t="s">
        <v>91</v>
      </c>
      <c r="E5034">
        <v>23</v>
      </c>
    </row>
    <row r="5035" spans="1:5" x14ac:dyDescent="0.25">
      <c r="A5035">
        <v>5034</v>
      </c>
      <c r="B5035">
        <v>2086208</v>
      </c>
      <c r="C5035" s="1" t="str">
        <f>HYPERLINK("http://stackoverflow.com/users/2086208", "Yerik Ng")</f>
        <v>Yerik Ng</v>
      </c>
      <c r="D5035" t="s">
        <v>37</v>
      </c>
      <c r="E5035">
        <v>23</v>
      </c>
    </row>
    <row r="5036" spans="1:5" x14ac:dyDescent="0.25">
      <c r="A5036">
        <v>5035</v>
      </c>
      <c r="B5036">
        <v>439665</v>
      </c>
      <c r="C5036" s="1" t="str">
        <f>HYPERLINK("http://stackoverflow.com/users/439665", "Sunnie")</f>
        <v>Sunnie</v>
      </c>
      <c r="D5036" t="s">
        <v>5</v>
      </c>
      <c r="E5036">
        <v>23</v>
      </c>
    </row>
    <row r="5037" spans="1:5" x14ac:dyDescent="0.25">
      <c r="A5037">
        <v>5036</v>
      </c>
      <c r="B5037">
        <v>8229255</v>
      </c>
      <c r="C5037" s="1" t="str">
        <f>HYPERLINK("http://stackoverflow.com/users/8229255", "ygjack")</f>
        <v>ygjack</v>
      </c>
      <c r="D5037" t="s">
        <v>52</v>
      </c>
      <c r="E5037">
        <v>23</v>
      </c>
    </row>
    <row r="5038" spans="1:5" x14ac:dyDescent="0.25">
      <c r="A5038">
        <v>5037</v>
      </c>
      <c r="B5038">
        <v>7812920</v>
      </c>
      <c r="C5038" s="1" t="str">
        <f>HYPERLINK("http://stackoverflow.com/users/7812920", "Lin Chen")</f>
        <v>Lin Chen</v>
      </c>
      <c r="D5038" t="s">
        <v>28</v>
      </c>
      <c r="E5038">
        <v>23</v>
      </c>
    </row>
    <row r="5039" spans="1:5" x14ac:dyDescent="0.25">
      <c r="A5039">
        <v>5038</v>
      </c>
      <c r="B5039">
        <v>286063</v>
      </c>
      <c r="C5039" s="1" t="str">
        <f>HYPERLINK("http://stackoverflow.com/users/286063", "Sospartan")</f>
        <v>Sospartan</v>
      </c>
      <c r="D5039" t="s">
        <v>12</v>
      </c>
      <c r="E5039">
        <v>23</v>
      </c>
    </row>
    <row r="5040" spans="1:5" x14ac:dyDescent="0.25">
      <c r="A5040">
        <v>5039</v>
      </c>
      <c r="B5040">
        <v>5213037</v>
      </c>
      <c r="C5040" s="1" t="str">
        <f>HYPERLINK("http://stackoverflow.com/users/5213037", "yangdawei")</f>
        <v>yangdawei</v>
      </c>
      <c r="D5040" t="s">
        <v>19</v>
      </c>
      <c r="E5040">
        <v>23</v>
      </c>
    </row>
    <row r="5041" spans="1:5" x14ac:dyDescent="0.25">
      <c r="A5041">
        <v>5040</v>
      </c>
      <c r="B5041">
        <v>1530782</v>
      </c>
      <c r="C5041" s="1" t="str">
        <f>HYPERLINK("http://stackoverflow.com/users/1530782", "dogrush")</f>
        <v>dogrush</v>
      </c>
      <c r="D5041" t="s">
        <v>5</v>
      </c>
      <c r="E5041">
        <v>23</v>
      </c>
    </row>
    <row r="5042" spans="1:5" x14ac:dyDescent="0.25">
      <c r="A5042">
        <v>5041</v>
      </c>
      <c r="B5042">
        <v>1381693</v>
      </c>
      <c r="C5042" s="1" t="str">
        <f>HYPERLINK("http://stackoverflow.com/users/1381693", "Foxswily")</f>
        <v>Foxswily</v>
      </c>
      <c r="D5042" t="s">
        <v>5</v>
      </c>
      <c r="E5042">
        <v>23</v>
      </c>
    </row>
    <row r="5043" spans="1:5" x14ac:dyDescent="0.25">
      <c r="A5043">
        <v>5042</v>
      </c>
      <c r="B5043">
        <v>6602035</v>
      </c>
      <c r="C5043" s="1" t="str">
        <f>HYPERLINK("http://stackoverflow.com/users/6602035", "Allan Libra")</f>
        <v>Allan Libra</v>
      </c>
      <c r="D5043" t="s">
        <v>28</v>
      </c>
      <c r="E5043">
        <v>23</v>
      </c>
    </row>
    <row r="5044" spans="1:5" x14ac:dyDescent="0.25">
      <c r="A5044">
        <v>5043</v>
      </c>
      <c r="B5044">
        <v>3118781</v>
      </c>
      <c r="C5044" s="1" t="str">
        <f>HYPERLINK("http://stackoverflow.com/users/3118781", "ETye")</f>
        <v>ETye</v>
      </c>
      <c r="D5044" t="s">
        <v>4</v>
      </c>
      <c r="E5044">
        <v>23</v>
      </c>
    </row>
    <row r="5045" spans="1:5" x14ac:dyDescent="0.25">
      <c r="A5045">
        <v>5044</v>
      </c>
      <c r="B5045">
        <v>10383912</v>
      </c>
      <c r="C5045" s="1" t="str">
        <f>HYPERLINK("http://stackoverflow.com/users/10383912", "Toro2018")</f>
        <v>Toro2018</v>
      </c>
      <c r="D5045" t="s">
        <v>16</v>
      </c>
      <c r="E5045">
        <v>23</v>
      </c>
    </row>
    <row r="5046" spans="1:5" x14ac:dyDescent="0.25">
      <c r="A5046">
        <v>5045</v>
      </c>
      <c r="B5046">
        <v>5619855</v>
      </c>
      <c r="C5046" s="1" t="str">
        <f>HYPERLINK("http://stackoverflow.com/users/5619855", "GS.")</f>
        <v>GS.</v>
      </c>
      <c r="D5046" t="s">
        <v>304</v>
      </c>
      <c r="E5046">
        <v>23</v>
      </c>
    </row>
    <row r="5047" spans="1:5" x14ac:dyDescent="0.25">
      <c r="A5047">
        <v>5046</v>
      </c>
      <c r="B5047">
        <v>1749171</v>
      </c>
      <c r="C5047" s="1" t="str">
        <f>HYPERLINK("http://stackoverflow.com/users/1749171", "shenbo")</f>
        <v>shenbo</v>
      </c>
      <c r="D5047" t="s">
        <v>22</v>
      </c>
      <c r="E5047">
        <v>23</v>
      </c>
    </row>
    <row r="5048" spans="1:5" x14ac:dyDescent="0.25">
      <c r="A5048">
        <v>5047</v>
      </c>
      <c r="B5048">
        <v>5383118</v>
      </c>
      <c r="C5048" s="1" t="str">
        <f>HYPERLINK("http://stackoverflow.com/users/5383118", "youwenda")</f>
        <v>youwenda</v>
      </c>
      <c r="D5048" t="s">
        <v>5</v>
      </c>
      <c r="E5048">
        <v>23</v>
      </c>
    </row>
    <row r="5049" spans="1:5" x14ac:dyDescent="0.25">
      <c r="A5049">
        <v>5048</v>
      </c>
      <c r="B5049">
        <v>7208148</v>
      </c>
      <c r="C5049" s="1" t="str">
        <f>HYPERLINK("http://stackoverflow.com/users/7208148", "soolaugust")</f>
        <v>soolaugust</v>
      </c>
      <c r="D5049" t="s">
        <v>10</v>
      </c>
      <c r="E5049">
        <v>23</v>
      </c>
    </row>
    <row r="5050" spans="1:5" x14ac:dyDescent="0.25">
      <c r="A5050">
        <v>5049</v>
      </c>
      <c r="B5050">
        <v>5541523</v>
      </c>
      <c r="C5050" s="1" t="str">
        <f>HYPERLINK("http://stackoverflow.com/users/5541523", "Kherel Ketchil")</f>
        <v>Kherel Ketchil</v>
      </c>
      <c r="D5050" t="s">
        <v>52</v>
      </c>
      <c r="E5050">
        <v>23</v>
      </c>
    </row>
    <row r="5051" spans="1:5" x14ac:dyDescent="0.25">
      <c r="A5051">
        <v>5050</v>
      </c>
      <c r="B5051">
        <v>1965473</v>
      </c>
      <c r="C5051" s="1" t="str">
        <f>HYPERLINK("http://stackoverflow.com/users/1965473", "Demi_shanghai")</f>
        <v>Demi_shanghai</v>
      </c>
      <c r="D5051" t="s">
        <v>4</v>
      </c>
      <c r="E5051">
        <v>23</v>
      </c>
    </row>
    <row r="5052" spans="1:5" x14ac:dyDescent="0.25">
      <c r="A5052">
        <v>5051</v>
      </c>
      <c r="B5052">
        <v>9191261</v>
      </c>
      <c r="C5052" s="1" t="str">
        <f>HYPERLINK("http://stackoverflow.com/users/9191261", "damon")</f>
        <v>damon</v>
      </c>
      <c r="D5052" t="s">
        <v>4</v>
      </c>
      <c r="E5052">
        <v>23</v>
      </c>
    </row>
    <row r="5053" spans="1:5" x14ac:dyDescent="0.25">
      <c r="A5053">
        <v>5052</v>
      </c>
      <c r="B5053">
        <v>2646039</v>
      </c>
      <c r="C5053" s="1" t="str">
        <f>HYPERLINK("http://stackoverflow.com/users/2646039", "Triangle23")</f>
        <v>Triangle23</v>
      </c>
      <c r="D5053" t="s">
        <v>5</v>
      </c>
      <c r="E5053">
        <v>23</v>
      </c>
    </row>
    <row r="5054" spans="1:5" x14ac:dyDescent="0.25">
      <c r="A5054">
        <v>5053</v>
      </c>
      <c r="B5054">
        <v>7848170</v>
      </c>
      <c r="C5054" s="1" t="str">
        <f>HYPERLINK("http://stackoverflow.com/users/7848170", "lzszone")</f>
        <v>lzszone</v>
      </c>
      <c r="D5054" t="s">
        <v>305</v>
      </c>
      <c r="E5054">
        <v>23</v>
      </c>
    </row>
    <row r="5055" spans="1:5" x14ac:dyDescent="0.25">
      <c r="A5055">
        <v>5054</v>
      </c>
      <c r="B5055">
        <v>2497876</v>
      </c>
      <c r="C5055" s="1" t="str">
        <f>HYPERLINK("http://stackoverflow.com/users/2497876", "cyper")</f>
        <v>cyper</v>
      </c>
      <c r="D5055" t="s">
        <v>8</v>
      </c>
      <c r="E5055">
        <v>23</v>
      </c>
    </row>
    <row r="5056" spans="1:5" x14ac:dyDescent="0.25">
      <c r="A5056">
        <v>5055</v>
      </c>
      <c r="B5056">
        <v>7909148</v>
      </c>
      <c r="C5056" s="1" t="str">
        <f>HYPERLINK("http://stackoverflow.com/users/7909148", "Suzhan Yu")</f>
        <v>Suzhan Yu</v>
      </c>
      <c r="D5056" t="s">
        <v>4</v>
      </c>
      <c r="E5056">
        <v>23</v>
      </c>
    </row>
    <row r="5057" spans="1:5" x14ac:dyDescent="0.25">
      <c r="A5057">
        <v>5056</v>
      </c>
      <c r="B5057">
        <v>708244</v>
      </c>
      <c r="C5057" s="1" t="str">
        <f>HYPERLINK("http://stackoverflow.com/users/708244", "Charley Chen")</f>
        <v>Charley Chen</v>
      </c>
      <c r="D5057" t="s">
        <v>12</v>
      </c>
      <c r="E5057">
        <v>23</v>
      </c>
    </row>
    <row r="5058" spans="1:5" x14ac:dyDescent="0.25">
      <c r="A5058">
        <v>5057</v>
      </c>
      <c r="B5058">
        <v>805872</v>
      </c>
      <c r="C5058" s="1" t="str">
        <f>HYPERLINK("http://stackoverflow.com/users/805872", "ArronXY")</f>
        <v>ArronXY</v>
      </c>
      <c r="D5058" t="s">
        <v>4</v>
      </c>
      <c r="E5058">
        <v>23</v>
      </c>
    </row>
    <row r="5059" spans="1:5" x14ac:dyDescent="0.25">
      <c r="A5059">
        <v>5058</v>
      </c>
      <c r="B5059">
        <v>3335273</v>
      </c>
      <c r="C5059" s="1" t="str">
        <f>HYPERLINK("http://stackoverflow.com/users/3335273", "Stiff Liu")</f>
        <v>Stiff Liu</v>
      </c>
      <c r="D5059" t="s">
        <v>4</v>
      </c>
      <c r="E5059">
        <v>23</v>
      </c>
    </row>
    <row r="5060" spans="1:5" x14ac:dyDescent="0.25">
      <c r="A5060">
        <v>5059</v>
      </c>
      <c r="B5060">
        <v>1104553</v>
      </c>
      <c r="C5060" s="1" t="str">
        <f>HYPERLINK("http://stackoverflow.com/users/1104553", "tallrain")</f>
        <v>tallrain</v>
      </c>
      <c r="D5060" t="s">
        <v>5</v>
      </c>
      <c r="E5060">
        <v>23</v>
      </c>
    </row>
    <row r="5061" spans="1:5" x14ac:dyDescent="0.25">
      <c r="A5061">
        <v>5060</v>
      </c>
      <c r="B5061">
        <v>1044916</v>
      </c>
      <c r="C5061" s="1" t="str">
        <f>HYPERLINK("http://stackoverflow.com/users/1044916", "Brian Li")</f>
        <v>Brian Li</v>
      </c>
      <c r="D5061" t="s">
        <v>21</v>
      </c>
      <c r="E5061">
        <v>23</v>
      </c>
    </row>
    <row r="5062" spans="1:5" x14ac:dyDescent="0.25">
      <c r="A5062">
        <v>5061</v>
      </c>
      <c r="B5062">
        <v>3685905</v>
      </c>
      <c r="C5062" s="1" t="str">
        <f>HYPERLINK("http://stackoverflow.com/users/3685905", "varwey")</f>
        <v>varwey</v>
      </c>
      <c r="D5062" t="s">
        <v>5</v>
      </c>
      <c r="E5062">
        <v>23</v>
      </c>
    </row>
    <row r="5063" spans="1:5" x14ac:dyDescent="0.25">
      <c r="A5063">
        <v>5062</v>
      </c>
      <c r="B5063">
        <v>5478327</v>
      </c>
      <c r="C5063" s="1" t="str">
        <f>HYPERLINK("http://stackoverflow.com/users/5478327", "李晓爽")</f>
        <v>李晓爽</v>
      </c>
      <c r="D5063" t="s">
        <v>4</v>
      </c>
      <c r="E5063">
        <v>23</v>
      </c>
    </row>
    <row r="5064" spans="1:5" x14ac:dyDescent="0.25">
      <c r="A5064">
        <v>5063</v>
      </c>
      <c r="B5064">
        <v>1917776</v>
      </c>
      <c r="C5064" s="1" t="str">
        <f>HYPERLINK("http://stackoverflow.com/users/1917776", "blacksunshine")</f>
        <v>blacksunshine</v>
      </c>
      <c r="D5064" t="s">
        <v>5</v>
      </c>
      <c r="E5064">
        <v>23</v>
      </c>
    </row>
    <row r="5065" spans="1:5" x14ac:dyDescent="0.25">
      <c r="A5065">
        <v>5064</v>
      </c>
      <c r="B5065">
        <v>10955215</v>
      </c>
      <c r="C5065" s="1" t="str">
        <f>HYPERLINK("http://stackoverflow.com/users/10955215", "Robin chan")</f>
        <v>Robin chan</v>
      </c>
      <c r="D5065" t="s">
        <v>4</v>
      </c>
      <c r="E5065">
        <v>23</v>
      </c>
    </row>
    <row r="5066" spans="1:5" x14ac:dyDescent="0.25">
      <c r="A5066">
        <v>5065</v>
      </c>
      <c r="B5066">
        <v>9254461</v>
      </c>
      <c r="C5066" s="1" t="str">
        <f>HYPERLINK("http://stackoverflow.com/users/9254461", "MonsterHunter")</f>
        <v>MonsterHunter</v>
      </c>
      <c r="D5066" t="s">
        <v>131</v>
      </c>
      <c r="E5066">
        <v>23</v>
      </c>
    </row>
    <row r="5067" spans="1:5" x14ac:dyDescent="0.25">
      <c r="A5067">
        <v>5066</v>
      </c>
      <c r="B5067">
        <v>3832179</v>
      </c>
      <c r="C5067" s="1" t="str">
        <f>HYPERLINK("http://stackoverflow.com/users/3832179", "Doray_Hong")</f>
        <v>Doray_Hong</v>
      </c>
      <c r="D5067" t="s">
        <v>21</v>
      </c>
      <c r="E5067">
        <v>23</v>
      </c>
    </row>
    <row r="5068" spans="1:5" x14ac:dyDescent="0.25">
      <c r="A5068">
        <v>5067</v>
      </c>
      <c r="B5068">
        <v>5585230</v>
      </c>
      <c r="C5068" s="1" t="str">
        <f>HYPERLINK("http://stackoverflow.com/users/5585230", "liu")</f>
        <v>liu</v>
      </c>
      <c r="D5068" t="s">
        <v>4</v>
      </c>
      <c r="E5068">
        <v>22</v>
      </c>
    </row>
    <row r="5069" spans="1:5" x14ac:dyDescent="0.25">
      <c r="A5069">
        <v>5068</v>
      </c>
      <c r="B5069">
        <v>4298413</v>
      </c>
      <c r="C5069" s="1" t="str">
        <f>HYPERLINK("http://stackoverflow.com/users/4298413", "Aaron Chu")</f>
        <v>Aaron Chu</v>
      </c>
      <c r="D5069" t="s">
        <v>22</v>
      </c>
      <c r="E5069">
        <v>22</v>
      </c>
    </row>
    <row r="5070" spans="1:5" x14ac:dyDescent="0.25">
      <c r="A5070">
        <v>5069</v>
      </c>
      <c r="B5070">
        <v>3972087</v>
      </c>
      <c r="C5070" s="1" t="str">
        <f>HYPERLINK("http://stackoverflow.com/users/3972087", "Andres Guerra")</f>
        <v>Andres Guerra</v>
      </c>
      <c r="D5070" t="s">
        <v>306</v>
      </c>
      <c r="E5070">
        <v>22</v>
      </c>
    </row>
    <row r="5071" spans="1:5" x14ac:dyDescent="0.25">
      <c r="A5071">
        <v>5070</v>
      </c>
      <c r="B5071">
        <v>2715148</v>
      </c>
      <c r="C5071" s="1" t="str">
        <f>HYPERLINK("http://stackoverflow.com/users/2715148", "Harvey")</f>
        <v>Harvey</v>
      </c>
      <c r="D5071" t="s">
        <v>57</v>
      </c>
      <c r="E5071">
        <v>22</v>
      </c>
    </row>
    <row r="5072" spans="1:5" x14ac:dyDescent="0.25">
      <c r="A5072">
        <v>5071</v>
      </c>
      <c r="B5072">
        <v>1734877</v>
      </c>
      <c r="C5072" s="1" t="str">
        <f>HYPERLINK("http://stackoverflow.com/users/1734877", "mjc")</f>
        <v>mjc</v>
      </c>
      <c r="D5072" t="s">
        <v>296</v>
      </c>
      <c r="E5072">
        <v>22</v>
      </c>
    </row>
    <row r="5073" spans="1:5" x14ac:dyDescent="0.25">
      <c r="A5073">
        <v>5072</v>
      </c>
      <c r="B5073">
        <v>1355932</v>
      </c>
      <c r="C5073" s="1" t="str">
        <f>HYPERLINK("http://stackoverflow.com/users/1355932", "40robber")</f>
        <v>40robber</v>
      </c>
      <c r="D5073" t="s">
        <v>22</v>
      </c>
      <c r="E5073">
        <v>22</v>
      </c>
    </row>
    <row r="5074" spans="1:5" x14ac:dyDescent="0.25">
      <c r="A5074">
        <v>5073</v>
      </c>
      <c r="B5074">
        <v>6043716</v>
      </c>
      <c r="C5074" s="1" t="str">
        <f>HYPERLINK("http://stackoverflow.com/users/6043716", "JesseLin")</f>
        <v>JesseLin</v>
      </c>
      <c r="D5074" t="s">
        <v>5</v>
      </c>
      <c r="E5074">
        <v>22</v>
      </c>
    </row>
    <row r="5075" spans="1:5" x14ac:dyDescent="0.25">
      <c r="A5075">
        <v>5074</v>
      </c>
      <c r="B5075">
        <v>7114933</v>
      </c>
      <c r="C5075" s="1" t="str">
        <f>HYPERLINK("http://stackoverflow.com/users/7114933", "Noor Abdi")</f>
        <v>Noor Abdi</v>
      </c>
      <c r="D5075" t="s">
        <v>55</v>
      </c>
      <c r="E5075">
        <v>22</v>
      </c>
    </row>
    <row r="5076" spans="1:5" x14ac:dyDescent="0.25">
      <c r="A5076">
        <v>5075</v>
      </c>
      <c r="B5076">
        <v>5014313</v>
      </c>
      <c r="C5076" s="1" t="str">
        <f>HYPERLINK("http://stackoverflow.com/users/5014313", "quemilk")</f>
        <v>quemilk</v>
      </c>
      <c r="D5076" t="s">
        <v>24</v>
      </c>
      <c r="E5076">
        <v>22</v>
      </c>
    </row>
    <row r="5077" spans="1:5" x14ac:dyDescent="0.25">
      <c r="A5077">
        <v>5076</v>
      </c>
      <c r="B5077">
        <v>9014725</v>
      </c>
      <c r="C5077" s="1" t="str">
        <f>HYPERLINK("http://stackoverflow.com/users/9014725", "XiaoChun Chen")</f>
        <v>XiaoChun Chen</v>
      </c>
      <c r="D5077" t="s">
        <v>307</v>
      </c>
      <c r="E5077">
        <v>22</v>
      </c>
    </row>
    <row r="5078" spans="1:5" x14ac:dyDescent="0.25">
      <c r="A5078">
        <v>5077</v>
      </c>
      <c r="B5078">
        <v>8830046</v>
      </c>
      <c r="C5078" s="1" t="str">
        <f>HYPERLINK("http://stackoverflow.com/users/8830046", "upuil")</f>
        <v>upuil</v>
      </c>
      <c r="D5078" t="s">
        <v>55</v>
      </c>
      <c r="E5078">
        <v>22</v>
      </c>
    </row>
    <row r="5079" spans="1:5" x14ac:dyDescent="0.25">
      <c r="A5079">
        <v>5078</v>
      </c>
      <c r="B5079">
        <v>7881851</v>
      </c>
      <c r="C5079" s="1" t="str">
        <f>HYPERLINK("http://stackoverflow.com/users/7881851", "fusu")</f>
        <v>fusu</v>
      </c>
      <c r="D5079" t="s">
        <v>4</v>
      </c>
      <c r="E5079">
        <v>22</v>
      </c>
    </row>
    <row r="5080" spans="1:5" x14ac:dyDescent="0.25">
      <c r="A5080">
        <v>5079</v>
      </c>
      <c r="B5080">
        <v>2507809</v>
      </c>
      <c r="C5080" s="1" t="str">
        <f>HYPERLINK("http://stackoverflow.com/users/2507809", "user2507809")</f>
        <v>user2507809</v>
      </c>
      <c r="D5080" t="s">
        <v>4</v>
      </c>
      <c r="E5080">
        <v>22</v>
      </c>
    </row>
    <row r="5081" spans="1:5" x14ac:dyDescent="0.25">
      <c r="A5081">
        <v>5080</v>
      </c>
      <c r="B5081">
        <v>8318869</v>
      </c>
      <c r="C5081" s="1" t="str">
        <f>HYPERLINK("http://stackoverflow.com/users/8318869", "coulsonwang")</f>
        <v>coulsonwang</v>
      </c>
      <c r="D5081" t="s">
        <v>58</v>
      </c>
      <c r="E5081">
        <v>22</v>
      </c>
    </row>
    <row r="5082" spans="1:5" x14ac:dyDescent="0.25">
      <c r="A5082">
        <v>5081</v>
      </c>
      <c r="B5082">
        <v>5180263</v>
      </c>
      <c r="C5082" s="1" t="str">
        <f>HYPERLINK("http://stackoverflow.com/users/5180263", "Qiu Chaofan")</f>
        <v>Qiu Chaofan</v>
      </c>
      <c r="D5082" t="s">
        <v>4</v>
      </c>
      <c r="E5082">
        <v>22</v>
      </c>
    </row>
    <row r="5083" spans="1:5" x14ac:dyDescent="0.25">
      <c r="A5083">
        <v>5082</v>
      </c>
      <c r="B5083">
        <v>3538321</v>
      </c>
      <c r="C5083" s="1" t="str">
        <f>HYPERLINK("http://stackoverflow.com/users/3538321", "Cr02y")</f>
        <v>Cr02y</v>
      </c>
      <c r="D5083" t="s">
        <v>4</v>
      </c>
      <c r="E5083">
        <v>22</v>
      </c>
    </row>
    <row r="5084" spans="1:5" x14ac:dyDescent="0.25">
      <c r="A5084">
        <v>5083</v>
      </c>
      <c r="B5084">
        <v>3977590</v>
      </c>
      <c r="C5084" s="1" t="str">
        <f>HYPERLINK("http://stackoverflow.com/users/3977590", "yqfang")</f>
        <v>yqfang</v>
      </c>
      <c r="D5084" t="s">
        <v>4</v>
      </c>
      <c r="E5084">
        <v>22</v>
      </c>
    </row>
    <row r="5085" spans="1:5" x14ac:dyDescent="0.25">
      <c r="A5085">
        <v>5084</v>
      </c>
      <c r="B5085">
        <v>5467707</v>
      </c>
      <c r="C5085" s="1" t="str">
        <f>HYPERLINK("http://stackoverflow.com/users/5467707", "Chris")</f>
        <v>Chris</v>
      </c>
      <c r="D5085" t="s">
        <v>22</v>
      </c>
      <c r="E5085">
        <v>22</v>
      </c>
    </row>
    <row r="5086" spans="1:5" x14ac:dyDescent="0.25">
      <c r="A5086">
        <v>5085</v>
      </c>
      <c r="B5086">
        <v>7952155</v>
      </c>
      <c r="C5086" s="1" t="str">
        <f>HYPERLINK("http://stackoverflow.com/users/7952155", "zyx")</f>
        <v>zyx</v>
      </c>
      <c r="D5086" t="s">
        <v>12</v>
      </c>
      <c r="E5086">
        <v>22</v>
      </c>
    </row>
    <row r="5087" spans="1:5" x14ac:dyDescent="0.25">
      <c r="A5087">
        <v>5086</v>
      </c>
      <c r="B5087">
        <v>2513901</v>
      </c>
      <c r="C5087" s="1" t="str">
        <f>HYPERLINK("http://stackoverflow.com/users/2513901", "Xianxu Hou")</f>
        <v>Xianxu Hou</v>
      </c>
      <c r="D5087" t="s">
        <v>5</v>
      </c>
      <c r="E5087">
        <v>22</v>
      </c>
    </row>
    <row r="5088" spans="1:5" x14ac:dyDescent="0.25">
      <c r="A5088">
        <v>5087</v>
      </c>
      <c r="B5088">
        <v>1270528</v>
      </c>
      <c r="C5088" s="1" t="str">
        <f>HYPERLINK("http://stackoverflow.com/users/1270528", "jack")</f>
        <v>jack</v>
      </c>
      <c r="D5088" t="s">
        <v>5</v>
      </c>
      <c r="E5088">
        <v>22</v>
      </c>
    </row>
    <row r="5089" spans="1:5" x14ac:dyDescent="0.25">
      <c r="A5089">
        <v>5088</v>
      </c>
      <c r="B5089">
        <v>1297613</v>
      </c>
      <c r="C5089" s="1" t="str">
        <f>HYPERLINK("http://stackoverflow.com/users/1297613", "Feng Yi")</f>
        <v>Feng Yi</v>
      </c>
      <c r="D5089" t="s">
        <v>5</v>
      </c>
      <c r="E5089">
        <v>21</v>
      </c>
    </row>
    <row r="5090" spans="1:5" x14ac:dyDescent="0.25">
      <c r="A5090">
        <v>5089</v>
      </c>
      <c r="B5090">
        <v>1014082</v>
      </c>
      <c r="C5090" s="1" t="str">
        <f>HYPERLINK("http://stackoverflow.com/users/1014082", "Jimmy Zhang")</f>
        <v>Jimmy Zhang</v>
      </c>
      <c r="D5090" t="s">
        <v>4</v>
      </c>
      <c r="E5090">
        <v>21</v>
      </c>
    </row>
    <row r="5091" spans="1:5" x14ac:dyDescent="0.25">
      <c r="A5091">
        <v>5090</v>
      </c>
      <c r="B5091">
        <v>1054182</v>
      </c>
      <c r="C5091" s="1" t="str">
        <f>HYPERLINK("http://stackoverflow.com/users/1054182", "Ray")</f>
        <v>Ray</v>
      </c>
      <c r="D5091" t="s">
        <v>5</v>
      </c>
      <c r="E5091">
        <v>21</v>
      </c>
    </row>
    <row r="5092" spans="1:5" x14ac:dyDescent="0.25">
      <c r="A5092">
        <v>5091</v>
      </c>
      <c r="B5092">
        <v>1102606</v>
      </c>
      <c r="C5092" s="1" t="str">
        <f>HYPERLINK("http://stackoverflow.com/users/1102606", "Kenrick")</f>
        <v>Kenrick</v>
      </c>
      <c r="D5092" t="s">
        <v>5</v>
      </c>
      <c r="E5092">
        <v>21</v>
      </c>
    </row>
    <row r="5093" spans="1:5" x14ac:dyDescent="0.25">
      <c r="A5093">
        <v>5092</v>
      </c>
      <c r="B5093">
        <v>4898262</v>
      </c>
      <c r="C5093" s="1" t="str">
        <f>HYPERLINK("http://stackoverflow.com/users/4898262", "humphry")</f>
        <v>humphry</v>
      </c>
      <c r="D5093" t="s">
        <v>4</v>
      </c>
      <c r="E5093">
        <v>21</v>
      </c>
    </row>
    <row r="5094" spans="1:5" x14ac:dyDescent="0.25">
      <c r="A5094">
        <v>5093</v>
      </c>
      <c r="B5094">
        <v>1473768</v>
      </c>
      <c r="C5094" s="1" t="str">
        <f>HYPERLINK("http://stackoverflow.com/users/1473768", "xrksudy")</f>
        <v>xrksudy</v>
      </c>
      <c r="D5094" t="s">
        <v>4</v>
      </c>
      <c r="E5094">
        <v>21</v>
      </c>
    </row>
    <row r="5095" spans="1:5" x14ac:dyDescent="0.25">
      <c r="A5095">
        <v>5094</v>
      </c>
      <c r="B5095">
        <v>1468291</v>
      </c>
      <c r="C5095" s="1" t="str">
        <f>HYPERLINK("http://stackoverflow.com/users/1468291", "easonyq")</f>
        <v>easonyq</v>
      </c>
      <c r="D5095" t="s">
        <v>4</v>
      </c>
      <c r="E5095">
        <v>21</v>
      </c>
    </row>
    <row r="5096" spans="1:5" x14ac:dyDescent="0.25">
      <c r="A5096">
        <v>5095</v>
      </c>
      <c r="B5096">
        <v>2530926</v>
      </c>
      <c r="C5096" s="1" t="str">
        <f>HYPERLINK("http://stackoverflow.com/users/2530926", "vector_L")</f>
        <v>vector_L</v>
      </c>
      <c r="D5096" t="s">
        <v>5</v>
      </c>
      <c r="E5096">
        <v>21</v>
      </c>
    </row>
    <row r="5097" spans="1:5" x14ac:dyDescent="0.25">
      <c r="A5097">
        <v>5096</v>
      </c>
      <c r="B5097">
        <v>4399424</v>
      </c>
      <c r="C5097" s="1" t="str">
        <f>HYPERLINK("http://stackoverflow.com/users/4399424", "Dongdong Kong")</f>
        <v>Dongdong Kong</v>
      </c>
      <c r="D5097" t="s">
        <v>21</v>
      </c>
      <c r="E5097">
        <v>21</v>
      </c>
    </row>
    <row r="5098" spans="1:5" x14ac:dyDescent="0.25">
      <c r="A5098">
        <v>5097</v>
      </c>
      <c r="B5098">
        <v>2541271</v>
      </c>
      <c r="C5098" s="1" t="str">
        <f>HYPERLINK("http://stackoverflow.com/users/2541271", "XiaoF")</f>
        <v>XiaoF</v>
      </c>
      <c r="D5098" t="s">
        <v>5</v>
      </c>
      <c r="E5098">
        <v>21</v>
      </c>
    </row>
    <row r="5099" spans="1:5" x14ac:dyDescent="0.25">
      <c r="A5099">
        <v>5098</v>
      </c>
      <c r="B5099">
        <v>6096533</v>
      </c>
      <c r="C5099" s="1" t="str">
        <f>HYPERLINK("http://stackoverflow.com/users/6096533", "zhaoyuan")</f>
        <v>zhaoyuan</v>
      </c>
      <c r="D5099" t="s">
        <v>175</v>
      </c>
      <c r="E5099">
        <v>21</v>
      </c>
    </row>
    <row r="5100" spans="1:5" x14ac:dyDescent="0.25">
      <c r="A5100">
        <v>5099</v>
      </c>
      <c r="B5100">
        <v>4313847</v>
      </c>
      <c r="C5100" s="1" t="str">
        <f>HYPERLINK("http://stackoverflow.com/users/4313847", "BlessNeo")</f>
        <v>BlessNeo</v>
      </c>
      <c r="D5100" t="s">
        <v>4</v>
      </c>
      <c r="E5100">
        <v>21</v>
      </c>
    </row>
    <row r="5101" spans="1:5" x14ac:dyDescent="0.25">
      <c r="A5101">
        <v>5100</v>
      </c>
      <c r="B5101">
        <v>6038218</v>
      </c>
      <c r="C5101" s="1" t="str">
        <f>HYPERLINK("http://stackoverflow.com/users/6038218", "JaneSnail")</f>
        <v>JaneSnail</v>
      </c>
      <c r="D5101" t="s">
        <v>4</v>
      </c>
      <c r="E5101">
        <v>21</v>
      </c>
    </row>
    <row r="5102" spans="1:5" x14ac:dyDescent="0.25">
      <c r="A5102">
        <v>5101</v>
      </c>
      <c r="B5102">
        <v>2458461</v>
      </c>
      <c r="C5102" s="1" t="str">
        <f>HYPERLINK("http://stackoverflow.com/users/2458461", "Seven Yu")</f>
        <v>Seven Yu</v>
      </c>
      <c r="D5102" t="s">
        <v>5</v>
      </c>
      <c r="E5102">
        <v>21</v>
      </c>
    </row>
    <row r="5103" spans="1:5" x14ac:dyDescent="0.25">
      <c r="A5103">
        <v>5102</v>
      </c>
      <c r="B5103">
        <v>2459281</v>
      </c>
      <c r="C5103" s="1" t="str">
        <f>HYPERLINK("http://stackoverflow.com/users/2459281", "fr0stw01f")</f>
        <v>fr0stw01f</v>
      </c>
      <c r="D5103" t="s">
        <v>37</v>
      </c>
      <c r="E5103">
        <v>21</v>
      </c>
    </row>
    <row r="5104" spans="1:5" x14ac:dyDescent="0.25">
      <c r="A5104">
        <v>5103</v>
      </c>
      <c r="B5104">
        <v>6196398</v>
      </c>
      <c r="C5104" s="1" t="str">
        <f>HYPERLINK("http://stackoverflow.com/users/6196398", "helong")</f>
        <v>helong</v>
      </c>
      <c r="D5104" t="s">
        <v>180</v>
      </c>
      <c r="E5104">
        <v>21</v>
      </c>
    </row>
    <row r="5105" spans="1:5" x14ac:dyDescent="0.25">
      <c r="A5105">
        <v>5104</v>
      </c>
      <c r="B5105">
        <v>6166420</v>
      </c>
      <c r="C5105" s="1" t="str">
        <f>HYPERLINK("http://stackoverflow.com/users/6166420", "Charles")</f>
        <v>Charles</v>
      </c>
      <c r="D5105" t="s">
        <v>5</v>
      </c>
      <c r="E5105">
        <v>21</v>
      </c>
    </row>
    <row r="5106" spans="1:5" x14ac:dyDescent="0.25">
      <c r="A5106">
        <v>5105</v>
      </c>
      <c r="B5106">
        <v>2672368</v>
      </c>
      <c r="C5106" s="1" t="str">
        <f>HYPERLINK("http://stackoverflow.com/users/2672368", "Richard")</f>
        <v>Richard</v>
      </c>
      <c r="D5106" t="s">
        <v>21</v>
      </c>
      <c r="E5106">
        <v>21</v>
      </c>
    </row>
    <row r="5107" spans="1:5" x14ac:dyDescent="0.25">
      <c r="A5107">
        <v>5106</v>
      </c>
      <c r="B5107">
        <v>4778870</v>
      </c>
      <c r="C5107" s="1" t="str">
        <f>HYPERLINK("http://stackoverflow.com/users/4778870", "Jackliu91")</f>
        <v>Jackliu91</v>
      </c>
      <c r="D5107" t="s">
        <v>5</v>
      </c>
      <c r="E5107">
        <v>21</v>
      </c>
    </row>
    <row r="5108" spans="1:5" x14ac:dyDescent="0.25">
      <c r="A5108">
        <v>5107</v>
      </c>
      <c r="B5108">
        <v>10003092</v>
      </c>
      <c r="C5108" s="1" t="str">
        <f>HYPERLINK("http://stackoverflow.com/users/10003092", "Z. Mei")</f>
        <v>Z. Mei</v>
      </c>
      <c r="D5108" t="s">
        <v>52</v>
      </c>
      <c r="E5108">
        <v>21</v>
      </c>
    </row>
    <row r="5109" spans="1:5" x14ac:dyDescent="0.25">
      <c r="A5109">
        <v>5108</v>
      </c>
      <c r="B5109">
        <v>830744</v>
      </c>
      <c r="C5109" s="1" t="str">
        <f>HYPERLINK("http://stackoverflow.com/users/830744", "Feng Qin")</f>
        <v>Feng Qin</v>
      </c>
      <c r="D5109" t="s">
        <v>5</v>
      </c>
      <c r="E5109">
        <v>21</v>
      </c>
    </row>
    <row r="5110" spans="1:5" x14ac:dyDescent="0.25">
      <c r="A5110">
        <v>5109</v>
      </c>
      <c r="B5110">
        <v>8257303</v>
      </c>
      <c r="C5110" s="1" t="str">
        <f>HYPERLINK("http://stackoverflow.com/users/8257303", "serena feng")</f>
        <v>serena feng</v>
      </c>
      <c r="D5110" t="s">
        <v>4</v>
      </c>
      <c r="E5110">
        <v>21</v>
      </c>
    </row>
    <row r="5111" spans="1:5" x14ac:dyDescent="0.25">
      <c r="A5111">
        <v>5110</v>
      </c>
      <c r="B5111">
        <v>811467</v>
      </c>
      <c r="C5111" s="1" t="str">
        <f>HYPERLINK("http://stackoverflow.com/users/811467", "Weifocus")</f>
        <v>Weifocus</v>
      </c>
      <c r="D5111" t="s">
        <v>28</v>
      </c>
      <c r="E5111">
        <v>21</v>
      </c>
    </row>
    <row r="5112" spans="1:5" x14ac:dyDescent="0.25">
      <c r="A5112">
        <v>5111</v>
      </c>
      <c r="B5112">
        <v>2685338</v>
      </c>
      <c r="C5112" s="1" t="str">
        <f>HYPERLINK("http://stackoverflow.com/users/2685338", "Bugs")</f>
        <v>Bugs</v>
      </c>
      <c r="D5112" t="s">
        <v>3</v>
      </c>
      <c r="E5112">
        <v>21</v>
      </c>
    </row>
    <row r="5113" spans="1:5" x14ac:dyDescent="0.25">
      <c r="A5113">
        <v>5112</v>
      </c>
      <c r="B5113">
        <v>8069158</v>
      </c>
      <c r="C5113" s="1" t="str">
        <f>HYPERLINK("http://stackoverflow.com/users/8069158", "limtete")</f>
        <v>limtete</v>
      </c>
      <c r="D5113" t="s">
        <v>5</v>
      </c>
      <c r="E5113">
        <v>21</v>
      </c>
    </row>
    <row r="5114" spans="1:5" x14ac:dyDescent="0.25">
      <c r="A5114">
        <v>5113</v>
      </c>
      <c r="B5114">
        <v>621784</v>
      </c>
      <c r="C5114" s="1" t="str">
        <f>HYPERLINK("http://stackoverflow.com/users/621784", "Ethan")</f>
        <v>Ethan</v>
      </c>
      <c r="D5114" t="s">
        <v>5</v>
      </c>
      <c r="E5114">
        <v>21</v>
      </c>
    </row>
    <row r="5115" spans="1:5" x14ac:dyDescent="0.25">
      <c r="A5115">
        <v>5114</v>
      </c>
      <c r="B5115">
        <v>2767499</v>
      </c>
      <c r="C5115" s="1" t="str">
        <f>HYPERLINK("http://stackoverflow.com/users/2767499", "MikeNewX")</f>
        <v>MikeNewX</v>
      </c>
      <c r="D5115" t="s">
        <v>4</v>
      </c>
      <c r="E5115">
        <v>21</v>
      </c>
    </row>
    <row r="5116" spans="1:5" x14ac:dyDescent="0.25">
      <c r="A5116">
        <v>5115</v>
      </c>
      <c r="B5116">
        <v>2322197</v>
      </c>
      <c r="C5116" s="1" t="str">
        <f>HYPERLINK("http://stackoverflow.com/users/2322197", "Newhill")</f>
        <v>Newhill</v>
      </c>
      <c r="D5116" t="s">
        <v>5</v>
      </c>
      <c r="E5116">
        <v>21</v>
      </c>
    </row>
    <row r="5117" spans="1:5" x14ac:dyDescent="0.25">
      <c r="A5117">
        <v>5116</v>
      </c>
      <c r="B5117">
        <v>9479211</v>
      </c>
      <c r="C5117" s="1" t="str">
        <f>HYPERLINK("http://stackoverflow.com/users/9479211", "TwiddleDumb")</f>
        <v>TwiddleDumb</v>
      </c>
      <c r="D5117" t="s">
        <v>5</v>
      </c>
      <c r="E5117">
        <v>21</v>
      </c>
    </row>
    <row r="5118" spans="1:5" x14ac:dyDescent="0.25">
      <c r="A5118">
        <v>5117</v>
      </c>
      <c r="B5118">
        <v>7533766</v>
      </c>
      <c r="C5118" s="1" t="str">
        <f>HYPERLINK("http://stackoverflow.com/users/7533766", "liukuan73")</f>
        <v>liukuan73</v>
      </c>
      <c r="D5118" t="s">
        <v>25</v>
      </c>
      <c r="E5118">
        <v>21</v>
      </c>
    </row>
    <row r="5119" spans="1:5" x14ac:dyDescent="0.25">
      <c r="A5119">
        <v>5118</v>
      </c>
      <c r="B5119">
        <v>2138640</v>
      </c>
      <c r="C5119" s="1" t="str">
        <f>HYPERLINK("http://stackoverflow.com/users/2138640", "lhking")</f>
        <v>lhking</v>
      </c>
      <c r="D5119" t="s">
        <v>38</v>
      </c>
      <c r="E5119">
        <v>21</v>
      </c>
    </row>
    <row r="5120" spans="1:5" x14ac:dyDescent="0.25">
      <c r="A5120">
        <v>5119</v>
      </c>
      <c r="B5120">
        <v>3931649</v>
      </c>
      <c r="C5120" s="1" t="str">
        <f>HYPERLINK("http://stackoverflow.com/users/3931649", "user3931649")</f>
        <v>user3931649</v>
      </c>
      <c r="D5120" t="s">
        <v>4</v>
      </c>
      <c r="E5120">
        <v>21</v>
      </c>
    </row>
    <row r="5121" spans="1:5" x14ac:dyDescent="0.25">
      <c r="A5121">
        <v>5120</v>
      </c>
      <c r="B5121">
        <v>2181520</v>
      </c>
      <c r="C5121" s="1" t="str">
        <f>HYPERLINK("http://stackoverflow.com/users/2181520", "mushui")</f>
        <v>mushui</v>
      </c>
      <c r="D5121" t="s">
        <v>5</v>
      </c>
      <c r="E5121">
        <v>21</v>
      </c>
    </row>
    <row r="5122" spans="1:5" x14ac:dyDescent="0.25">
      <c r="A5122">
        <v>5121</v>
      </c>
      <c r="B5122">
        <v>3625045</v>
      </c>
      <c r="C5122" s="1" t="str">
        <f>HYPERLINK("http://stackoverflow.com/users/3625045", "Nick Cheng")</f>
        <v>Nick Cheng</v>
      </c>
      <c r="D5122" t="s">
        <v>22</v>
      </c>
      <c r="E5122">
        <v>21</v>
      </c>
    </row>
    <row r="5123" spans="1:5" x14ac:dyDescent="0.25">
      <c r="A5123">
        <v>5122</v>
      </c>
      <c r="B5123">
        <v>3625836</v>
      </c>
      <c r="C5123" s="1" t="str">
        <f>HYPERLINK("http://stackoverflow.com/users/3625836", "abliukrny")</f>
        <v>abliukrny</v>
      </c>
      <c r="D5123" t="s">
        <v>22</v>
      </c>
      <c r="E5123">
        <v>21</v>
      </c>
    </row>
    <row r="5124" spans="1:5" x14ac:dyDescent="0.25">
      <c r="A5124">
        <v>5123</v>
      </c>
      <c r="B5124">
        <v>1884427</v>
      </c>
      <c r="C5124" s="1" t="str">
        <f>HYPERLINK("http://stackoverflow.com/users/1884427", "Volker Schmidt")</f>
        <v>Volker Schmidt</v>
      </c>
      <c r="D5124" t="s">
        <v>5</v>
      </c>
      <c r="E5124">
        <v>21</v>
      </c>
    </row>
    <row r="5125" spans="1:5" x14ac:dyDescent="0.25">
      <c r="A5125">
        <v>5124</v>
      </c>
      <c r="B5125">
        <v>5642390</v>
      </c>
      <c r="C5125" s="1" t="str">
        <f>HYPERLINK("http://stackoverflow.com/users/5642390", "stone")</f>
        <v>stone</v>
      </c>
      <c r="D5125" t="s">
        <v>5</v>
      </c>
      <c r="E5125">
        <v>21</v>
      </c>
    </row>
    <row r="5126" spans="1:5" x14ac:dyDescent="0.25">
      <c r="A5126">
        <v>5125</v>
      </c>
      <c r="B5126">
        <v>7407802</v>
      </c>
      <c r="C5126" s="1" t="str">
        <f>HYPERLINK("http://stackoverflow.com/users/7407802", "MUHAMMAD")</f>
        <v>MUHAMMAD</v>
      </c>
      <c r="D5126" t="s">
        <v>5</v>
      </c>
      <c r="E5126">
        <v>21</v>
      </c>
    </row>
    <row r="5127" spans="1:5" x14ac:dyDescent="0.25">
      <c r="A5127">
        <v>5126</v>
      </c>
      <c r="B5127">
        <v>7407872</v>
      </c>
      <c r="C5127" s="1" t="str">
        <f>HYPERLINK("http://stackoverflow.com/users/7407872", "Y Rock")</f>
        <v>Y Rock</v>
      </c>
      <c r="D5127" t="s">
        <v>25</v>
      </c>
      <c r="E5127">
        <v>21</v>
      </c>
    </row>
    <row r="5128" spans="1:5" x14ac:dyDescent="0.25">
      <c r="A5128">
        <v>5127</v>
      </c>
      <c r="B5128">
        <v>5595321</v>
      </c>
      <c r="C5128" s="1" t="str">
        <f>HYPERLINK("http://stackoverflow.com/users/5595321", "HaKu")</f>
        <v>HaKu</v>
      </c>
      <c r="D5128" t="s">
        <v>4</v>
      </c>
      <c r="E5128">
        <v>21</v>
      </c>
    </row>
    <row r="5129" spans="1:5" x14ac:dyDescent="0.25">
      <c r="A5129">
        <v>5128</v>
      </c>
      <c r="B5129">
        <v>3769816</v>
      </c>
      <c r="C5129" s="1" t="str">
        <f>HYPERLINK("http://stackoverflow.com/users/3769816", "Dean Yu")</f>
        <v>Dean Yu</v>
      </c>
      <c r="D5129" t="s">
        <v>4</v>
      </c>
      <c r="E5129">
        <v>21</v>
      </c>
    </row>
    <row r="5130" spans="1:5" x14ac:dyDescent="0.25">
      <c r="A5130">
        <v>5129</v>
      </c>
      <c r="B5130">
        <v>7251221</v>
      </c>
      <c r="C5130" s="1" t="str">
        <f>HYPERLINK("http://stackoverflow.com/users/7251221", "W F")</f>
        <v>W F</v>
      </c>
      <c r="D5130" t="s">
        <v>308</v>
      </c>
      <c r="E5130">
        <v>21</v>
      </c>
    </row>
    <row r="5131" spans="1:5" x14ac:dyDescent="0.25">
      <c r="A5131">
        <v>5130</v>
      </c>
      <c r="B5131">
        <v>5509193</v>
      </c>
      <c r="C5131" s="1" t="str">
        <f>HYPERLINK("http://stackoverflow.com/users/5509193", "Q.Zidane")</f>
        <v>Q.Zidane</v>
      </c>
      <c r="D5131" t="s">
        <v>21</v>
      </c>
      <c r="E5131">
        <v>21</v>
      </c>
    </row>
    <row r="5132" spans="1:5" x14ac:dyDescent="0.25">
      <c r="A5132">
        <v>5131</v>
      </c>
      <c r="B5132">
        <v>1931088</v>
      </c>
      <c r="C5132" s="1" t="str">
        <f>HYPERLINK("http://stackoverflow.com/users/1931088", "JeansHuang")</f>
        <v>JeansHuang</v>
      </c>
      <c r="D5132" t="s">
        <v>17</v>
      </c>
      <c r="E5132">
        <v>21</v>
      </c>
    </row>
    <row r="5133" spans="1:5" x14ac:dyDescent="0.25">
      <c r="A5133">
        <v>5132</v>
      </c>
      <c r="B5133">
        <v>1740423</v>
      </c>
      <c r="C5133" s="1" t="str">
        <f>HYPERLINK("http://stackoverflow.com/users/1740423", "Leo")</f>
        <v>Leo</v>
      </c>
      <c r="D5133" t="s">
        <v>4</v>
      </c>
      <c r="E5133">
        <v>21</v>
      </c>
    </row>
    <row r="5134" spans="1:5" x14ac:dyDescent="0.25">
      <c r="A5134">
        <v>5133</v>
      </c>
      <c r="B5134">
        <v>3607164</v>
      </c>
      <c r="C5134" s="1" t="str">
        <f>HYPERLINK("http://stackoverflow.com/users/3607164", "N.J.Chen")</f>
        <v>N.J.Chen</v>
      </c>
      <c r="D5134" t="s">
        <v>4</v>
      </c>
      <c r="E5134">
        <v>21</v>
      </c>
    </row>
    <row r="5135" spans="1:5" x14ac:dyDescent="0.25">
      <c r="A5135">
        <v>5134</v>
      </c>
      <c r="B5135">
        <v>3751846</v>
      </c>
      <c r="C5135" s="1" t="str">
        <f>HYPERLINK("http://stackoverflow.com/users/3751846", "Mister.Z")</f>
        <v>Mister.Z</v>
      </c>
      <c r="D5135" t="s">
        <v>5</v>
      </c>
      <c r="E5135">
        <v>21</v>
      </c>
    </row>
    <row r="5136" spans="1:5" x14ac:dyDescent="0.25">
      <c r="A5136">
        <v>5135</v>
      </c>
      <c r="B5136">
        <v>9304382</v>
      </c>
      <c r="C5136" s="1" t="str">
        <f>HYPERLINK("http://stackoverflow.com/users/9304382", "JY.Yang")</f>
        <v>JY.Yang</v>
      </c>
      <c r="D5136" t="s">
        <v>25</v>
      </c>
      <c r="E5136">
        <v>21</v>
      </c>
    </row>
    <row r="5137" spans="1:5" x14ac:dyDescent="0.25">
      <c r="A5137">
        <v>5136</v>
      </c>
      <c r="B5137">
        <v>5634227</v>
      </c>
      <c r="C5137" s="1" t="str">
        <f>HYPERLINK("http://stackoverflow.com/users/5634227", "Corrado Striuli")</f>
        <v>Corrado Striuli</v>
      </c>
      <c r="D5137" t="s">
        <v>4</v>
      </c>
      <c r="E5137">
        <v>21</v>
      </c>
    </row>
    <row r="5138" spans="1:5" x14ac:dyDescent="0.25">
      <c r="A5138">
        <v>5137</v>
      </c>
      <c r="B5138">
        <v>5619543</v>
      </c>
      <c r="C5138" s="1" t="str">
        <f>HYPERLINK("http://stackoverflow.com/users/5619543", "brownfeng")</f>
        <v>brownfeng</v>
      </c>
      <c r="D5138" t="s">
        <v>7</v>
      </c>
      <c r="E5138">
        <v>21</v>
      </c>
    </row>
    <row r="5139" spans="1:5" x14ac:dyDescent="0.25">
      <c r="A5139">
        <v>5138</v>
      </c>
      <c r="B5139">
        <v>2273054</v>
      </c>
      <c r="C5139" s="1" t="str">
        <f>HYPERLINK("http://stackoverflow.com/users/2273054", "FranklinYang")</f>
        <v>FranklinYang</v>
      </c>
      <c r="D5139" t="s">
        <v>4</v>
      </c>
      <c r="E5139">
        <v>21</v>
      </c>
    </row>
    <row r="5140" spans="1:5" x14ac:dyDescent="0.25">
      <c r="A5140">
        <v>5139</v>
      </c>
      <c r="B5140">
        <v>7726045</v>
      </c>
      <c r="C5140" s="1" t="str">
        <f>HYPERLINK("http://stackoverflow.com/users/7726045", "Ning")</f>
        <v>Ning</v>
      </c>
      <c r="D5140" t="s">
        <v>4</v>
      </c>
      <c r="E5140">
        <v>21</v>
      </c>
    </row>
    <row r="5141" spans="1:5" x14ac:dyDescent="0.25">
      <c r="A5141">
        <v>5140</v>
      </c>
      <c r="B5141">
        <v>4255140</v>
      </c>
      <c r="C5141" s="1" t="str">
        <f>HYPERLINK("http://stackoverflow.com/users/4255140", "huoshan12345")</f>
        <v>huoshan12345</v>
      </c>
      <c r="D5141" t="s">
        <v>5</v>
      </c>
      <c r="E5141">
        <v>21</v>
      </c>
    </row>
    <row r="5142" spans="1:5" x14ac:dyDescent="0.25">
      <c r="A5142">
        <v>5141</v>
      </c>
      <c r="B5142">
        <v>5932976</v>
      </c>
      <c r="C5142" s="1" t="str">
        <f>HYPERLINK("http://stackoverflow.com/users/5932976", "sulin")</f>
        <v>sulin</v>
      </c>
      <c r="D5142" t="s">
        <v>5</v>
      </c>
      <c r="E5142">
        <v>21</v>
      </c>
    </row>
    <row r="5143" spans="1:5" x14ac:dyDescent="0.25">
      <c r="A5143">
        <v>5142</v>
      </c>
      <c r="B5143">
        <v>10763399</v>
      </c>
      <c r="C5143" s="1" t="str">
        <f>HYPERLINK("http://stackoverflow.com/users/10763399", "Ze Chen")</f>
        <v>Ze Chen</v>
      </c>
      <c r="D5143" t="s">
        <v>309</v>
      </c>
      <c r="E5143">
        <v>21</v>
      </c>
    </row>
    <row r="5144" spans="1:5" x14ac:dyDescent="0.25">
      <c r="A5144">
        <v>5143</v>
      </c>
      <c r="B5144">
        <v>5295173</v>
      </c>
      <c r="C5144" s="1" t="str">
        <f>HYPERLINK("http://stackoverflow.com/users/5295173", "SamXiao")</f>
        <v>SamXiao</v>
      </c>
      <c r="D5144" t="s">
        <v>4</v>
      </c>
      <c r="E5144">
        <v>21</v>
      </c>
    </row>
    <row r="5145" spans="1:5" x14ac:dyDescent="0.25">
      <c r="A5145">
        <v>5144</v>
      </c>
      <c r="B5145">
        <v>3445807</v>
      </c>
      <c r="C5145" s="1" t="str">
        <f>HYPERLINK("http://stackoverflow.com/users/3445807", "zhangyp007")</f>
        <v>zhangyp007</v>
      </c>
      <c r="D5145" t="s">
        <v>5</v>
      </c>
      <c r="E5145">
        <v>21</v>
      </c>
    </row>
    <row r="5146" spans="1:5" x14ac:dyDescent="0.25">
      <c r="A5146">
        <v>5145</v>
      </c>
      <c r="B5146">
        <v>5180220</v>
      </c>
      <c r="C5146" s="1" t="str">
        <f>HYPERLINK("http://stackoverflow.com/users/5180220", "hvchys")</f>
        <v>hvchys</v>
      </c>
      <c r="D5146" t="s">
        <v>5</v>
      </c>
      <c r="E5146">
        <v>21</v>
      </c>
    </row>
    <row r="5147" spans="1:5" x14ac:dyDescent="0.25">
      <c r="A5147">
        <v>5146</v>
      </c>
      <c r="B5147">
        <v>8764940</v>
      </c>
      <c r="C5147" s="1" t="str">
        <f>HYPERLINK("http://stackoverflow.com/users/8764940", "chengjun zhang")</f>
        <v>chengjun zhang</v>
      </c>
      <c r="D5147" t="s">
        <v>4</v>
      </c>
      <c r="E5147">
        <v>21</v>
      </c>
    </row>
    <row r="5148" spans="1:5" x14ac:dyDescent="0.25">
      <c r="A5148">
        <v>5147</v>
      </c>
      <c r="B5148">
        <v>3360133</v>
      </c>
      <c r="C5148" s="1" t="str">
        <f>HYPERLINK("http://stackoverflow.com/users/3360133", "momo9")</f>
        <v>momo9</v>
      </c>
      <c r="D5148" t="s">
        <v>57</v>
      </c>
      <c r="E5148">
        <v>21</v>
      </c>
    </row>
    <row r="5149" spans="1:5" x14ac:dyDescent="0.25">
      <c r="A5149">
        <v>5148</v>
      </c>
      <c r="B5149">
        <v>8737098</v>
      </c>
      <c r="C5149" s="1" t="str">
        <f>HYPERLINK("http://stackoverflow.com/users/8737098", "NilBuChiKeChi")</f>
        <v>NilBuChiKeChi</v>
      </c>
      <c r="D5149" t="s">
        <v>7</v>
      </c>
      <c r="E5149">
        <v>21</v>
      </c>
    </row>
    <row r="5150" spans="1:5" x14ac:dyDescent="0.25">
      <c r="A5150">
        <v>5149</v>
      </c>
      <c r="B5150">
        <v>8540910</v>
      </c>
      <c r="C5150" s="1" t="str">
        <f>HYPERLINK("http://stackoverflow.com/users/8540910", "sczhengyabin")</f>
        <v>sczhengyabin</v>
      </c>
      <c r="D5150" t="s">
        <v>28</v>
      </c>
      <c r="E5150">
        <v>21</v>
      </c>
    </row>
    <row r="5151" spans="1:5" x14ac:dyDescent="0.25">
      <c r="A5151">
        <v>5150</v>
      </c>
      <c r="B5151">
        <v>4947560</v>
      </c>
      <c r="C5151" s="1" t="str">
        <f>HYPERLINK("http://stackoverflow.com/users/4947560", "Hanwei Tang")</f>
        <v>Hanwei Tang</v>
      </c>
      <c r="D5151" t="s">
        <v>4</v>
      </c>
      <c r="E5151">
        <v>21</v>
      </c>
    </row>
    <row r="5152" spans="1:5" x14ac:dyDescent="0.25">
      <c r="A5152">
        <v>5151</v>
      </c>
      <c r="B5152">
        <v>1064828</v>
      </c>
      <c r="C5152" s="1" t="str">
        <f>HYPERLINK("http://stackoverflow.com/users/1064828", "alex")</f>
        <v>alex</v>
      </c>
      <c r="D5152" t="s">
        <v>22</v>
      </c>
      <c r="E5152">
        <v>21</v>
      </c>
    </row>
    <row r="5153" spans="1:5" x14ac:dyDescent="0.25">
      <c r="A5153">
        <v>5152</v>
      </c>
      <c r="B5153">
        <v>4873170</v>
      </c>
      <c r="C5153" s="1" t="str">
        <f>HYPERLINK("http://stackoverflow.com/users/4873170", "Jean.lai")</f>
        <v>Jean.lai</v>
      </c>
      <c r="D5153" t="s">
        <v>4</v>
      </c>
      <c r="E5153">
        <v>21</v>
      </c>
    </row>
    <row r="5154" spans="1:5" x14ac:dyDescent="0.25">
      <c r="A5154">
        <v>5153</v>
      </c>
      <c r="B5154">
        <v>1051113</v>
      </c>
      <c r="C5154" s="1" t="str">
        <f>HYPERLINK("http://stackoverflow.com/users/1051113", "wtracyliu")</f>
        <v>wtracyliu</v>
      </c>
      <c r="D5154" t="s">
        <v>5</v>
      </c>
      <c r="E5154">
        <v>21</v>
      </c>
    </row>
    <row r="5155" spans="1:5" x14ac:dyDescent="0.25">
      <c r="A5155">
        <v>5154</v>
      </c>
      <c r="B5155">
        <v>1016429</v>
      </c>
      <c r="C5155" s="1" t="str">
        <f>HYPERLINK("http://stackoverflow.com/users/1016429", "waTer")</f>
        <v>waTer</v>
      </c>
      <c r="D5155" t="s">
        <v>6</v>
      </c>
      <c r="E5155">
        <v>21</v>
      </c>
    </row>
    <row r="5156" spans="1:5" x14ac:dyDescent="0.25">
      <c r="A5156">
        <v>5155</v>
      </c>
      <c r="B5156">
        <v>4839935</v>
      </c>
      <c r="C5156" s="1" t="str">
        <f>HYPERLINK("http://stackoverflow.com/users/4839935", "flyreaver")</f>
        <v>flyreaver</v>
      </c>
      <c r="D5156" t="s">
        <v>17</v>
      </c>
      <c r="E5156">
        <v>21</v>
      </c>
    </row>
    <row r="5157" spans="1:5" x14ac:dyDescent="0.25">
      <c r="A5157">
        <v>5156</v>
      </c>
      <c r="B5157">
        <v>3074866</v>
      </c>
      <c r="C5157" s="1" t="str">
        <f>HYPERLINK("http://stackoverflow.com/users/3074866", "SmilingSun")</f>
        <v>SmilingSun</v>
      </c>
      <c r="D5157" t="s">
        <v>120</v>
      </c>
      <c r="E5157">
        <v>21</v>
      </c>
    </row>
    <row r="5158" spans="1:5" x14ac:dyDescent="0.25">
      <c r="A5158">
        <v>5157</v>
      </c>
      <c r="B5158">
        <v>10300045</v>
      </c>
      <c r="C5158" s="1" t="str">
        <f>HYPERLINK("http://stackoverflow.com/users/10300045", "Q. Fan")</f>
        <v>Q. Fan</v>
      </c>
      <c r="D5158" t="s">
        <v>5</v>
      </c>
      <c r="E5158">
        <v>21</v>
      </c>
    </row>
    <row r="5159" spans="1:5" x14ac:dyDescent="0.25">
      <c r="A5159">
        <v>5158</v>
      </c>
      <c r="B5159">
        <v>8310838</v>
      </c>
      <c r="C5159" s="1" t="str">
        <f>HYPERLINK("http://stackoverflow.com/users/8310838", "elevenfang")</f>
        <v>elevenfang</v>
      </c>
      <c r="D5159" t="s">
        <v>4</v>
      </c>
      <c r="E5159">
        <v>21</v>
      </c>
    </row>
    <row r="5160" spans="1:5" x14ac:dyDescent="0.25">
      <c r="A5160">
        <v>5159</v>
      </c>
      <c r="B5160">
        <v>2969552</v>
      </c>
      <c r="C5160" s="1" t="str">
        <f>HYPERLINK("http://stackoverflow.com/users/2969552", "zjengjie")</f>
        <v>zjengjie</v>
      </c>
      <c r="D5160" t="s">
        <v>5</v>
      </c>
      <c r="E5160">
        <v>21</v>
      </c>
    </row>
    <row r="5161" spans="1:5" x14ac:dyDescent="0.25">
      <c r="A5161">
        <v>5160</v>
      </c>
      <c r="B5161">
        <v>2899173</v>
      </c>
      <c r="C5161" s="1" t="str">
        <f>HYPERLINK("http://stackoverflow.com/users/2899173", "Tao Xiao")</f>
        <v>Tao Xiao</v>
      </c>
      <c r="D5161" t="s">
        <v>37</v>
      </c>
      <c r="E5161">
        <v>21</v>
      </c>
    </row>
    <row r="5162" spans="1:5" x14ac:dyDescent="0.25">
      <c r="A5162">
        <v>5161</v>
      </c>
      <c r="B5162">
        <v>4736597</v>
      </c>
      <c r="C5162" s="1" t="str">
        <f>HYPERLINK("http://stackoverflow.com/users/4736597", "slfmessi")</f>
        <v>slfmessi</v>
      </c>
      <c r="D5162" t="s">
        <v>37</v>
      </c>
      <c r="E5162">
        <v>21</v>
      </c>
    </row>
    <row r="5163" spans="1:5" x14ac:dyDescent="0.25">
      <c r="A5163">
        <v>5162</v>
      </c>
      <c r="B5163">
        <v>6417311</v>
      </c>
      <c r="C5163" s="1" t="str">
        <f>HYPERLINK("http://stackoverflow.com/users/6417311", "Quinn")</f>
        <v>Quinn</v>
      </c>
      <c r="D5163" t="s">
        <v>5</v>
      </c>
      <c r="E5163">
        <v>21</v>
      </c>
    </row>
    <row r="5164" spans="1:5" x14ac:dyDescent="0.25">
      <c r="A5164">
        <v>5163</v>
      </c>
      <c r="B5164">
        <v>8153338</v>
      </c>
      <c r="C5164" s="1" t="str">
        <f>HYPERLINK("http://stackoverflow.com/users/8153338", "Benjamin guo")</f>
        <v>Benjamin guo</v>
      </c>
      <c r="D5164" t="s">
        <v>55</v>
      </c>
      <c r="E5164">
        <v>21</v>
      </c>
    </row>
    <row r="5165" spans="1:5" x14ac:dyDescent="0.25">
      <c r="A5165">
        <v>5164</v>
      </c>
      <c r="B5165">
        <v>2806454</v>
      </c>
      <c r="C5165" s="1" t="str">
        <f>HYPERLINK("http://stackoverflow.com/users/2806454", "change.tsai")</f>
        <v>change.tsai</v>
      </c>
      <c r="D5165" t="s">
        <v>59</v>
      </c>
      <c r="E5165">
        <v>21</v>
      </c>
    </row>
    <row r="5166" spans="1:5" x14ac:dyDescent="0.25">
      <c r="A5166">
        <v>5165</v>
      </c>
      <c r="B5166">
        <v>6369374</v>
      </c>
      <c r="C5166" s="1" t="str">
        <f>HYPERLINK("http://stackoverflow.com/users/6369374", "Chauncery")</f>
        <v>Chauncery</v>
      </c>
      <c r="D5166" t="s">
        <v>4</v>
      </c>
      <c r="E5166">
        <v>21</v>
      </c>
    </row>
    <row r="5167" spans="1:5" x14ac:dyDescent="0.25">
      <c r="A5167">
        <v>5166</v>
      </c>
      <c r="B5167">
        <v>6351396</v>
      </c>
      <c r="C5167" s="1" t="str">
        <f>HYPERLINK("http://stackoverflow.com/users/6351396", "holten")</f>
        <v>holten</v>
      </c>
      <c r="D5167" t="s">
        <v>4</v>
      </c>
      <c r="E5167">
        <v>21</v>
      </c>
    </row>
    <row r="5168" spans="1:5" x14ac:dyDescent="0.25">
      <c r="A5168">
        <v>5167</v>
      </c>
      <c r="B5168">
        <v>637520</v>
      </c>
      <c r="C5168" s="1" t="str">
        <f>HYPERLINK("http://stackoverflow.com/users/637520", "Bistole")</f>
        <v>Bistole</v>
      </c>
      <c r="D5168" t="s">
        <v>5</v>
      </c>
      <c r="E5168">
        <v>21</v>
      </c>
    </row>
    <row r="5169" spans="1:5" x14ac:dyDescent="0.25">
      <c r="A5169">
        <v>5168</v>
      </c>
      <c r="B5169">
        <v>701573</v>
      </c>
      <c r="C5169" s="1" t="str">
        <f>HYPERLINK("http://stackoverflow.com/users/701573", "Kamus")</f>
        <v>Kamus</v>
      </c>
      <c r="D5169" t="s">
        <v>5</v>
      </c>
      <c r="E5169">
        <v>21</v>
      </c>
    </row>
    <row r="5170" spans="1:5" x14ac:dyDescent="0.25">
      <c r="A5170">
        <v>5169</v>
      </c>
      <c r="B5170">
        <v>2741772</v>
      </c>
      <c r="C5170" s="1" t="str">
        <f>HYPERLINK("http://stackoverflow.com/users/2741772", "Talus")</f>
        <v>Talus</v>
      </c>
      <c r="D5170" t="s">
        <v>5</v>
      </c>
      <c r="E5170">
        <v>21</v>
      </c>
    </row>
    <row r="5171" spans="1:5" x14ac:dyDescent="0.25">
      <c r="A5171">
        <v>5170</v>
      </c>
      <c r="B5171">
        <v>558848</v>
      </c>
      <c r="C5171" s="1" t="str">
        <f>HYPERLINK("http://stackoverflow.com/users/558848", "Chuck")</f>
        <v>Chuck</v>
      </c>
      <c r="D5171" t="s">
        <v>4</v>
      </c>
      <c r="E5171">
        <v>21</v>
      </c>
    </row>
    <row r="5172" spans="1:5" x14ac:dyDescent="0.25">
      <c r="A5172">
        <v>5171</v>
      </c>
      <c r="B5172">
        <v>4597218</v>
      </c>
      <c r="C5172" s="1" t="str">
        <f>HYPERLINK("http://stackoverflow.com/users/4597218", "Breezewish")</f>
        <v>Breezewish</v>
      </c>
      <c r="D5172" t="s">
        <v>4</v>
      </c>
      <c r="E5172">
        <v>21</v>
      </c>
    </row>
    <row r="5173" spans="1:5" x14ac:dyDescent="0.25">
      <c r="A5173">
        <v>5172</v>
      </c>
      <c r="B5173">
        <v>6324442</v>
      </c>
      <c r="C5173" s="1" t="str">
        <f>HYPERLINK("http://stackoverflow.com/users/6324442", "oraant")</f>
        <v>oraant</v>
      </c>
      <c r="D5173" t="s">
        <v>114</v>
      </c>
      <c r="E5173">
        <v>21</v>
      </c>
    </row>
    <row r="5174" spans="1:5" x14ac:dyDescent="0.25">
      <c r="A5174">
        <v>5173</v>
      </c>
      <c r="B5174">
        <v>2508043</v>
      </c>
      <c r="C5174" s="1" t="str">
        <f>HYPERLINK("http://stackoverflow.com/users/2508043", "zhaob")</f>
        <v>zhaob</v>
      </c>
      <c r="D5174" t="s">
        <v>90</v>
      </c>
      <c r="E5174">
        <v>21</v>
      </c>
    </row>
    <row r="5175" spans="1:5" x14ac:dyDescent="0.25">
      <c r="A5175">
        <v>5174</v>
      </c>
      <c r="B5175">
        <v>2541392</v>
      </c>
      <c r="C5175" s="1" t="str">
        <f>HYPERLINK("http://stackoverflow.com/users/2541392", "cyrusin")</f>
        <v>cyrusin</v>
      </c>
      <c r="D5175" t="s">
        <v>5</v>
      </c>
      <c r="E5175">
        <v>21</v>
      </c>
    </row>
    <row r="5176" spans="1:5" x14ac:dyDescent="0.25">
      <c r="A5176">
        <v>5175</v>
      </c>
      <c r="B5176">
        <v>2555572</v>
      </c>
      <c r="C5176" s="1" t="str">
        <f>HYPERLINK("http://stackoverflow.com/users/2555572", "Youngbye")</f>
        <v>Youngbye</v>
      </c>
      <c r="D5176" t="s">
        <v>7</v>
      </c>
      <c r="E5176">
        <v>21</v>
      </c>
    </row>
    <row r="5177" spans="1:5" x14ac:dyDescent="0.25">
      <c r="A5177">
        <v>5176</v>
      </c>
      <c r="B5177">
        <v>2566737</v>
      </c>
      <c r="C5177" s="1" t="str">
        <f>HYPERLINK("http://stackoverflow.com/users/2566737", "chliang")</f>
        <v>chliang</v>
      </c>
      <c r="D5177" t="s">
        <v>5</v>
      </c>
      <c r="E5177">
        <v>21</v>
      </c>
    </row>
    <row r="5178" spans="1:5" x14ac:dyDescent="0.25">
      <c r="A5178">
        <v>5177</v>
      </c>
      <c r="B5178">
        <v>4311655</v>
      </c>
      <c r="C5178" s="1" t="str">
        <f>HYPERLINK("http://stackoverflow.com/users/4311655", "Jinhua Fan")</f>
        <v>Jinhua Fan</v>
      </c>
      <c r="D5178" t="s">
        <v>62</v>
      </c>
      <c r="E5178">
        <v>21</v>
      </c>
    </row>
    <row r="5179" spans="1:5" x14ac:dyDescent="0.25">
      <c r="A5179">
        <v>5178</v>
      </c>
      <c r="B5179">
        <v>7803457</v>
      </c>
      <c r="C5179" s="1" t="str">
        <f>HYPERLINK("http://stackoverflow.com/users/7803457", "Z.L")</f>
        <v>Z.L</v>
      </c>
      <c r="D5179" t="s">
        <v>5</v>
      </c>
      <c r="E5179">
        <v>21</v>
      </c>
    </row>
    <row r="5180" spans="1:5" x14ac:dyDescent="0.25">
      <c r="A5180">
        <v>5179</v>
      </c>
      <c r="B5180">
        <v>311695</v>
      </c>
      <c r="C5180" s="1" t="str">
        <f>HYPERLINK("http://stackoverflow.com/users/311695", "James Zhou")</f>
        <v>James Zhou</v>
      </c>
      <c r="D5180" t="s">
        <v>5</v>
      </c>
      <c r="E5180">
        <v>21</v>
      </c>
    </row>
    <row r="5181" spans="1:5" x14ac:dyDescent="0.25">
      <c r="A5181">
        <v>5180</v>
      </c>
      <c r="B5181">
        <v>6197261</v>
      </c>
      <c r="C5181" s="1" t="str">
        <f>HYPERLINK("http://stackoverflow.com/users/6197261", "BT4Color")</f>
        <v>BT4Color</v>
      </c>
      <c r="D5181" t="s">
        <v>12</v>
      </c>
      <c r="E5181">
        <v>21</v>
      </c>
    </row>
    <row r="5182" spans="1:5" x14ac:dyDescent="0.25">
      <c r="A5182">
        <v>5181</v>
      </c>
      <c r="B5182">
        <v>2601639</v>
      </c>
      <c r="C5182" s="1" t="str">
        <f>HYPERLINK("http://stackoverflow.com/users/2601639", "Liang Liang")</f>
        <v>Liang Liang</v>
      </c>
      <c r="D5182" t="s">
        <v>4</v>
      </c>
      <c r="E5182">
        <v>21</v>
      </c>
    </row>
    <row r="5183" spans="1:5" x14ac:dyDescent="0.25">
      <c r="A5183">
        <v>5182</v>
      </c>
      <c r="B5183">
        <v>6219830</v>
      </c>
      <c r="C5183" s="1" t="str">
        <f>HYPERLINK("http://stackoverflow.com/users/6219830", "Yan Wang")</f>
        <v>Yan Wang</v>
      </c>
      <c r="D5183" t="s">
        <v>7</v>
      </c>
      <c r="E5183">
        <v>21</v>
      </c>
    </row>
    <row r="5184" spans="1:5" x14ac:dyDescent="0.25">
      <c r="A5184">
        <v>5183</v>
      </c>
      <c r="B5184">
        <v>2658902</v>
      </c>
      <c r="C5184" s="1" t="str">
        <f>HYPERLINK("http://stackoverflow.com/users/2658902", "Liu Yan")</f>
        <v>Liu Yan</v>
      </c>
      <c r="D5184" t="s">
        <v>5</v>
      </c>
      <c r="E5184">
        <v>21</v>
      </c>
    </row>
    <row r="5185" spans="1:5" x14ac:dyDescent="0.25">
      <c r="A5185">
        <v>5184</v>
      </c>
      <c r="B5185">
        <v>8049404</v>
      </c>
      <c r="C5185" s="1" t="str">
        <f>HYPERLINK("http://stackoverflow.com/users/8049404", "fifman")</f>
        <v>fifman</v>
      </c>
      <c r="D5185" t="s">
        <v>47</v>
      </c>
      <c r="E5185">
        <v>21</v>
      </c>
    </row>
    <row r="5186" spans="1:5" x14ac:dyDescent="0.25">
      <c r="A5186">
        <v>5185</v>
      </c>
      <c r="B5186">
        <v>441136</v>
      </c>
      <c r="C5186" s="1" t="str">
        <f>HYPERLINK("http://stackoverflow.com/users/441136", "Chris Cheung")</f>
        <v>Chris Cheung</v>
      </c>
      <c r="D5186" t="s">
        <v>97</v>
      </c>
      <c r="E5186">
        <v>21</v>
      </c>
    </row>
    <row r="5187" spans="1:5" x14ac:dyDescent="0.25">
      <c r="A5187">
        <v>5186</v>
      </c>
      <c r="B5187">
        <v>6053135</v>
      </c>
      <c r="C5187" s="1" t="str">
        <f>HYPERLINK("http://stackoverflow.com/users/6053135", "robin")</f>
        <v>robin</v>
      </c>
      <c r="D5187" t="s">
        <v>25</v>
      </c>
      <c r="E5187">
        <v>21</v>
      </c>
    </row>
    <row r="5188" spans="1:5" x14ac:dyDescent="0.25">
      <c r="A5188">
        <v>5187</v>
      </c>
      <c r="B5188">
        <v>484090</v>
      </c>
      <c r="C5188" s="1" t="str">
        <f>HYPERLINK("http://stackoverflow.com/users/484090", "Liuliu")</f>
        <v>Liuliu</v>
      </c>
      <c r="D5188" t="s">
        <v>5</v>
      </c>
      <c r="E5188">
        <v>21</v>
      </c>
    </row>
    <row r="5189" spans="1:5" x14ac:dyDescent="0.25">
      <c r="A5189">
        <v>5188</v>
      </c>
      <c r="B5189">
        <v>4545367</v>
      </c>
      <c r="C5189" s="1" t="str">
        <f>HYPERLINK("http://stackoverflow.com/users/4545367", "vatiminxuyu")</f>
        <v>vatiminxuyu</v>
      </c>
      <c r="D5189" t="s">
        <v>310</v>
      </c>
      <c r="E5189">
        <v>21</v>
      </c>
    </row>
    <row r="5190" spans="1:5" x14ac:dyDescent="0.25">
      <c r="A5190">
        <v>5189</v>
      </c>
      <c r="B5190">
        <v>8057310</v>
      </c>
      <c r="C5190" s="1" t="str">
        <f>HYPERLINK("http://stackoverflow.com/users/8057310", "Alopex")</f>
        <v>Alopex</v>
      </c>
      <c r="D5190" t="s">
        <v>47</v>
      </c>
      <c r="E5190">
        <v>21</v>
      </c>
    </row>
    <row r="5191" spans="1:5" x14ac:dyDescent="0.25">
      <c r="A5191">
        <v>5190</v>
      </c>
      <c r="B5191">
        <v>6301186</v>
      </c>
      <c r="C5191" s="1" t="str">
        <f>HYPERLINK("http://stackoverflow.com/users/6301186", "Brand Shaw")</f>
        <v>Brand Shaw</v>
      </c>
      <c r="D5191" t="s">
        <v>25</v>
      </c>
      <c r="E5191">
        <v>21</v>
      </c>
    </row>
    <row r="5192" spans="1:5" x14ac:dyDescent="0.25">
      <c r="A5192">
        <v>5191</v>
      </c>
      <c r="B5192">
        <v>4578037</v>
      </c>
      <c r="C5192" s="1" t="str">
        <f>HYPERLINK("http://stackoverflow.com/users/4578037", "Xiaofeng.Wang")</f>
        <v>Xiaofeng.Wang</v>
      </c>
      <c r="D5192" t="s">
        <v>17</v>
      </c>
      <c r="E5192">
        <v>21</v>
      </c>
    </row>
    <row r="5193" spans="1:5" x14ac:dyDescent="0.25">
      <c r="A5193">
        <v>5192</v>
      </c>
      <c r="B5193">
        <v>2770882</v>
      </c>
      <c r="C5193" s="1" t="str">
        <f>HYPERLINK("http://stackoverflow.com/users/2770882", "chai")</f>
        <v>chai</v>
      </c>
      <c r="D5193" t="s">
        <v>5</v>
      </c>
      <c r="E5193">
        <v>21</v>
      </c>
    </row>
    <row r="5194" spans="1:5" x14ac:dyDescent="0.25">
      <c r="A5194">
        <v>5193</v>
      </c>
      <c r="B5194">
        <v>2809726</v>
      </c>
      <c r="C5194" s="1" t="str">
        <f>HYPERLINK("http://stackoverflow.com/users/2809726", "Halo9Pan")</f>
        <v>Halo9Pan</v>
      </c>
      <c r="D5194" t="s">
        <v>5</v>
      </c>
      <c r="E5194">
        <v>21</v>
      </c>
    </row>
    <row r="5195" spans="1:5" x14ac:dyDescent="0.25">
      <c r="A5195">
        <v>5194</v>
      </c>
      <c r="B5195">
        <v>654590</v>
      </c>
      <c r="C5195" s="1" t="str">
        <f>HYPERLINK("http://stackoverflow.com/users/654590", "Chao Mai")</f>
        <v>Chao Mai</v>
      </c>
      <c r="D5195" t="s">
        <v>61</v>
      </c>
      <c r="E5195">
        <v>21</v>
      </c>
    </row>
    <row r="5196" spans="1:5" x14ac:dyDescent="0.25">
      <c r="A5196">
        <v>5195</v>
      </c>
      <c r="B5196">
        <v>6633541</v>
      </c>
      <c r="C5196" s="1" t="str">
        <f>HYPERLINK("http://stackoverflow.com/users/6633541", "Tony Sun")</f>
        <v>Tony Sun</v>
      </c>
      <c r="D5196" t="s">
        <v>35</v>
      </c>
      <c r="E5196">
        <v>21</v>
      </c>
    </row>
    <row r="5197" spans="1:5" x14ac:dyDescent="0.25">
      <c r="A5197">
        <v>5196</v>
      </c>
      <c r="B5197">
        <v>8448869</v>
      </c>
      <c r="C5197" s="1" t="str">
        <f>HYPERLINK("http://stackoverflow.com/users/8448869", "Cedric Chen")</f>
        <v>Cedric Chen</v>
      </c>
      <c r="D5197" t="s">
        <v>25</v>
      </c>
      <c r="E5197">
        <v>21</v>
      </c>
    </row>
    <row r="5198" spans="1:5" x14ac:dyDescent="0.25">
      <c r="A5198">
        <v>5197</v>
      </c>
      <c r="B5198">
        <v>8460928</v>
      </c>
      <c r="C5198" s="1" t="str">
        <f>HYPERLINK("http://stackoverflow.com/users/8460928", "jiayuqicz")</f>
        <v>jiayuqicz</v>
      </c>
      <c r="D5198" t="s">
        <v>5</v>
      </c>
      <c r="E5198">
        <v>21</v>
      </c>
    </row>
    <row r="5199" spans="1:5" x14ac:dyDescent="0.25">
      <c r="A5199">
        <v>5198</v>
      </c>
      <c r="B5199">
        <v>4887411</v>
      </c>
      <c r="C5199" s="1" t="str">
        <f>HYPERLINK("http://stackoverflow.com/users/4887411", "Lulus Young")</f>
        <v>Lulus Young</v>
      </c>
      <c r="D5199" t="s">
        <v>22</v>
      </c>
      <c r="E5199">
        <v>21</v>
      </c>
    </row>
    <row r="5200" spans="1:5" x14ac:dyDescent="0.25">
      <c r="A5200">
        <v>5199</v>
      </c>
      <c r="B5200">
        <v>3040550</v>
      </c>
      <c r="C5200" s="1" t="str">
        <f>HYPERLINK("http://stackoverflow.com/users/3040550", "gee nfc")</f>
        <v>gee nfc</v>
      </c>
      <c r="D5200" t="s">
        <v>17</v>
      </c>
      <c r="E5200">
        <v>21</v>
      </c>
    </row>
    <row r="5201" spans="1:5" x14ac:dyDescent="0.25">
      <c r="A5201">
        <v>5200</v>
      </c>
      <c r="B5201">
        <v>6543769</v>
      </c>
      <c r="C5201" s="1" t="str">
        <f>HYPERLINK("http://stackoverflow.com/users/6543769", "J. Zhang")</f>
        <v>J. Zhang</v>
      </c>
      <c r="D5201" t="s">
        <v>43</v>
      </c>
      <c r="E5201">
        <v>21</v>
      </c>
    </row>
    <row r="5202" spans="1:5" x14ac:dyDescent="0.25">
      <c r="A5202">
        <v>5201</v>
      </c>
      <c r="B5202">
        <v>3016370</v>
      </c>
      <c r="C5202" s="1" t="str">
        <f>HYPERLINK("http://stackoverflow.com/users/3016370", "Shirley")</f>
        <v>Shirley</v>
      </c>
      <c r="D5202" t="s">
        <v>5</v>
      </c>
      <c r="E5202">
        <v>21</v>
      </c>
    </row>
    <row r="5203" spans="1:5" x14ac:dyDescent="0.25">
      <c r="A5203">
        <v>5202</v>
      </c>
      <c r="B5203">
        <v>4834812</v>
      </c>
      <c r="C5203" s="1" t="str">
        <f>HYPERLINK("http://stackoverflow.com/users/4834812", "Qijiang Fan")</f>
        <v>Qijiang Fan</v>
      </c>
      <c r="D5203" t="s">
        <v>8</v>
      </c>
      <c r="E5203">
        <v>21</v>
      </c>
    </row>
    <row r="5204" spans="1:5" x14ac:dyDescent="0.25">
      <c r="A5204">
        <v>5203</v>
      </c>
      <c r="B5204">
        <v>2986236</v>
      </c>
      <c r="C5204" s="1" t="str">
        <f>HYPERLINK("http://stackoverflow.com/users/2986236", "Berlin")</f>
        <v>Berlin</v>
      </c>
      <c r="D5204" t="s">
        <v>22</v>
      </c>
      <c r="E5204">
        <v>21</v>
      </c>
    </row>
    <row r="5205" spans="1:5" x14ac:dyDescent="0.25">
      <c r="A5205">
        <v>5204</v>
      </c>
      <c r="B5205">
        <v>2979217</v>
      </c>
      <c r="C5205" s="1" t="str">
        <f>HYPERLINK("http://stackoverflow.com/users/2979217", "neko1990")</f>
        <v>neko1990</v>
      </c>
      <c r="D5205" t="s">
        <v>5</v>
      </c>
      <c r="E5205">
        <v>21</v>
      </c>
    </row>
    <row r="5206" spans="1:5" x14ac:dyDescent="0.25">
      <c r="A5206">
        <v>5205</v>
      </c>
      <c r="B5206">
        <v>2922815</v>
      </c>
      <c r="C5206" s="1" t="str">
        <f>HYPERLINK("http://stackoverflow.com/users/2922815", "Rex li")</f>
        <v>Rex li</v>
      </c>
      <c r="D5206" t="s">
        <v>35</v>
      </c>
      <c r="E5206">
        <v>21</v>
      </c>
    </row>
    <row r="5207" spans="1:5" x14ac:dyDescent="0.25">
      <c r="A5207">
        <v>5206</v>
      </c>
      <c r="B5207">
        <v>725660</v>
      </c>
      <c r="C5207" s="1" t="str">
        <f>HYPERLINK("http://stackoverflow.com/users/725660", "gneheix")</f>
        <v>gneheix</v>
      </c>
      <c r="D5207" t="s">
        <v>17</v>
      </c>
      <c r="E5207">
        <v>21</v>
      </c>
    </row>
    <row r="5208" spans="1:5" x14ac:dyDescent="0.25">
      <c r="A5208">
        <v>5207</v>
      </c>
      <c r="B5208">
        <v>8230174</v>
      </c>
      <c r="C5208" s="1" t="str">
        <f>HYPERLINK("http://stackoverflow.com/users/8230174", "yuanfang wang")</f>
        <v>yuanfang wang</v>
      </c>
      <c r="D5208" t="s">
        <v>25</v>
      </c>
      <c r="E5208">
        <v>21</v>
      </c>
    </row>
    <row r="5209" spans="1:5" x14ac:dyDescent="0.25">
      <c r="A5209">
        <v>5208</v>
      </c>
      <c r="B5209">
        <v>5241513</v>
      </c>
      <c r="C5209" s="1" t="str">
        <f>HYPERLINK("http://stackoverflow.com/users/5241513", "Aaron")</f>
        <v>Aaron</v>
      </c>
      <c r="D5209" t="s">
        <v>5</v>
      </c>
      <c r="E5209">
        <v>21</v>
      </c>
    </row>
    <row r="5210" spans="1:5" x14ac:dyDescent="0.25">
      <c r="A5210">
        <v>5209</v>
      </c>
      <c r="B5210">
        <v>1594333</v>
      </c>
      <c r="C5210" s="1" t="str">
        <f>HYPERLINK("http://stackoverflow.com/users/1594333", "marklinmao")</f>
        <v>marklinmao</v>
      </c>
      <c r="D5210" t="s">
        <v>22</v>
      </c>
      <c r="E5210">
        <v>21</v>
      </c>
    </row>
    <row r="5211" spans="1:5" x14ac:dyDescent="0.25">
      <c r="A5211">
        <v>5210</v>
      </c>
      <c r="B5211">
        <v>3471725</v>
      </c>
      <c r="C5211" s="1" t="str">
        <f>HYPERLINK("http://stackoverflow.com/users/3471725", "Danny Zhu")</f>
        <v>Danny Zhu</v>
      </c>
      <c r="D5211" t="s">
        <v>37</v>
      </c>
      <c r="E5211">
        <v>21</v>
      </c>
    </row>
    <row r="5212" spans="1:5" x14ac:dyDescent="0.25">
      <c r="A5212">
        <v>5211</v>
      </c>
      <c r="B5212">
        <v>5337332</v>
      </c>
      <c r="C5212" s="1" t="str">
        <f>HYPERLINK("http://stackoverflow.com/users/5337332", "Hill")</f>
        <v>Hill</v>
      </c>
      <c r="D5212" t="s">
        <v>4</v>
      </c>
      <c r="E5212">
        <v>21</v>
      </c>
    </row>
    <row r="5213" spans="1:5" x14ac:dyDescent="0.25">
      <c r="A5213">
        <v>5212</v>
      </c>
      <c r="B5213">
        <v>8994155</v>
      </c>
      <c r="C5213" s="1" t="str">
        <f>HYPERLINK("http://stackoverflow.com/users/8994155", "Arthur Ma")</f>
        <v>Arthur Ma</v>
      </c>
      <c r="D5213" t="s">
        <v>4</v>
      </c>
      <c r="E5213">
        <v>21</v>
      </c>
    </row>
    <row r="5214" spans="1:5" x14ac:dyDescent="0.25">
      <c r="A5214">
        <v>5213</v>
      </c>
      <c r="B5214">
        <v>1800117</v>
      </c>
      <c r="C5214" s="1" t="str">
        <f>HYPERLINK("http://stackoverflow.com/users/1800117", "yiitz")</f>
        <v>yiitz</v>
      </c>
      <c r="D5214" t="s">
        <v>22</v>
      </c>
      <c r="E5214">
        <v>21</v>
      </c>
    </row>
    <row r="5215" spans="1:5" x14ac:dyDescent="0.25">
      <c r="A5215">
        <v>5214</v>
      </c>
      <c r="B5215">
        <v>1865252</v>
      </c>
      <c r="C5215" s="1" t="str">
        <f>HYPERLINK("http://stackoverflow.com/users/1865252", "Liu Yongtai")</f>
        <v>Liu Yongtai</v>
      </c>
      <c r="D5215" t="s">
        <v>56</v>
      </c>
      <c r="E5215">
        <v>21</v>
      </c>
    </row>
    <row r="5216" spans="1:5" x14ac:dyDescent="0.25">
      <c r="A5216">
        <v>5215</v>
      </c>
      <c r="B5216">
        <v>1865347</v>
      </c>
      <c r="C5216" s="1" t="str">
        <f>HYPERLINK("http://stackoverflow.com/users/1865347", "mhzoroCN")</f>
        <v>mhzoroCN</v>
      </c>
      <c r="D5216" t="s">
        <v>5</v>
      </c>
      <c r="E5216">
        <v>21</v>
      </c>
    </row>
    <row r="5217" spans="1:5" x14ac:dyDescent="0.25">
      <c r="A5217">
        <v>5216</v>
      </c>
      <c r="B5217">
        <v>1293174</v>
      </c>
      <c r="C5217" s="1" t="str">
        <f>HYPERLINK("http://stackoverflow.com/users/1293174", "lyx")</f>
        <v>lyx</v>
      </c>
      <c r="D5217" t="s">
        <v>54</v>
      </c>
      <c r="E5217">
        <v>21</v>
      </c>
    </row>
    <row r="5218" spans="1:5" x14ac:dyDescent="0.25">
      <c r="A5218">
        <v>5217</v>
      </c>
      <c r="B5218">
        <v>1284974</v>
      </c>
      <c r="C5218" s="1" t="str">
        <f>HYPERLINK("http://stackoverflow.com/users/1284974", "MonadMania")</f>
        <v>MonadMania</v>
      </c>
      <c r="D5218" t="s">
        <v>311</v>
      </c>
      <c r="E5218">
        <v>21</v>
      </c>
    </row>
    <row r="5219" spans="1:5" x14ac:dyDescent="0.25">
      <c r="A5219">
        <v>5218</v>
      </c>
      <c r="B5219">
        <v>3211901</v>
      </c>
      <c r="C5219" s="1" t="str">
        <f>HYPERLINK("http://stackoverflow.com/users/3211901", "jiangwei")</f>
        <v>jiangwei</v>
      </c>
      <c r="D5219" t="s">
        <v>5</v>
      </c>
      <c r="E5219">
        <v>21</v>
      </c>
    </row>
    <row r="5220" spans="1:5" x14ac:dyDescent="0.25">
      <c r="A5220">
        <v>5219</v>
      </c>
      <c r="B5220">
        <v>10308325</v>
      </c>
      <c r="C5220" s="1" t="str">
        <f>HYPERLINK("http://stackoverflow.com/users/10308325", "WuJun Tian")</f>
        <v>WuJun Tian</v>
      </c>
      <c r="D5220" t="s">
        <v>79</v>
      </c>
      <c r="E5220">
        <v>21</v>
      </c>
    </row>
    <row r="5221" spans="1:5" x14ac:dyDescent="0.25">
      <c r="A5221">
        <v>5220</v>
      </c>
      <c r="B5221">
        <v>5171643</v>
      </c>
      <c r="C5221" s="1" t="str">
        <f>HYPERLINK("http://stackoverflow.com/users/5171643", "Kearnel")</f>
        <v>Kearnel</v>
      </c>
      <c r="D5221" t="s">
        <v>5</v>
      </c>
      <c r="E5221">
        <v>21</v>
      </c>
    </row>
    <row r="5222" spans="1:5" x14ac:dyDescent="0.25">
      <c r="A5222">
        <v>5221</v>
      </c>
      <c r="B5222">
        <v>5124683</v>
      </c>
      <c r="C5222" s="1" t="str">
        <f>HYPERLINK("http://stackoverflow.com/users/5124683", "Shaowen Su")</f>
        <v>Shaowen Su</v>
      </c>
      <c r="D5222" t="s">
        <v>193</v>
      </c>
      <c r="E5222">
        <v>21</v>
      </c>
    </row>
    <row r="5223" spans="1:5" x14ac:dyDescent="0.25">
      <c r="A5223">
        <v>5222</v>
      </c>
      <c r="B5223">
        <v>5109231</v>
      </c>
      <c r="C5223" s="1" t="str">
        <f>HYPERLINK("http://stackoverflow.com/users/5109231", "chaoyao")</f>
        <v>chaoyao</v>
      </c>
      <c r="D5223" t="s">
        <v>4</v>
      </c>
      <c r="E5223">
        <v>21</v>
      </c>
    </row>
    <row r="5224" spans="1:5" x14ac:dyDescent="0.25">
      <c r="A5224">
        <v>5223</v>
      </c>
      <c r="B5224">
        <v>5584076</v>
      </c>
      <c r="C5224" s="1" t="str">
        <f>HYPERLINK("http://stackoverflow.com/users/5584076", "magicya")</f>
        <v>magicya</v>
      </c>
      <c r="D5224" t="s">
        <v>21</v>
      </c>
      <c r="E5224">
        <v>21</v>
      </c>
    </row>
    <row r="5225" spans="1:5" x14ac:dyDescent="0.25">
      <c r="A5225">
        <v>5224</v>
      </c>
      <c r="B5225">
        <v>7339432</v>
      </c>
      <c r="C5225" s="1" t="str">
        <f>HYPERLINK("http://stackoverflow.com/users/7339432", "Robert Ying")</f>
        <v>Robert Ying</v>
      </c>
      <c r="D5225" t="s">
        <v>5</v>
      </c>
      <c r="E5225">
        <v>21</v>
      </c>
    </row>
    <row r="5226" spans="1:5" x14ac:dyDescent="0.25">
      <c r="A5226">
        <v>5225</v>
      </c>
      <c r="B5226">
        <v>7256329</v>
      </c>
      <c r="C5226" s="1" t="str">
        <f>HYPERLINK("http://stackoverflow.com/users/7256329", "shengming")</f>
        <v>shengming</v>
      </c>
      <c r="D5226" t="s">
        <v>5</v>
      </c>
      <c r="E5226">
        <v>21</v>
      </c>
    </row>
    <row r="5227" spans="1:5" x14ac:dyDescent="0.25">
      <c r="A5227">
        <v>5226</v>
      </c>
      <c r="B5227">
        <v>1924953</v>
      </c>
      <c r="C5227" s="1" t="str">
        <f>HYPERLINK("http://stackoverflow.com/users/1924953", "Frederich Chen")</f>
        <v>Frederich Chen</v>
      </c>
      <c r="D5227" t="s">
        <v>22</v>
      </c>
      <c r="E5227">
        <v>21</v>
      </c>
    </row>
    <row r="5228" spans="1:5" x14ac:dyDescent="0.25">
      <c r="A5228">
        <v>5227</v>
      </c>
      <c r="B5228">
        <v>2079881</v>
      </c>
      <c r="C5228" s="1" t="str">
        <f>HYPERLINK("http://stackoverflow.com/users/2079881", "jame2981")</f>
        <v>jame2981</v>
      </c>
      <c r="D5228" t="s">
        <v>5</v>
      </c>
      <c r="E5228">
        <v>21</v>
      </c>
    </row>
    <row r="5229" spans="1:5" x14ac:dyDescent="0.25">
      <c r="A5229">
        <v>5228</v>
      </c>
      <c r="B5229">
        <v>2079846</v>
      </c>
      <c r="C5229" s="1" t="str">
        <f>HYPERLINK("http://stackoverflow.com/users/2079846", "yongrui")</f>
        <v>yongrui</v>
      </c>
      <c r="D5229" t="s">
        <v>33</v>
      </c>
      <c r="E5229">
        <v>21</v>
      </c>
    </row>
    <row r="5230" spans="1:5" x14ac:dyDescent="0.25">
      <c r="A5230">
        <v>5229</v>
      </c>
      <c r="B5230">
        <v>3924999</v>
      </c>
      <c r="C5230" s="1" t="str">
        <f>HYPERLINK("http://stackoverflow.com/users/3924999", "grace")</f>
        <v>grace</v>
      </c>
      <c r="D5230" t="s">
        <v>5</v>
      </c>
      <c r="E5230">
        <v>21</v>
      </c>
    </row>
    <row r="5231" spans="1:5" x14ac:dyDescent="0.25">
      <c r="A5231">
        <v>5230</v>
      </c>
      <c r="B5231">
        <v>9400658</v>
      </c>
      <c r="C5231" s="1" t="str">
        <f>HYPERLINK("http://stackoverflow.com/users/9400658", "Jason Koo")</f>
        <v>Jason Koo</v>
      </c>
      <c r="D5231" t="s">
        <v>5</v>
      </c>
      <c r="E5231">
        <v>21</v>
      </c>
    </row>
    <row r="5232" spans="1:5" x14ac:dyDescent="0.25">
      <c r="A5232">
        <v>5231</v>
      </c>
      <c r="B5232">
        <v>9418040</v>
      </c>
      <c r="C5232" s="1" t="str">
        <f>HYPERLINK("http://stackoverflow.com/users/9418040", "zheng bin")</f>
        <v>zheng bin</v>
      </c>
      <c r="D5232" t="s">
        <v>4</v>
      </c>
      <c r="E5232">
        <v>21</v>
      </c>
    </row>
    <row r="5233" spans="1:5" x14ac:dyDescent="0.25">
      <c r="A5233">
        <v>5232</v>
      </c>
      <c r="B5233">
        <v>9445256</v>
      </c>
      <c r="C5233" s="1" t="str">
        <f>HYPERLINK("http://stackoverflow.com/users/9445256", "huabin he")</f>
        <v>huabin he</v>
      </c>
      <c r="D5233" t="s">
        <v>52</v>
      </c>
      <c r="E5233">
        <v>21</v>
      </c>
    </row>
    <row r="5234" spans="1:5" x14ac:dyDescent="0.25">
      <c r="A5234">
        <v>5233</v>
      </c>
      <c r="B5234">
        <v>4005383</v>
      </c>
      <c r="C5234" s="1" t="str">
        <f>HYPERLINK("http://stackoverflow.com/users/4005383", "Ding Wei")</f>
        <v>Ding Wei</v>
      </c>
      <c r="D5234" t="s">
        <v>5</v>
      </c>
      <c r="E5234">
        <v>21</v>
      </c>
    </row>
    <row r="5235" spans="1:5" x14ac:dyDescent="0.25">
      <c r="A5235">
        <v>5234</v>
      </c>
      <c r="B5235">
        <v>4290180</v>
      </c>
      <c r="C5235" s="1" t="str">
        <f>HYPERLINK("http://stackoverflow.com/users/4290180", "karl")</f>
        <v>karl</v>
      </c>
      <c r="D5235" t="s">
        <v>5</v>
      </c>
      <c r="E5235">
        <v>21</v>
      </c>
    </row>
    <row r="5236" spans="1:5" x14ac:dyDescent="0.25">
      <c r="A5236">
        <v>5235</v>
      </c>
      <c r="B5236">
        <v>7727210</v>
      </c>
      <c r="C5236" s="1" t="str">
        <f>HYPERLINK("http://stackoverflow.com/users/7727210", "kaikai_sk")</f>
        <v>kaikai_sk</v>
      </c>
      <c r="D5236" t="s">
        <v>52</v>
      </c>
      <c r="E5236">
        <v>21</v>
      </c>
    </row>
    <row r="5237" spans="1:5" x14ac:dyDescent="0.25">
      <c r="A5237">
        <v>5236</v>
      </c>
      <c r="B5237">
        <v>4078498</v>
      </c>
      <c r="C5237" s="1" t="str">
        <f>HYPERLINK("http://stackoverflow.com/users/4078498", "woody hu")</f>
        <v>woody hu</v>
      </c>
      <c r="D5237" t="s">
        <v>5</v>
      </c>
      <c r="E5237">
        <v>21</v>
      </c>
    </row>
    <row r="5238" spans="1:5" x14ac:dyDescent="0.25">
      <c r="A5238">
        <v>5237</v>
      </c>
      <c r="B5238">
        <v>2357019</v>
      </c>
      <c r="C5238" s="1" t="str">
        <f>HYPERLINK("http://stackoverflow.com/users/2357019", "netkiller")</f>
        <v>netkiller</v>
      </c>
      <c r="D5238" t="s">
        <v>17</v>
      </c>
      <c r="E5238">
        <v>21</v>
      </c>
    </row>
    <row r="5239" spans="1:5" x14ac:dyDescent="0.25">
      <c r="A5239">
        <v>5238</v>
      </c>
      <c r="B5239">
        <v>2267343</v>
      </c>
      <c r="C5239" s="1" t="str">
        <f>HYPERLINK("http://stackoverflow.com/users/2267343", "rsathish93")</f>
        <v>rsathish93</v>
      </c>
      <c r="D5239" t="s">
        <v>4</v>
      </c>
      <c r="E5239">
        <v>21</v>
      </c>
    </row>
    <row r="5240" spans="1:5" x14ac:dyDescent="0.25">
      <c r="A5240">
        <v>5239</v>
      </c>
      <c r="B5240">
        <v>2277223</v>
      </c>
      <c r="C5240" s="1" t="str">
        <f>HYPERLINK("http://stackoverflow.com/users/2277223", "Song")</f>
        <v>Song</v>
      </c>
      <c r="D5240" t="s">
        <v>4</v>
      </c>
      <c r="E5240">
        <v>21</v>
      </c>
    </row>
    <row r="5241" spans="1:5" x14ac:dyDescent="0.25">
      <c r="A5241">
        <v>5240</v>
      </c>
      <c r="B5241">
        <v>3431443</v>
      </c>
      <c r="C5241" s="1" t="str">
        <f>HYPERLINK("http://stackoverflow.com/users/3431443", "Charles Zhao")</f>
        <v>Charles Zhao</v>
      </c>
      <c r="D5241" t="s">
        <v>5</v>
      </c>
      <c r="E5241">
        <v>21</v>
      </c>
    </row>
    <row r="5242" spans="1:5" x14ac:dyDescent="0.25">
      <c r="A5242">
        <v>5241</v>
      </c>
      <c r="B5242">
        <v>8802386</v>
      </c>
      <c r="C5242" s="1" t="str">
        <f>HYPERLINK("http://stackoverflow.com/users/8802386", "Hans Chan")</f>
        <v>Hans Chan</v>
      </c>
      <c r="D5242" t="s">
        <v>33</v>
      </c>
      <c r="E5242">
        <v>21</v>
      </c>
    </row>
    <row r="5243" spans="1:5" x14ac:dyDescent="0.25">
      <c r="A5243">
        <v>5242</v>
      </c>
      <c r="B5243">
        <v>1413879</v>
      </c>
      <c r="C5243" s="1" t="str">
        <f>HYPERLINK("http://stackoverflow.com/users/1413879", "Jin")</f>
        <v>Jin</v>
      </c>
      <c r="D5243" t="s">
        <v>43</v>
      </c>
      <c r="E5243">
        <v>21</v>
      </c>
    </row>
    <row r="5244" spans="1:5" x14ac:dyDescent="0.25">
      <c r="A5244">
        <v>5243</v>
      </c>
      <c r="B5244">
        <v>8665175</v>
      </c>
      <c r="C5244" s="1" t="str">
        <f>HYPERLINK("http://stackoverflow.com/users/8665175", "SUI")</f>
        <v>SUI</v>
      </c>
      <c r="D5244" t="s">
        <v>131</v>
      </c>
      <c r="E5244">
        <v>21</v>
      </c>
    </row>
    <row r="5245" spans="1:5" x14ac:dyDescent="0.25">
      <c r="A5245">
        <v>5244</v>
      </c>
      <c r="B5245">
        <v>3148049</v>
      </c>
      <c r="C5245" s="1" t="str">
        <f>HYPERLINK("http://stackoverflow.com/users/3148049", "frankie ma")</f>
        <v>frankie ma</v>
      </c>
      <c r="D5245" t="s">
        <v>5</v>
      </c>
      <c r="E5245">
        <v>21</v>
      </c>
    </row>
    <row r="5246" spans="1:5" x14ac:dyDescent="0.25">
      <c r="A5246">
        <v>5245</v>
      </c>
      <c r="B5246">
        <v>3148245</v>
      </c>
      <c r="C5246" s="1" t="str">
        <f>HYPERLINK("http://stackoverflow.com/users/3148245", "Jiayuan Zhang")</f>
        <v>Jiayuan Zhang</v>
      </c>
      <c r="D5246" t="s">
        <v>4</v>
      </c>
      <c r="E5246">
        <v>21</v>
      </c>
    </row>
    <row r="5247" spans="1:5" x14ac:dyDescent="0.25">
      <c r="A5247">
        <v>5246</v>
      </c>
      <c r="B5247">
        <v>4936649</v>
      </c>
      <c r="C5247" s="1" t="str">
        <f>HYPERLINK("http://stackoverflow.com/users/4936649", "Windless")</f>
        <v>Windless</v>
      </c>
      <c r="D5247" t="s">
        <v>52</v>
      </c>
      <c r="E5247">
        <v>21</v>
      </c>
    </row>
    <row r="5248" spans="1:5" x14ac:dyDescent="0.25">
      <c r="A5248">
        <v>5247</v>
      </c>
      <c r="B5248">
        <v>8476960</v>
      </c>
      <c r="C5248" s="1" t="str">
        <f>HYPERLINK("http://stackoverflow.com/users/8476960", "Geralt Xu")</f>
        <v>Geralt Xu</v>
      </c>
      <c r="D5248" t="s">
        <v>25</v>
      </c>
      <c r="E5248">
        <v>21</v>
      </c>
    </row>
    <row r="5249" spans="1:5" x14ac:dyDescent="0.25">
      <c r="A5249">
        <v>5248</v>
      </c>
      <c r="B5249">
        <v>4939668</v>
      </c>
      <c r="C5249" s="1" t="str">
        <f>HYPERLINK("http://stackoverflow.com/users/4939668", "lestergyl")</f>
        <v>lestergyl</v>
      </c>
      <c r="D5249" t="s">
        <v>22</v>
      </c>
      <c r="E5249">
        <v>21</v>
      </c>
    </row>
    <row r="5250" spans="1:5" x14ac:dyDescent="0.25">
      <c r="A5250">
        <v>5249</v>
      </c>
      <c r="B5250">
        <v>7830591</v>
      </c>
      <c r="C5250" s="1" t="str">
        <f>HYPERLINK("http://stackoverflow.com/users/7830591", "hofffman")</f>
        <v>hofffman</v>
      </c>
      <c r="D5250" t="s">
        <v>52</v>
      </c>
      <c r="E5250">
        <v>21</v>
      </c>
    </row>
    <row r="5251" spans="1:5" x14ac:dyDescent="0.25">
      <c r="A5251">
        <v>5250</v>
      </c>
      <c r="B5251">
        <v>211320</v>
      </c>
      <c r="C5251" s="1" t="str">
        <f>HYPERLINK("http://stackoverflow.com/users/211320", "scalarize")</f>
        <v>scalarize</v>
      </c>
      <c r="D5251" t="s">
        <v>5</v>
      </c>
      <c r="E5251">
        <v>21</v>
      </c>
    </row>
    <row r="5252" spans="1:5" x14ac:dyDescent="0.25">
      <c r="A5252">
        <v>5251</v>
      </c>
      <c r="B5252">
        <v>9792896</v>
      </c>
      <c r="C5252" s="1" t="str">
        <f>HYPERLINK("http://stackoverflow.com/users/9792896", "Libo Zhu")</f>
        <v>Libo Zhu</v>
      </c>
      <c r="D5252" t="s">
        <v>4</v>
      </c>
      <c r="E5252">
        <v>21</v>
      </c>
    </row>
    <row r="5253" spans="1:5" x14ac:dyDescent="0.25">
      <c r="A5253">
        <v>5252</v>
      </c>
      <c r="B5253">
        <v>4495056</v>
      </c>
      <c r="C5253" s="1" t="str">
        <f>HYPERLINK("http://stackoverflow.com/users/4495056", "Ruiwen Zhao")</f>
        <v>Ruiwen Zhao</v>
      </c>
      <c r="D5253" t="s">
        <v>4</v>
      </c>
      <c r="E5253">
        <v>21</v>
      </c>
    </row>
    <row r="5254" spans="1:5" x14ac:dyDescent="0.25">
      <c r="A5254">
        <v>5253</v>
      </c>
      <c r="B5254">
        <v>6223976</v>
      </c>
      <c r="C5254" s="1" t="str">
        <f>HYPERLINK("http://stackoverflow.com/users/6223976", "liujiapeng")</f>
        <v>liujiapeng</v>
      </c>
      <c r="D5254" t="s">
        <v>5</v>
      </c>
      <c r="E5254">
        <v>21</v>
      </c>
    </row>
    <row r="5255" spans="1:5" x14ac:dyDescent="0.25">
      <c r="A5255">
        <v>5254</v>
      </c>
      <c r="B5255">
        <v>6186233</v>
      </c>
      <c r="C5255" s="1" t="str">
        <f>HYPERLINK("http://stackoverflow.com/users/6186233", "Miceking")</f>
        <v>Miceking</v>
      </c>
      <c r="D5255" t="s">
        <v>43</v>
      </c>
      <c r="E5255">
        <v>21</v>
      </c>
    </row>
    <row r="5256" spans="1:5" x14ac:dyDescent="0.25">
      <c r="A5256">
        <v>5255</v>
      </c>
      <c r="B5256">
        <v>627718</v>
      </c>
      <c r="C5256" s="1" t="str">
        <f>HYPERLINK("http://stackoverflow.com/users/627718", "sumrock")</f>
        <v>sumrock</v>
      </c>
      <c r="D5256" t="s">
        <v>37</v>
      </c>
      <c r="E5256">
        <v>21</v>
      </c>
    </row>
    <row r="5257" spans="1:5" x14ac:dyDescent="0.25">
      <c r="A5257">
        <v>5256</v>
      </c>
      <c r="B5257">
        <v>2717661</v>
      </c>
      <c r="C5257" s="1" t="str">
        <f>HYPERLINK("http://stackoverflow.com/users/2717661", "allan")</f>
        <v>allan</v>
      </c>
      <c r="D5257" t="s">
        <v>5</v>
      </c>
      <c r="E5257">
        <v>21</v>
      </c>
    </row>
    <row r="5258" spans="1:5" x14ac:dyDescent="0.25">
      <c r="A5258">
        <v>5257</v>
      </c>
      <c r="B5258">
        <v>2872932</v>
      </c>
      <c r="C5258" s="1" t="str">
        <f>HYPERLINK("http://stackoverflow.com/users/2872932", "Stepin")</f>
        <v>Stepin</v>
      </c>
      <c r="D5258" t="s">
        <v>37</v>
      </c>
      <c r="E5258">
        <v>21</v>
      </c>
    </row>
    <row r="5259" spans="1:5" x14ac:dyDescent="0.25">
      <c r="A5259">
        <v>5258</v>
      </c>
      <c r="B5259">
        <v>849774</v>
      </c>
      <c r="C5259" s="1" t="str">
        <f>HYPERLINK("http://stackoverflow.com/users/849774", "mdyang")</f>
        <v>mdyang</v>
      </c>
      <c r="D5259" t="s">
        <v>5</v>
      </c>
      <c r="E5259">
        <v>21</v>
      </c>
    </row>
    <row r="5260" spans="1:5" x14ac:dyDescent="0.25">
      <c r="A5260">
        <v>5259</v>
      </c>
      <c r="B5260">
        <v>844108</v>
      </c>
      <c r="C5260" s="1" t="str">
        <f>HYPERLINK("http://stackoverflow.com/users/844108", "AirTayork")</f>
        <v>AirTayork</v>
      </c>
      <c r="D5260" t="s">
        <v>4</v>
      </c>
      <c r="E5260">
        <v>21</v>
      </c>
    </row>
    <row r="5261" spans="1:5" x14ac:dyDescent="0.25">
      <c r="A5261">
        <v>5260</v>
      </c>
      <c r="B5261">
        <v>4747368</v>
      </c>
      <c r="C5261" s="1" t="str">
        <f>HYPERLINK("http://stackoverflow.com/users/4747368", "myan")</f>
        <v>myan</v>
      </c>
      <c r="D5261" t="s">
        <v>28</v>
      </c>
      <c r="E5261">
        <v>21</v>
      </c>
    </row>
    <row r="5262" spans="1:5" x14ac:dyDescent="0.25">
      <c r="A5262">
        <v>5261</v>
      </c>
      <c r="B5262">
        <v>3046184</v>
      </c>
      <c r="C5262" s="1" t="str">
        <f>HYPERLINK("http://stackoverflow.com/users/3046184", "fitwu")</f>
        <v>fitwu</v>
      </c>
      <c r="D5262" t="s">
        <v>54</v>
      </c>
      <c r="E5262">
        <v>21</v>
      </c>
    </row>
    <row r="5263" spans="1:5" x14ac:dyDescent="0.25">
      <c r="A5263">
        <v>5262</v>
      </c>
      <c r="B5263">
        <v>5646517</v>
      </c>
      <c r="C5263" s="1" t="str">
        <f>HYPERLINK("http://stackoverflow.com/users/5646517", "Mr's peng")</f>
        <v>Mr's peng</v>
      </c>
      <c r="D5263" t="s">
        <v>22</v>
      </c>
      <c r="E5263">
        <v>21</v>
      </c>
    </row>
    <row r="5264" spans="1:5" x14ac:dyDescent="0.25">
      <c r="A5264">
        <v>5263</v>
      </c>
      <c r="B5264">
        <v>5628517</v>
      </c>
      <c r="C5264" s="1" t="str">
        <f>HYPERLINK("http://stackoverflow.com/users/5628517", "Taylor Huang")</f>
        <v>Taylor Huang</v>
      </c>
      <c r="D5264" t="s">
        <v>312</v>
      </c>
      <c r="E5264">
        <v>21</v>
      </c>
    </row>
    <row r="5265" spans="1:5" x14ac:dyDescent="0.25">
      <c r="A5265">
        <v>5264</v>
      </c>
      <c r="B5265">
        <v>5621049</v>
      </c>
      <c r="C5265" s="1" t="str">
        <f>HYPERLINK("http://stackoverflow.com/users/5621049", "laudukang")</f>
        <v>laudukang</v>
      </c>
      <c r="D5265" t="s">
        <v>25</v>
      </c>
      <c r="E5265">
        <v>21</v>
      </c>
    </row>
    <row r="5266" spans="1:5" x14ac:dyDescent="0.25">
      <c r="A5266">
        <v>5265</v>
      </c>
      <c r="B5266">
        <v>5612504</v>
      </c>
      <c r="C5266" s="1" t="str">
        <f>HYPERLINK("http://stackoverflow.com/users/5612504", "Stephen")</f>
        <v>Stephen</v>
      </c>
      <c r="D5266" t="s">
        <v>313</v>
      </c>
      <c r="E5266">
        <v>21</v>
      </c>
    </row>
    <row r="5267" spans="1:5" x14ac:dyDescent="0.25">
      <c r="A5267">
        <v>5266</v>
      </c>
      <c r="B5267">
        <v>1994787</v>
      </c>
      <c r="C5267" s="1" t="str">
        <f>HYPERLINK("http://stackoverflow.com/users/1994787", "justin")</f>
        <v>justin</v>
      </c>
      <c r="D5267" t="s">
        <v>4</v>
      </c>
      <c r="E5267">
        <v>21</v>
      </c>
    </row>
    <row r="5268" spans="1:5" x14ac:dyDescent="0.25">
      <c r="A5268">
        <v>5267</v>
      </c>
      <c r="B5268">
        <v>11002138</v>
      </c>
      <c r="C5268" s="1" t="str">
        <f>HYPERLINK("http://stackoverflow.com/users/11002138", "Zihan Yang")</f>
        <v>Zihan Yang</v>
      </c>
      <c r="D5268" t="s">
        <v>4</v>
      </c>
      <c r="E5268">
        <v>21</v>
      </c>
    </row>
    <row r="5269" spans="1:5" x14ac:dyDescent="0.25">
      <c r="A5269">
        <v>5268</v>
      </c>
      <c r="B5269">
        <v>1947355</v>
      </c>
      <c r="C5269" s="1" t="str">
        <f>HYPERLINK("http://stackoverflow.com/users/1947355", "ray")</f>
        <v>ray</v>
      </c>
      <c r="D5269" t="s">
        <v>4</v>
      </c>
      <c r="E5269">
        <v>21</v>
      </c>
    </row>
    <row r="5270" spans="1:5" x14ac:dyDescent="0.25">
      <c r="A5270">
        <v>5269</v>
      </c>
      <c r="B5270">
        <v>1956855</v>
      </c>
      <c r="C5270" s="1" t="str">
        <f>HYPERLINK("http://stackoverflow.com/users/1956855", "Daniel Yu")</f>
        <v>Daniel Yu</v>
      </c>
      <c r="D5270" t="s">
        <v>4</v>
      </c>
      <c r="E5270">
        <v>21</v>
      </c>
    </row>
    <row r="5271" spans="1:5" x14ac:dyDescent="0.25">
      <c r="A5271">
        <v>5270</v>
      </c>
      <c r="B5271">
        <v>1903545</v>
      </c>
      <c r="C5271" s="1" t="str">
        <f>HYPERLINK("http://stackoverflow.com/users/1903545", "yinyin.xiao")</f>
        <v>yinyin.xiao</v>
      </c>
      <c r="D5271" t="s">
        <v>5</v>
      </c>
      <c r="E5271">
        <v>21</v>
      </c>
    </row>
    <row r="5272" spans="1:5" x14ac:dyDescent="0.25">
      <c r="A5272">
        <v>5271</v>
      </c>
      <c r="B5272">
        <v>5793429</v>
      </c>
      <c r="C5272" s="1" t="str">
        <f>HYPERLINK("http://stackoverflow.com/users/5793429", "lichenbuliren")</f>
        <v>lichenbuliren</v>
      </c>
      <c r="D5272" t="s">
        <v>17</v>
      </c>
      <c r="E5272">
        <v>21</v>
      </c>
    </row>
    <row r="5273" spans="1:5" x14ac:dyDescent="0.25">
      <c r="A5273">
        <v>5272</v>
      </c>
      <c r="B5273">
        <v>2342260</v>
      </c>
      <c r="C5273" s="1" t="str">
        <f>HYPERLINK("http://stackoverflow.com/users/2342260", "nkuzbp")</f>
        <v>nkuzbp</v>
      </c>
      <c r="D5273" t="s">
        <v>57</v>
      </c>
      <c r="E5273">
        <v>21</v>
      </c>
    </row>
    <row r="5274" spans="1:5" x14ac:dyDescent="0.25">
      <c r="A5274">
        <v>5273</v>
      </c>
      <c r="B5274">
        <v>2419377</v>
      </c>
      <c r="C5274" s="1" t="str">
        <f>HYPERLINK("http://stackoverflow.com/users/2419377", "hanzhichao2000")</f>
        <v>hanzhichao2000</v>
      </c>
      <c r="D5274" t="s">
        <v>4</v>
      </c>
      <c r="E5274">
        <v>21</v>
      </c>
    </row>
    <row r="5275" spans="1:5" x14ac:dyDescent="0.25">
      <c r="A5275">
        <v>5274</v>
      </c>
      <c r="B5275">
        <v>6024111</v>
      </c>
      <c r="C5275" s="1" t="str">
        <f>HYPERLINK("http://stackoverflow.com/users/6024111", "Lukewcn")</f>
        <v>Lukewcn</v>
      </c>
      <c r="D5275" t="s">
        <v>5</v>
      </c>
      <c r="E5275">
        <v>21</v>
      </c>
    </row>
    <row r="5276" spans="1:5" x14ac:dyDescent="0.25">
      <c r="A5276">
        <v>5275</v>
      </c>
      <c r="B5276">
        <v>3317490</v>
      </c>
      <c r="C5276" s="1" t="str">
        <f>HYPERLINK("http://stackoverflow.com/users/3317490", "iwwenbo")</f>
        <v>iwwenbo</v>
      </c>
      <c r="D5276" t="s">
        <v>34</v>
      </c>
      <c r="E5276">
        <v>21</v>
      </c>
    </row>
    <row r="5277" spans="1:5" x14ac:dyDescent="0.25">
      <c r="A5277">
        <v>5276</v>
      </c>
      <c r="B5277">
        <v>1427841</v>
      </c>
      <c r="C5277" s="1" t="str">
        <f>HYPERLINK("http://stackoverflow.com/users/1427841", "wei.liang")</f>
        <v>wei.liang</v>
      </c>
      <c r="D5277" t="s">
        <v>5</v>
      </c>
      <c r="E5277">
        <v>21</v>
      </c>
    </row>
    <row r="5278" spans="1:5" x14ac:dyDescent="0.25">
      <c r="A5278">
        <v>5277</v>
      </c>
      <c r="B5278">
        <v>5106976</v>
      </c>
      <c r="C5278" s="1" t="str">
        <f>HYPERLINK("http://stackoverflow.com/users/5106976", "Joyie")</f>
        <v>Joyie</v>
      </c>
      <c r="D5278" t="s">
        <v>21</v>
      </c>
      <c r="E5278">
        <v>21</v>
      </c>
    </row>
    <row r="5279" spans="1:5" x14ac:dyDescent="0.25">
      <c r="A5279">
        <v>5278</v>
      </c>
      <c r="B5279">
        <v>3330770</v>
      </c>
      <c r="C5279" s="1" t="str">
        <f>HYPERLINK("http://stackoverflow.com/users/3330770", "郭同jet")</f>
        <v>郭同jet</v>
      </c>
      <c r="D5279" t="s">
        <v>5</v>
      </c>
      <c r="E5279">
        <v>21</v>
      </c>
    </row>
    <row r="5280" spans="1:5" x14ac:dyDescent="0.25">
      <c r="A5280">
        <v>5279</v>
      </c>
      <c r="B5280">
        <v>5141918</v>
      </c>
      <c r="C5280" s="1" t="str">
        <f>HYPERLINK("http://stackoverflow.com/users/5141918", "Robinson Zhao")</f>
        <v>Robinson Zhao</v>
      </c>
      <c r="D5280" t="s">
        <v>12</v>
      </c>
      <c r="E5280">
        <v>21</v>
      </c>
    </row>
    <row r="5281" spans="1:5" x14ac:dyDescent="0.25">
      <c r="A5281">
        <v>5280</v>
      </c>
      <c r="B5281">
        <v>5192554</v>
      </c>
      <c r="C5281" s="1" t="str">
        <f>HYPERLINK("http://stackoverflow.com/users/5192554", "乔桑宁")</f>
        <v>乔桑宁</v>
      </c>
      <c r="D5281" t="s">
        <v>74</v>
      </c>
      <c r="E5281">
        <v>21</v>
      </c>
    </row>
    <row r="5282" spans="1:5" x14ac:dyDescent="0.25">
      <c r="A5282">
        <v>5281</v>
      </c>
      <c r="B5282">
        <v>1562994</v>
      </c>
      <c r="C5282" s="1" t="str">
        <f>HYPERLINK("http://stackoverflow.com/users/1562994", "HongChow")</f>
        <v>HongChow</v>
      </c>
      <c r="D5282" t="s">
        <v>41</v>
      </c>
      <c r="E5282">
        <v>21</v>
      </c>
    </row>
    <row r="5283" spans="1:5" x14ac:dyDescent="0.25">
      <c r="A5283">
        <v>5282</v>
      </c>
      <c r="B5283">
        <v>1490796</v>
      </c>
      <c r="C5283" s="1" t="str">
        <f>HYPERLINK("http://stackoverflow.com/users/1490796", "MeNyK")</f>
        <v>MeNyK</v>
      </c>
      <c r="D5283" t="s">
        <v>4</v>
      </c>
      <c r="E5283">
        <v>21</v>
      </c>
    </row>
    <row r="5284" spans="1:5" x14ac:dyDescent="0.25">
      <c r="A5284">
        <v>5283</v>
      </c>
      <c r="B5284">
        <v>8817353</v>
      </c>
      <c r="C5284" s="1" t="str">
        <f>HYPERLINK("http://stackoverflow.com/users/8817353", "Pu Guan")</f>
        <v>Pu Guan</v>
      </c>
      <c r="D5284" t="s">
        <v>55</v>
      </c>
      <c r="E5284">
        <v>21</v>
      </c>
    </row>
    <row r="5285" spans="1:5" x14ac:dyDescent="0.25">
      <c r="A5285">
        <v>5284</v>
      </c>
      <c r="B5285">
        <v>3121851</v>
      </c>
      <c r="C5285" s="1" t="str">
        <f>HYPERLINK("http://stackoverflow.com/users/3121851", "Arden")</f>
        <v>Arden</v>
      </c>
      <c r="D5285" t="s">
        <v>6</v>
      </c>
      <c r="E5285">
        <v>21</v>
      </c>
    </row>
    <row r="5286" spans="1:5" x14ac:dyDescent="0.25">
      <c r="A5286">
        <v>5285</v>
      </c>
      <c r="B5286">
        <v>3077476</v>
      </c>
      <c r="C5286" s="1" t="str">
        <f>HYPERLINK("http://stackoverflow.com/users/3077476", "Tension")</f>
        <v>Tension</v>
      </c>
      <c r="D5286" t="s">
        <v>17</v>
      </c>
      <c r="E5286">
        <v>21</v>
      </c>
    </row>
    <row r="5287" spans="1:5" x14ac:dyDescent="0.25">
      <c r="A5287">
        <v>5286</v>
      </c>
      <c r="B5287">
        <v>1142218</v>
      </c>
      <c r="C5287" s="1" t="str">
        <f>HYPERLINK("http://stackoverflow.com/users/1142218", "Semicircle")</f>
        <v>Semicircle</v>
      </c>
      <c r="D5287" t="s">
        <v>37</v>
      </c>
      <c r="E5287">
        <v>21</v>
      </c>
    </row>
    <row r="5288" spans="1:5" x14ac:dyDescent="0.25">
      <c r="A5288">
        <v>5287</v>
      </c>
      <c r="B5288">
        <v>6583489</v>
      </c>
      <c r="C5288" s="1" t="str">
        <f>HYPERLINK("http://stackoverflow.com/users/6583489", "童学智")</f>
        <v>童学智</v>
      </c>
      <c r="D5288" t="s">
        <v>5</v>
      </c>
      <c r="E5288">
        <v>21</v>
      </c>
    </row>
    <row r="5289" spans="1:5" x14ac:dyDescent="0.25">
      <c r="A5289">
        <v>5288</v>
      </c>
      <c r="B5289">
        <v>6618138</v>
      </c>
      <c r="C5289" s="1" t="str">
        <f>HYPERLINK("http://stackoverflow.com/users/6618138", "Liu Gang")</f>
        <v>Liu Gang</v>
      </c>
      <c r="D5289" t="s">
        <v>131</v>
      </c>
      <c r="E5289">
        <v>21</v>
      </c>
    </row>
    <row r="5290" spans="1:5" x14ac:dyDescent="0.25">
      <c r="A5290">
        <v>5289</v>
      </c>
      <c r="B5290">
        <v>1088991</v>
      </c>
      <c r="C5290" s="1" t="str">
        <f>HYPERLINK("http://stackoverflow.com/users/1088991", "Jin Liu")</f>
        <v>Jin Liu</v>
      </c>
      <c r="D5290" t="s">
        <v>17</v>
      </c>
      <c r="E5290">
        <v>21</v>
      </c>
    </row>
    <row r="5291" spans="1:5" x14ac:dyDescent="0.25">
      <c r="A5291">
        <v>5290</v>
      </c>
      <c r="B5291">
        <v>1088901</v>
      </c>
      <c r="C5291" s="1" t="str">
        <f>HYPERLINK("http://stackoverflow.com/users/1088901", "XingxingWoo")</f>
        <v>XingxingWoo</v>
      </c>
      <c r="D5291" t="s">
        <v>4</v>
      </c>
      <c r="E5291">
        <v>21</v>
      </c>
    </row>
    <row r="5292" spans="1:5" x14ac:dyDescent="0.25">
      <c r="A5292">
        <v>5291</v>
      </c>
      <c r="B5292">
        <v>1031847</v>
      </c>
      <c r="C5292" s="1" t="str">
        <f>HYPERLINK("http://stackoverflow.com/users/1031847", "zjutoe")</f>
        <v>zjutoe</v>
      </c>
      <c r="D5292" t="s">
        <v>5</v>
      </c>
      <c r="E5292">
        <v>21</v>
      </c>
    </row>
    <row r="5293" spans="1:5" x14ac:dyDescent="0.25">
      <c r="A5293">
        <v>5292</v>
      </c>
      <c r="B5293">
        <v>8353977</v>
      </c>
      <c r="C5293" s="1" t="str">
        <f>HYPERLINK("http://stackoverflow.com/users/8353977", "denysowova")</f>
        <v>denysowova</v>
      </c>
      <c r="D5293" t="s">
        <v>16</v>
      </c>
      <c r="E5293">
        <v>21</v>
      </c>
    </row>
    <row r="5294" spans="1:5" x14ac:dyDescent="0.25">
      <c r="A5294">
        <v>5293</v>
      </c>
      <c r="B5294">
        <v>960494</v>
      </c>
      <c r="C5294" s="1" t="str">
        <f>HYPERLINK("http://stackoverflow.com/users/960494", "Chaoyang Che")</f>
        <v>Chaoyang Che</v>
      </c>
      <c r="D5294" t="s">
        <v>5</v>
      </c>
      <c r="E5294">
        <v>21</v>
      </c>
    </row>
    <row r="5295" spans="1:5" x14ac:dyDescent="0.25">
      <c r="A5295">
        <v>5294</v>
      </c>
      <c r="B5295">
        <v>4800167</v>
      </c>
      <c r="C5295" s="1" t="str">
        <f>HYPERLINK("http://stackoverflow.com/users/4800167", "mude918")</f>
        <v>mude918</v>
      </c>
      <c r="D5295" t="s">
        <v>113</v>
      </c>
      <c r="E5295">
        <v>21</v>
      </c>
    </row>
    <row r="5296" spans="1:5" x14ac:dyDescent="0.25">
      <c r="A5296">
        <v>5295</v>
      </c>
      <c r="B5296">
        <v>4803524</v>
      </c>
      <c r="C5296" s="1" t="str">
        <f>HYPERLINK("http://stackoverflow.com/users/4803524", "Bruce Lee")</f>
        <v>Bruce Lee</v>
      </c>
      <c r="D5296" t="s">
        <v>57</v>
      </c>
      <c r="E5296">
        <v>21</v>
      </c>
    </row>
    <row r="5297" spans="1:5" x14ac:dyDescent="0.25">
      <c r="A5297">
        <v>5296</v>
      </c>
      <c r="B5297">
        <v>6164666</v>
      </c>
      <c r="C5297" s="1" t="str">
        <f>HYPERLINK("http://stackoverflow.com/users/6164666", "青龍丶")</f>
        <v>青龍丶</v>
      </c>
      <c r="D5297" t="s">
        <v>4</v>
      </c>
      <c r="E5297">
        <v>21</v>
      </c>
    </row>
    <row r="5298" spans="1:5" x14ac:dyDescent="0.25">
      <c r="A5298">
        <v>5297</v>
      </c>
      <c r="B5298">
        <v>344814</v>
      </c>
      <c r="C5298" s="1" t="str">
        <f>HYPERLINK("http://stackoverflow.com/users/344814", "beimuaihui")</f>
        <v>beimuaihui</v>
      </c>
      <c r="D5298" t="s">
        <v>21</v>
      </c>
      <c r="E5298">
        <v>21</v>
      </c>
    </row>
    <row r="5299" spans="1:5" x14ac:dyDescent="0.25">
      <c r="A5299">
        <v>5298</v>
      </c>
      <c r="B5299">
        <v>4493645</v>
      </c>
      <c r="C5299" s="1" t="str">
        <f>HYPERLINK("http://stackoverflow.com/users/4493645", "Dan Lee")</f>
        <v>Dan Lee</v>
      </c>
      <c r="D5299" t="s">
        <v>17</v>
      </c>
      <c r="E5299">
        <v>21</v>
      </c>
    </row>
    <row r="5300" spans="1:5" x14ac:dyDescent="0.25">
      <c r="A5300">
        <v>5299</v>
      </c>
      <c r="B5300">
        <v>7989284</v>
      </c>
      <c r="C5300" s="1" t="str">
        <f>HYPERLINK("http://stackoverflow.com/users/7989284", "Leo Chow")</f>
        <v>Leo Chow</v>
      </c>
      <c r="D5300" t="s">
        <v>28</v>
      </c>
      <c r="E5300">
        <v>21</v>
      </c>
    </row>
    <row r="5301" spans="1:5" x14ac:dyDescent="0.25">
      <c r="A5301">
        <v>5300</v>
      </c>
      <c r="B5301">
        <v>4474412</v>
      </c>
      <c r="C5301" s="1" t="str">
        <f>HYPERLINK("http://stackoverflow.com/users/4474412", "Flora Liu")</f>
        <v>Flora Liu</v>
      </c>
      <c r="D5301" t="s">
        <v>4</v>
      </c>
      <c r="E5301">
        <v>21</v>
      </c>
    </row>
    <row r="5302" spans="1:5" x14ac:dyDescent="0.25">
      <c r="A5302">
        <v>5301</v>
      </c>
      <c r="B5302">
        <v>2458214</v>
      </c>
      <c r="C5302" s="1" t="str">
        <f>HYPERLINK("http://stackoverflow.com/users/2458214", "Jack")</f>
        <v>Jack</v>
      </c>
      <c r="D5302" t="s">
        <v>4</v>
      </c>
      <c r="E5302">
        <v>21</v>
      </c>
    </row>
    <row r="5303" spans="1:5" x14ac:dyDescent="0.25">
      <c r="A5303">
        <v>5302</v>
      </c>
      <c r="B5303">
        <v>186346</v>
      </c>
      <c r="C5303" s="1" t="str">
        <f>HYPERLINK("http://stackoverflow.com/users/186346", "Peica")</f>
        <v>Peica</v>
      </c>
      <c r="D5303" t="s">
        <v>21</v>
      </c>
      <c r="E5303">
        <v>21</v>
      </c>
    </row>
    <row r="5304" spans="1:5" x14ac:dyDescent="0.25">
      <c r="A5304">
        <v>5303</v>
      </c>
      <c r="B5304">
        <v>766402</v>
      </c>
      <c r="C5304" s="1" t="str">
        <f>HYPERLINK("http://stackoverflow.com/users/766402", "Leon Chen")</f>
        <v>Leon Chen</v>
      </c>
      <c r="D5304" t="s">
        <v>17</v>
      </c>
      <c r="E5304">
        <v>21</v>
      </c>
    </row>
    <row r="5305" spans="1:5" x14ac:dyDescent="0.25">
      <c r="A5305">
        <v>5304</v>
      </c>
      <c r="B5305">
        <v>10136333</v>
      </c>
      <c r="C5305" s="1" t="str">
        <f>HYPERLINK("http://stackoverflow.com/users/10136333", "Away.D")</f>
        <v>Away.D</v>
      </c>
      <c r="D5305" t="s">
        <v>55</v>
      </c>
      <c r="E5305">
        <v>21</v>
      </c>
    </row>
    <row r="5306" spans="1:5" x14ac:dyDescent="0.25">
      <c r="A5306">
        <v>5305</v>
      </c>
      <c r="B5306">
        <v>905186</v>
      </c>
      <c r="C5306" s="1" t="str">
        <f>HYPERLINK("http://stackoverflow.com/users/905186", "ifyr")</f>
        <v>ifyr</v>
      </c>
      <c r="D5306" t="s">
        <v>5</v>
      </c>
      <c r="E5306">
        <v>21</v>
      </c>
    </row>
    <row r="5307" spans="1:5" x14ac:dyDescent="0.25">
      <c r="A5307">
        <v>5306</v>
      </c>
      <c r="B5307">
        <v>889815</v>
      </c>
      <c r="C5307" s="1" t="str">
        <f>HYPERLINK("http://stackoverflow.com/users/889815", "Sponge")</f>
        <v>Sponge</v>
      </c>
      <c r="D5307" t="s">
        <v>5</v>
      </c>
      <c r="E5307">
        <v>21</v>
      </c>
    </row>
    <row r="5308" spans="1:5" x14ac:dyDescent="0.25">
      <c r="A5308">
        <v>5307</v>
      </c>
      <c r="B5308">
        <v>439408</v>
      </c>
      <c r="C5308" s="1" t="str">
        <f>HYPERLINK("http://stackoverflow.com/users/439408", "Wayne")</f>
        <v>Wayne</v>
      </c>
      <c r="D5308" t="s">
        <v>22</v>
      </c>
      <c r="E5308">
        <v>21</v>
      </c>
    </row>
    <row r="5309" spans="1:5" x14ac:dyDescent="0.25">
      <c r="A5309">
        <v>5308</v>
      </c>
      <c r="B5309">
        <v>6289941</v>
      </c>
      <c r="C5309" s="1" t="str">
        <f>HYPERLINK("http://stackoverflow.com/users/6289941", "Mindjet")</f>
        <v>Mindjet</v>
      </c>
      <c r="D5309" t="s">
        <v>25</v>
      </c>
      <c r="E5309">
        <v>21</v>
      </c>
    </row>
    <row r="5310" spans="1:5" x14ac:dyDescent="0.25">
      <c r="A5310">
        <v>5309</v>
      </c>
      <c r="B5310">
        <v>596425</v>
      </c>
      <c r="C5310" s="1" t="str">
        <f>HYPERLINK("http://stackoverflow.com/users/596425", "monexus")</f>
        <v>monexus</v>
      </c>
      <c r="D5310" t="s">
        <v>4</v>
      </c>
      <c r="E5310">
        <v>21</v>
      </c>
    </row>
    <row r="5311" spans="1:5" x14ac:dyDescent="0.25">
      <c r="A5311">
        <v>5310</v>
      </c>
      <c r="B5311">
        <v>3558580</v>
      </c>
      <c r="C5311" s="1" t="str">
        <f>HYPERLINK("http://stackoverflow.com/users/3558580", "Slim")</f>
        <v>Slim</v>
      </c>
      <c r="D5311" t="s">
        <v>5</v>
      </c>
      <c r="E5311">
        <v>21</v>
      </c>
    </row>
    <row r="5312" spans="1:5" x14ac:dyDescent="0.25">
      <c r="A5312">
        <v>5311</v>
      </c>
      <c r="B5312">
        <v>3521913</v>
      </c>
      <c r="C5312" s="1" t="str">
        <f>HYPERLINK("http://stackoverflow.com/users/3521913", "Leo")</f>
        <v>Leo</v>
      </c>
      <c r="D5312" t="s">
        <v>59</v>
      </c>
      <c r="E5312">
        <v>21</v>
      </c>
    </row>
    <row r="5313" spans="1:5" x14ac:dyDescent="0.25">
      <c r="A5313">
        <v>5312</v>
      </c>
      <c r="B5313">
        <v>1773171</v>
      </c>
      <c r="C5313" s="1" t="str">
        <f>HYPERLINK("http://stackoverflow.com/users/1773171", "Tzig")</f>
        <v>Tzig</v>
      </c>
      <c r="D5313" t="s">
        <v>5</v>
      </c>
      <c r="E5313">
        <v>21</v>
      </c>
    </row>
    <row r="5314" spans="1:5" x14ac:dyDescent="0.25">
      <c r="A5314">
        <v>5313</v>
      </c>
      <c r="B5314">
        <v>3603089</v>
      </c>
      <c r="C5314" s="1" t="str">
        <f>HYPERLINK("http://stackoverflow.com/users/3603089", "PKUEcho")</f>
        <v>PKUEcho</v>
      </c>
      <c r="D5314" t="s">
        <v>5</v>
      </c>
      <c r="E5314">
        <v>21</v>
      </c>
    </row>
    <row r="5315" spans="1:5" x14ac:dyDescent="0.25">
      <c r="A5315">
        <v>5314</v>
      </c>
      <c r="B5315">
        <v>3755056</v>
      </c>
      <c r="C5315" s="1" t="str">
        <f>HYPERLINK("http://stackoverflow.com/users/3755056", "lina2life")</f>
        <v>lina2life</v>
      </c>
      <c r="D5315" t="s">
        <v>4</v>
      </c>
      <c r="E5315">
        <v>21</v>
      </c>
    </row>
    <row r="5316" spans="1:5" x14ac:dyDescent="0.25">
      <c r="A5316">
        <v>5315</v>
      </c>
      <c r="B5316">
        <v>5541466</v>
      </c>
      <c r="C5316" s="1" t="str">
        <f>HYPERLINK("http://stackoverflow.com/users/5541466", "Alice")</f>
        <v>Alice</v>
      </c>
      <c r="D5316" t="s">
        <v>4</v>
      </c>
      <c r="E5316">
        <v>21</v>
      </c>
    </row>
    <row r="5317" spans="1:5" x14ac:dyDescent="0.25">
      <c r="A5317">
        <v>5316</v>
      </c>
      <c r="B5317">
        <v>7270626</v>
      </c>
      <c r="C5317" s="1" t="str">
        <f>HYPERLINK("http://stackoverflow.com/users/7270626", "Jack")</f>
        <v>Jack</v>
      </c>
      <c r="D5317" t="s">
        <v>314</v>
      </c>
      <c r="E5317">
        <v>21</v>
      </c>
    </row>
    <row r="5318" spans="1:5" x14ac:dyDescent="0.25">
      <c r="A5318">
        <v>5317</v>
      </c>
      <c r="B5318">
        <v>1931345</v>
      </c>
      <c r="C5318" s="1" t="str">
        <f>HYPERLINK("http://stackoverflow.com/users/1931345", "bluesky719")</f>
        <v>bluesky719</v>
      </c>
      <c r="D5318" t="s">
        <v>12</v>
      </c>
      <c r="E5318">
        <v>21</v>
      </c>
    </row>
    <row r="5319" spans="1:5" x14ac:dyDescent="0.25">
      <c r="A5319">
        <v>5318</v>
      </c>
      <c r="B5319">
        <v>1858745</v>
      </c>
      <c r="C5319" s="1" t="str">
        <f>HYPERLINK("http://stackoverflow.com/users/1858745", "burx")</f>
        <v>burx</v>
      </c>
      <c r="D5319" t="s">
        <v>5</v>
      </c>
      <c r="E5319">
        <v>21</v>
      </c>
    </row>
    <row r="5320" spans="1:5" x14ac:dyDescent="0.25">
      <c r="A5320">
        <v>5319</v>
      </c>
      <c r="B5320">
        <v>1862311</v>
      </c>
      <c r="C5320" s="1" t="str">
        <f>HYPERLINK("http://stackoverflow.com/users/1862311", "Binnng")</f>
        <v>Binnng</v>
      </c>
      <c r="D5320" t="s">
        <v>5</v>
      </c>
      <c r="E5320">
        <v>21</v>
      </c>
    </row>
    <row r="5321" spans="1:5" x14ac:dyDescent="0.25">
      <c r="A5321">
        <v>5320</v>
      </c>
      <c r="B5321">
        <v>5659191</v>
      </c>
      <c r="C5321" s="1" t="str">
        <f>HYPERLINK("http://stackoverflow.com/users/5659191", "Zhou Jian")</f>
        <v>Zhou Jian</v>
      </c>
      <c r="D5321" t="s">
        <v>12</v>
      </c>
      <c r="E5321">
        <v>21</v>
      </c>
    </row>
    <row r="5322" spans="1:5" x14ac:dyDescent="0.25">
      <c r="A5322">
        <v>5321</v>
      </c>
      <c r="B5322">
        <v>2107072</v>
      </c>
      <c r="C5322" s="1" t="str">
        <f>HYPERLINK("http://stackoverflow.com/users/2107072", "RoyMuste")</f>
        <v>RoyMuste</v>
      </c>
      <c r="D5322" t="s">
        <v>4</v>
      </c>
      <c r="E5322">
        <v>21</v>
      </c>
    </row>
    <row r="5323" spans="1:5" x14ac:dyDescent="0.25">
      <c r="A5323">
        <v>5322</v>
      </c>
      <c r="B5323">
        <v>2147835</v>
      </c>
      <c r="C5323" s="1" t="str">
        <f>HYPERLINK("http://stackoverflow.com/users/2147835", "Chaoba")</f>
        <v>Chaoba</v>
      </c>
      <c r="D5323" t="s">
        <v>5</v>
      </c>
      <c r="E5323">
        <v>21</v>
      </c>
    </row>
    <row r="5324" spans="1:5" x14ac:dyDescent="0.25">
      <c r="A5324">
        <v>5323</v>
      </c>
      <c r="B5324">
        <v>2187256</v>
      </c>
      <c r="C5324" s="1" t="str">
        <f>HYPERLINK("http://stackoverflow.com/users/2187256", "That Maori Guy in China")</f>
        <v>That Maori Guy in China</v>
      </c>
      <c r="D5324" t="s">
        <v>22</v>
      </c>
      <c r="E5324">
        <v>21</v>
      </c>
    </row>
    <row r="5325" spans="1:5" x14ac:dyDescent="0.25">
      <c r="A5325">
        <v>5324</v>
      </c>
      <c r="B5325">
        <v>2281042</v>
      </c>
      <c r="C5325" s="1" t="str">
        <f>HYPERLINK("http://stackoverflow.com/users/2281042", "Eric")</f>
        <v>Eric</v>
      </c>
      <c r="D5325" t="s">
        <v>5</v>
      </c>
      <c r="E5325">
        <v>21</v>
      </c>
    </row>
    <row r="5326" spans="1:5" x14ac:dyDescent="0.25">
      <c r="A5326">
        <v>5325</v>
      </c>
      <c r="B5326">
        <v>7549197</v>
      </c>
      <c r="C5326" s="1" t="str">
        <f>HYPERLINK("http://stackoverflow.com/users/7549197", "pauke Huang")</f>
        <v>pauke Huang</v>
      </c>
      <c r="D5326" t="s">
        <v>193</v>
      </c>
      <c r="E5326">
        <v>21</v>
      </c>
    </row>
    <row r="5327" spans="1:5" x14ac:dyDescent="0.25">
      <c r="A5327">
        <v>5326</v>
      </c>
      <c r="B5327">
        <v>2388025</v>
      </c>
      <c r="C5327" s="1" t="str">
        <f>HYPERLINK("http://stackoverflow.com/users/2388025", "John117")</f>
        <v>John117</v>
      </c>
      <c r="D5327" t="s">
        <v>3</v>
      </c>
      <c r="E5327">
        <v>21</v>
      </c>
    </row>
    <row r="5328" spans="1:5" x14ac:dyDescent="0.25">
      <c r="A5328">
        <v>5327</v>
      </c>
      <c r="B5328">
        <v>2416401</v>
      </c>
      <c r="C5328" s="1" t="str">
        <f>HYPERLINK("http://stackoverflow.com/users/2416401", "BenjaminLiu")</f>
        <v>BenjaminLiu</v>
      </c>
      <c r="D5328" t="s">
        <v>4</v>
      </c>
      <c r="E5328">
        <v>21</v>
      </c>
    </row>
    <row r="5329" spans="1:5" x14ac:dyDescent="0.25">
      <c r="A5329">
        <v>5328</v>
      </c>
      <c r="B5329">
        <v>2416566</v>
      </c>
      <c r="C5329" s="1" t="str">
        <f>HYPERLINK("http://stackoverflow.com/users/2416566", "gangmax")</f>
        <v>gangmax</v>
      </c>
      <c r="D5329" t="s">
        <v>5</v>
      </c>
      <c r="E5329">
        <v>21</v>
      </c>
    </row>
    <row r="5330" spans="1:5" x14ac:dyDescent="0.25">
      <c r="A5330">
        <v>5329</v>
      </c>
      <c r="B5330">
        <v>5944460</v>
      </c>
      <c r="C5330" s="1" t="str">
        <f>HYPERLINK("http://stackoverflow.com/users/5944460", "Jack Roger")</f>
        <v>Jack Roger</v>
      </c>
      <c r="D5330" t="s">
        <v>96</v>
      </c>
      <c r="E5330">
        <v>21</v>
      </c>
    </row>
    <row r="5331" spans="1:5" x14ac:dyDescent="0.25">
      <c r="A5331">
        <v>5330</v>
      </c>
      <c r="B5331">
        <v>5969292</v>
      </c>
      <c r="C5331" s="1" t="str">
        <f>HYPERLINK("http://stackoverflow.com/users/5969292", "Frank Zhang")</f>
        <v>Frank Zhang</v>
      </c>
      <c r="D5331" t="s">
        <v>28</v>
      </c>
      <c r="E5331">
        <v>21</v>
      </c>
    </row>
    <row r="5332" spans="1:5" x14ac:dyDescent="0.25">
      <c r="A5332">
        <v>5331</v>
      </c>
      <c r="B5332">
        <v>2731920</v>
      </c>
      <c r="C5332" s="1" t="str">
        <f>HYPERLINK("http://stackoverflow.com/users/2731920", "Frank.Zeng")</f>
        <v>Frank.Zeng</v>
      </c>
      <c r="D5332" t="s">
        <v>17</v>
      </c>
      <c r="E5332">
        <v>21</v>
      </c>
    </row>
    <row r="5333" spans="1:5" x14ac:dyDescent="0.25">
      <c r="A5333">
        <v>5332</v>
      </c>
      <c r="B5333">
        <v>670779</v>
      </c>
      <c r="C5333" s="1" t="str">
        <f>HYPERLINK("http://stackoverflow.com/users/670779", "Feifei Ji")</f>
        <v>Feifei Ji</v>
      </c>
      <c r="D5333" t="s">
        <v>56</v>
      </c>
      <c r="E5333">
        <v>21</v>
      </c>
    </row>
    <row r="5334" spans="1:5" x14ac:dyDescent="0.25">
      <c r="A5334">
        <v>5333</v>
      </c>
      <c r="B5334">
        <v>8153784</v>
      </c>
      <c r="C5334" s="1" t="str">
        <f>HYPERLINK("http://stackoverflow.com/users/8153784", "stream hu")</f>
        <v>stream hu</v>
      </c>
      <c r="D5334" t="s">
        <v>16</v>
      </c>
      <c r="E5334">
        <v>21</v>
      </c>
    </row>
    <row r="5335" spans="1:5" x14ac:dyDescent="0.25">
      <c r="A5335">
        <v>5334</v>
      </c>
      <c r="B5335">
        <v>6343641</v>
      </c>
      <c r="C5335" s="1" t="str">
        <f>HYPERLINK("http://stackoverflow.com/users/6343641", "JamesRobert")</f>
        <v>JamesRobert</v>
      </c>
      <c r="D5335" t="s">
        <v>7</v>
      </c>
      <c r="E5335">
        <v>21</v>
      </c>
    </row>
    <row r="5336" spans="1:5" x14ac:dyDescent="0.25">
      <c r="A5336">
        <v>5335</v>
      </c>
      <c r="B5336">
        <v>4745416</v>
      </c>
      <c r="C5336" s="1" t="str">
        <f>HYPERLINK("http://stackoverflow.com/users/4745416", "Wangze Ze")</f>
        <v>Wangze Ze</v>
      </c>
      <c r="D5336" t="s">
        <v>4</v>
      </c>
      <c r="E5336">
        <v>21</v>
      </c>
    </row>
    <row r="5337" spans="1:5" x14ac:dyDescent="0.25">
      <c r="A5337">
        <v>5336</v>
      </c>
      <c r="B5337">
        <v>2836813</v>
      </c>
      <c r="C5337" s="1" t="str">
        <f>HYPERLINK("http://stackoverflow.com/users/2836813", "CakeL")</f>
        <v>CakeL</v>
      </c>
      <c r="D5337" t="s">
        <v>21</v>
      </c>
      <c r="E5337">
        <v>21</v>
      </c>
    </row>
    <row r="5338" spans="1:5" x14ac:dyDescent="0.25">
      <c r="A5338">
        <v>5337</v>
      </c>
      <c r="B5338">
        <v>6412407</v>
      </c>
      <c r="C5338" s="1" t="str">
        <f>HYPERLINK("http://stackoverflow.com/users/6412407", "Joe Li")</f>
        <v>Joe Li</v>
      </c>
      <c r="D5338" t="s">
        <v>4</v>
      </c>
      <c r="E5338">
        <v>21</v>
      </c>
    </row>
    <row r="5339" spans="1:5" x14ac:dyDescent="0.25">
      <c r="A5339">
        <v>5338</v>
      </c>
      <c r="B5339">
        <v>2927225</v>
      </c>
      <c r="C5339" s="1" t="str">
        <f>HYPERLINK("http://stackoverflow.com/users/2927225", "heroxuguowei")</f>
        <v>heroxuguowei</v>
      </c>
      <c r="D5339" t="s">
        <v>3</v>
      </c>
      <c r="E5339">
        <v>21</v>
      </c>
    </row>
    <row r="5340" spans="1:5" x14ac:dyDescent="0.25">
      <c r="A5340">
        <v>5339</v>
      </c>
      <c r="B5340">
        <v>254961</v>
      </c>
      <c r="C5340" s="1" t="str">
        <f>HYPERLINK("http://stackoverflow.com/users/254961", "liulinyang")</f>
        <v>liulinyang</v>
      </c>
      <c r="D5340" t="s">
        <v>37</v>
      </c>
      <c r="E5340">
        <v>21</v>
      </c>
    </row>
    <row r="5341" spans="1:5" x14ac:dyDescent="0.25">
      <c r="A5341">
        <v>5340</v>
      </c>
      <c r="B5341">
        <v>7913082</v>
      </c>
      <c r="C5341" s="1" t="str">
        <f>HYPERLINK("http://stackoverflow.com/users/7913082", "Aleaxandors Cen")</f>
        <v>Aleaxandors Cen</v>
      </c>
      <c r="D5341" t="s">
        <v>25</v>
      </c>
      <c r="E5341">
        <v>21</v>
      </c>
    </row>
    <row r="5342" spans="1:5" x14ac:dyDescent="0.25">
      <c r="A5342">
        <v>5341</v>
      </c>
      <c r="B5342">
        <v>236550</v>
      </c>
      <c r="C5342" s="1" t="str">
        <f>HYPERLINK("http://stackoverflow.com/users/236550", "qubic")</f>
        <v>qubic</v>
      </c>
      <c r="D5342" t="s">
        <v>12</v>
      </c>
      <c r="E5342">
        <v>21</v>
      </c>
    </row>
    <row r="5343" spans="1:5" x14ac:dyDescent="0.25">
      <c r="A5343">
        <v>5342</v>
      </c>
      <c r="B5343">
        <v>200711</v>
      </c>
      <c r="C5343" s="1" t="str">
        <f>HYPERLINK("http://stackoverflow.com/users/200711", "Terrence Lee")</f>
        <v>Terrence Lee</v>
      </c>
      <c r="D5343" t="s">
        <v>5</v>
      </c>
      <c r="E5343">
        <v>21</v>
      </c>
    </row>
    <row r="5344" spans="1:5" x14ac:dyDescent="0.25">
      <c r="A5344">
        <v>5343</v>
      </c>
      <c r="B5344">
        <v>7830405</v>
      </c>
      <c r="C5344" s="1" t="str">
        <f>HYPERLINK("http://stackoverflow.com/users/7830405", "whyour")</f>
        <v>whyour</v>
      </c>
      <c r="D5344" t="s">
        <v>5</v>
      </c>
      <c r="E5344">
        <v>21</v>
      </c>
    </row>
    <row r="5345" spans="1:5" x14ac:dyDescent="0.25">
      <c r="A5345">
        <v>5344</v>
      </c>
      <c r="B5345">
        <v>6063998</v>
      </c>
      <c r="C5345" s="1" t="str">
        <f>HYPERLINK("http://stackoverflow.com/users/6063998", "Wen")</f>
        <v>Wen</v>
      </c>
      <c r="D5345" t="s">
        <v>5</v>
      </c>
      <c r="E5345">
        <v>21</v>
      </c>
    </row>
    <row r="5346" spans="1:5" x14ac:dyDescent="0.25">
      <c r="A5346">
        <v>5345</v>
      </c>
      <c r="B5346">
        <v>2429256</v>
      </c>
      <c r="C5346" s="1" t="str">
        <f>HYPERLINK("http://stackoverflow.com/users/2429256", "willyang")</f>
        <v>willyang</v>
      </c>
      <c r="D5346" t="s">
        <v>4</v>
      </c>
      <c r="E5346">
        <v>21</v>
      </c>
    </row>
    <row r="5347" spans="1:5" x14ac:dyDescent="0.25">
      <c r="A5347">
        <v>5346</v>
      </c>
      <c r="B5347">
        <v>6215486</v>
      </c>
      <c r="C5347" s="1" t="str">
        <f>HYPERLINK("http://stackoverflow.com/users/6215486", "nanjunxiao")</f>
        <v>nanjunxiao</v>
      </c>
      <c r="D5347" t="s">
        <v>5</v>
      </c>
      <c r="E5347">
        <v>21</v>
      </c>
    </row>
    <row r="5348" spans="1:5" x14ac:dyDescent="0.25">
      <c r="A5348">
        <v>5347</v>
      </c>
      <c r="B5348">
        <v>415770</v>
      </c>
      <c r="C5348" s="1" t="str">
        <f>HYPERLINK("http://stackoverflow.com/users/415770", "Henry")</f>
        <v>Henry</v>
      </c>
      <c r="D5348" t="s">
        <v>12</v>
      </c>
      <c r="E5348">
        <v>21</v>
      </c>
    </row>
    <row r="5349" spans="1:5" x14ac:dyDescent="0.25">
      <c r="A5349">
        <v>5348</v>
      </c>
      <c r="B5349">
        <v>4431337</v>
      </c>
      <c r="C5349" s="1" t="str">
        <f>HYPERLINK("http://stackoverflow.com/users/4431337", "newbmiao")</f>
        <v>newbmiao</v>
      </c>
      <c r="D5349" t="s">
        <v>5</v>
      </c>
      <c r="E5349">
        <v>21</v>
      </c>
    </row>
    <row r="5350" spans="1:5" x14ac:dyDescent="0.25">
      <c r="A5350">
        <v>5349</v>
      </c>
      <c r="B5350">
        <v>4427797</v>
      </c>
      <c r="C5350" s="1" t="str">
        <f>HYPERLINK("http://stackoverflow.com/users/4427797", "ticy")</f>
        <v>ticy</v>
      </c>
      <c r="D5350" t="s">
        <v>4</v>
      </c>
      <c r="E5350">
        <v>21</v>
      </c>
    </row>
    <row r="5351" spans="1:5" x14ac:dyDescent="0.25">
      <c r="A5351">
        <v>5350</v>
      </c>
      <c r="B5351">
        <v>283440</v>
      </c>
      <c r="C5351" s="1" t="str">
        <f>HYPERLINK("http://stackoverflow.com/users/283440", "Liuyi Sun")</f>
        <v>Liuyi Sun</v>
      </c>
      <c r="D5351" t="s">
        <v>5</v>
      </c>
      <c r="E5351">
        <v>21</v>
      </c>
    </row>
    <row r="5352" spans="1:5" x14ac:dyDescent="0.25">
      <c r="A5352">
        <v>5351</v>
      </c>
      <c r="B5352">
        <v>963716</v>
      </c>
      <c r="C5352" s="1" t="str">
        <f>HYPERLINK("http://stackoverflow.com/users/963716", "FireDancer")</f>
        <v>FireDancer</v>
      </c>
      <c r="D5352" t="s">
        <v>4</v>
      </c>
      <c r="E5352">
        <v>21</v>
      </c>
    </row>
    <row r="5353" spans="1:5" x14ac:dyDescent="0.25">
      <c r="A5353">
        <v>5352</v>
      </c>
      <c r="B5353">
        <v>3114886</v>
      </c>
      <c r="C5353" s="1" t="str">
        <f>HYPERLINK("http://stackoverflow.com/users/3114886", "colonel")</f>
        <v>colonel</v>
      </c>
      <c r="D5353" t="s">
        <v>22</v>
      </c>
      <c r="E5353">
        <v>21</v>
      </c>
    </row>
    <row r="5354" spans="1:5" x14ac:dyDescent="0.25">
      <c r="A5354">
        <v>5353</v>
      </c>
      <c r="B5354">
        <v>3103611</v>
      </c>
      <c r="C5354" s="1" t="str">
        <f>HYPERLINK("http://stackoverflow.com/users/3103611", "thatcat")</f>
        <v>thatcat</v>
      </c>
      <c r="D5354" t="s">
        <v>21</v>
      </c>
      <c r="E5354">
        <v>21</v>
      </c>
    </row>
    <row r="5355" spans="1:5" x14ac:dyDescent="0.25">
      <c r="A5355">
        <v>5354</v>
      </c>
      <c r="B5355">
        <v>1275317</v>
      </c>
      <c r="C5355" s="1" t="str">
        <f>HYPERLINK("http://stackoverflow.com/users/1275317", "zigzagpup")</f>
        <v>zigzagpup</v>
      </c>
      <c r="D5355" t="s">
        <v>21</v>
      </c>
      <c r="E5355">
        <v>21</v>
      </c>
    </row>
    <row r="5356" spans="1:5" x14ac:dyDescent="0.25">
      <c r="A5356">
        <v>5355</v>
      </c>
      <c r="B5356">
        <v>5169322</v>
      </c>
      <c r="C5356" s="1" t="str">
        <f>HYPERLINK("http://stackoverflow.com/users/5169322", "Frank Lin")</f>
        <v>Frank Lin</v>
      </c>
      <c r="D5356" t="s">
        <v>49</v>
      </c>
      <c r="E5356">
        <v>21</v>
      </c>
    </row>
    <row r="5357" spans="1:5" x14ac:dyDescent="0.25">
      <c r="A5357">
        <v>5356</v>
      </c>
      <c r="B5357">
        <v>3239115</v>
      </c>
      <c r="C5357" s="1" t="str">
        <f>HYPERLINK("http://stackoverflow.com/users/3239115", "Kwasi Kumi")</f>
        <v>Kwasi Kumi</v>
      </c>
      <c r="D5357" t="s">
        <v>6</v>
      </c>
      <c r="E5357">
        <v>21</v>
      </c>
    </row>
    <row r="5358" spans="1:5" x14ac:dyDescent="0.25">
      <c r="A5358">
        <v>5357</v>
      </c>
      <c r="B5358">
        <v>5105007</v>
      </c>
      <c r="C5358" s="1" t="str">
        <f>HYPERLINK("http://stackoverflow.com/users/5105007", "Jiancan Chen")</f>
        <v>Jiancan Chen</v>
      </c>
      <c r="D5358" t="s">
        <v>17</v>
      </c>
      <c r="E5358">
        <v>21</v>
      </c>
    </row>
    <row r="5359" spans="1:5" x14ac:dyDescent="0.25">
      <c r="A5359">
        <v>5358</v>
      </c>
      <c r="B5359">
        <v>1421227</v>
      </c>
      <c r="C5359" s="1" t="str">
        <f>HYPERLINK("http://stackoverflow.com/users/1421227", "meichenhui")</f>
        <v>meichenhui</v>
      </c>
      <c r="D5359" t="s">
        <v>38</v>
      </c>
      <c r="E5359">
        <v>21</v>
      </c>
    </row>
    <row r="5360" spans="1:5" x14ac:dyDescent="0.25">
      <c r="A5360">
        <v>5359</v>
      </c>
      <c r="B5360">
        <v>1421412</v>
      </c>
      <c r="C5360" s="1" t="str">
        <f>HYPERLINK("http://stackoverflow.com/users/1421412", "Utopia.Xia")</f>
        <v>Utopia.Xia</v>
      </c>
      <c r="D5360" t="s">
        <v>22</v>
      </c>
      <c r="E5360">
        <v>21</v>
      </c>
    </row>
    <row r="5361" spans="1:5" x14ac:dyDescent="0.25">
      <c r="A5361">
        <v>5360</v>
      </c>
      <c r="B5361">
        <v>1449049</v>
      </c>
      <c r="C5361" s="1" t="str">
        <f>HYPERLINK("http://stackoverflow.com/users/1449049", "SmallTitan")</f>
        <v>SmallTitan</v>
      </c>
      <c r="D5361" t="s">
        <v>5</v>
      </c>
      <c r="E5361">
        <v>21</v>
      </c>
    </row>
    <row r="5362" spans="1:5" x14ac:dyDescent="0.25">
      <c r="A5362">
        <v>5361</v>
      </c>
      <c r="B5362">
        <v>5229098</v>
      </c>
      <c r="C5362" s="1" t="str">
        <f>HYPERLINK("http://stackoverflow.com/users/5229098", "michaelmao")</f>
        <v>michaelmao</v>
      </c>
      <c r="D5362" t="s">
        <v>5</v>
      </c>
      <c r="E5362">
        <v>21</v>
      </c>
    </row>
    <row r="5363" spans="1:5" x14ac:dyDescent="0.25">
      <c r="A5363">
        <v>5362</v>
      </c>
      <c r="B5363">
        <v>5229727</v>
      </c>
      <c r="C5363" s="1" t="str">
        <f>HYPERLINK("http://stackoverflow.com/users/5229727", "Huanyu")</f>
        <v>Huanyu</v>
      </c>
      <c r="D5363" t="s">
        <v>5</v>
      </c>
      <c r="E5363">
        <v>21</v>
      </c>
    </row>
    <row r="5364" spans="1:5" x14ac:dyDescent="0.25">
      <c r="A5364">
        <v>5363</v>
      </c>
      <c r="B5364">
        <v>7011507</v>
      </c>
      <c r="C5364" s="1" t="str">
        <f>HYPERLINK("http://stackoverflow.com/users/7011507", "chuanshan ma")</f>
        <v>chuanshan ma</v>
      </c>
      <c r="D5364" t="s">
        <v>5</v>
      </c>
      <c r="E5364">
        <v>21</v>
      </c>
    </row>
    <row r="5365" spans="1:5" x14ac:dyDescent="0.25">
      <c r="A5365">
        <v>5364</v>
      </c>
      <c r="B5365">
        <v>5258764</v>
      </c>
      <c r="C5365" s="1" t="str">
        <f>HYPERLINK("http://stackoverflow.com/users/5258764", "Stephen Cremin")</f>
        <v>Stephen Cremin</v>
      </c>
      <c r="D5365" t="s">
        <v>5</v>
      </c>
      <c r="E5365">
        <v>21</v>
      </c>
    </row>
    <row r="5366" spans="1:5" x14ac:dyDescent="0.25">
      <c r="A5366">
        <v>5365</v>
      </c>
      <c r="B5366">
        <v>1687565</v>
      </c>
      <c r="C5366" s="1" t="str">
        <f>HYPERLINK("http://stackoverflow.com/users/1687565", "SelaYou")</f>
        <v>SelaYou</v>
      </c>
      <c r="D5366" t="s">
        <v>5</v>
      </c>
      <c r="E5366">
        <v>21</v>
      </c>
    </row>
    <row r="5367" spans="1:5" x14ac:dyDescent="0.25">
      <c r="A5367">
        <v>5366</v>
      </c>
      <c r="B5367">
        <v>5303815</v>
      </c>
      <c r="C5367" s="1" t="str">
        <f>HYPERLINK("http://stackoverflow.com/users/5303815", "Kyle")</f>
        <v>Kyle</v>
      </c>
      <c r="D5367" t="s">
        <v>4</v>
      </c>
      <c r="E5367">
        <v>21</v>
      </c>
    </row>
    <row r="5368" spans="1:5" x14ac:dyDescent="0.25">
      <c r="A5368">
        <v>5367</v>
      </c>
      <c r="B5368">
        <v>3991840</v>
      </c>
      <c r="C5368" s="1" t="str">
        <f>HYPERLINK("http://stackoverflow.com/users/3991840", "Kevin")</f>
        <v>Kevin</v>
      </c>
      <c r="D5368" t="s">
        <v>37</v>
      </c>
      <c r="E5368">
        <v>21</v>
      </c>
    </row>
    <row r="5369" spans="1:5" x14ac:dyDescent="0.25">
      <c r="A5369">
        <v>5368</v>
      </c>
      <c r="B5369">
        <v>5771260</v>
      </c>
      <c r="C5369" s="1" t="str">
        <f>HYPERLINK("http://stackoverflow.com/users/5771260", "chenpengye")</f>
        <v>chenpengye</v>
      </c>
      <c r="D5369" t="s">
        <v>5</v>
      </c>
      <c r="E5369">
        <v>21</v>
      </c>
    </row>
    <row r="5370" spans="1:5" x14ac:dyDescent="0.25">
      <c r="A5370">
        <v>5369</v>
      </c>
      <c r="B5370">
        <v>5801584</v>
      </c>
      <c r="C5370" s="1" t="str">
        <f>HYPERLINK("http://stackoverflow.com/users/5801584", "Tim")</f>
        <v>Tim</v>
      </c>
      <c r="D5370" t="s">
        <v>12</v>
      </c>
      <c r="E5370">
        <v>21</v>
      </c>
    </row>
    <row r="5371" spans="1:5" x14ac:dyDescent="0.25">
      <c r="A5371">
        <v>5370</v>
      </c>
      <c r="B5371">
        <v>3879203</v>
      </c>
      <c r="C5371" s="1" t="str">
        <f>HYPERLINK("http://stackoverflow.com/users/3879203", "uncle lee")</f>
        <v>uncle lee</v>
      </c>
      <c r="D5371" t="s">
        <v>8</v>
      </c>
      <c r="E5371">
        <v>21</v>
      </c>
    </row>
    <row r="5372" spans="1:5" x14ac:dyDescent="0.25">
      <c r="A5372">
        <v>5371</v>
      </c>
      <c r="B5372">
        <v>5677472</v>
      </c>
      <c r="C5372" s="1" t="str">
        <f>HYPERLINK("http://stackoverflow.com/users/5677472", "djzhao")</f>
        <v>djzhao</v>
      </c>
      <c r="D5372" t="s">
        <v>3</v>
      </c>
      <c r="E5372">
        <v>21</v>
      </c>
    </row>
    <row r="5373" spans="1:5" x14ac:dyDescent="0.25">
      <c r="A5373">
        <v>5372</v>
      </c>
      <c r="B5373">
        <v>5813406</v>
      </c>
      <c r="C5373" s="1" t="str">
        <f>HYPERLINK("http://stackoverflow.com/users/5813406", "D.Yang")</f>
        <v>D.Yang</v>
      </c>
      <c r="D5373" t="s">
        <v>5</v>
      </c>
      <c r="E5373">
        <v>21</v>
      </c>
    </row>
    <row r="5374" spans="1:5" x14ac:dyDescent="0.25">
      <c r="A5374">
        <v>5373</v>
      </c>
      <c r="B5374">
        <v>5584881</v>
      </c>
      <c r="C5374" s="1" t="str">
        <f>HYPERLINK("http://stackoverflow.com/users/5584881", "Lijun Huang")</f>
        <v>Lijun Huang</v>
      </c>
      <c r="D5374" t="s">
        <v>5</v>
      </c>
      <c r="E5374">
        <v>21</v>
      </c>
    </row>
    <row r="5375" spans="1:5" x14ac:dyDescent="0.25">
      <c r="A5375">
        <v>5374</v>
      </c>
      <c r="B5375">
        <v>1899714</v>
      </c>
      <c r="C5375" s="1" t="str">
        <f>HYPERLINK("http://stackoverflow.com/users/1899714", "dereky")</f>
        <v>dereky</v>
      </c>
      <c r="D5375" t="s">
        <v>5</v>
      </c>
      <c r="E5375">
        <v>21</v>
      </c>
    </row>
    <row r="5376" spans="1:5" x14ac:dyDescent="0.25">
      <c r="A5376">
        <v>5375</v>
      </c>
      <c r="B5376">
        <v>3678679</v>
      </c>
      <c r="C5376" s="1" t="str">
        <f>HYPERLINK("http://stackoverflow.com/users/3678679", "HuangFelix")</f>
        <v>HuangFelix</v>
      </c>
      <c r="D5376" t="s">
        <v>4</v>
      </c>
      <c r="E5376">
        <v>21</v>
      </c>
    </row>
    <row r="5377" spans="1:5" x14ac:dyDescent="0.25">
      <c r="A5377">
        <v>5376</v>
      </c>
      <c r="B5377">
        <v>1900009</v>
      </c>
      <c r="C5377" s="1" t="str">
        <f>HYPERLINK("http://stackoverflow.com/users/1900009", "Pandar_H")</f>
        <v>Pandar_H</v>
      </c>
      <c r="D5377" t="s">
        <v>5</v>
      </c>
      <c r="E5377">
        <v>21</v>
      </c>
    </row>
    <row r="5378" spans="1:5" x14ac:dyDescent="0.25">
      <c r="A5378">
        <v>5377</v>
      </c>
      <c r="B5378">
        <v>7243890</v>
      </c>
      <c r="C5378" s="1" t="str">
        <f>HYPERLINK("http://stackoverflow.com/users/7243890", "Jason.shen")</f>
        <v>Jason.shen</v>
      </c>
      <c r="D5378" t="s">
        <v>4</v>
      </c>
      <c r="E5378">
        <v>21</v>
      </c>
    </row>
    <row r="5379" spans="1:5" x14ac:dyDescent="0.25">
      <c r="A5379">
        <v>5378</v>
      </c>
      <c r="B5379">
        <v>5377069</v>
      </c>
      <c r="C5379" s="1" t="str">
        <f>HYPERLINK("http://stackoverflow.com/users/5377069", "Lawrence Chen")</f>
        <v>Lawrence Chen</v>
      </c>
      <c r="D5379" t="s">
        <v>21</v>
      </c>
      <c r="E5379">
        <v>21</v>
      </c>
    </row>
    <row r="5380" spans="1:5" x14ac:dyDescent="0.25">
      <c r="A5380">
        <v>5379</v>
      </c>
      <c r="B5380">
        <v>1787670</v>
      </c>
      <c r="C5380" s="1" t="str">
        <f>HYPERLINK("http://stackoverflow.com/users/1787670", "Supersouth")</f>
        <v>Supersouth</v>
      </c>
      <c r="D5380" t="s">
        <v>5</v>
      </c>
      <c r="E5380">
        <v>21</v>
      </c>
    </row>
    <row r="5381" spans="1:5" x14ac:dyDescent="0.25">
      <c r="A5381">
        <v>5380</v>
      </c>
      <c r="B5381">
        <v>1787978</v>
      </c>
      <c r="C5381" s="1" t="str">
        <f>HYPERLINK("http://stackoverflow.com/users/1787978", "zhangshenjia")</f>
        <v>zhangshenjia</v>
      </c>
      <c r="D5381" t="s">
        <v>5</v>
      </c>
      <c r="E5381">
        <v>21</v>
      </c>
    </row>
    <row r="5382" spans="1:5" x14ac:dyDescent="0.25">
      <c r="A5382">
        <v>5381</v>
      </c>
      <c r="B5382">
        <v>7149473</v>
      </c>
      <c r="C5382" s="1" t="str">
        <f>HYPERLINK("http://stackoverflow.com/users/7149473", "Chinbat G.")</f>
        <v>Chinbat G.</v>
      </c>
      <c r="D5382" t="s">
        <v>315</v>
      </c>
      <c r="E5382">
        <v>20</v>
      </c>
    </row>
    <row r="5383" spans="1:5" x14ac:dyDescent="0.25">
      <c r="A5383">
        <v>5382</v>
      </c>
      <c r="B5383">
        <v>2290003</v>
      </c>
      <c r="C5383" s="1" t="str">
        <f>HYPERLINK("http://stackoverflow.com/users/2290003", "elesos")</f>
        <v>elesos</v>
      </c>
      <c r="D5383" t="s">
        <v>5</v>
      </c>
      <c r="E5383">
        <v>20</v>
      </c>
    </row>
    <row r="5384" spans="1:5" x14ac:dyDescent="0.25">
      <c r="A5384">
        <v>5383</v>
      </c>
      <c r="B5384">
        <v>5891038</v>
      </c>
      <c r="C5384" s="1" t="str">
        <f>HYPERLINK("http://stackoverflow.com/users/5891038", "Axe")</f>
        <v>Axe</v>
      </c>
      <c r="D5384" t="s">
        <v>5</v>
      </c>
      <c r="E5384">
        <v>20</v>
      </c>
    </row>
    <row r="5385" spans="1:5" x14ac:dyDescent="0.25">
      <c r="A5385">
        <v>5384</v>
      </c>
      <c r="B5385">
        <v>8077602</v>
      </c>
      <c r="C5385" s="1" t="str">
        <f>HYPERLINK("http://stackoverflow.com/users/8077602", "Toby Mao")</f>
        <v>Toby Mao</v>
      </c>
      <c r="D5385" t="s">
        <v>176</v>
      </c>
      <c r="E5385">
        <v>20</v>
      </c>
    </row>
    <row r="5386" spans="1:5" x14ac:dyDescent="0.25">
      <c r="A5386">
        <v>5385</v>
      </c>
      <c r="B5386">
        <v>1665100</v>
      </c>
      <c r="C5386" s="1" t="str">
        <f>HYPERLINK("http://stackoverflow.com/users/1665100", "dawnwords")</f>
        <v>dawnwords</v>
      </c>
      <c r="D5386" t="s">
        <v>4</v>
      </c>
      <c r="E5386">
        <v>20</v>
      </c>
    </row>
    <row r="5387" spans="1:5" x14ac:dyDescent="0.25">
      <c r="A5387">
        <v>5386</v>
      </c>
      <c r="B5387">
        <v>2728381</v>
      </c>
      <c r="C5387" s="1" t="str">
        <f>HYPERLINK("http://stackoverflow.com/users/2728381", "Jason Wu")</f>
        <v>Jason Wu</v>
      </c>
      <c r="D5387" t="s">
        <v>4</v>
      </c>
      <c r="E5387">
        <v>20</v>
      </c>
    </row>
    <row r="5388" spans="1:5" x14ac:dyDescent="0.25">
      <c r="A5388">
        <v>5387</v>
      </c>
      <c r="B5388">
        <v>6189022</v>
      </c>
      <c r="C5388" s="1" t="str">
        <f>HYPERLINK("http://stackoverflow.com/users/6189022", "Evgeny Pavlov")</f>
        <v>Evgeny Pavlov</v>
      </c>
      <c r="D5388" t="s">
        <v>4</v>
      </c>
      <c r="E5388">
        <v>20</v>
      </c>
    </row>
    <row r="5389" spans="1:5" x14ac:dyDescent="0.25">
      <c r="A5389">
        <v>5388</v>
      </c>
      <c r="B5389">
        <v>1563011</v>
      </c>
      <c r="C5389" s="1" t="str">
        <f>HYPERLINK("http://stackoverflow.com/users/1563011", "Sing")</f>
        <v>Sing</v>
      </c>
      <c r="D5389" t="s">
        <v>5</v>
      </c>
      <c r="E5389">
        <v>20</v>
      </c>
    </row>
    <row r="5390" spans="1:5" x14ac:dyDescent="0.25">
      <c r="A5390">
        <v>5389</v>
      </c>
      <c r="B5390">
        <v>9190665</v>
      </c>
      <c r="C5390" s="1" t="str">
        <f>HYPERLINK("http://stackoverflow.com/users/9190665", "flyingfish")</f>
        <v>flyingfish</v>
      </c>
      <c r="D5390" t="s">
        <v>316</v>
      </c>
      <c r="E5390">
        <v>20</v>
      </c>
    </row>
    <row r="5391" spans="1:5" x14ac:dyDescent="0.25">
      <c r="A5391">
        <v>5390</v>
      </c>
      <c r="B5391">
        <v>9331374</v>
      </c>
      <c r="C5391" s="1" t="str">
        <f>HYPERLINK("http://stackoverflow.com/users/9331374", "HenryJ")</f>
        <v>HenryJ</v>
      </c>
      <c r="D5391" t="s">
        <v>4</v>
      </c>
      <c r="E5391">
        <v>20</v>
      </c>
    </row>
    <row r="5392" spans="1:5" x14ac:dyDescent="0.25">
      <c r="A5392">
        <v>5391</v>
      </c>
      <c r="B5392">
        <v>556594</v>
      </c>
      <c r="C5392" s="1" t="str">
        <f>HYPERLINK("http://stackoverflow.com/users/556594", "ZheX")</f>
        <v>ZheX</v>
      </c>
      <c r="D5392" t="s">
        <v>4</v>
      </c>
      <c r="E5392">
        <v>20</v>
      </c>
    </row>
    <row r="5393" spans="1:5" x14ac:dyDescent="0.25">
      <c r="A5393">
        <v>5392</v>
      </c>
      <c r="B5393">
        <v>468165</v>
      </c>
      <c r="C5393" s="1" t="str">
        <f>HYPERLINK("http://stackoverflow.com/users/468165", "donie")</f>
        <v>donie</v>
      </c>
      <c r="D5393" t="s">
        <v>62</v>
      </c>
      <c r="E5393">
        <v>20</v>
      </c>
    </row>
    <row r="5394" spans="1:5" x14ac:dyDescent="0.25">
      <c r="A5394">
        <v>5393</v>
      </c>
      <c r="B5394">
        <v>222594</v>
      </c>
      <c r="C5394" s="1" t="str">
        <f>HYPERLINK("http://stackoverflow.com/users/222594", "breadbread1984")</f>
        <v>breadbread1984</v>
      </c>
      <c r="D5394" t="s">
        <v>5</v>
      </c>
      <c r="E5394">
        <v>20</v>
      </c>
    </row>
    <row r="5395" spans="1:5" x14ac:dyDescent="0.25">
      <c r="A5395">
        <v>5394</v>
      </c>
      <c r="B5395">
        <v>1560845</v>
      </c>
      <c r="C5395" s="1" t="str">
        <f>HYPERLINK("http://stackoverflow.com/users/1560845", "liuran")</f>
        <v>liuran</v>
      </c>
      <c r="D5395" t="s">
        <v>5</v>
      </c>
      <c r="E5395">
        <v>20</v>
      </c>
    </row>
    <row r="5396" spans="1:5" x14ac:dyDescent="0.25">
      <c r="A5396">
        <v>5395</v>
      </c>
      <c r="B5396">
        <v>3777755</v>
      </c>
      <c r="C5396" s="1" t="str">
        <f>HYPERLINK("http://stackoverflow.com/users/3777755", "eric")</f>
        <v>eric</v>
      </c>
      <c r="D5396" t="s">
        <v>17</v>
      </c>
      <c r="E5396">
        <v>20</v>
      </c>
    </row>
    <row r="5397" spans="1:5" x14ac:dyDescent="0.25">
      <c r="A5397">
        <v>5396</v>
      </c>
      <c r="B5397">
        <v>3289649</v>
      </c>
      <c r="C5397" s="1" t="str">
        <f>HYPERLINK("http://stackoverflow.com/users/3289649", "0neSe7en")</f>
        <v>0neSe7en</v>
      </c>
      <c r="D5397" t="s">
        <v>5</v>
      </c>
      <c r="E5397">
        <v>20</v>
      </c>
    </row>
    <row r="5398" spans="1:5" x14ac:dyDescent="0.25">
      <c r="A5398">
        <v>5397</v>
      </c>
      <c r="B5398">
        <v>1299687</v>
      </c>
      <c r="C5398" s="1" t="str">
        <f>HYPERLINK("http://stackoverflow.com/users/1299687", "chenhai")</f>
        <v>chenhai</v>
      </c>
      <c r="D5398" t="s">
        <v>5</v>
      </c>
      <c r="E5398">
        <v>20</v>
      </c>
    </row>
    <row r="5399" spans="1:5" x14ac:dyDescent="0.25">
      <c r="A5399">
        <v>5398</v>
      </c>
      <c r="B5399">
        <v>1026854</v>
      </c>
      <c r="C5399" s="1" t="str">
        <f>HYPERLINK("http://stackoverflow.com/users/1026854", "glig")</f>
        <v>glig</v>
      </c>
      <c r="D5399" t="s">
        <v>57</v>
      </c>
      <c r="E5399">
        <v>20</v>
      </c>
    </row>
    <row r="5400" spans="1:5" x14ac:dyDescent="0.25">
      <c r="A5400">
        <v>5399</v>
      </c>
      <c r="B5400">
        <v>1080951</v>
      </c>
      <c r="C5400" s="1" t="str">
        <f>HYPERLINK("http://stackoverflow.com/users/1080951", "codesve")</f>
        <v>codesve</v>
      </c>
      <c r="D5400" t="s">
        <v>28</v>
      </c>
      <c r="E5400">
        <v>20</v>
      </c>
    </row>
    <row r="5401" spans="1:5" x14ac:dyDescent="0.25">
      <c r="A5401">
        <v>5400</v>
      </c>
      <c r="B5401">
        <v>631506</v>
      </c>
      <c r="C5401" s="1" t="str">
        <f>HYPERLINK("http://stackoverflow.com/users/631506", "zxwind")</f>
        <v>zxwind</v>
      </c>
      <c r="D5401" t="s">
        <v>4</v>
      </c>
      <c r="E5401">
        <v>20</v>
      </c>
    </row>
    <row r="5402" spans="1:5" x14ac:dyDescent="0.25">
      <c r="A5402">
        <v>5401</v>
      </c>
      <c r="B5402">
        <v>8390951</v>
      </c>
      <c r="C5402" s="1" t="str">
        <f>HYPERLINK("http://stackoverflow.com/users/8390951", "Andy Leo")</f>
        <v>Andy Leo</v>
      </c>
      <c r="D5402" t="s">
        <v>180</v>
      </c>
      <c r="E5402">
        <v>20</v>
      </c>
    </row>
    <row r="5403" spans="1:5" x14ac:dyDescent="0.25">
      <c r="A5403">
        <v>5402</v>
      </c>
      <c r="B5403">
        <v>1327056</v>
      </c>
      <c r="C5403" s="1" t="str">
        <f>HYPERLINK("http://stackoverflow.com/users/1327056", "KevinLee")</f>
        <v>KevinLee</v>
      </c>
      <c r="D5403" t="s">
        <v>21</v>
      </c>
      <c r="E5403">
        <v>20</v>
      </c>
    </row>
    <row r="5404" spans="1:5" x14ac:dyDescent="0.25">
      <c r="A5404">
        <v>5403</v>
      </c>
      <c r="B5404">
        <v>1508304</v>
      </c>
      <c r="C5404" s="1" t="str">
        <f>HYPERLINK("http://stackoverflow.com/users/1508304", "Wei Ye")</f>
        <v>Wei Ye</v>
      </c>
      <c r="D5404" t="s">
        <v>4</v>
      </c>
      <c r="E5404">
        <v>20</v>
      </c>
    </row>
    <row r="5405" spans="1:5" x14ac:dyDescent="0.25">
      <c r="A5405">
        <v>5404</v>
      </c>
      <c r="B5405">
        <v>6783933</v>
      </c>
      <c r="C5405" s="1" t="str">
        <f>HYPERLINK("http://stackoverflow.com/users/6783933", "Yoann CAPLAIN")</f>
        <v>Yoann CAPLAIN</v>
      </c>
      <c r="D5405" t="s">
        <v>4</v>
      </c>
      <c r="E5405">
        <v>20</v>
      </c>
    </row>
    <row r="5406" spans="1:5" x14ac:dyDescent="0.25">
      <c r="A5406">
        <v>5405</v>
      </c>
      <c r="B5406">
        <v>7640029</v>
      </c>
      <c r="C5406" s="1" t="str">
        <f>HYPERLINK("http://stackoverflow.com/users/7640029", "leon")</f>
        <v>leon</v>
      </c>
      <c r="D5406" t="s">
        <v>7</v>
      </c>
      <c r="E5406">
        <v>20</v>
      </c>
    </row>
    <row r="5407" spans="1:5" x14ac:dyDescent="0.25">
      <c r="A5407">
        <v>5406</v>
      </c>
      <c r="B5407">
        <v>4301992</v>
      </c>
      <c r="C5407" s="1" t="str">
        <f>HYPERLINK("http://stackoverflow.com/users/4301992", "Andrew_liu")</f>
        <v>Andrew_liu</v>
      </c>
      <c r="D5407" t="s">
        <v>55</v>
      </c>
      <c r="E5407">
        <v>20</v>
      </c>
    </row>
    <row r="5408" spans="1:5" x14ac:dyDescent="0.25">
      <c r="A5408">
        <v>5407</v>
      </c>
      <c r="B5408">
        <v>3890798</v>
      </c>
      <c r="C5408" s="1" t="str">
        <f>HYPERLINK("http://stackoverflow.com/users/3890798", "xoec")</f>
        <v>xoec</v>
      </c>
      <c r="D5408" t="s">
        <v>4</v>
      </c>
      <c r="E5408">
        <v>20</v>
      </c>
    </row>
    <row r="5409" spans="1:5" x14ac:dyDescent="0.25">
      <c r="A5409">
        <v>5408</v>
      </c>
      <c r="B5409">
        <v>4217843</v>
      </c>
      <c r="C5409" s="1" t="str">
        <f>HYPERLINK("http://stackoverflow.com/users/4217843", "Wilson Yuan")</f>
        <v>Wilson Yuan</v>
      </c>
      <c r="D5409" t="s">
        <v>5</v>
      </c>
      <c r="E5409">
        <v>20</v>
      </c>
    </row>
    <row r="5410" spans="1:5" x14ac:dyDescent="0.25">
      <c r="A5410">
        <v>5409</v>
      </c>
      <c r="B5410">
        <v>831058</v>
      </c>
      <c r="C5410" s="1" t="str">
        <f>HYPERLINK("http://stackoverflow.com/users/831058", "WalnutZ")</f>
        <v>WalnutZ</v>
      </c>
      <c r="D5410" t="s">
        <v>5</v>
      </c>
      <c r="E5410">
        <v>20</v>
      </c>
    </row>
    <row r="5411" spans="1:5" x14ac:dyDescent="0.25">
      <c r="A5411">
        <v>5410</v>
      </c>
      <c r="B5411">
        <v>8261833</v>
      </c>
      <c r="C5411" s="1" t="str">
        <f>HYPERLINK("http://stackoverflow.com/users/8261833", "egbert")</f>
        <v>egbert</v>
      </c>
      <c r="D5411" t="s">
        <v>7</v>
      </c>
      <c r="E5411">
        <v>20</v>
      </c>
    </row>
    <row r="5412" spans="1:5" x14ac:dyDescent="0.25">
      <c r="A5412">
        <v>5411</v>
      </c>
      <c r="B5412">
        <v>758413</v>
      </c>
      <c r="C5412" s="1" t="str">
        <f>HYPERLINK("http://stackoverflow.com/users/758413", "Todd Leo")</f>
        <v>Todd Leo</v>
      </c>
      <c r="D5412" t="s">
        <v>22</v>
      </c>
      <c r="E5412">
        <v>20</v>
      </c>
    </row>
    <row r="5413" spans="1:5" x14ac:dyDescent="0.25">
      <c r="A5413">
        <v>5412</v>
      </c>
      <c r="B5413">
        <v>6070144</v>
      </c>
      <c r="C5413" s="1" t="str">
        <f>HYPERLINK("http://stackoverflow.com/users/6070144", "Harveybegood")</f>
        <v>Harveybegood</v>
      </c>
      <c r="D5413" t="s">
        <v>4</v>
      </c>
      <c r="E5413">
        <v>20</v>
      </c>
    </row>
    <row r="5414" spans="1:5" x14ac:dyDescent="0.25">
      <c r="A5414">
        <v>5413</v>
      </c>
      <c r="B5414">
        <v>10605706</v>
      </c>
      <c r="C5414" s="1" t="str">
        <f>HYPERLINK("http://stackoverflow.com/users/10605706", "waqar ali")</f>
        <v>waqar ali</v>
      </c>
      <c r="D5414" t="s">
        <v>5</v>
      </c>
      <c r="E5414">
        <v>20</v>
      </c>
    </row>
    <row r="5415" spans="1:5" x14ac:dyDescent="0.25">
      <c r="A5415">
        <v>5414</v>
      </c>
      <c r="B5415">
        <v>8455182</v>
      </c>
      <c r="C5415" s="1" t="str">
        <f>HYPERLINK("http://stackoverflow.com/users/8455182", "F.grey")</f>
        <v>F.grey</v>
      </c>
      <c r="D5415" t="s">
        <v>266</v>
      </c>
      <c r="E5415">
        <v>20</v>
      </c>
    </row>
    <row r="5416" spans="1:5" x14ac:dyDescent="0.25">
      <c r="A5416">
        <v>5415</v>
      </c>
      <c r="B5416">
        <v>1282784</v>
      </c>
      <c r="C5416" s="1" t="str">
        <f>HYPERLINK("http://stackoverflow.com/users/1282784", "Loki")</f>
        <v>Loki</v>
      </c>
      <c r="D5416" t="s">
        <v>5</v>
      </c>
      <c r="E5416">
        <v>20</v>
      </c>
    </row>
    <row r="5417" spans="1:5" x14ac:dyDescent="0.25">
      <c r="A5417">
        <v>5416</v>
      </c>
      <c r="B5417">
        <v>3155819</v>
      </c>
      <c r="C5417" s="1" t="str">
        <f>HYPERLINK("http://stackoverflow.com/users/3155819", "Jimmy Wang")</f>
        <v>Jimmy Wang</v>
      </c>
      <c r="D5417" t="s">
        <v>37</v>
      </c>
      <c r="E5417">
        <v>20</v>
      </c>
    </row>
    <row r="5418" spans="1:5" x14ac:dyDescent="0.25">
      <c r="A5418">
        <v>5417</v>
      </c>
      <c r="B5418">
        <v>1023309</v>
      </c>
      <c r="C5418" s="1" t="str">
        <f>HYPERLINK("http://stackoverflow.com/users/1023309", "Likai")</f>
        <v>Likai</v>
      </c>
      <c r="D5418" t="s">
        <v>5</v>
      </c>
      <c r="E5418">
        <v>19</v>
      </c>
    </row>
    <row r="5419" spans="1:5" x14ac:dyDescent="0.25">
      <c r="A5419">
        <v>5418</v>
      </c>
      <c r="B5419">
        <v>8724418</v>
      </c>
      <c r="C5419" s="1" t="str">
        <f>HYPERLINK("http://stackoverflow.com/users/8724418", "Eddington")</f>
        <v>Eddington</v>
      </c>
      <c r="D5419" t="s">
        <v>5</v>
      </c>
      <c r="E5419">
        <v>19</v>
      </c>
    </row>
    <row r="5420" spans="1:5" x14ac:dyDescent="0.25">
      <c r="A5420">
        <v>5419</v>
      </c>
      <c r="B5420">
        <v>1390922</v>
      </c>
      <c r="C5420" s="1" t="str">
        <f>HYPERLINK("http://stackoverflow.com/users/1390922", "Hatter Jiang")</f>
        <v>Hatter Jiang</v>
      </c>
      <c r="D5420" t="s">
        <v>12</v>
      </c>
      <c r="E5420">
        <v>19</v>
      </c>
    </row>
    <row r="5421" spans="1:5" x14ac:dyDescent="0.25">
      <c r="A5421">
        <v>5420</v>
      </c>
      <c r="B5421">
        <v>346775</v>
      </c>
      <c r="C5421" s="1" t="str">
        <f>HYPERLINK("http://stackoverflow.com/users/346775", "rockllei")</f>
        <v>rockllei</v>
      </c>
      <c r="D5421" t="s">
        <v>317</v>
      </c>
      <c r="E5421">
        <v>19</v>
      </c>
    </row>
    <row r="5422" spans="1:5" x14ac:dyDescent="0.25">
      <c r="A5422">
        <v>5421</v>
      </c>
      <c r="B5422">
        <v>2827525</v>
      </c>
      <c r="C5422" s="1" t="str">
        <f>HYPERLINK("http://stackoverflow.com/users/2827525", "Hanyee")</f>
        <v>Hanyee</v>
      </c>
      <c r="D5422" t="s">
        <v>5</v>
      </c>
      <c r="E5422">
        <v>19</v>
      </c>
    </row>
    <row r="5423" spans="1:5" x14ac:dyDescent="0.25">
      <c r="A5423">
        <v>5422</v>
      </c>
      <c r="B5423">
        <v>679981</v>
      </c>
      <c r="C5423" s="1" t="str">
        <f>HYPERLINK("http://stackoverflow.com/users/679981", "Zhouquan")</f>
        <v>Zhouquan</v>
      </c>
      <c r="D5423" t="s">
        <v>5</v>
      </c>
      <c r="E5423">
        <v>19</v>
      </c>
    </row>
    <row r="5424" spans="1:5" x14ac:dyDescent="0.25">
      <c r="A5424">
        <v>5423</v>
      </c>
      <c r="B5424">
        <v>3939944</v>
      </c>
      <c r="C5424" s="1" t="str">
        <f>HYPERLINK("http://stackoverflow.com/users/3939944", "Linfeng Yu")</f>
        <v>Linfeng Yu</v>
      </c>
      <c r="D5424" t="s">
        <v>22</v>
      </c>
      <c r="E5424">
        <v>19</v>
      </c>
    </row>
    <row r="5425" spans="1:5" x14ac:dyDescent="0.25">
      <c r="A5425">
        <v>5424</v>
      </c>
      <c r="B5425">
        <v>4025426</v>
      </c>
      <c r="C5425" s="1" t="str">
        <f>HYPERLINK("http://stackoverflow.com/users/4025426", "Jacky Tsao")</f>
        <v>Jacky Tsao</v>
      </c>
      <c r="D5425" t="s">
        <v>4</v>
      </c>
      <c r="E5425">
        <v>19</v>
      </c>
    </row>
    <row r="5426" spans="1:5" x14ac:dyDescent="0.25">
      <c r="A5426">
        <v>5425</v>
      </c>
      <c r="B5426">
        <v>5557167</v>
      </c>
      <c r="C5426" s="1" t="str">
        <f>HYPERLINK("http://stackoverflow.com/users/5557167", "xushao")</f>
        <v>xushao</v>
      </c>
      <c r="D5426" t="s">
        <v>16</v>
      </c>
      <c r="E5426">
        <v>19</v>
      </c>
    </row>
    <row r="5427" spans="1:5" x14ac:dyDescent="0.25">
      <c r="A5427">
        <v>5426</v>
      </c>
      <c r="B5427">
        <v>1874312</v>
      </c>
      <c r="C5427" s="1" t="str">
        <f>HYPERLINK("http://stackoverflow.com/users/1874312", "browser")</f>
        <v>browser</v>
      </c>
      <c r="D5427" t="s">
        <v>54</v>
      </c>
      <c r="E5427">
        <v>19</v>
      </c>
    </row>
    <row r="5428" spans="1:5" x14ac:dyDescent="0.25">
      <c r="A5428">
        <v>5427</v>
      </c>
      <c r="B5428">
        <v>9156124</v>
      </c>
      <c r="C5428" s="1" t="str">
        <f>HYPERLINK("http://stackoverflow.com/users/9156124", "hpxue13")</f>
        <v>hpxue13</v>
      </c>
      <c r="D5428" t="s">
        <v>5</v>
      </c>
      <c r="E5428">
        <v>19</v>
      </c>
    </row>
    <row r="5429" spans="1:5" x14ac:dyDescent="0.25">
      <c r="A5429">
        <v>5428</v>
      </c>
      <c r="B5429">
        <v>5593905</v>
      </c>
      <c r="C5429" s="1" t="str">
        <f>HYPERLINK("http://stackoverflow.com/users/5593905", "cuiqiang1990")</f>
        <v>cuiqiang1990</v>
      </c>
      <c r="D5429" t="s">
        <v>318</v>
      </c>
      <c r="E5429">
        <v>19</v>
      </c>
    </row>
    <row r="5430" spans="1:5" x14ac:dyDescent="0.25">
      <c r="A5430">
        <v>5429</v>
      </c>
      <c r="B5430">
        <v>5594043</v>
      </c>
      <c r="C5430" s="1" t="str">
        <f>HYPERLINK("http://stackoverflow.com/users/5594043", "wan zong")</f>
        <v>wan zong</v>
      </c>
      <c r="D5430" t="s">
        <v>319</v>
      </c>
      <c r="E5430">
        <v>19</v>
      </c>
    </row>
    <row r="5431" spans="1:5" x14ac:dyDescent="0.25">
      <c r="A5431">
        <v>5430</v>
      </c>
      <c r="B5431">
        <v>1525580</v>
      </c>
      <c r="C5431" s="1" t="str">
        <f>HYPERLINK("http://stackoverflow.com/users/1525580", "Crowley")</f>
        <v>Crowley</v>
      </c>
      <c r="D5431" t="s">
        <v>17</v>
      </c>
      <c r="E5431">
        <v>19</v>
      </c>
    </row>
    <row r="5432" spans="1:5" x14ac:dyDescent="0.25">
      <c r="A5432">
        <v>5431</v>
      </c>
      <c r="B5432">
        <v>7007942</v>
      </c>
      <c r="C5432" s="1" t="str">
        <f>HYPERLINK("http://stackoverflow.com/users/7007942", "Kevin Chan")</f>
        <v>Kevin Chan</v>
      </c>
      <c r="D5432" t="s">
        <v>55</v>
      </c>
      <c r="E5432">
        <v>19</v>
      </c>
    </row>
    <row r="5433" spans="1:5" x14ac:dyDescent="0.25">
      <c r="A5433">
        <v>5432</v>
      </c>
      <c r="B5433">
        <v>3221201</v>
      </c>
      <c r="C5433" s="1" t="str">
        <f>HYPERLINK("http://stackoverflow.com/users/3221201", "宋志辉")</f>
        <v>宋志辉</v>
      </c>
      <c r="D5433" t="s">
        <v>6</v>
      </c>
      <c r="E5433">
        <v>19</v>
      </c>
    </row>
    <row r="5434" spans="1:5" x14ac:dyDescent="0.25">
      <c r="A5434">
        <v>5433</v>
      </c>
      <c r="B5434">
        <v>4361293</v>
      </c>
      <c r="C5434" s="1" t="str">
        <f>HYPERLINK("http://stackoverflow.com/users/4361293", "Jcsoo")</f>
        <v>Jcsoo</v>
      </c>
      <c r="D5434" t="s">
        <v>25</v>
      </c>
      <c r="E5434">
        <v>19</v>
      </c>
    </row>
    <row r="5435" spans="1:5" x14ac:dyDescent="0.25">
      <c r="A5435">
        <v>5434</v>
      </c>
      <c r="B5435">
        <v>2509681</v>
      </c>
      <c r="C5435" s="1" t="str">
        <f>HYPERLINK("http://stackoverflow.com/users/2509681", "wcwswswws")</f>
        <v>wcwswswws</v>
      </c>
      <c r="D5435" t="s">
        <v>4</v>
      </c>
      <c r="E5435">
        <v>19</v>
      </c>
    </row>
    <row r="5436" spans="1:5" x14ac:dyDescent="0.25">
      <c r="A5436">
        <v>5435</v>
      </c>
      <c r="B5436">
        <v>702312</v>
      </c>
      <c r="C5436" s="1" t="str">
        <f>HYPERLINK("http://stackoverflow.com/users/702312", "lanvige")</f>
        <v>lanvige</v>
      </c>
      <c r="D5436" t="s">
        <v>4</v>
      </c>
      <c r="E5436">
        <v>19</v>
      </c>
    </row>
    <row r="5437" spans="1:5" x14ac:dyDescent="0.25">
      <c r="A5437">
        <v>5436</v>
      </c>
      <c r="B5437">
        <v>696546</v>
      </c>
      <c r="C5437" s="1" t="str">
        <f>HYPERLINK("http://stackoverflow.com/users/696546", "MGServices")</f>
        <v>MGServices</v>
      </c>
      <c r="D5437" t="s">
        <v>5</v>
      </c>
      <c r="E5437">
        <v>19</v>
      </c>
    </row>
    <row r="5438" spans="1:5" x14ac:dyDescent="0.25">
      <c r="A5438">
        <v>5437</v>
      </c>
      <c r="B5438">
        <v>6355072</v>
      </c>
      <c r="C5438" s="1" t="str">
        <f>HYPERLINK("http://stackoverflow.com/users/6355072", "Aaron")</f>
        <v>Aaron</v>
      </c>
      <c r="D5438" t="s">
        <v>52</v>
      </c>
      <c r="E5438">
        <v>19</v>
      </c>
    </row>
    <row r="5439" spans="1:5" x14ac:dyDescent="0.25">
      <c r="A5439">
        <v>5438</v>
      </c>
      <c r="B5439">
        <v>6316529</v>
      </c>
      <c r="C5439" s="1" t="str">
        <f>HYPERLINK("http://stackoverflow.com/users/6316529", "Kyle Cranfill")</f>
        <v>Kyle Cranfill</v>
      </c>
      <c r="D5439" t="s">
        <v>7</v>
      </c>
      <c r="E5439">
        <v>19</v>
      </c>
    </row>
    <row r="5440" spans="1:5" x14ac:dyDescent="0.25">
      <c r="A5440">
        <v>5439</v>
      </c>
      <c r="B5440">
        <v>591732</v>
      </c>
      <c r="C5440" s="1" t="str">
        <f>HYPERLINK("http://stackoverflow.com/users/591732", "Norah")</f>
        <v>Norah</v>
      </c>
      <c r="D5440" t="s">
        <v>12</v>
      </c>
      <c r="E5440">
        <v>19</v>
      </c>
    </row>
    <row r="5441" spans="1:5" x14ac:dyDescent="0.25">
      <c r="A5441">
        <v>5440</v>
      </c>
      <c r="B5441">
        <v>8006584</v>
      </c>
      <c r="C5441" s="1" t="str">
        <f>HYPERLINK("http://stackoverflow.com/users/8006584", "Di.Liu")</f>
        <v>Di.Liu</v>
      </c>
      <c r="D5441" t="s">
        <v>5</v>
      </c>
      <c r="E5441">
        <v>19</v>
      </c>
    </row>
    <row r="5442" spans="1:5" x14ac:dyDescent="0.25">
      <c r="A5442">
        <v>5441</v>
      </c>
      <c r="B5442">
        <v>884017</v>
      </c>
      <c r="C5442" s="1" t="str">
        <f>HYPERLINK("http://stackoverflow.com/users/884017", "rex")</f>
        <v>rex</v>
      </c>
      <c r="D5442" t="s">
        <v>5</v>
      </c>
      <c r="E5442">
        <v>19</v>
      </c>
    </row>
    <row r="5443" spans="1:5" x14ac:dyDescent="0.25">
      <c r="A5443">
        <v>5442</v>
      </c>
      <c r="B5443">
        <v>1335396</v>
      </c>
      <c r="C5443" s="1" t="str">
        <f>HYPERLINK("http://stackoverflow.com/users/1335396", "stackvirgil")</f>
        <v>stackvirgil</v>
      </c>
      <c r="D5443" t="s">
        <v>5</v>
      </c>
      <c r="E5443">
        <v>19</v>
      </c>
    </row>
    <row r="5444" spans="1:5" x14ac:dyDescent="0.25">
      <c r="A5444">
        <v>5443</v>
      </c>
      <c r="B5444">
        <v>5133569</v>
      </c>
      <c r="C5444" s="1" t="str">
        <f>HYPERLINK("http://stackoverflow.com/users/5133569", "Niu Chong")</f>
        <v>Niu Chong</v>
      </c>
      <c r="D5444" t="s">
        <v>5</v>
      </c>
      <c r="E5444">
        <v>19</v>
      </c>
    </row>
    <row r="5445" spans="1:5" x14ac:dyDescent="0.25">
      <c r="A5445">
        <v>5444</v>
      </c>
      <c r="B5445">
        <v>8944324</v>
      </c>
      <c r="C5445" s="1" t="str">
        <f>HYPERLINK("http://stackoverflow.com/users/8944324", "Make")</f>
        <v>Make</v>
      </c>
      <c r="D5445" t="s">
        <v>5</v>
      </c>
      <c r="E5445">
        <v>19</v>
      </c>
    </row>
    <row r="5446" spans="1:5" x14ac:dyDescent="0.25">
      <c r="A5446">
        <v>5445</v>
      </c>
      <c r="B5446">
        <v>7078109</v>
      </c>
      <c r="C5446" s="1" t="str">
        <f>HYPERLINK("http://stackoverflow.com/users/7078109", "ImPerat0R_")</f>
        <v>ImPerat0R_</v>
      </c>
      <c r="D5446" t="s">
        <v>27</v>
      </c>
      <c r="E5446">
        <v>19</v>
      </c>
    </row>
    <row r="5447" spans="1:5" x14ac:dyDescent="0.25">
      <c r="A5447">
        <v>5446</v>
      </c>
      <c r="B5447">
        <v>1547729</v>
      </c>
      <c r="C5447" s="1" t="str">
        <f>HYPERLINK("http://stackoverflow.com/users/1547729", "cafecat")</f>
        <v>cafecat</v>
      </c>
      <c r="D5447" t="s">
        <v>12</v>
      </c>
      <c r="E5447">
        <v>19</v>
      </c>
    </row>
    <row r="5448" spans="1:5" x14ac:dyDescent="0.25">
      <c r="A5448">
        <v>5447</v>
      </c>
      <c r="B5448">
        <v>9196637</v>
      </c>
      <c r="C5448" s="1" t="str">
        <f>HYPERLINK("http://stackoverflow.com/users/9196637", "Rexxxx")</f>
        <v>Rexxxx</v>
      </c>
      <c r="D5448" t="s">
        <v>4</v>
      </c>
      <c r="E5448">
        <v>19</v>
      </c>
    </row>
    <row r="5449" spans="1:5" x14ac:dyDescent="0.25">
      <c r="A5449">
        <v>5448</v>
      </c>
      <c r="B5449">
        <v>10599266</v>
      </c>
      <c r="C5449" s="1" t="str">
        <f>HYPERLINK("http://stackoverflow.com/users/10599266", "dawen")</f>
        <v>dawen</v>
      </c>
      <c r="D5449" t="s">
        <v>16</v>
      </c>
      <c r="E5449">
        <v>19</v>
      </c>
    </row>
    <row r="5450" spans="1:5" x14ac:dyDescent="0.25">
      <c r="A5450">
        <v>5449</v>
      </c>
      <c r="B5450">
        <v>3627264</v>
      </c>
      <c r="C5450" s="1" t="str">
        <f>HYPERLINK("http://stackoverflow.com/users/3627264", "Ryan Shi")</f>
        <v>Ryan Shi</v>
      </c>
      <c r="D5450" t="s">
        <v>12</v>
      </c>
      <c r="E5450">
        <v>19</v>
      </c>
    </row>
    <row r="5451" spans="1:5" x14ac:dyDescent="0.25">
      <c r="A5451">
        <v>5450</v>
      </c>
      <c r="B5451">
        <v>1314319</v>
      </c>
      <c r="C5451" s="1" t="str">
        <f>HYPERLINK("http://stackoverflow.com/users/1314319", "tyh20082000")</f>
        <v>tyh20082000</v>
      </c>
      <c r="D5451" t="s">
        <v>4</v>
      </c>
      <c r="E5451">
        <v>19</v>
      </c>
    </row>
    <row r="5452" spans="1:5" x14ac:dyDescent="0.25">
      <c r="A5452">
        <v>5451</v>
      </c>
      <c r="B5452">
        <v>10200874</v>
      </c>
      <c r="C5452" s="1" t="str">
        <f>HYPERLINK("http://stackoverflow.com/users/10200874", "aditya")</f>
        <v>aditya</v>
      </c>
      <c r="D5452" t="s">
        <v>4</v>
      </c>
      <c r="E5452">
        <v>19</v>
      </c>
    </row>
    <row r="5453" spans="1:5" x14ac:dyDescent="0.25">
      <c r="A5453">
        <v>5452</v>
      </c>
      <c r="B5453">
        <v>4810789</v>
      </c>
      <c r="C5453" s="1" t="str">
        <f>HYPERLINK("http://stackoverflow.com/users/4810789", "ThomasLee")</f>
        <v>ThomasLee</v>
      </c>
      <c r="D5453" t="s">
        <v>27</v>
      </c>
      <c r="E5453">
        <v>19</v>
      </c>
    </row>
    <row r="5454" spans="1:5" x14ac:dyDescent="0.25">
      <c r="A5454">
        <v>5453</v>
      </c>
      <c r="B5454">
        <v>4691538</v>
      </c>
      <c r="C5454" s="1" t="str">
        <f>HYPERLINK("http://stackoverflow.com/users/4691538", "Evan")</f>
        <v>Evan</v>
      </c>
      <c r="D5454" t="s">
        <v>4</v>
      </c>
      <c r="E5454">
        <v>19</v>
      </c>
    </row>
    <row r="5455" spans="1:5" x14ac:dyDescent="0.25">
      <c r="A5455">
        <v>5454</v>
      </c>
      <c r="B5455">
        <v>1950576</v>
      </c>
      <c r="C5455" s="1" t="str">
        <f>HYPERLINK("http://stackoverflow.com/users/1950576", "Ten")</f>
        <v>Ten</v>
      </c>
      <c r="D5455" t="s">
        <v>17</v>
      </c>
      <c r="E5455">
        <v>19</v>
      </c>
    </row>
    <row r="5456" spans="1:5" x14ac:dyDescent="0.25">
      <c r="A5456">
        <v>5455</v>
      </c>
      <c r="B5456">
        <v>7656813</v>
      </c>
      <c r="C5456" s="1" t="str">
        <f>HYPERLINK("http://stackoverflow.com/users/7656813", "Rubyko")</f>
        <v>Rubyko</v>
      </c>
      <c r="D5456" t="s">
        <v>5</v>
      </c>
      <c r="E5456">
        <v>19</v>
      </c>
    </row>
    <row r="5457" spans="1:5" x14ac:dyDescent="0.25">
      <c r="A5457">
        <v>5456</v>
      </c>
      <c r="B5457">
        <v>5280899</v>
      </c>
      <c r="C5457" s="1" t="str">
        <f>HYPERLINK("http://stackoverflow.com/users/5280899", "Jack")</f>
        <v>Jack</v>
      </c>
      <c r="D5457" t="s">
        <v>7</v>
      </c>
      <c r="E5457">
        <v>19</v>
      </c>
    </row>
    <row r="5458" spans="1:5" x14ac:dyDescent="0.25">
      <c r="A5458">
        <v>5457</v>
      </c>
      <c r="B5458">
        <v>3317589</v>
      </c>
      <c r="C5458" s="1" t="str">
        <f>HYPERLINK("http://stackoverflow.com/users/3317589", "reyhappen")</f>
        <v>reyhappen</v>
      </c>
      <c r="D5458" t="s">
        <v>8</v>
      </c>
      <c r="E5458">
        <v>19</v>
      </c>
    </row>
    <row r="5459" spans="1:5" x14ac:dyDescent="0.25">
      <c r="A5459">
        <v>5458</v>
      </c>
      <c r="B5459">
        <v>5061231</v>
      </c>
      <c r="C5459" s="1" t="str">
        <f>HYPERLINK("http://stackoverflow.com/users/5061231", "maicss")</f>
        <v>maicss</v>
      </c>
      <c r="D5459" t="s">
        <v>4</v>
      </c>
      <c r="E5459">
        <v>19</v>
      </c>
    </row>
    <row r="5460" spans="1:5" x14ac:dyDescent="0.25">
      <c r="A5460">
        <v>5459</v>
      </c>
      <c r="B5460">
        <v>1163173</v>
      </c>
      <c r="C5460" s="1" t="str">
        <f>HYPERLINK("http://stackoverflow.com/users/1163173", "jaseywang")</f>
        <v>jaseywang</v>
      </c>
      <c r="D5460" t="s">
        <v>5</v>
      </c>
      <c r="E5460">
        <v>19</v>
      </c>
    </row>
    <row r="5461" spans="1:5" x14ac:dyDescent="0.25">
      <c r="A5461">
        <v>5460</v>
      </c>
      <c r="B5461">
        <v>3141382</v>
      </c>
      <c r="C5461" s="1" t="str">
        <f>HYPERLINK("http://stackoverflow.com/users/3141382", "surfree")</f>
        <v>surfree</v>
      </c>
      <c r="D5461" t="s">
        <v>5</v>
      </c>
      <c r="E5461">
        <v>19</v>
      </c>
    </row>
    <row r="5462" spans="1:5" x14ac:dyDescent="0.25">
      <c r="A5462">
        <v>5461</v>
      </c>
      <c r="B5462">
        <v>2519276</v>
      </c>
      <c r="C5462" s="1" t="str">
        <f>HYPERLINK("http://stackoverflow.com/users/2519276", "Luyu Zhang")</f>
        <v>Luyu Zhang</v>
      </c>
      <c r="D5462" t="s">
        <v>3</v>
      </c>
      <c r="E5462">
        <v>19</v>
      </c>
    </row>
    <row r="5463" spans="1:5" x14ac:dyDescent="0.25">
      <c r="A5463">
        <v>5462</v>
      </c>
      <c r="B5463">
        <v>2519425</v>
      </c>
      <c r="C5463" s="1" t="str">
        <f>HYPERLINK("http://stackoverflow.com/users/2519425", "dahe")</f>
        <v>dahe</v>
      </c>
      <c r="D5463" t="s">
        <v>5</v>
      </c>
      <c r="E5463">
        <v>19</v>
      </c>
    </row>
    <row r="5464" spans="1:5" x14ac:dyDescent="0.25">
      <c r="A5464">
        <v>5463</v>
      </c>
      <c r="B5464">
        <v>2535864</v>
      </c>
      <c r="C5464" s="1" t="str">
        <f>HYPERLINK("http://stackoverflow.com/users/2535864", "yanhui")</f>
        <v>yanhui</v>
      </c>
      <c r="D5464" t="s">
        <v>5</v>
      </c>
      <c r="E5464">
        <v>19</v>
      </c>
    </row>
    <row r="5465" spans="1:5" x14ac:dyDescent="0.25">
      <c r="A5465">
        <v>5464</v>
      </c>
      <c r="B5465">
        <v>3510068</v>
      </c>
      <c r="C5465" s="1" t="str">
        <f>HYPERLINK("http://stackoverflow.com/users/3510068", "Ryan")</f>
        <v>Ryan</v>
      </c>
      <c r="D5465" t="s">
        <v>4</v>
      </c>
      <c r="E5465">
        <v>19</v>
      </c>
    </row>
    <row r="5466" spans="1:5" x14ac:dyDescent="0.25">
      <c r="A5466">
        <v>5465</v>
      </c>
      <c r="B5466">
        <v>5667633</v>
      </c>
      <c r="C5466" s="1" t="str">
        <f>HYPERLINK("http://stackoverflow.com/users/5667633", "Arvin.Yang")</f>
        <v>Arvin.Yang</v>
      </c>
      <c r="D5466" t="s">
        <v>300</v>
      </c>
      <c r="E5466">
        <v>19</v>
      </c>
    </row>
    <row r="5467" spans="1:5" x14ac:dyDescent="0.25">
      <c r="A5467">
        <v>5466</v>
      </c>
      <c r="B5467">
        <v>7684052</v>
      </c>
      <c r="C5467" s="1" t="str">
        <f>HYPERLINK("http://stackoverflow.com/users/7684052", "Jack Chen")</f>
        <v>Jack Chen</v>
      </c>
      <c r="D5467" t="s">
        <v>4</v>
      </c>
      <c r="E5467">
        <v>19</v>
      </c>
    </row>
    <row r="5468" spans="1:5" x14ac:dyDescent="0.25">
      <c r="A5468">
        <v>5467</v>
      </c>
      <c r="B5468">
        <v>4666231</v>
      </c>
      <c r="C5468" s="1" t="str">
        <f>HYPERLINK("http://stackoverflow.com/users/4666231", "William")</f>
        <v>William</v>
      </c>
      <c r="D5468" t="s">
        <v>12</v>
      </c>
      <c r="E5468">
        <v>19</v>
      </c>
    </row>
    <row r="5469" spans="1:5" x14ac:dyDescent="0.25">
      <c r="A5469">
        <v>5468</v>
      </c>
      <c r="B5469">
        <v>6207027</v>
      </c>
      <c r="C5469" s="1" t="str">
        <f>HYPERLINK("http://stackoverflow.com/users/6207027", "LouChao")</f>
        <v>LouChao</v>
      </c>
      <c r="D5469" t="s">
        <v>16</v>
      </c>
      <c r="E5469">
        <v>19</v>
      </c>
    </row>
    <row r="5470" spans="1:5" x14ac:dyDescent="0.25">
      <c r="A5470">
        <v>5469</v>
      </c>
      <c r="B5470">
        <v>1589388</v>
      </c>
      <c r="C5470" s="1" t="str">
        <f>HYPERLINK("http://stackoverflow.com/users/1589388", "tisboy")</f>
        <v>tisboy</v>
      </c>
      <c r="D5470" t="s">
        <v>7</v>
      </c>
      <c r="E5470">
        <v>19</v>
      </c>
    </row>
    <row r="5471" spans="1:5" x14ac:dyDescent="0.25">
      <c r="A5471">
        <v>5470</v>
      </c>
      <c r="B5471">
        <v>8840539</v>
      </c>
      <c r="C5471" s="1" t="str">
        <f>HYPERLINK("http://stackoverflow.com/users/8840539", "Tian Yang Gao")</f>
        <v>Tian Yang Gao</v>
      </c>
      <c r="D5471" t="s">
        <v>320</v>
      </c>
      <c r="E5471">
        <v>19</v>
      </c>
    </row>
    <row r="5472" spans="1:5" x14ac:dyDescent="0.25">
      <c r="A5472">
        <v>5471</v>
      </c>
      <c r="B5472">
        <v>5169376</v>
      </c>
      <c r="C5472" s="1" t="str">
        <f>HYPERLINK("http://stackoverflow.com/users/5169376", "Daniel Chen")</f>
        <v>Daniel Chen</v>
      </c>
      <c r="D5472" t="s">
        <v>37</v>
      </c>
      <c r="E5472">
        <v>19</v>
      </c>
    </row>
    <row r="5473" spans="1:5" x14ac:dyDescent="0.25">
      <c r="A5473">
        <v>5472</v>
      </c>
      <c r="B5473">
        <v>5032536</v>
      </c>
      <c r="C5473" s="1" t="str">
        <f>HYPERLINK("http://stackoverflow.com/users/5032536", "wlin")</f>
        <v>wlin</v>
      </c>
      <c r="D5473" t="s">
        <v>5</v>
      </c>
      <c r="E5473">
        <v>19</v>
      </c>
    </row>
    <row r="5474" spans="1:5" x14ac:dyDescent="0.25">
      <c r="A5474">
        <v>5473</v>
      </c>
      <c r="B5474">
        <v>2315024</v>
      </c>
      <c r="C5474" s="1" t="str">
        <f>HYPERLINK("http://stackoverflow.com/users/2315024", "terry zhang")</f>
        <v>terry zhang</v>
      </c>
      <c r="D5474" t="s">
        <v>120</v>
      </c>
      <c r="E5474">
        <v>19</v>
      </c>
    </row>
    <row r="5475" spans="1:5" x14ac:dyDescent="0.25">
      <c r="A5475">
        <v>5474</v>
      </c>
      <c r="B5475">
        <v>5684980</v>
      </c>
      <c r="C5475" s="1" t="str">
        <f>HYPERLINK("http://stackoverflow.com/users/5684980", "Xijun Lee")</f>
        <v>Xijun Lee</v>
      </c>
      <c r="D5475" t="s">
        <v>4</v>
      </c>
      <c r="E5475">
        <v>19</v>
      </c>
    </row>
    <row r="5476" spans="1:5" x14ac:dyDescent="0.25">
      <c r="A5476">
        <v>5475</v>
      </c>
      <c r="B5476">
        <v>5681721</v>
      </c>
      <c r="C5476" s="1" t="str">
        <f>HYPERLINK("http://stackoverflow.com/users/5681721", "Lee")</f>
        <v>Lee</v>
      </c>
      <c r="D5476" t="s">
        <v>7</v>
      </c>
      <c r="E5476">
        <v>19</v>
      </c>
    </row>
    <row r="5477" spans="1:5" x14ac:dyDescent="0.25">
      <c r="A5477">
        <v>5476</v>
      </c>
      <c r="B5477">
        <v>2148357</v>
      </c>
      <c r="C5477" s="1" t="str">
        <f>HYPERLINK("http://stackoverflow.com/users/2148357", "Hoting")</f>
        <v>Hoting</v>
      </c>
      <c r="D5477" t="s">
        <v>5</v>
      </c>
      <c r="E5477">
        <v>18</v>
      </c>
    </row>
    <row r="5478" spans="1:5" x14ac:dyDescent="0.25">
      <c r="A5478">
        <v>5477</v>
      </c>
      <c r="B5478">
        <v>2148582</v>
      </c>
      <c r="C5478" s="1" t="str">
        <f>HYPERLINK("http://stackoverflow.com/users/2148582", "heapoverflow")</f>
        <v>heapoverflow</v>
      </c>
      <c r="D5478" t="s">
        <v>57</v>
      </c>
      <c r="E5478">
        <v>18</v>
      </c>
    </row>
    <row r="5479" spans="1:5" x14ac:dyDescent="0.25">
      <c r="A5479">
        <v>5478</v>
      </c>
      <c r="B5479">
        <v>5801959</v>
      </c>
      <c r="C5479" s="1" t="str">
        <f>HYPERLINK("http://stackoverflow.com/users/5801959", "Aofei Sheng")</f>
        <v>Aofei Sheng</v>
      </c>
      <c r="D5479" t="s">
        <v>5</v>
      </c>
      <c r="E5479">
        <v>18</v>
      </c>
    </row>
    <row r="5480" spans="1:5" x14ac:dyDescent="0.25">
      <c r="A5480">
        <v>5479</v>
      </c>
      <c r="B5480">
        <v>4095353</v>
      </c>
      <c r="C5480" s="1" t="str">
        <f>HYPERLINK("http://stackoverflow.com/users/4095353", "kingfly")</f>
        <v>kingfly</v>
      </c>
      <c r="D5480" t="s">
        <v>12</v>
      </c>
      <c r="E5480">
        <v>18</v>
      </c>
    </row>
    <row r="5481" spans="1:5" x14ac:dyDescent="0.25">
      <c r="A5481">
        <v>5480</v>
      </c>
      <c r="B5481">
        <v>5946041</v>
      </c>
      <c r="C5481" s="1" t="str">
        <f>HYPERLINK("http://stackoverflow.com/users/5946041", "WOET")</f>
        <v>WOET</v>
      </c>
      <c r="D5481" t="s">
        <v>4</v>
      </c>
      <c r="E5481">
        <v>18</v>
      </c>
    </row>
    <row r="5482" spans="1:5" x14ac:dyDescent="0.25">
      <c r="A5482">
        <v>5481</v>
      </c>
      <c r="B5482">
        <v>9148248</v>
      </c>
      <c r="C5482" s="1" t="str">
        <f>HYPERLINK("http://stackoverflow.com/users/9148248", "tttemplar")</f>
        <v>tttemplar</v>
      </c>
      <c r="D5482" t="s">
        <v>5</v>
      </c>
      <c r="E5482">
        <v>18</v>
      </c>
    </row>
    <row r="5483" spans="1:5" x14ac:dyDescent="0.25">
      <c r="A5483">
        <v>5482</v>
      </c>
      <c r="B5483">
        <v>2045363</v>
      </c>
      <c r="C5483" s="1" t="str">
        <f>HYPERLINK("http://stackoverflow.com/users/2045363", "Scott Lei")</f>
        <v>Scott Lei</v>
      </c>
      <c r="D5483" t="s">
        <v>54</v>
      </c>
      <c r="E5483">
        <v>18</v>
      </c>
    </row>
    <row r="5484" spans="1:5" x14ac:dyDescent="0.25">
      <c r="A5484">
        <v>5483</v>
      </c>
      <c r="B5484">
        <v>3164237</v>
      </c>
      <c r="C5484" s="1" t="str">
        <f>HYPERLINK("http://stackoverflow.com/users/3164237", "BJ Niu")</f>
        <v>BJ Niu</v>
      </c>
      <c r="D5484" t="s">
        <v>5</v>
      </c>
      <c r="E5484">
        <v>18</v>
      </c>
    </row>
    <row r="5485" spans="1:5" x14ac:dyDescent="0.25">
      <c r="A5485">
        <v>5484</v>
      </c>
      <c r="B5485">
        <v>1144533</v>
      </c>
      <c r="C5485" s="1" t="str">
        <f>HYPERLINK("http://stackoverflow.com/users/1144533", "Ming")</f>
        <v>Ming</v>
      </c>
      <c r="D5485" t="s">
        <v>17</v>
      </c>
      <c r="E5485">
        <v>18</v>
      </c>
    </row>
    <row r="5486" spans="1:5" x14ac:dyDescent="0.25">
      <c r="A5486">
        <v>5485</v>
      </c>
      <c r="B5486">
        <v>978335</v>
      </c>
      <c r="C5486" s="1" t="str">
        <f>HYPERLINK("http://stackoverflow.com/users/978335", "W. Haosen")</f>
        <v>W. Haosen</v>
      </c>
      <c r="D5486" t="s">
        <v>54</v>
      </c>
      <c r="E5486">
        <v>18</v>
      </c>
    </row>
    <row r="5487" spans="1:5" x14ac:dyDescent="0.25">
      <c r="A5487">
        <v>5486</v>
      </c>
      <c r="B5487">
        <v>5177249</v>
      </c>
      <c r="C5487" s="1" t="str">
        <f>HYPERLINK("http://stackoverflow.com/users/5177249", "Future")</f>
        <v>Future</v>
      </c>
      <c r="D5487" t="s">
        <v>79</v>
      </c>
      <c r="E5487">
        <v>18</v>
      </c>
    </row>
    <row r="5488" spans="1:5" x14ac:dyDescent="0.25">
      <c r="A5488">
        <v>5487</v>
      </c>
      <c r="B5488">
        <v>8692860</v>
      </c>
      <c r="C5488" s="1" t="str">
        <f>HYPERLINK("http://stackoverflow.com/users/8692860", "danix800")</f>
        <v>danix800</v>
      </c>
      <c r="D5488" t="s">
        <v>4</v>
      </c>
      <c r="E5488">
        <v>18</v>
      </c>
    </row>
    <row r="5489" spans="1:5" x14ac:dyDescent="0.25">
      <c r="A5489">
        <v>5488</v>
      </c>
      <c r="B5489">
        <v>5064465</v>
      </c>
      <c r="C5489" s="1" t="str">
        <f>HYPERLINK("http://stackoverflow.com/users/5064465", "biezhi")</f>
        <v>biezhi</v>
      </c>
      <c r="D5489" t="s">
        <v>4</v>
      </c>
      <c r="E5489">
        <v>18</v>
      </c>
    </row>
    <row r="5490" spans="1:5" x14ac:dyDescent="0.25">
      <c r="A5490">
        <v>5489</v>
      </c>
      <c r="B5490">
        <v>1619197</v>
      </c>
      <c r="C5490" s="1" t="str">
        <f>HYPERLINK("http://stackoverflow.com/users/1619197", "andrew")</f>
        <v>andrew</v>
      </c>
      <c r="D5490" t="s">
        <v>5</v>
      </c>
      <c r="E5490">
        <v>18</v>
      </c>
    </row>
    <row r="5491" spans="1:5" x14ac:dyDescent="0.25">
      <c r="A5491">
        <v>5490</v>
      </c>
      <c r="B5491">
        <v>2648548</v>
      </c>
      <c r="C5491" s="1" t="str">
        <f>HYPERLINK("http://stackoverflow.com/users/2648548", "Alan")</f>
        <v>Alan</v>
      </c>
      <c r="D5491" t="s">
        <v>5</v>
      </c>
      <c r="E5491">
        <v>18</v>
      </c>
    </row>
    <row r="5492" spans="1:5" x14ac:dyDescent="0.25">
      <c r="A5492">
        <v>5491</v>
      </c>
      <c r="B5492">
        <v>55728</v>
      </c>
      <c r="C5492" s="1" t="str">
        <f>HYPERLINK("http://stackoverflow.com/users/55728", "Smxyhd")</f>
        <v>Smxyhd</v>
      </c>
      <c r="D5492" t="s">
        <v>132</v>
      </c>
      <c r="E5492">
        <v>18</v>
      </c>
    </row>
    <row r="5493" spans="1:5" x14ac:dyDescent="0.25">
      <c r="A5493">
        <v>5492</v>
      </c>
      <c r="B5493">
        <v>7870106</v>
      </c>
      <c r="C5493" s="1" t="str">
        <f>HYPERLINK("http://stackoverflow.com/users/7870106", "young hwa seo")</f>
        <v>young hwa seo</v>
      </c>
      <c r="D5493" t="s">
        <v>76</v>
      </c>
      <c r="E5493">
        <v>18</v>
      </c>
    </row>
    <row r="5494" spans="1:5" x14ac:dyDescent="0.25">
      <c r="A5494">
        <v>5493</v>
      </c>
      <c r="B5494">
        <v>2728022</v>
      </c>
      <c r="C5494" s="1" t="str">
        <f>HYPERLINK("http://stackoverflow.com/users/2728022", "sbw")</f>
        <v>sbw</v>
      </c>
      <c r="D5494" t="s">
        <v>131</v>
      </c>
      <c r="E5494">
        <v>18</v>
      </c>
    </row>
    <row r="5495" spans="1:5" x14ac:dyDescent="0.25">
      <c r="A5495">
        <v>5494</v>
      </c>
      <c r="B5495">
        <v>2861019</v>
      </c>
      <c r="C5495" s="1" t="str">
        <f>HYPERLINK("http://stackoverflow.com/users/2861019", "FingerLiu")</f>
        <v>FingerLiu</v>
      </c>
      <c r="D5495" t="s">
        <v>321</v>
      </c>
      <c r="E5495">
        <v>18</v>
      </c>
    </row>
    <row r="5496" spans="1:5" x14ac:dyDescent="0.25">
      <c r="A5496">
        <v>5495</v>
      </c>
      <c r="B5496">
        <v>4701485</v>
      </c>
      <c r="C5496" s="1" t="str">
        <f>HYPERLINK("http://stackoverflow.com/users/4701485", "JerryShi")</f>
        <v>JerryShi</v>
      </c>
      <c r="D5496" t="s">
        <v>3</v>
      </c>
      <c r="E5496">
        <v>18</v>
      </c>
    </row>
    <row r="5497" spans="1:5" x14ac:dyDescent="0.25">
      <c r="A5497">
        <v>5496</v>
      </c>
      <c r="B5497">
        <v>11151574</v>
      </c>
      <c r="C5497" s="1" t="str">
        <f>HYPERLINK("http://stackoverflow.com/users/11151574", "Johnnie Walker")</f>
        <v>Johnnie Walker</v>
      </c>
      <c r="D5497" t="s">
        <v>4</v>
      </c>
      <c r="E5497">
        <v>18</v>
      </c>
    </row>
    <row r="5498" spans="1:5" x14ac:dyDescent="0.25">
      <c r="A5498">
        <v>5497</v>
      </c>
      <c r="B5498">
        <v>11041144</v>
      </c>
      <c r="C5498" s="1" t="str">
        <f>HYPERLINK("http://stackoverflow.com/users/11041144", "wangjunget")</f>
        <v>wangjunget</v>
      </c>
      <c r="D5498" t="s">
        <v>4</v>
      </c>
      <c r="E5498">
        <v>18</v>
      </c>
    </row>
    <row r="5499" spans="1:5" x14ac:dyDescent="0.25">
      <c r="A5499">
        <v>5498</v>
      </c>
      <c r="B5499">
        <v>5768578</v>
      </c>
      <c r="C5499" s="1" t="str">
        <f>HYPERLINK("http://stackoverflow.com/users/5768578", "ACplus")</f>
        <v>ACplus</v>
      </c>
      <c r="D5499" t="s">
        <v>5</v>
      </c>
      <c r="E5499">
        <v>18</v>
      </c>
    </row>
    <row r="5500" spans="1:5" x14ac:dyDescent="0.25">
      <c r="A5500">
        <v>5499</v>
      </c>
      <c r="B5500">
        <v>9028147</v>
      </c>
      <c r="C5500" s="1" t="str">
        <f>HYPERLINK("http://stackoverflow.com/users/9028147", "sqlMasterSOon")</f>
        <v>sqlMasterSOon</v>
      </c>
      <c r="D5500" t="s">
        <v>322</v>
      </c>
      <c r="E5500">
        <v>18</v>
      </c>
    </row>
    <row r="5501" spans="1:5" x14ac:dyDescent="0.25">
      <c r="A5501">
        <v>5500</v>
      </c>
      <c r="B5501">
        <v>10809271</v>
      </c>
      <c r="C5501" s="1" t="str">
        <f>HYPERLINK("http://stackoverflow.com/users/10809271", "S.C. Zheng")</f>
        <v>S.C. Zheng</v>
      </c>
      <c r="D5501" t="s">
        <v>323</v>
      </c>
      <c r="E5501">
        <v>18</v>
      </c>
    </row>
    <row r="5502" spans="1:5" x14ac:dyDescent="0.25">
      <c r="A5502">
        <v>5501</v>
      </c>
      <c r="B5502">
        <v>7270599</v>
      </c>
      <c r="C5502" s="1" t="str">
        <f>HYPERLINK("http://stackoverflow.com/users/7270599", "da que")</f>
        <v>da que</v>
      </c>
      <c r="D5502" t="s">
        <v>5</v>
      </c>
      <c r="E5502">
        <v>18</v>
      </c>
    </row>
    <row r="5503" spans="1:5" x14ac:dyDescent="0.25">
      <c r="A5503">
        <v>5502</v>
      </c>
      <c r="B5503">
        <v>1974437</v>
      </c>
      <c r="C5503" s="1" t="str">
        <f>HYPERLINK("http://stackoverflow.com/users/1974437", "websterww")</f>
        <v>websterww</v>
      </c>
      <c r="D5503" t="s">
        <v>12</v>
      </c>
      <c r="E5503">
        <v>18</v>
      </c>
    </row>
    <row r="5504" spans="1:5" x14ac:dyDescent="0.25">
      <c r="A5504">
        <v>5503</v>
      </c>
      <c r="B5504">
        <v>346300</v>
      </c>
      <c r="C5504" s="1" t="str">
        <f>HYPERLINK("http://stackoverflow.com/users/346300", "remus")</f>
        <v>remus</v>
      </c>
      <c r="D5504" t="s">
        <v>4</v>
      </c>
      <c r="E5504">
        <v>18</v>
      </c>
    </row>
    <row r="5505" spans="1:5" x14ac:dyDescent="0.25">
      <c r="A5505">
        <v>5504</v>
      </c>
      <c r="B5505">
        <v>2612814</v>
      </c>
      <c r="C5505" s="1" t="str">
        <f>HYPERLINK("http://stackoverflow.com/users/2612814", "Jim Jin")</f>
        <v>Jim Jin</v>
      </c>
      <c r="D5505" t="s">
        <v>4</v>
      </c>
      <c r="E5505">
        <v>18</v>
      </c>
    </row>
    <row r="5506" spans="1:5" x14ac:dyDescent="0.25">
      <c r="A5506">
        <v>5505</v>
      </c>
      <c r="B5506">
        <v>8058220</v>
      </c>
      <c r="C5506" s="1" t="str">
        <f>HYPERLINK("http://stackoverflow.com/users/8058220", "reddevilzs")</f>
        <v>reddevilzs</v>
      </c>
      <c r="D5506" t="s">
        <v>301</v>
      </c>
      <c r="E5506">
        <v>18</v>
      </c>
    </row>
    <row r="5507" spans="1:5" x14ac:dyDescent="0.25">
      <c r="A5507">
        <v>5506</v>
      </c>
      <c r="B5507">
        <v>792161</v>
      </c>
      <c r="C5507" s="1" t="str">
        <f>HYPERLINK("http://stackoverflow.com/users/792161", "yw79641760")</f>
        <v>yw79641760</v>
      </c>
      <c r="D5507" t="s">
        <v>5</v>
      </c>
      <c r="E5507">
        <v>18</v>
      </c>
    </row>
    <row r="5508" spans="1:5" x14ac:dyDescent="0.25">
      <c r="A5508">
        <v>5507</v>
      </c>
      <c r="B5508">
        <v>698030</v>
      </c>
      <c r="C5508" s="1" t="str">
        <f>HYPERLINK("http://stackoverflow.com/users/698030", "Kai")</f>
        <v>Kai</v>
      </c>
      <c r="D5508" t="s">
        <v>5</v>
      </c>
      <c r="E5508">
        <v>18</v>
      </c>
    </row>
    <row r="5509" spans="1:5" x14ac:dyDescent="0.25">
      <c r="A5509">
        <v>5508</v>
      </c>
      <c r="B5509">
        <v>960783</v>
      </c>
      <c r="C5509" s="1" t="str">
        <f>HYPERLINK("http://stackoverflow.com/users/960783", "chinloon")</f>
        <v>chinloon</v>
      </c>
      <c r="D5509" t="s">
        <v>4</v>
      </c>
      <c r="E5509">
        <v>18</v>
      </c>
    </row>
    <row r="5510" spans="1:5" x14ac:dyDescent="0.25">
      <c r="A5510">
        <v>5509</v>
      </c>
      <c r="B5510">
        <v>1109281</v>
      </c>
      <c r="C5510" s="1" t="str">
        <f>HYPERLINK("http://stackoverflow.com/users/1109281", "bigfanofcpp")</f>
        <v>bigfanofcpp</v>
      </c>
      <c r="D5510" t="s">
        <v>5</v>
      </c>
      <c r="E5510">
        <v>18</v>
      </c>
    </row>
    <row r="5511" spans="1:5" x14ac:dyDescent="0.25">
      <c r="A5511">
        <v>5510</v>
      </c>
      <c r="B5511">
        <v>8591009</v>
      </c>
      <c r="C5511" s="1" t="str">
        <f>HYPERLINK("http://stackoverflow.com/users/8591009", "ciampion")</f>
        <v>ciampion</v>
      </c>
      <c r="D5511" t="s">
        <v>16</v>
      </c>
      <c r="E5511">
        <v>18</v>
      </c>
    </row>
    <row r="5512" spans="1:5" x14ac:dyDescent="0.25">
      <c r="A5512">
        <v>5511</v>
      </c>
      <c r="B5512">
        <v>5167335</v>
      </c>
      <c r="C5512" s="1" t="str">
        <f>HYPERLINK("http://stackoverflow.com/users/5167335", "Sera")</f>
        <v>Sera</v>
      </c>
      <c r="D5512" t="s">
        <v>5</v>
      </c>
      <c r="E5512">
        <v>18</v>
      </c>
    </row>
    <row r="5513" spans="1:5" x14ac:dyDescent="0.25">
      <c r="A5513">
        <v>5512</v>
      </c>
      <c r="B5513">
        <v>6025316</v>
      </c>
      <c r="C5513" s="1" t="str">
        <f>HYPERLINK("http://stackoverflow.com/users/6025316", "Bowei Chan")</f>
        <v>Bowei Chan</v>
      </c>
      <c r="D5513" t="s">
        <v>25</v>
      </c>
      <c r="E5513">
        <v>18</v>
      </c>
    </row>
    <row r="5514" spans="1:5" x14ac:dyDescent="0.25">
      <c r="A5514">
        <v>5513</v>
      </c>
      <c r="B5514">
        <v>7344908</v>
      </c>
      <c r="C5514" s="1" t="str">
        <f>HYPERLINK("http://stackoverflow.com/users/7344908", "sejabs")</f>
        <v>sejabs</v>
      </c>
      <c r="D5514" t="s">
        <v>324</v>
      </c>
      <c r="E5514">
        <v>18</v>
      </c>
    </row>
    <row r="5515" spans="1:5" x14ac:dyDescent="0.25">
      <c r="A5515">
        <v>5514</v>
      </c>
      <c r="B5515">
        <v>1078099</v>
      </c>
      <c r="C5515" s="1" t="str">
        <f>HYPERLINK("http://stackoverflow.com/users/1078099", "POPOEVER")</f>
        <v>POPOEVER</v>
      </c>
      <c r="D5515" t="s">
        <v>4</v>
      </c>
      <c r="E5515">
        <v>18</v>
      </c>
    </row>
    <row r="5516" spans="1:5" x14ac:dyDescent="0.25">
      <c r="A5516">
        <v>5515</v>
      </c>
      <c r="B5516">
        <v>2736504</v>
      </c>
      <c r="C5516" s="1" t="str">
        <f>HYPERLINK("http://stackoverflow.com/users/2736504", "Meray Xu")</f>
        <v>Meray Xu</v>
      </c>
      <c r="D5516" t="s">
        <v>5</v>
      </c>
      <c r="E5516">
        <v>18</v>
      </c>
    </row>
    <row r="5517" spans="1:5" x14ac:dyDescent="0.25">
      <c r="A5517">
        <v>5516</v>
      </c>
      <c r="B5517">
        <v>6341335</v>
      </c>
      <c r="C5517" s="1" t="str">
        <f>HYPERLINK("http://stackoverflow.com/users/6341335", "Luke Zhou")</f>
        <v>Luke Zhou</v>
      </c>
      <c r="D5517" t="s">
        <v>4</v>
      </c>
      <c r="E5517">
        <v>18</v>
      </c>
    </row>
    <row r="5518" spans="1:5" x14ac:dyDescent="0.25">
      <c r="A5518">
        <v>5517</v>
      </c>
      <c r="B5518">
        <v>1203477</v>
      </c>
      <c r="C5518" s="1" t="str">
        <f>HYPERLINK("http://stackoverflow.com/users/1203477", "Sheldon Han")</f>
        <v>Sheldon Han</v>
      </c>
      <c r="D5518" t="s">
        <v>5</v>
      </c>
      <c r="E5518">
        <v>18</v>
      </c>
    </row>
    <row r="5519" spans="1:5" x14ac:dyDescent="0.25">
      <c r="A5519">
        <v>5518</v>
      </c>
      <c r="B5519">
        <v>1808736</v>
      </c>
      <c r="C5519" s="1" t="str">
        <f>HYPERLINK("http://stackoverflow.com/users/1808736", "zhongcy")</f>
        <v>zhongcy</v>
      </c>
      <c r="D5519" t="s">
        <v>22</v>
      </c>
      <c r="E5519">
        <v>18</v>
      </c>
    </row>
    <row r="5520" spans="1:5" x14ac:dyDescent="0.25">
      <c r="A5520">
        <v>5519</v>
      </c>
      <c r="B5520">
        <v>5584101</v>
      </c>
      <c r="C5520" s="1" t="str">
        <f>HYPERLINK("http://stackoverflow.com/users/5584101", "Ann Yu")</f>
        <v>Ann Yu</v>
      </c>
      <c r="D5520" t="s">
        <v>4</v>
      </c>
      <c r="E5520">
        <v>18</v>
      </c>
    </row>
    <row r="5521" spans="1:5" x14ac:dyDescent="0.25">
      <c r="A5521">
        <v>5520</v>
      </c>
      <c r="B5521">
        <v>2282858</v>
      </c>
      <c r="C5521" s="1" t="str">
        <f>HYPERLINK("http://stackoverflow.com/users/2282858", "Oh my dog")</f>
        <v>Oh my dog</v>
      </c>
      <c r="D5521" t="s">
        <v>21</v>
      </c>
      <c r="E5521">
        <v>18</v>
      </c>
    </row>
    <row r="5522" spans="1:5" x14ac:dyDescent="0.25">
      <c r="A5522">
        <v>5521</v>
      </c>
      <c r="B5522">
        <v>7681612</v>
      </c>
      <c r="C5522" s="1" t="str">
        <f>HYPERLINK("http://stackoverflow.com/users/7681612", "H. Guo")</f>
        <v>H. Guo</v>
      </c>
      <c r="D5522" t="s">
        <v>4</v>
      </c>
      <c r="E5522">
        <v>18</v>
      </c>
    </row>
    <row r="5523" spans="1:5" x14ac:dyDescent="0.25">
      <c r="A5523">
        <v>5522</v>
      </c>
      <c r="B5523">
        <v>3468952</v>
      </c>
      <c r="C5523" s="1" t="str">
        <f>HYPERLINK("http://stackoverflow.com/users/3468952", "edagarli")</f>
        <v>edagarli</v>
      </c>
      <c r="D5523" t="s">
        <v>12</v>
      </c>
      <c r="E5523">
        <v>18</v>
      </c>
    </row>
    <row r="5524" spans="1:5" x14ac:dyDescent="0.25">
      <c r="A5524">
        <v>5523</v>
      </c>
      <c r="B5524">
        <v>10766074</v>
      </c>
      <c r="C5524" s="1" t="str">
        <f>HYPERLINK("http://stackoverflow.com/users/10766074", "Xiang")</f>
        <v>Xiang</v>
      </c>
      <c r="D5524" t="s">
        <v>4</v>
      </c>
      <c r="E5524">
        <v>18</v>
      </c>
    </row>
    <row r="5525" spans="1:5" x14ac:dyDescent="0.25">
      <c r="A5525">
        <v>5524</v>
      </c>
      <c r="B5525">
        <v>1503634</v>
      </c>
      <c r="C5525" s="1" t="str">
        <f>HYPERLINK("http://stackoverflow.com/users/1503634", "lwxted")</f>
        <v>lwxted</v>
      </c>
      <c r="D5525" t="s">
        <v>17</v>
      </c>
      <c r="E5525">
        <v>18</v>
      </c>
    </row>
    <row r="5526" spans="1:5" x14ac:dyDescent="0.25">
      <c r="A5526">
        <v>5525</v>
      </c>
      <c r="B5526">
        <v>5085798</v>
      </c>
      <c r="C5526" s="1" t="str">
        <f>HYPERLINK("http://stackoverflow.com/users/5085798", "Mo Frank Hu")</f>
        <v>Mo Frank Hu</v>
      </c>
      <c r="D5526" t="s">
        <v>5</v>
      </c>
      <c r="E5526">
        <v>18</v>
      </c>
    </row>
    <row r="5527" spans="1:5" x14ac:dyDescent="0.25">
      <c r="A5527">
        <v>5526</v>
      </c>
      <c r="B5527">
        <v>8235309</v>
      </c>
      <c r="C5527" s="1" t="str">
        <f>HYPERLINK("http://stackoverflow.com/users/8235309", "Iroxk")</f>
        <v>Iroxk</v>
      </c>
      <c r="D5527" t="s">
        <v>5</v>
      </c>
      <c r="E5527">
        <v>18</v>
      </c>
    </row>
    <row r="5528" spans="1:5" x14ac:dyDescent="0.25">
      <c r="A5528">
        <v>5527</v>
      </c>
      <c r="B5528">
        <v>1081111</v>
      </c>
      <c r="C5528" s="1" t="str">
        <f>HYPERLINK("http://stackoverflow.com/users/1081111", "ftiasch")</f>
        <v>ftiasch</v>
      </c>
      <c r="D5528" t="s">
        <v>4</v>
      </c>
      <c r="E5528">
        <v>18</v>
      </c>
    </row>
    <row r="5529" spans="1:5" x14ac:dyDescent="0.25">
      <c r="A5529">
        <v>5528</v>
      </c>
      <c r="B5529">
        <v>4883821</v>
      </c>
      <c r="C5529" s="1" t="str">
        <f>HYPERLINK("http://stackoverflow.com/users/4883821", "Jim Cui")</f>
        <v>Jim Cui</v>
      </c>
      <c r="D5529" t="s">
        <v>7</v>
      </c>
      <c r="E5529">
        <v>18</v>
      </c>
    </row>
    <row r="5530" spans="1:5" x14ac:dyDescent="0.25">
      <c r="A5530">
        <v>5529</v>
      </c>
      <c r="B5530">
        <v>3093493</v>
      </c>
      <c r="C5530" s="1" t="str">
        <f>HYPERLINK("http://stackoverflow.com/users/3093493", "alex chen")</f>
        <v>alex chen</v>
      </c>
      <c r="D5530" t="s">
        <v>4</v>
      </c>
      <c r="E5530">
        <v>18</v>
      </c>
    </row>
    <row r="5531" spans="1:5" x14ac:dyDescent="0.25">
      <c r="A5531">
        <v>5530</v>
      </c>
      <c r="B5531">
        <v>6269420</v>
      </c>
      <c r="C5531" s="1" t="str">
        <f>HYPERLINK("http://stackoverflow.com/users/6269420", "Frank")</f>
        <v>Frank</v>
      </c>
      <c r="D5531" t="s">
        <v>55</v>
      </c>
      <c r="E5531">
        <v>18</v>
      </c>
    </row>
    <row r="5532" spans="1:5" x14ac:dyDescent="0.25">
      <c r="A5532">
        <v>5531</v>
      </c>
      <c r="B5532">
        <v>2738605</v>
      </c>
      <c r="C5532" s="1" t="str">
        <f>HYPERLINK("http://stackoverflow.com/users/2738605", "Xiaofeng")</f>
        <v>Xiaofeng</v>
      </c>
      <c r="D5532" t="s">
        <v>4</v>
      </c>
      <c r="E5532">
        <v>18</v>
      </c>
    </row>
    <row r="5533" spans="1:5" x14ac:dyDescent="0.25">
      <c r="A5533">
        <v>5532</v>
      </c>
      <c r="B5533">
        <v>6385002</v>
      </c>
      <c r="C5533" s="1" t="str">
        <f>HYPERLINK("http://stackoverflow.com/users/6385002", "wanchen")</f>
        <v>wanchen</v>
      </c>
      <c r="D5533" t="s">
        <v>7</v>
      </c>
      <c r="E5533">
        <v>18</v>
      </c>
    </row>
    <row r="5534" spans="1:5" x14ac:dyDescent="0.25">
      <c r="A5534">
        <v>5533</v>
      </c>
      <c r="B5534">
        <v>636294</v>
      </c>
      <c r="C5534" s="1" t="str">
        <f>HYPERLINK("http://stackoverflow.com/users/636294", "Johnny")</f>
        <v>Johnny</v>
      </c>
      <c r="D5534" t="s">
        <v>5</v>
      </c>
      <c r="E5534">
        <v>18</v>
      </c>
    </row>
    <row r="5535" spans="1:5" x14ac:dyDescent="0.25">
      <c r="A5535">
        <v>5534</v>
      </c>
      <c r="B5535">
        <v>676056</v>
      </c>
      <c r="C5535" s="1" t="str">
        <f>HYPERLINK("http://stackoverflow.com/users/676056", "taolinke")</f>
        <v>taolinke</v>
      </c>
      <c r="D5535" t="s">
        <v>5</v>
      </c>
      <c r="E5535">
        <v>18</v>
      </c>
    </row>
    <row r="5536" spans="1:5" x14ac:dyDescent="0.25">
      <c r="A5536">
        <v>5535</v>
      </c>
      <c r="B5536">
        <v>4616689</v>
      </c>
      <c r="C5536" s="1" t="str">
        <f>HYPERLINK("http://stackoverflow.com/users/4616689", "duguyihou")</f>
        <v>duguyihou</v>
      </c>
      <c r="D5536" t="s">
        <v>5</v>
      </c>
      <c r="E5536">
        <v>18</v>
      </c>
    </row>
    <row r="5537" spans="1:5" x14ac:dyDescent="0.25">
      <c r="A5537">
        <v>5536</v>
      </c>
      <c r="B5537">
        <v>8073616</v>
      </c>
      <c r="C5537" s="1" t="str">
        <f>HYPERLINK("http://stackoverflow.com/users/8073616", "x.w zhang")</f>
        <v>x.w zhang</v>
      </c>
      <c r="D5537" t="s">
        <v>5</v>
      </c>
      <c r="E5537">
        <v>18</v>
      </c>
    </row>
    <row r="5538" spans="1:5" x14ac:dyDescent="0.25">
      <c r="A5538">
        <v>5537</v>
      </c>
      <c r="B5538">
        <v>882716</v>
      </c>
      <c r="C5538" s="1" t="str">
        <f>HYPERLINK("http://stackoverflow.com/users/882716", "Daniel Zheng")</f>
        <v>Daniel Zheng</v>
      </c>
      <c r="D5538" t="s">
        <v>4</v>
      </c>
      <c r="E5538">
        <v>18</v>
      </c>
    </row>
    <row r="5539" spans="1:5" x14ac:dyDescent="0.25">
      <c r="A5539">
        <v>5538</v>
      </c>
      <c r="B5539">
        <v>4768346</v>
      </c>
      <c r="C5539" s="1" t="str">
        <f>HYPERLINK("http://stackoverflow.com/users/4768346", "LokI")</f>
        <v>LokI</v>
      </c>
      <c r="D5539" t="s">
        <v>5</v>
      </c>
      <c r="E5539">
        <v>18</v>
      </c>
    </row>
    <row r="5540" spans="1:5" x14ac:dyDescent="0.25">
      <c r="A5540">
        <v>5539</v>
      </c>
      <c r="B5540">
        <v>7921484</v>
      </c>
      <c r="C5540" s="1" t="str">
        <f>HYPERLINK("http://stackoverflow.com/users/7921484", "Hasan Iqbal")</f>
        <v>Hasan Iqbal</v>
      </c>
      <c r="D5540" t="s">
        <v>5</v>
      </c>
      <c r="E5540">
        <v>18</v>
      </c>
    </row>
    <row r="5541" spans="1:5" x14ac:dyDescent="0.25">
      <c r="A5541">
        <v>5540</v>
      </c>
      <c r="B5541">
        <v>9821718</v>
      </c>
      <c r="C5541" s="1" t="str">
        <f>HYPERLINK("http://stackoverflow.com/users/9821718", "AlexanderZhao")</f>
        <v>AlexanderZhao</v>
      </c>
      <c r="D5541" t="s">
        <v>7</v>
      </c>
      <c r="E5541">
        <v>18</v>
      </c>
    </row>
    <row r="5542" spans="1:5" x14ac:dyDescent="0.25">
      <c r="A5542">
        <v>5541</v>
      </c>
      <c r="B5542">
        <v>381015</v>
      </c>
      <c r="C5542" s="1" t="str">
        <f>HYPERLINK("http://stackoverflow.com/users/381015", "jeeves")</f>
        <v>jeeves</v>
      </c>
      <c r="D5542" t="s">
        <v>59</v>
      </c>
      <c r="E5542">
        <v>18</v>
      </c>
    </row>
    <row r="5543" spans="1:5" x14ac:dyDescent="0.25">
      <c r="A5543">
        <v>5542</v>
      </c>
      <c r="B5543">
        <v>1320191</v>
      </c>
      <c r="C5543" s="1" t="str">
        <f>HYPERLINK("http://stackoverflow.com/users/1320191", "akuma")</f>
        <v>akuma</v>
      </c>
      <c r="D5543" t="s">
        <v>12</v>
      </c>
      <c r="E5543">
        <v>18</v>
      </c>
    </row>
    <row r="5544" spans="1:5" x14ac:dyDescent="0.25">
      <c r="A5544">
        <v>5543</v>
      </c>
      <c r="B5544">
        <v>1280102</v>
      </c>
      <c r="C5544" s="1" t="str">
        <f>HYPERLINK("http://stackoverflow.com/users/1280102", "freealbert")</f>
        <v>freealbert</v>
      </c>
      <c r="D5544" t="s">
        <v>37</v>
      </c>
      <c r="E5544">
        <v>18</v>
      </c>
    </row>
    <row r="5545" spans="1:5" x14ac:dyDescent="0.25">
      <c r="A5545">
        <v>5544</v>
      </c>
      <c r="B5545">
        <v>4942713</v>
      </c>
      <c r="C5545" s="1" t="str">
        <f>HYPERLINK("http://stackoverflow.com/users/4942713", "Scorpion775")</f>
        <v>Scorpion775</v>
      </c>
      <c r="D5545" t="s">
        <v>95</v>
      </c>
      <c r="E5545">
        <v>18</v>
      </c>
    </row>
    <row r="5546" spans="1:5" x14ac:dyDescent="0.25">
      <c r="A5546">
        <v>5545</v>
      </c>
      <c r="B5546">
        <v>3167658</v>
      </c>
      <c r="C5546" s="1" t="str">
        <f>HYPERLINK("http://stackoverflow.com/users/3167658", "kymjs张涛")</f>
        <v>kymjs张涛</v>
      </c>
      <c r="D5546" t="s">
        <v>192</v>
      </c>
      <c r="E5546">
        <v>18</v>
      </c>
    </row>
    <row r="5547" spans="1:5" x14ac:dyDescent="0.25">
      <c r="A5547">
        <v>5546</v>
      </c>
      <c r="B5547">
        <v>4837926</v>
      </c>
      <c r="C5547" s="1" t="str">
        <f>HYPERLINK("http://stackoverflow.com/users/4837926", "yongzhi")</f>
        <v>yongzhi</v>
      </c>
      <c r="D5547" t="s">
        <v>5</v>
      </c>
      <c r="E5547">
        <v>18</v>
      </c>
    </row>
    <row r="5548" spans="1:5" x14ac:dyDescent="0.25">
      <c r="A5548">
        <v>5547</v>
      </c>
      <c r="B5548">
        <v>6563503</v>
      </c>
      <c r="C5548" s="1" t="str">
        <f>HYPERLINK("http://stackoverflow.com/users/6563503", "Mercraft")</f>
        <v>Mercraft</v>
      </c>
      <c r="D5548" t="s">
        <v>5</v>
      </c>
      <c r="E5548">
        <v>18</v>
      </c>
    </row>
    <row r="5549" spans="1:5" x14ac:dyDescent="0.25">
      <c r="A5549">
        <v>5548</v>
      </c>
      <c r="B5549">
        <v>4899295</v>
      </c>
      <c r="C5549" s="1" t="str">
        <f>HYPERLINK("http://stackoverflow.com/users/4899295", "PotatoChips")</f>
        <v>PotatoChips</v>
      </c>
      <c r="D5549" t="s">
        <v>242</v>
      </c>
      <c r="E5549">
        <v>18</v>
      </c>
    </row>
    <row r="5550" spans="1:5" x14ac:dyDescent="0.25">
      <c r="A5550">
        <v>5549</v>
      </c>
      <c r="B5550">
        <v>10594058</v>
      </c>
      <c r="C5550" s="1" t="str">
        <f>HYPERLINK("http://stackoverflow.com/users/10594058", "todaynowork")</f>
        <v>todaynowork</v>
      </c>
      <c r="D5550" t="s">
        <v>74</v>
      </c>
      <c r="E5550">
        <v>18</v>
      </c>
    </row>
    <row r="5551" spans="1:5" x14ac:dyDescent="0.25">
      <c r="A5551">
        <v>5550</v>
      </c>
      <c r="B5551">
        <v>5097714</v>
      </c>
      <c r="C5551" s="1" t="str">
        <f>HYPERLINK("http://stackoverflow.com/users/5097714", "Min Huang")</f>
        <v>Min Huang</v>
      </c>
      <c r="D5551" t="s">
        <v>4</v>
      </c>
      <c r="E5551">
        <v>18</v>
      </c>
    </row>
    <row r="5552" spans="1:5" x14ac:dyDescent="0.25">
      <c r="A5552">
        <v>5551</v>
      </c>
      <c r="B5552">
        <v>3977121</v>
      </c>
      <c r="C5552" s="1" t="str">
        <f>HYPERLINK("http://stackoverflow.com/users/3977121", "felix.f.zhang")</f>
        <v>felix.f.zhang</v>
      </c>
      <c r="D5552" t="s">
        <v>4</v>
      </c>
      <c r="E5552">
        <v>18</v>
      </c>
    </row>
    <row r="5553" spans="1:5" x14ac:dyDescent="0.25">
      <c r="A5553">
        <v>5552</v>
      </c>
      <c r="B5553">
        <v>1767095</v>
      </c>
      <c r="C5553" s="1" t="str">
        <f>HYPERLINK("http://stackoverflow.com/users/1767095", "Dennis Chow")</f>
        <v>Dennis Chow</v>
      </c>
      <c r="D5553" t="s">
        <v>21</v>
      </c>
      <c r="E5553">
        <v>18</v>
      </c>
    </row>
    <row r="5554" spans="1:5" x14ac:dyDescent="0.25">
      <c r="A5554">
        <v>5553</v>
      </c>
      <c r="B5554">
        <v>2302183</v>
      </c>
      <c r="C5554" s="1" t="str">
        <f>HYPERLINK("http://stackoverflow.com/users/2302183", "ningrixin")</f>
        <v>ningrixin</v>
      </c>
      <c r="D5554" t="s">
        <v>21</v>
      </c>
      <c r="E5554">
        <v>18</v>
      </c>
    </row>
    <row r="5555" spans="1:5" x14ac:dyDescent="0.25">
      <c r="A5555">
        <v>5554</v>
      </c>
      <c r="B5555">
        <v>4063480</v>
      </c>
      <c r="C5555" s="1" t="str">
        <f>HYPERLINK("http://stackoverflow.com/users/4063480", "程栋彬")</f>
        <v>程栋彬</v>
      </c>
      <c r="D5555" t="s">
        <v>4</v>
      </c>
      <c r="E5555">
        <v>18</v>
      </c>
    </row>
    <row r="5556" spans="1:5" x14ac:dyDescent="0.25">
      <c r="A5556">
        <v>5555</v>
      </c>
      <c r="B5556">
        <v>2397255</v>
      </c>
      <c r="C5556" s="1" t="str">
        <f>HYPERLINK("http://stackoverflow.com/users/2397255", "Qilei Ren")</f>
        <v>Qilei Ren</v>
      </c>
      <c r="D5556" t="s">
        <v>4</v>
      </c>
      <c r="E5556">
        <v>18</v>
      </c>
    </row>
    <row r="5557" spans="1:5" x14ac:dyDescent="0.25">
      <c r="A5557">
        <v>5556</v>
      </c>
      <c r="B5557">
        <v>2828297</v>
      </c>
      <c r="C5557" s="1" t="str">
        <f>HYPERLINK("http://stackoverflow.com/users/2828297", "josephchang23")</f>
        <v>josephchang23</v>
      </c>
      <c r="D5557" t="s">
        <v>55</v>
      </c>
      <c r="E5557">
        <v>18</v>
      </c>
    </row>
    <row r="5558" spans="1:5" x14ac:dyDescent="0.25">
      <c r="A5558">
        <v>5557</v>
      </c>
      <c r="B5558">
        <v>6170052</v>
      </c>
      <c r="C5558" s="1" t="str">
        <f>HYPERLINK("http://stackoverflow.com/users/6170052", "Dai Qiang")</f>
        <v>Dai Qiang</v>
      </c>
      <c r="D5558" t="s">
        <v>55</v>
      </c>
      <c r="E5558">
        <v>18</v>
      </c>
    </row>
    <row r="5559" spans="1:5" x14ac:dyDescent="0.25">
      <c r="A5559">
        <v>5558</v>
      </c>
      <c r="B5559">
        <v>4516096</v>
      </c>
      <c r="C5559" s="1" t="str">
        <f>HYPERLINK("http://stackoverflow.com/users/4516096", "Leslie Underhill")</f>
        <v>Leslie Underhill</v>
      </c>
      <c r="D5559" t="s">
        <v>5</v>
      </c>
      <c r="E5559">
        <v>18</v>
      </c>
    </row>
    <row r="5560" spans="1:5" x14ac:dyDescent="0.25">
      <c r="A5560">
        <v>5559</v>
      </c>
      <c r="B5560">
        <v>435475</v>
      </c>
      <c r="C5560" s="1" t="str">
        <f>HYPERLINK("http://stackoverflow.com/users/435475", "YAMEDE")</f>
        <v>YAMEDE</v>
      </c>
      <c r="D5560" t="s">
        <v>5</v>
      </c>
      <c r="E5560">
        <v>18</v>
      </c>
    </row>
    <row r="5561" spans="1:5" x14ac:dyDescent="0.25">
      <c r="A5561">
        <v>5560</v>
      </c>
      <c r="B5561">
        <v>1511355</v>
      </c>
      <c r="C5561" s="1" t="str">
        <f>HYPERLINK("http://stackoverflow.com/users/1511355", "fioman")</f>
        <v>fioman</v>
      </c>
      <c r="D5561" t="s">
        <v>17</v>
      </c>
      <c r="E5561">
        <v>18</v>
      </c>
    </row>
    <row r="5562" spans="1:5" x14ac:dyDescent="0.25">
      <c r="A5562">
        <v>5561</v>
      </c>
      <c r="B5562">
        <v>3148550</v>
      </c>
      <c r="C5562" s="1" t="str">
        <f>HYPERLINK("http://stackoverflow.com/users/3148550", "Richard")</f>
        <v>Richard</v>
      </c>
      <c r="D5562" t="s">
        <v>325</v>
      </c>
      <c r="E5562">
        <v>18</v>
      </c>
    </row>
    <row r="5563" spans="1:5" x14ac:dyDescent="0.25">
      <c r="A5563">
        <v>5562</v>
      </c>
      <c r="B5563">
        <v>1222877</v>
      </c>
      <c r="C5563" s="1" t="str">
        <f>HYPERLINK("http://stackoverflow.com/users/1222877", "Xiao")</f>
        <v>Xiao</v>
      </c>
      <c r="D5563" t="s">
        <v>4</v>
      </c>
      <c r="E5563">
        <v>18</v>
      </c>
    </row>
    <row r="5564" spans="1:5" x14ac:dyDescent="0.25">
      <c r="A5564">
        <v>5563</v>
      </c>
      <c r="B5564">
        <v>1204982</v>
      </c>
      <c r="C5564" s="1" t="str">
        <f>HYPERLINK("http://stackoverflow.com/users/1204982", "tdy218")</f>
        <v>tdy218</v>
      </c>
      <c r="D5564" t="s">
        <v>5</v>
      </c>
      <c r="E5564">
        <v>18</v>
      </c>
    </row>
    <row r="5565" spans="1:5" x14ac:dyDescent="0.25">
      <c r="A5565">
        <v>5564</v>
      </c>
      <c r="B5565">
        <v>10380497</v>
      </c>
      <c r="C5565" s="1" t="str">
        <f>HYPERLINK("http://stackoverflow.com/users/10380497", "xind")</f>
        <v>xind</v>
      </c>
      <c r="D5565" t="s">
        <v>4</v>
      </c>
      <c r="E5565">
        <v>18</v>
      </c>
    </row>
    <row r="5566" spans="1:5" x14ac:dyDescent="0.25">
      <c r="A5566">
        <v>5565</v>
      </c>
      <c r="B5566">
        <v>859251</v>
      </c>
      <c r="C5566" s="1" t="str">
        <f>HYPERLINK("http://stackoverflow.com/users/859251", "lioooo")</f>
        <v>lioooo</v>
      </c>
      <c r="D5566" t="s">
        <v>5</v>
      </c>
      <c r="E5566">
        <v>17</v>
      </c>
    </row>
    <row r="5567" spans="1:5" x14ac:dyDescent="0.25">
      <c r="A5567">
        <v>5566</v>
      </c>
      <c r="B5567">
        <v>9129979</v>
      </c>
      <c r="C5567" s="1" t="str">
        <f>HYPERLINK("http://stackoverflow.com/users/9129979", "Piao David")</f>
        <v>Piao David</v>
      </c>
      <c r="D5567" t="s">
        <v>320</v>
      </c>
      <c r="E5567">
        <v>17</v>
      </c>
    </row>
    <row r="5568" spans="1:5" x14ac:dyDescent="0.25">
      <c r="A5568">
        <v>5567</v>
      </c>
      <c r="B5568">
        <v>5726385</v>
      </c>
      <c r="C5568" s="1" t="str">
        <f>HYPERLINK("http://stackoverflow.com/users/5726385", "Louie")</f>
        <v>Louie</v>
      </c>
      <c r="D5568" t="s">
        <v>5</v>
      </c>
      <c r="E5568">
        <v>17</v>
      </c>
    </row>
    <row r="5569" spans="1:5" x14ac:dyDescent="0.25">
      <c r="A5569">
        <v>5568</v>
      </c>
      <c r="B5569">
        <v>2211589</v>
      </c>
      <c r="C5569" s="1" t="str">
        <f>HYPERLINK("http://stackoverflow.com/users/2211589", "Kudi")</f>
        <v>Kudi</v>
      </c>
      <c r="D5569" t="s">
        <v>3</v>
      </c>
      <c r="E5569">
        <v>17</v>
      </c>
    </row>
    <row r="5570" spans="1:5" x14ac:dyDescent="0.25">
      <c r="A5570">
        <v>5569</v>
      </c>
      <c r="B5570">
        <v>3578004</v>
      </c>
      <c r="C5570" s="1" t="str">
        <f>HYPERLINK("http://stackoverflow.com/users/3578004", "Michael Bai")</f>
        <v>Michael Bai</v>
      </c>
      <c r="D5570" t="s">
        <v>4</v>
      </c>
      <c r="E5570">
        <v>17</v>
      </c>
    </row>
    <row r="5571" spans="1:5" x14ac:dyDescent="0.25">
      <c r="A5571">
        <v>5570</v>
      </c>
      <c r="B5571">
        <v>4472428</v>
      </c>
      <c r="C5571" s="1" t="str">
        <f>HYPERLINK("http://stackoverflow.com/users/4472428", "Ben")</f>
        <v>Ben</v>
      </c>
      <c r="D5571" t="s">
        <v>4</v>
      </c>
      <c r="E5571">
        <v>17</v>
      </c>
    </row>
    <row r="5572" spans="1:5" x14ac:dyDescent="0.25">
      <c r="A5572">
        <v>5571</v>
      </c>
      <c r="B5572">
        <v>10228638</v>
      </c>
      <c r="C5572" s="1" t="str">
        <f>HYPERLINK("http://stackoverflow.com/users/10228638", "Aimee")</f>
        <v>Aimee</v>
      </c>
      <c r="D5572" t="s">
        <v>5</v>
      </c>
      <c r="E5572">
        <v>17</v>
      </c>
    </row>
    <row r="5573" spans="1:5" x14ac:dyDescent="0.25">
      <c r="A5573">
        <v>5572</v>
      </c>
      <c r="B5573">
        <v>7121473</v>
      </c>
      <c r="C5573" s="1" t="str">
        <f>HYPERLINK("http://stackoverflow.com/users/7121473", "cpdyj")</f>
        <v>cpdyj</v>
      </c>
      <c r="D5573" t="s">
        <v>326</v>
      </c>
      <c r="E5573">
        <v>17</v>
      </c>
    </row>
    <row r="5574" spans="1:5" x14ac:dyDescent="0.25">
      <c r="A5574">
        <v>5573</v>
      </c>
      <c r="B5574">
        <v>7107803</v>
      </c>
      <c r="C5574" s="1" t="str">
        <f>HYPERLINK("http://stackoverflow.com/users/7107803", "Xuelian Han")</f>
        <v>Xuelian Han</v>
      </c>
      <c r="D5574" t="s">
        <v>5</v>
      </c>
      <c r="E5574">
        <v>17</v>
      </c>
    </row>
    <row r="5575" spans="1:5" x14ac:dyDescent="0.25">
      <c r="A5575">
        <v>5574</v>
      </c>
      <c r="B5575">
        <v>6408930</v>
      </c>
      <c r="C5575" s="1" t="str">
        <f>HYPERLINK("http://stackoverflow.com/users/6408930", "jianbo.fan")</f>
        <v>jianbo.fan</v>
      </c>
      <c r="D5575" t="s">
        <v>5</v>
      </c>
      <c r="E5575">
        <v>17</v>
      </c>
    </row>
    <row r="5576" spans="1:5" x14ac:dyDescent="0.25">
      <c r="A5576">
        <v>5575</v>
      </c>
      <c r="B5576">
        <v>7602406</v>
      </c>
      <c r="C5576" s="1" t="str">
        <f>HYPERLINK("http://stackoverflow.com/users/7602406", "王文军 or Wenjun Wang")</f>
        <v>王文军 or Wenjun Wang</v>
      </c>
      <c r="D5576" t="s">
        <v>192</v>
      </c>
      <c r="E5576">
        <v>17</v>
      </c>
    </row>
    <row r="5577" spans="1:5" x14ac:dyDescent="0.25">
      <c r="A5577">
        <v>5576</v>
      </c>
      <c r="B5577">
        <v>3242858</v>
      </c>
      <c r="C5577" s="1" t="str">
        <f>HYPERLINK("http://stackoverflow.com/users/3242858", "Hang")</f>
        <v>Hang</v>
      </c>
      <c r="D5577" t="s">
        <v>7</v>
      </c>
      <c r="E5577">
        <v>17</v>
      </c>
    </row>
    <row r="5578" spans="1:5" x14ac:dyDescent="0.25">
      <c r="A5578">
        <v>5577</v>
      </c>
      <c r="B5578">
        <v>1460588</v>
      </c>
      <c r="C5578" s="1" t="str">
        <f>HYPERLINK("http://stackoverflow.com/users/1460588", "Yifu Yu")</f>
        <v>Yifu Yu</v>
      </c>
      <c r="D5578" t="s">
        <v>22</v>
      </c>
      <c r="E5578">
        <v>17</v>
      </c>
    </row>
    <row r="5579" spans="1:5" x14ac:dyDescent="0.25">
      <c r="A5579">
        <v>5578</v>
      </c>
      <c r="B5579">
        <v>685369</v>
      </c>
      <c r="C5579" s="1" t="str">
        <f>HYPERLINK("http://stackoverflow.com/users/685369", "xuxu")</f>
        <v>xuxu</v>
      </c>
      <c r="D5579" t="s">
        <v>21</v>
      </c>
      <c r="E5579">
        <v>17</v>
      </c>
    </row>
    <row r="5580" spans="1:5" x14ac:dyDescent="0.25">
      <c r="A5580">
        <v>5579</v>
      </c>
      <c r="B5580">
        <v>319672</v>
      </c>
      <c r="C5580" s="1" t="str">
        <f>HYPERLINK("http://stackoverflow.com/users/319672", "reeze")</f>
        <v>reeze</v>
      </c>
      <c r="D5580" t="s">
        <v>5</v>
      </c>
      <c r="E5580">
        <v>17</v>
      </c>
    </row>
    <row r="5581" spans="1:5" x14ac:dyDescent="0.25">
      <c r="A5581">
        <v>5580</v>
      </c>
      <c r="B5581">
        <v>6091887</v>
      </c>
      <c r="C5581" s="1" t="str">
        <f>HYPERLINK("http://stackoverflow.com/users/6091887", "Wilma")</f>
        <v>Wilma</v>
      </c>
      <c r="D5581" t="s">
        <v>5</v>
      </c>
      <c r="E5581">
        <v>17</v>
      </c>
    </row>
    <row r="5582" spans="1:5" x14ac:dyDescent="0.25">
      <c r="A5582">
        <v>5581</v>
      </c>
      <c r="B5582">
        <v>5746138</v>
      </c>
      <c r="C5582" s="1" t="str">
        <f>HYPERLINK("http://stackoverflow.com/users/5746138", "王世刚")</f>
        <v>王世刚</v>
      </c>
      <c r="D5582" t="s">
        <v>25</v>
      </c>
      <c r="E5582">
        <v>17</v>
      </c>
    </row>
    <row r="5583" spans="1:5" x14ac:dyDescent="0.25">
      <c r="A5583">
        <v>5582</v>
      </c>
      <c r="B5583">
        <v>6298636</v>
      </c>
      <c r="C5583" s="1" t="str">
        <f>HYPERLINK("http://stackoverflow.com/users/6298636", "shenhong")</f>
        <v>shenhong</v>
      </c>
      <c r="D5583" t="s">
        <v>5</v>
      </c>
      <c r="E5583">
        <v>17</v>
      </c>
    </row>
    <row r="5584" spans="1:5" x14ac:dyDescent="0.25">
      <c r="A5584">
        <v>5583</v>
      </c>
      <c r="B5584">
        <v>5067859</v>
      </c>
      <c r="C5584" s="1" t="str">
        <f>HYPERLINK("http://stackoverflow.com/users/5067859", "xiaobao wei")</f>
        <v>xiaobao wei</v>
      </c>
      <c r="D5584" t="s">
        <v>5</v>
      </c>
      <c r="E5584">
        <v>17</v>
      </c>
    </row>
    <row r="5585" spans="1:5" x14ac:dyDescent="0.25">
      <c r="A5585">
        <v>5584</v>
      </c>
      <c r="B5585">
        <v>4002155</v>
      </c>
      <c r="C5585" s="1" t="str">
        <f>HYPERLINK("http://stackoverflow.com/users/4002155", "Vincent Chen")</f>
        <v>Vincent Chen</v>
      </c>
      <c r="D5585" t="s">
        <v>4</v>
      </c>
      <c r="E5585">
        <v>17</v>
      </c>
    </row>
    <row r="5586" spans="1:5" x14ac:dyDescent="0.25">
      <c r="A5586">
        <v>5585</v>
      </c>
      <c r="B5586">
        <v>5782837</v>
      </c>
      <c r="C5586" s="1" t="str">
        <f>HYPERLINK("http://stackoverflow.com/users/5782837", "Hector.Z")</f>
        <v>Hector.Z</v>
      </c>
      <c r="D5586" t="s">
        <v>6</v>
      </c>
      <c r="E5586">
        <v>16</v>
      </c>
    </row>
    <row r="5587" spans="1:5" x14ac:dyDescent="0.25">
      <c r="A5587">
        <v>5586</v>
      </c>
      <c r="B5587">
        <v>2269411</v>
      </c>
      <c r="C5587" s="1" t="str">
        <f>HYPERLINK("http://stackoverflow.com/users/2269411", "thynson")</f>
        <v>thynson</v>
      </c>
      <c r="D5587" t="s">
        <v>5</v>
      </c>
      <c r="E5587">
        <v>16</v>
      </c>
    </row>
    <row r="5588" spans="1:5" x14ac:dyDescent="0.25">
      <c r="A5588">
        <v>5587</v>
      </c>
      <c r="B5588">
        <v>3997511</v>
      </c>
      <c r="C5588" s="1" t="str">
        <f>HYPERLINK("http://stackoverflow.com/users/3997511", "Allen Young")</f>
        <v>Allen Young</v>
      </c>
      <c r="D5588" t="s">
        <v>28</v>
      </c>
      <c r="E5588">
        <v>16</v>
      </c>
    </row>
    <row r="5589" spans="1:5" x14ac:dyDescent="0.25">
      <c r="A5589">
        <v>5588</v>
      </c>
      <c r="B5589">
        <v>5747976</v>
      </c>
      <c r="C5589" s="1" t="str">
        <f>HYPERLINK("http://stackoverflow.com/users/5747976", "madgd")</f>
        <v>madgd</v>
      </c>
      <c r="D5589" t="s">
        <v>57</v>
      </c>
      <c r="E5589">
        <v>16</v>
      </c>
    </row>
    <row r="5590" spans="1:5" x14ac:dyDescent="0.25">
      <c r="A5590">
        <v>5589</v>
      </c>
      <c r="B5590">
        <v>7790425</v>
      </c>
      <c r="C5590" s="1" t="str">
        <f>HYPERLINK("http://stackoverflow.com/users/7790425", "Maiko Chen")</f>
        <v>Maiko Chen</v>
      </c>
      <c r="D5590" t="s">
        <v>42</v>
      </c>
      <c r="E5590">
        <v>16</v>
      </c>
    </row>
    <row r="5591" spans="1:5" x14ac:dyDescent="0.25">
      <c r="A5591">
        <v>5590</v>
      </c>
      <c r="B5591">
        <v>2365651</v>
      </c>
      <c r="C5591" s="1" t="str">
        <f>HYPERLINK("http://stackoverflow.com/users/2365651", "Mars")</f>
        <v>Mars</v>
      </c>
      <c r="D5591" t="s">
        <v>5</v>
      </c>
      <c r="E5591">
        <v>16</v>
      </c>
    </row>
    <row r="5592" spans="1:5" x14ac:dyDescent="0.25">
      <c r="A5592">
        <v>5591</v>
      </c>
      <c r="B5592">
        <v>6000796</v>
      </c>
      <c r="C5592" s="1" t="str">
        <f>HYPERLINK("http://stackoverflow.com/users/6000796", "ppp wang")</f>
        <v>ppp wang</v>
      </c>
      <c r="D5592" t="s">
        <v>5</v>
      </c>
      <c r="E5592">
        <v>16</v>
      </c>
    </row>
    <row r="5593" spans="1:5" x14ac:dyDescent="0.25">
      <c r="A5593">
        <v>5592</v>
      </c>
      <c r="B5593">
        <v>4129489</v>
      </c>
      <c r="C5593" s="1" t="str">
        <f>HYPERLINK("http://stackoverflow.com/users/4129489", "Tian Wang")</f>
        <v>Tian Wang</v>
      </c>
      <c r="D5593" t="s">
        <v>5</v>
      </c>
      <c r="E5593">
        <v>16</v>
      </c>
    </row>
    <row r="5594" spans="1:5" x14ac:dyDescent="0.25">
      <c r="A5594">
        <v>5593</v>
      </c>
      <c r="B5594">
        <v>4081669</v>
      </c>
      <c r="C5594" s="1" t="str">
        <f>HYPERLINK("http://stackoverflow.com/users/4081669", "Joooooohn")</f>
        <v>Joooooohn</v>
      </c>
      <c r="D5594" t="s">
        <v>327</v>
      </c>
      <c r="E5594">
        <v>16</v>
      </c>
    </row>
    <row r="5595" spans="1:5" x14ac:dyDescent="0.25">
      <c r="A5595">
        <v>5594</v>
      </c>
      <c r="B5595">
        <v>5528881</v>
      </c>
      <c r="C5595" s="1" t="str">
        <f>HYPERLINK("http://stackoverflow.com/users/5528881", "Tom Russel")</f>
        <v>Tom Russel</v>
      </c>
      <c r="D5595" t="s">
        <v>8</v>
      </c>
      <c r="E5595">
        <v>16</v>
      </c>
    </row>
    <row r="5596" spans="1:5" x14ac:dyDescent="0.25">
      <c r="A5596">
        <v>5595</v>
      </c>
      <c r="B5596">
        <v>1770766</v>
      </c>
      <c r="C5596" s="1" t="str">
        <f>HYPERLINK("http://stackoverflow.com/users/1770766", "Derick Liu")</f>
        <v>Derick Liu</v>
      </c>
      <c r="D5596" t="s">
        <v>4</v>
      </c>
      <c r="E5596">
        <v>16</v>
      </c>
    </row>
    <row r="5597" spans="1:5" x14ac:dyDescent="0.25">
      <c r="A5597">
        <v>5596</v>
      </c>
      <c r="B5597">
        <v>10797000</v>
      </c>
      <c r="C5597" s="1" t="str">
        <f>HYPERLINK("http://stackoverflow.com/users/10797000", "stephen liu")</f>
        <v>stephen liu</v>
      </c>
      <c r="D5597" t="s">
        <v>7</v>
      </c>
      <c r="E5597">
        <v>16</v>
      </c>
    </row>
    <row r="5598" spans="1:5" x14ac:dyDescent="0.25">
      <c r="A5598">
        <v>5597</v>
      </c>
      <c r="B5598">
        <v>1779060</v>
      </c>
      <c r="C5598" s="1" t="str">
        <f>HYPERLINK("http://stackoverflow.com/users/1779060", "Alvin Ge")</f>
        <v>Alvin Ge</v>
      </c>
      <c r="D5598" t="s">
        <v>5</v>
      </c>
      <c r="E5598">
        <v>16</v>
      </c>
    </row>
    <row r="5599" spans="1:5" x14ac:dyDescent="0.25">
      <c r="A5599">
        <v>5598</v>
      </c>
      <c r="B5599">
        <v>10796568</v>
      </c>
      <c r="C5599" s="1" t="str">
        <f>HYPERLINK("http://stackoverflow.com/users/10796568", "Haoran Yang")</f>
        <v>Haoran Yang</v>
      </c>
      <c r="D5599" t="s">
        <v>55</v>
      </c>
      <c r="E5599">
        <v>16</v>
      </c>
    </row>
    <row r="5600" spans="1:5" x14ac:dyDescent="0.25">
      <c r="A5600">
        <v>5599</v>
      </c>
      <c r="B5600">
        <v>8950697</v>
      </c>
      <c r="C5600" s="1" t="str">
        <f>HYPERLINK("http://stackoverflow.com/users/8950697", "user8950697")</f>
        <v>user8950697</v>
      </c>
      <c r="D5600" t="s">
        <v>131</v>
      </c>
      <c r="E5600">
        <v>16</v>
      </c>
    </row>
    <row r="5601" spans="1:5" x14ac:dyDescent="0.25">
      <c r="A5601">
        <v>5600</v>
      </c>
      <c r="B5601">
        <v>3678349</v>
      </c>
      <c r="C5601" s="1" t="str">
        <f>HYPERLINK("http://stackoverflow.com/users/3678349", "ZZB")</f>
        <v>ZZB</v>
      </c>
      <c r="D5601" t="s">
        <v>59</v>
      </c>
      <c r="E5601">
        <v>16</v>
      </c>
    </row>
    <row r="5602" spans="1:5" x14ac:dyDescent="0.25">
      <c r="A5602">
        <v>5601</v>
      </c>
      <c r="B5602">
        <v>1869631</v>
      </c>
      <c r="C5602" s="1" t="str">
        <f>HYPERLINK("http://stackoverflow.com/users/1869631", "Huan Zhang")</f>
        <v>Huan Zhang</v>
      </c>
      <c r="D5602" t="s">
        <v>5</v>
      </c>
      <c r="E5602">
        <v>16</v>
      </c>
    </row>
    <row r="5603" spans="1:5" x14ac:dyDescent="0.25">
      <c r="A5603">
        <v>5602</v>
      </c>
      <c r="B5603">
        <v>9088141</v>
      </c>
      <c r="C5603" s="1" t="str">
        <f>HYPERLINK("http://stackoverflow.com/users/9088141", "tao hu")</f>
        <v>tao hu</v>
      </c>
      <c r="D5603" t="s">
        <v>52</v>
      </c>
      <c r="E5603">
        <v>16</v>
      </c>
    </row>
    <row r="5604" spans="1:5" x14ac:dyDescent="0.25">
      <c r="A5604">
        <v>5603</v>
      </c>
      <c r="B5604">
        <v>1412039</v>
      </c>
      <c r="C5604" s="1" t="str">
        <f>HYPERLINK("http://stackoverflow.com/users/1412039", "binnchx chen")</f>
        <v>binnchx chen</v>
      </c>
      <c r="D5604" t="s">
        <v>5</v>
      </c>
      <c r="E5604">
        <v>16</v>
      </c>
    </row>
    <row r="5605" spans="1:5" x14ac:dyDescent="0.25">
      <c r="A5605">
        <v>5604</v>
      </c>
      <c r="B5605">
        <v>3335415</v>
      </c>
      <c r="C5605" s="1" t="str">
        <f>HYPERLINK("http://stackoverflow.com/users/3335415", "cuiliang")</f>
        <v>cuiliang</v>
      </c>
      <c r="D5605" t="s">
        <v>5</v>
      </c>
      <c r="E5605">
        <v>16</v>
      </c>
    </row>
    <row r="5606" spans="1:5" x14ac:dyDescent="0.25">
      <c r="A5606">
        <v>5605</v>
      </c>
      <c r="B5606">
        <v>7039581</v>
      </c>
      <c r="C5606" s="1" t="str">
        <f>HYPERLINK("http://stackoverflow.com/users/7039581", "Sylvia")</f>
        <v>Sylvia</v>
      </c>
      <c r="D5606" t="s">
        <v>4</v>
      </c>
      <c r="E5606">
        <v>16</v>
      </c>
    </row>
    <row r="5607" spans="1:5" x14ac:dyDescent="0.25">
      <c r="A5607">
        <v>5606</v>
      </c>
      <c r="B5607">
        <v>7062980</v>
      </c>
      <c r="C5607" s="1" t="str">
        <f>HYPERLINK("http://stackoverflow.com/users/7062980", "Roofi")</f>
        <v>Roofi</v>
      </c>
      <c r="D5607" t="s">
        <v>28</v>
      </c>
      <c r="E5607">
        <v>16</v>
      </c>
    </row>
    <row r="5608" spans="1:5" x14ac:dyDescent="0.25">
      <c r="A5608">
        <v>5607</v>
      </c>
      <c r="B5608">
        <v>8942376</v>
      </c>
      <c r="C5608" s="1" t="str">
        <f>HYPERLINK("http://stackoverflow.com/users/8942376", "Charles Wu")</f>
        <v>Charles Wu</v>
      </c>
      <c r="D5608" t="s">
        <v>5</v>
      </c>
      <c r="E5608">
        <v>16</v>
      </c>
    </row>
    <row r="5609" spans="1:5" x14ac:dyDescent="0.25">
      <c r="A5609">
        <v>5608</v>
      </c>
      <c r="B5609">
        <v>10223768</v>
      </c>
      <c r="C5609" s="1" t="str">
        <f>HYPERLINK("http://stackoverflow.com/users/10223768", "user10223768")</f>
        <v>user10223768</v>
      </c>
      <c r="D5609" t="s">
        <v>5</v>
      </c>
      <c r="E5609">
        <v>16</v>
      </c>
    </row>
    <row r="5610" spans="1:5" x14ac:dyDescent="0.25">
      <c r="A5610">
        <v>5609</v>
      </c>
      <c r="B5610">
        <v>8409584</v>
      </c>
      <c r="C5610" s="1" t="str">
        <f>HYPERLINK("http://stackoverflow.com/users/8409584", "xu wang")</f>
        <v>xu wang</v>
      </c>
      <c r="D5610" t="s">
        <v>5</v>
      </c>
      <c r="E5610">
        <v>16</v>
      </c>
    </row>
    <row r="5611" spans="1:5" x14ac:dyDescent="0.25">
      <c r="A5611">
        <v>5610</v>
      </c>
      <c r="B5611">
        <v>3146734</v>
      </c>
      <c r="C5611" s="1" t="str">
        <f>HYPERLINK("http://stackoverflow.com/users/3146734", "Walkinraven")</f>
        <v>Walkinraven</v>
      </c>
      <c r="D5611" t="s">
        <v>22</v>
      </c>
      <c r="E5611">
        <v>16</v>
      </c>
    </row>
    <row r="5612" spans="1:5" x14ac:dyDescent="0.25">
      <c r="A5612">
        <v>5611</v>
      </c>
      <c r="B5612">
        <v>1176145</v>
      </c>
      <c r="C5612" s="1" t="str">
        <f>HYPERLINK("http://stackoverflow.com/users/1176145", "AlanCai")</f>
        <v>AlanCai</v>
      </c>
      <c r="D5612" t="s">
        <v>17</v>
      </c>
      <c r="E5612">
        <v>16</v>
      </c>
    </row>
    <row r="5613" spans="1:5" x14ac:dyDescent="0.25">
      <c r="A5613">
        <v>5612</v>
      </c>
      <c r="B5613">
        <v>2710736</v>
      </c>
      <c r="C5613" s="1" t="str">
        <f>HYPERLINK("http://stackoverflow.com/users/2710736", "rex.yuan")</f>
        <v>rex.yuan</v>
      </c>
      <c r="D5613" t="s">
        <v>4</v>
      </c>
      <c r="E5613">
        <v>16</v>
      </c>
    </row>
    <row r="5614" spans="1:5" x14ac:dyDescent="0.25">
      <c r="A5614">
        <v>5613</v>
      </c>
      <c r="B5614">
        <v>562616</v>
      </c>
      <c r="C5614" s="1" t="str">
        <f>HYPERLINK("http://stackoverflow.com/users/562616", "dada99")</f>
        <v>dada99</v>
      </c>
      <c r="D5614" t="s">
        <v>5</v>
      </c>
      <c r="E5614">
        <v>16</v>
      </c>
    </row>
    <row r="5615" spans="1:5" x14ac:dyDescent="0.25">
      <c r="A5615">
        <v>5614</v>
      </c>
      <c r="B5615">
        <v>2791462</v>
      </c>
      <c r="C5615" s="1" t="str">
        <f>HYPERLINK("http://stackoverflow.com/users/2791462", "Baggiobx")</f>
        <v>Baggiobx</v>
      </c>
      <c r="D5615" t="s">
        <v>37</v>
      </c>
      <c r="E5615">
        <v>16</v>
      </c>
    </row>
    <row r="5616" spans="1:5" x14ac:dyDescent="0.25">
      <c r="A5616">
        <v>5615</v>
      </c>
      <c r="B5616">
        <v>4740713</v>
      </c>
      <c r="C5616" s="1" t="str">
        <f>HYPERLINK("http://stackoverflow.com/users/4740713", "dxsdyhm")</f>
        <v>dxsdyhm</v>
      </c>
      <c r="D5616" t="s">
        <v>7</v>
      </c>
      <c r="E5616">
        <v>16</v>
      </c>
    </row>
    <row r="5617" spans="1:5" x14ac:dyDescent="0.25">
      <c r="A5617">
        <v>5616</v>
      </c>
      <c r="B5617">
        <v>806575</v>
      </c>
      <c r="C5617" s="1" t="str">
        <f>HYPERLINK("http://stackoverflow.com/users/806575", "xxddwdj")</f>
        <v>xxddwdj</v>
      </c>
      <c r="D5617" t="s">
        <v>12</v>
      </c>
      <c r="E5617">
        <v>16</v>
      </c>
    </row>
    <row r="5618" spans="1:5" x14ac:dyDescent="0.25">
      <c r="A5618">
        <v>5617</v>
      </c>
      <c r="B5618">
        <v>8305905</v>
      </c>
      <c r="C5618" s="1" t="str">
        <f>HYPERLINK("http://stackoverflow.com/users/8305905", "Jake Yang")</f>
        <v>Jake Yang</v>
      </c>
      <c r="D5618" t="s">
        <v>5</v>
      </c>
      <c r="E5618">
        <v>16</v>
      </c>
    </row>
    <row r="5619" spans="1:5" x14ac:dyDescent="0.25">
      <c r="A5619">
        <v>5618</v>
      </c>
      <c r="B5619">
        <v>409255</v>
      </c>
      <c r="C5619" s="1" t="str">
        <f>HYPERLINK("http://stackoverflow.com/users/409255", "Leo Wang")</f>
        <v>Leo Wang</v>
      </c>
      <c r="D5619" t="s">
        <v>4</v>
      </c>
      <c r="E5619">
        <v>16</v>
      </c>
    </row>
    <row r="5620" spans="1:5" x14ac:dyDescent="0.25">
      <c r="A5620">
        <v>5619</v>
      </c>
      <c r="B5620">
        <v>8000125</v>
      </c>
      <c r="C5620" s="1" t="str">
        <f>HYPERLINK("http://stackoverflow.com/users/8000125", "zhaonan")</f>
        <v>zhaonan</v>
      </c>
      <c r="D5620" t="s">
        <v>25</v>
      </c>
      <c r="E5620">
        <v>16</v>
      </c>
    </row>
    <row r="5621" spans="1:5" x14ac:dyDescent="0.25">
      <c r="A5621">
        <v>5620</v>
      </c>
      <c r="B5621">
        <v>309118</v>
      </c>
      <c r="C5621" s="1" t="str">
        <f>HYPERLINK("http://stackoverflow.com/users/309118", "mike cai")</f>
        <v>mike cai</v>
      </c>
      <c r="D5621" t="s">
        <v>4</v>
      </c>
      <c r="E5621">
        <v>16</v>
      </c>
    </row>
    <row r="5622" spans="1:5" x14ac:dyDescent="0.25">
      <c r="A5622">
        <v>5621</v>
      </c>
      <c r="B5622">
        <v>353944</v>
      </c>
      <c r="C5622" s="1" t="str">
        <f>HYPERLINK("http://stackoverflow.com/users/353944", "silkroader")</f>
        <v>silkroader</v>
      </c>
      <c r="D5622" t="s">
        <v>5</v>
      </c>
      <c r="E5622">
        <v>16</v>
      </c>
    </row>
    <row r="5623" spans="1:5" x14ac:dyDescent="0.25">
      <c r="A5623">
        <v>5622</v>
      </c>
      <c r="B5623">
        <v>7472144</v>
      </c>
      <c r="C5623" s="1" t="str">
        <f>HYPERLINK("http://stackoverflow.com/users/7472144", "iszer")</f>
        <v>iszer</v>
      </c>
      <c r="D5623" t="s">
        <v>43</v>
      </c>
      <c r="E5623">
        <v>16</v>
      </c>
    </row>
    <row r="5624" spans="1:5" x14ac:dyDescent="0.25">
      <c r="A5624">
        <v>5623</v>
      </c>
      <c r="B5624">
        <v>5757114</v>
      </c>
      <c r="C5624" s="1" t="str">
        <f>HYPERLINK("http://stackoverflow.com/users/5757114", "xiaoshenke")</f>
        <v>xiaoshenke</v>
      </c>
      <c r="D5624" t="s">
        <v>12</v>
      </c>
      <c r="E5624">
        <v>16</v>
      </c>
    </row>
    <row r="5625" spans="1:5" x14ac:dyDescent="0.25">
      <c r="A5625">
        <v>5624</v>
      </c>
      <c r="B5625">
        <v>2334282</v>
      </c>
      <c r="C5625" s="1" t="str">
        <f>HYPERLINK("http://stackoverflow.com/users/2334282", "Pengkai")</f>
        <v>Pengkai</v>
      </c>
      <c r="D5625" t="s">
        <v>4</v>
      </c>
      <c r="E5625">
        <v>16</v>
      </c>
    </row>
    <row r="5626" spans="1:5" x14ac:dyDescent="0.25">
      <c r="A5626">
        <v>5625</v>
      </c>
      <c r="B5626">
        <v>1985892</v>
      </c>
      <c r="C5626" s="1" t="str">
        <f>HYPERLINK("http://stackoverflow.com/users/1985892", "AlexHHC")</f>
        <v>AlexHHC</v>
      </c>
      <c r="D5626" t="s">
        <v>21</v>
      </c>
      <c r="E5626">
        <v>16</v>
      </c>
    </row>
    <row r="5627" spans="1:5" x14ac:dyDescent="0.25">
      <c r="A5627">
        <v>5626</v>
      </c>
      <c r="B5627">
        <v>3588458</v>
      </c>
      <c r="C5627" s="1" t="str">
        <f>HYPERLINK("http://stackoverflow.com/users/3588458", "Johnny")</f>
        <v>Johnny</v>
      </c>
      <c r="D5627" t="s">
        <v>4</v>
      </c>
      <c r="E5627">
        <v>16</v>
      </c>
    </row>
    <row r="5628" spans="1:5" x14ac:dyDescent="0.25">
      <c r="A5628">
        <v>5627</v>
      </c>
      <c r="B5628">
        <v>1784601</v>
      </c>
      <c r="C5628" s="1" t="str">
        <f>HYPERLINK("http://stackoverflow.com/users/1784601", "gtv")</f>
        <v>gtv</v>
      </c>
      <c r="D5628" t="s">
        <v>4</v>
      </c>
      <c r="E5628">
        <v>16</v>
      </c>
    </row>
    <row r="5629" spans="1:5" x14ac:dyDescent="0.25">
      <c r="A5629">
        <v>5628</v>
      </c>
      <c r="B5629">
        <v>1665411</v>
      </c>
      <c r="C5629" s="1" t="str">
        <f>HYPERLINK("http://stackoverflow.com/users/1665411", "Jacky Liu")</f>
        <v>Jacky Liu</v>
      </c>
      <c r="D5629" t="s">
        <v>5</v>
      </c>
      <c r="E5629">
        <v>16</v>
      </c>
    </row>
    <row r="5630" spans="1:5" x14ac:dyDescent="0.25">
      <c r="A5630">
        <v>5629</v>
      </c>
      <c r="B5630">
        <v>6027073</v>
      </c>
      <c r="C5630" s="1" t="str">
        <f>HYPERLINK("http://stackoverflow.com/users/6027073", "Lisa.chen")</f>
        <v>Lisa.chen</v>
      </c>
      <c r="D5630" t="s">
        <v>5</v>
      </c>
      <c r="E5630">
        <v>16</v>
      </c>
    </row>
    <row r="5631" spans="1:5" x14ac:dyDescent="0.25">
      <c r="A5631">
        <v>5630</v>
      </c>
      <c r="B5631">
        <v>239030</v>
      </c>
      <c r="C5631" s="1" t="str">
        <f>HYPERLINK("http://stackoverflow.com/users/239030", "Raecoo")</f>
        <v>Raecoo</v>
      </c>
      <c r="D5631" t="s">
        <v>5</v>
      </c>
      <c r="E5631">
        <v>16</v>
      </c>
    </row>
    <row r="5632" spans="1:5" x14ac:dyDescent="0.25">
      <c r="A5632">
        <v>5631</v>
      </c>
      <c r="B5632">
        <v>6059591</v>
      </c>
      <c r="C5632" s="1" t="str">
        <f>HYPERLINK("http://stackoverflow.com/users/6059591", "kunh")</f>
        <v>kunh</v>
      </c>
      <c r="D5632" t="s">
        <v>5</v>
      </c>
      <c r="E5632">
        <v>16</v>
      </c>
    </row>
    <row r="5633" spans="1:5" x14ac:dyDescent="0.25">
      <c r="A5633">
        <v>5632</v>
      </c>
      <c r="B5633">
        <v>2449821</v>
      </c>
      <c r="C5633" s="1" t="str">
        <f>HYPERLINK("http://stackoverflow.com/users/2449821", "Paddy Liu")</f>
        <v>Paddy Liu</v>
      </c>
      <c r="D5633" t="s">
        <v>21</v>
      </c>
      <c r="E5633">
        <v>16</v>
      </c>
    </row>
    <row r="5634" spans="1:5" x14ac:dyDescent="0.25">
      <c r="A5634">
        <v>5633</v>
      </c>
      <c r="B5634">
        <v>4314040</v>
      </c>
      <c r="C5634" s="1" t="str">
        <f>HYPERLINK("http://stackoverflow.com/users/4314040", "Yuanbo Han")</f>
        <v>Yuanbo Han</v>
      </c>
      <c r="D5634" t="s">
        <v>5</v>
      </c>
      <c r="E5634">
        <v>16</v>
      </c>
    </row>
    <row r="5635" spans="1:5" x14ac:dyDescent="0.25">
      <c r="A5635">
        <v>5634</v>
      </c>
      <c r="B5635">
        <v>7809435</v>
      </c>
      <c r="C5635" s="1" t="str">
        <f>HYPERLINK("http://stackoverflow.com/users/7809435", "chen xu")</f>
        <v>chen xu</v>
      </c>
      <c r="D5635" t="s">
        <v>16</v>
      </c>
      <c r="E5635">
        <v>16</v>
      </c>
    </row>
    <row r="5636" spans="1:5" x14ac:dyDescent="0.25">
      <c r="A5636">
        <v>5635</v>
      </c>
      <c r="B5636">
        <v>7800362</v>
      </c>
      <c r="C5636" s="1" t="str">
        <f>HYPERLINK("http://stackoverflow.com/users/7800362", "zh.ng")</f>
        <v>zh.ng</v>
      </c>
      <c r="D5636" t="s">
        <v>328</v>
      </c>
      <c r="E5636">
        <v>16</v>
      </c>
    </row>
    <row r="5637" spans="1:5" x14ac:dyDescent="0.25">
      <c r="A5637">
        <v>5636</v>
      </c>
      <c r="B5637">
        <v>307497</v>
      </c>
      <c r="C5637" s="1" t="str">
        <f>HYPERLINK("http://stackoverflow.com/users/307497", "ycboy")</f>
        <v>ycboy</v>
      </c>
      <c r="D5637" t="s">
        <v>4</v>
      </c>
      <c r="E5637">
        <v>16</v>
      </c>
    </row>
    <row r="5638" spans="1:5" x14ac:dyDescent="0.25">
      <c r="A5638">
        <v>5637</v>
      </c>
      <c r="B5638">
        <v>6182855</v>
      </c>
      <c r="C5638" s="1" t="str">
        <f>HYPERLINK("http://stackoverflow.com/users/6182855", "MikeTyson")</f>
        <v>MikeTyson</v>
      </c>
      <c r="D5638" t="s">
        <v>329</v>
      </c>
      <c r="E5638">
        <v>16</v>
      </c>
    </row>
    <row r="5639" spans="1:5" x14ac:dyDescent="0.25">
      <c r="A5639">
        <v>5638</v>
      </c>
      <c r="B5639">
        <v>7912015</v>
      </c>
      <c r="C5639" s="1" t="str">
        <f>HYPERLINK("http://stackoverflow.com/users/7912015", "Arthur LIU")</f>
        <v>Arthur LIU</v>
      </c>
      <c r="D5639" t="s">
        <v>4</v>
      </c>
      <c r="E5639">
        <v>16</v>
      </c>
    </row>
    <row r="5640" spans="1:5" x14ac:dyDescent="0.25">
      <c r="A5640">
        <v>5639</v>
      </c>
      <c r="B5640">
        <v>351701</v>
      </c>
      <c r="C5640" s="1" t="str">
        <f>HYPERLINK("http://stackoverflow.com/users/351701", "zhenzhen.wu")</f>
        <v>zhenzhen.wu</v>
      </c>
      <c r="D5640" t="s">
        <v>4</v>
      </c>
      <c r="E5640">
        <v>16</v>
      </c>
    </row>
    <row r="5641" spans="1:5" x14ac:dyDescent="0.25">
      <c r="A5641">
        <v>5640</v>
      </c>
      <c r="B5641">
        <v>765537</v>
      </c>
      <c r="C5641" s="1" t="str">
        <f>HYPERLINK("http://stackoverflow.com/users/765537", "Enlight")</f>
        <v>Enlight</v>
      </c>
      <c r="D5641" t="s">
        <v>4</v>
      </c>
      <c r="E5641">
        <v>16</v>
      </c>
    </row>
    <row r="5642" spans="1:5" x14ac:dyDescent="0.25">
      <c r="A5642">
        <v>5641</v>
      </c>
      <c r="B5642">
        <v>8229508</v>
      </c>
      <c r="C5642" s="1" t="str">
        <f>HYPERLINK("http://stackoverflow.com/users/8229508", "X.Sophie")</f>
        <v>X.Sophie</v>
      </c>
      <c r="D5642" t="s">
        <v>5</v>
      </c>
      <c r="E5642">
        <v>16</v>
      </c>
    </row>
    <row r="5643" spans="1:5" x14ac:dyDescent="0.25">
      <c r="A5643">
        <v>5642</v>
      </c>
      <c r="B5643">
        <v>10040626</v>
      </c>
      <c r="C5643" s="1" t="str">
        <f>HYPERLINK("http://stackoverflow.com/users/10040626", "Tobi Z")</f>
        <v>Tobi Z</v>
      </c>
      <c r="D5643" t="s">
        <v>5</v>
      </c>
      <c r="E5643">
        <v>16</v>
      </c>
    </row>
    <row r="5644" spans="1:5" x14ac:dyDescent="0.25">
      <c r="A5644">
        <v>5643</v>
      </c>
      <c r="B5644">
        <v>873752</v>
      </c>
      <c r="C5644" s="1" t="str">
        <f>HYPERLINK("http://stackoverflow.com/users/873752", "cheeming")</f>
        <v>cheeming</v>
      </c>
      <c r="D5644" t="s">
        <v>4</v>
      </c>
      <c r="E5644">
        <v>16</v>
      </c>
    </row>
    <row r="5645" spans="1:5" x14ac:dyDescent="0.25">
      <c r="A5645">
        <v>5644</v>
      </c>
      <c r="B5645">
        <v>8273838</v>
      </c>
      <c r="C5645" s="1" t="str">
        <f>HYPERLINK("http://stackoverflow.com/users/8273838", "Jeff")</f>
        <v>Jeff</v>
      </c>
      <c r="D5645" t="s">
        <v>28</v>
      </c>
      <c r="E5645">
        <v>16</v>
      </c>
    </row>
    <row r="5646" spans="1:5" x14ac:dyDescent="0.25">
      <c r="A5646">
        <v>5645</v>
      </c>
      <c r="B5646">
        <v>495691</v>
      </c>
      <c r="C5646" s="1" t="str">
        <f>HYPERLINK("http://stackoverflow.com/users/495691", "Joezzx")</f>
        <v>Joezzx</v>
      </c>
      <c r="D5646" t="s">
        <v>4</v>
      </c>
      <c r="E5646">
        <v>16</v>
      </c>
    </row>
    <row r="5647" spans="1:5" x14ac:dyDescent="0.25">
      <c r="A5647">
        <v>5646</v>
      </c>
      <c r="B5647">
        <v>1429041</v>
      </c>
      <c r="C5647" s="1" t="str">
        <f>HYPERLINK("http://stackoverflow.com/users/1429041", "yao")</f>
        <v>yao</v>
      </c>
      <c r="D5647" t="s">
        <v>22</v>
      </c>
      <c r="E5647">
        <v>16</v>
      </c>
    </row>
    <row r="5648" spans="1:5" x14ac:dyDescent="0.25">
      <c r="A5648">
        <v>5647</v>
      </c>
      <c r="B5648">
        <v>8673576</v>
      </c>
      <c r="C5648" s="1" t="str">
        <f>HYPERLINK("http://stackoverflow.com/users/8673576", "xiang gao")</f>
        <v>xiang gao</v>
      </c>
      <c r="D5648" t="s">
        <v>8</v>
      </c>
      <c r="E5648">
        <v>16</v>
      </c>
    </row>
    <row r="5649" spans="1:5" x14ac:dyDescent="0.25">
      <c r="A5649">
        <v>5648</v>
      </c>
      <c r="B5649">
        <v>1355886</v>
      </c>
      <c r="C5649" s="1" t="str">
        <f>HYPERLINK("http://stackoverflow.com/users/1355886", "Terrance Tian")</f>
        <v>Terrance Tian</v>
      </c>
      <c r="D5649" t="s">
        <v>54</v>
      </c>
      <c r="E5649">
        <v>16</v>
      </c>
    </row>
    <row r="5650" spans="1:5" x14ac:dyDescent="0.25">
      <c r="A5650">
        <v>5649</v>
      </c>
      <c r="B5650">
        <v>1381567</v>
      </c>
      <c r="C5650" s="1" t="str">
        <f>HYPERLINK("http://stackoverflow.com/users/1381567", "CardMaster")</f>
        <v>CardMaster</v>
      </c>
      <c r="D5650" t="s">
        <v>330</v>
      </c>
      <c r="E5650">
        <v>16</v>
      </c>
    </row>
    <row r="5651" spans="1:5" x14ac:dyDescent="0.25">
      <c r="A5651">
        <v>5650</v>
      </c>
      <c r="B5651">
        <v>6807100</v>
      </c>
      <c r="C5651" s="1" t="str">
        <f>HYPERLINK("http://stackoverflow.com/users/6807100", "Vincent")</f>
        <v>Vincent</v>
      </c>
      <c r="D5651" t="s">
        <v>17</v>
      </c>
      <c r="E5651">
        <v>16</v>
      </c>
    </row>
    <row r="5652" spans="1:5" x14ac:dyDescent="0.25">
      <c r="A5652">
        <v>5651</v>
      </c>
      <c r="B5652">
        <v>1312072</v>
      </c>
      <c r="C5652" s="1" t="str">
        <f>HYPERLINK("http://stackoverflow.com/users/1312072", "Leonard Chen")</f>
        <v>Leonard Chen</v>
      </c>
      <c r="D5652" t="s">
        <v>5</v>
      </c>
      <c r="E5652">
        <v>16</v>
      </c>
    </row>
    <row r="5653" spans="1:5" x14ac:dyDescent="0.25">
      <c r="A5653">
        <v>5652</v>
      </c>
      <c r="B5653">
        <v>1550151</v>
      </c>
      <c r="C5653" s="1" t="str">
        <f>HYPERLINK("http://stackoverflow.com/users/1550151", "longsail")</f>
        <v>longsail</v>
      </c>
      <c r="D5653" t="s">
        <v>37</v>
      </c>
      <c r="E5653">
        <v>16</v>
      </c>
    </row>
    <row r="5654" spans="1:5" x14ac:dyDescent="0.25">
      <c r="A5654">
        <v>5653</v>
      </c>
      <c r="B5654">
        <v>8871687</v>
      </c>
      <c r="C5654" s="1" t="str">
        <f>HYPERLINK("http://stackoverflow.com/users/8871687", "Xingdi")</f>
        <v>Xingdi</v>
      </c>
      <c r="D5654" t="s">
        <v>52</v>
      </c>
      <c r="E5654">
        <v>16</v>
      </c>
    </row>
    <row r="5655" spans="1:5" x14ac:dyDescent="0.25">
      <c r="A5655">
        <v>5654</v>
      </c>
      <c r="B5655">
        <v>1641585</v>
      </c>
      <c r="C5655" s="1" t="str">
        <f>HYPERLINK("http://stackoverflow.com/users/1641585", "paul")</f>
        <v>paul</v>
      </c>
      <c r="D5655" t="s">
        <v>17</v>
      </c>
      <c r="E5655">
        <v>16</v>
      </c>
    </row>
    <row r="5656" spans="1:5" x14ac:dyDescent="0.25">
      <c r="A5656">
        <v>5655</v>
      </c>
      <c r="B5656">
        <v>1609661</v>
      </c>
      <c r="C5656" s="1" t="str">
        <f>HYPERLINK("http://stackoverflow.com/users/1609661", "Jasonling")</f>
        <v>Jasonling</v>
      </c>
      <c r="D5656" t="s">
        <v>17</v>
      </c>
      <c r="E5656">
        <v>16</v>
      </c>
    </row>
    <row r="5657" spans="1:5" x14ac:dyDescent="0.25">
      <c r="A5657">
        <v>5656</v>
      </c>
      <c r="B5657">
        <v>1623973</v>
      </c>
      <c r="C5657" s="1" t="str">
        <f>HYPERLINK("http://stackoverflow.com/users/1623973", "jamson")</f>
        <v>jamson</v>
      </c>
      <c r="D5657" t="s">
        <v>5</v>
      </c>
      <c r="E5657">
        <v>16</v>
      </c>
    </row>
    <row r="5658" spans="1:5" x14ac:dyDescent="0.25">
      <c r="A5658">
        <v>5657</v>
      </c>
      <c r="B5658">
        <v>3418189</v>
      </c>
      <c r="C5658" s="1" t="str">
        <f>HYPERLINK("http://stackoverflow.com/users/3418189", "Jonathan Dong")</f>
        <v>Jonathan Dong</v>
      </c>
      <c r="D5658" t="s">
        <v>5</v>
      </c>
      <c r="E5658">
        <v>16</v>
      </c>
    </row>
    <row r="5659" spans="1:5" x14ac:dyDescent="0.25">
      <c r="A5659">
        <v>5658</v>
      </c>
      <c r="B5659">
        <v>3435786</v>
      </c>
      <c r="C5659" s="1" t="str">
        <f>HYPERLINK("http://stackoverflow.com/users/3435786", "user3435786")</f>
        <v>user3435786</v>
      </c>
      <c r="D5659" t="s">
        <v>5</v>
      </c>
      <c r="E5659">
        <v>16</v>
      </c>
    </row>
    <row r="5660" spans="1:5" x14ac:dyDescent="0.25">
      <c r="A5660">
        <v>5659</v>
      </c>
      <c r="B5660">
        <v>10197490</v>
      </c>
      <c r="C5660" s="1" t="str">
        <f>HYPERLINK("http://stackoverflow.com/users/10197490", "Lili")</f>
        <v>Lili</v>
      </c>
      <c r="D5660" t="s">
        <v>4</v>
      </c>
      <c r="E5660">
        <v>16</v>
      </c>
    </row>
    <row r="5661" spans="1:5" x14ac:dyDescent="0.25">
      <c r="A5661">
        <v>5660</v>
      </c>
      <c r="B5661">
        <v>4980425</v>
      </c>
      <c r="C5661" s="1" t="str">
        <f>HYPERLINK("http://stackoverflow.com/users/4980425", "Frank Ding")</f>
        <v>Frank Ding</v>
      </c>
      <c r="D5661" t="s">
        <v>4</v>
      </c>
      <c r="E5661">
        <v>16</v>
      </c>
    </row>
    <row r="5662" spans="1:5" x14ac:dyDescent="0.25">
      <c r="A5662">
        <v>5661</v>
      </c>
      <c r="B5662">
        <v>1294616</v>
      </c>
      <c r="C5662" s="1" t="str">
        <f>HYPERLINK("http://stackoverflow.com/users/1294616", "tonyc")</f>
        <v>tonyc</v>
      </c>
      <c r="D5662" t="s">
        <v>4</v>
      </c>
      <c r="E5662">
        <v>16</v>
      </c>
    </row>
    <row r="5663" spans="1:5" x14ac:dyDescent="0.25">
      <c r="A5663">
        <v>5662</v>
      </c>
      <c r="B5663">
        <v>3130095</v>
      </c>
      <c r="C5663" s="1" t="str">
        <f>HYPERLINK("http://stackoverflow.com/users/3130095", "John Guo")</f>
        <v>John Guo</v>
      </c>
      <c r="D5663" t="s">
        <v>12</v>
      </c>
      <c r="E5663">
        <v>16</v>
      </c>
    </row>
    <row r="5664" spans="1:5" x14ac:dyDescent="0.25">
      <c r="A5664">
        <v>5663</v>
      </c>
      <c r="B5664">
        <v>4924993</v>
      </c>
      <c r="C5664" s="1" t="str">
        <f>HYPERLINK("http://stackoverflow.com/users/4924993", "khejing")</f>
        <v>khejing</v>
      </c>
      <c r="D5664" t="s">
        <v>5</v>
      </c>
      <c r="E5664">
        <v>16</v>
      </c>
    </row>
    <row r="5665" spans="1:5" x14ac:dyDescent="0.25">
      <c r="A5665">
        <v>5664</v>
      </c>
      <c r="B5665">
        <v>7677111</v>
      </c>
      <c r="C5665" s="1" t="str">
        <f>HYPERLINK("http://stackoverflow.com/users/7677111", "Deb")</f>
        <v>Deb</v>
      </c>
      <c r="D5665" t="s">
        <v>4</v>
      </c>
      <c r="E5665">
        <v>16</v>
      </c>
    </row>
    <row r="5666" spans="1:5" x14ac:dyDescent="0.25">
      <c r="A5666">
        <v>5665</v>
      </c>
      <c r="B5666">
        <v>4215168</v>
      </c>
      <c r="C5666" s="1" t="str">
        <f>HYPERLINK("http://stackoverflow.com/users/4215168", "Peter Chow")</f>
        <v>Peter Chow</v>
      </c>
      <c r="D5666" t="s">
        <v>21</v>
      </c>
      <c r="E5666">
        <v>16</v>
      </c>
    </row>
    <row r="5667" spans="1:5" x14ac:dyDescent="0.25">
      <c r="A5667">
        <v>5666</v>
      </c>
      <c r="B5667">
        <v>5971875</v>
      </c>
      <c r="C5667" s="1" t="str">
        <f>HYPERLINK("http://stackoverflow.com/users/5971875", "Eric Zeng")</f>
        <v>Eric Zeng</v>
      </c>
      <c r="D5667" t="s">
        <v>28</v>
      </c>
      <c r="E5667">
        <v>16</v>
      </c>
    </row>
    <row r="5668" spans="1:5" x14ac:dyDescent="0.25">
      <c r="A5668">
        <v>5667</v>
      </c>
      <c r="B5668">
        <v>4180060</v>
      </c>
      <c r="C5668" s="1" t="str">
        <f>HYPERLINK("http://stackoverflow.com/users/4180060", "kevinissun")</f>
        <v>kevinissun</v>
      </c>
      <c r="D5668" t="s">
        <v>4</v>
      </c>
      <c r="E5668">
        <v>16</v>
      </c>
    </row>
    <row r="5669" spans="1:5" x14ac:dyDescent="0.25">
      <c r="A5669">
        <v>5668</v>
      </c>
      <c r="B5669">
        <v>6408396</v>
      </c>
      <c r="C5669" s="1" t="str">
        <f>HYPERLINK("http://stackoverflow.com/users/6408396", "Shawn")</f>
        <v>Shawn</v>
      </c>
      <c r="D5669" t="s">
        <v>25</v>
      </c>
      <c r="E5669">
        <v>16</v>
      </c>
    </row>
    <row r="5670" spans="1:5" x14ac:dyDescent="0.25">
      <c r="A5670">
        <v>5669</v>
      </c>
      <c r="B5670">
        <v>714404</v>
      </c>
      <c r="C5670" s="1" t="str">
        <f>HYPERLINK("http://stackoverflow.com/users/714404", "shadowpiece")</f>
        <v>shadowpiece</v>
      </c>
      <c r="D5670" t="s">
        <v>8</v>
      </c>
      <c r="E5670">
        <v>16</v>
      </c>
    </row>
    <row r="5671" spans="1:5" x14ac:dyDescent="0.25">
      <c r="A5671">
        <v>5670</v>
      </c>
      <c r="B5671">
        <v>8300625</v>
      </c>
      <c r="C5671" s="1" t="str">
        <f>HYPERLINK("http://stackoverflow.com/users/8300625", "xuan lee")</f>
        <v>xuan lee</v>
      </c>
      <c r="D5671" t="s">
        <v>55</v>
      </c>
      <c r="E5671">
        <v>16</v>
      </c>
    </row>
    <row r="5672" spans="1:5" x14ac:dyDescent="0.25">
      <c r="A5672">
        <v>5671</v>
      </c>
      <c r="B5672">
        <v>1049366</v>
      </c>
      <c r="C5672" s="1" t="str">
        <f>HYPERLINK("http://stackoverflow.com/users/1049366", "dasfy")</f>
        <v>dasfy</v>
      </c>
      <c r="D5672" t="s">
        <v>22</v>
      </c>
      <c r="E5672">
        <v>16</v>
      </c>
    </row>
    <row r="5673" spans="1:5" x14ac:dyDescent="0.25">
      <c r="A5673">
        <v>5672</v>
      </c>
      <c r="B5673">
        <v>4911959</v>
      </c>
      <c r="C5673" s="1" t="str">
        <f>HYPERLINK("http://stackoverflow.com/users/4911959", "0rangeT1ger")</f>
        <v>0rangeT1ger</v>
      </c>
      <c r="D5673" t="s">
        <v>5</v>
      </c>
      <c r="E5673">
        <v>16</v>
      </c>
    </row>
    <row r="5674" spans="1:5" x14ac:dyDescent="0.25">
      <c r="A5674">
        <v>5673</v>
      </c>
      <c r="B5674">
        <v>934225</v>
      </c>
      <c r="C5674" s="1" t="str">
        <f>HYPERLINK("http://stackoverflow.com/users/934225", "Jin Bin")</f>
        <v>Jin Bin</v>
      </c>
      <c r="D5674" t="s">
        <v>12</v>
      </c>
      <c r="E5674">
        <v>16</v>
      </c>
    </row>
    <row r="5675" spans="1:5" x14ac:dyDescent="0.25">
      <c r="A5675">
        <v>5674</v>
      </c>
      <c r="B5675">
        <v>3005300</v>
      </c>
      <c r="C5675" s="1" t="str">
        <f>HYPERLINK("http://stackoverflow.com/users/3005300", "xuesen Zhang")</f>
        <v>xuesen Zhang</v>
      </c>
      <c r="D5675" t="s">
        <v>5</v>
      </c>
      <c r="E5675">
        <v>16</v>
      </c>
    </row>
    <row r="5676" spans="1:5" x14ac:dyDescent="0.25">
      <c r="A5676">
        <v>5675</v>
      </c>
      <c r="B5676">
        <v>613820</v>
      </c>
      <c r="C5676" s="1" t="str">
        <f>HYPERLINK("http://stackoverflow.com/users/613820", "Fred")</f>
        <v>Fred</v>
      </c>
      <c r="D5676" t="s">
        <v>62</v>
      </c>
      <c r="E5676">
        <v>16</v>
      </c>
    </row>
    <row r="5677" spans="1:5" x14ac:dyDescent="0.25">
      <c r="A5677">
        <v>5676</v>
      </c>
      <c r="B5677">
        <v>8076203</v>
      </c>
      <c r="C5677" s="1" t="str">
        <f>HYPERLINK("http://stackoverflow.com/users/8076203", "zhiyou")</f>
        <v>zhiyou</v>
      </c>
      <c r="D5677" t="s">
        <v>5</v>
      </c>
      <c r="E5677">
        <v>16</v>
      </c>
    </row>
    <row r="5678" spans="1:5" x14ac:dyDescent="0.25">
      <c r="A5678">
        <v>5677</v>
      </c>
      <c r="B5678">
        <v>517584</v>
      </c>
      <c r="C5678" s="1" t="str">
        <f>HYPERLINK("http://stackoverflow.com/users/517584", "Jon")</f>
        <v>Jon</v>
      </c>
      <c r="D5678" t="s">
        <v>57</v>
      </c>
      <c r="E5678">
        <v>16</v>
      </c>
    </row>
    <row r="5679" spans="1:5" x14ac:dyDescent="0.25">
      <c r="A5679">
        <v>5678</v>
      </c>
      <c r="B5679">
        <v>2593604</v>
      </c>
      <c r="C5679" s="1" t="str">
        <f>HYPERLINK("http://stackoverflow.com/users/2593604", "zsc347")</f>
        <v>zsc347</v>
      </c>
      <c r="D5679" t="s">
        <v>5</v>
      </c>
      <c r="E5679">
        <v>16</v>
      </c>
    </row>
    <row r="5680" spans="1:5" x14ac:dyDescent="0.25">
      <c r="A5680">
        <v>5679</v>
      </c>
      <c r="B5680">
        <v>7111013</v>
      </c>
      <c r="C5680" s="1" t="str">
        <f>HYPERLINK("http://stackoverflow.com/users/7111013", "Alex Lee")</f>
        <v>Alex Lee</v>
      </c>
      <c r="D5680" t="s">
        <v>331</v>
      </c>
      <c r="E5680">
        <v>16</v>
      </c>
    </row>
    <row r="5681" spans="1:5" x14ac:dyDescent="0.25">
      <c r="A5681">
        <v>5680</v>
      </c>
      <c r="B5681">
        <v>5357877</v>
      </c>
      <c r="C5681" s="1" t="str">
        <f>HYPERLINK("http://stackoverflow.com/users/5357877", "dai song")</f>
        <v>dai song</v>
      </c>
      <c r="D5681" t="s">
        <v>17</v>
      </c>
      <c r="E5681">
        <v>16</v>
      </c>
    </row>
    <row r="5682" spans="1:5" x14ac:dyDescent="0.25">
      <c r="A5682">
        <v>5681</v>
      </c>
      <c r="B5682">
        <v>7144715</v>
      </c>
      <c r="C5682" s="1" t="str">
        <f>HYPERLINK("http://stackoverflow.com/users/7144715", "Wei Wei")</f>
        <v>Wei Wei</v>
      </c>
      <c r="D5682" t="s">
        <v>4</v>
      </c>
      <c r="E5682">
        <v>16</v>
      </c>
    </row>
    <row r="5683" spans="1:5" x14ac:dyDescent="0.25">
      <c r="A5683">
        <v>5682</v>
      </c>
      <c r="B5683">
        <v>3647059</v>
      </c>
      <c r="C5683" s="1" t="str">
        <f>HYPERLINK("http://stackoverflow.com/users/3647059", "olojiang")</f>
        <v>olojiang</v>
      </c>
      <c r="D5683" t="s">
        <v>5</v>
      </c>
      <c r="E5683">
        <v>16</v>
      </c>
    </row>
    <row r="5684" spans="1:5" x14ac:dyDescent="0.25">
      <c r="A5684">
        <v>5683</v>
      </c>
      <c r="B5684">
        <v>7007482</v>
      </c>
      <c r="C5684" s="1" t="str">
        <f>HYPERLINK("http://stackoverflow.com/users/7007482", "Saqrag")</f>
        <v>Saqrag</v>
      </c>
      <c r="D5684" t="s">
        <v>332</v>
      </c>
      <c r="E5684">
        <v>16</v>
      </c>
    </row>
    <row r="5685" spans="1:5" x14ac:dyDescent="0.25">
      <c r="A5685">
        <v>5684</v>
      </c>
      <c r="B5685">
        <v>5251139</v>
      </c>
      <c r="C5685" s="1" t="str">
        <f>HYPERLINK("http://stackoverflow.com/users/5251139", "ymjiang")</f>
        <v>ymjiang</v>
      </c>
      <c r="D5685" t="s">
        <v>176</v>
      </c>
      <c r="E5685">
        <v>16</v>
      </c>
    </row>
    <row r="5686" spans="1:5" x14ac:dyDescent="0.25">
      <c r="A5686">
        <v>5685</v>
      </c>
      <c r="B5686">
        <v>7021267</v>
      </c>
      <c r="C5686" s="1" t="str">
        <f>HYPERLINK("http://stackoverflow.com/users/7021267", "Mike Gao")</f>
        <v>Mike Gao</v>
      </c>
      <c r="D5686" t="s">
        <v>4</v>
      </c>
      <c r="E5686">
        <v>16</v>
      </c>
    </row>
    <row r="5687" spans="1:5" x14ac:dyDescent="0.25">
      <c r="A5687">
        <v>5686</v>
      </c>
      <c r="B5687">
        <v>1203799</v>
      </c>
      <c r="C5687" s="1" t="str">
        <f>HYPERLINK("http://stackoverflow.com/users/1203799", "piginzoo")</f>
        <v>piginzoo</v>
      </c>
      <c r="D5687" t="s">
        <v>5</v>
      </c>
      <c r="E5687">
        <v>16</v>
      </c>
    </row>
    <row r="5688" spans="1:5" x14ac:dyDescent="0.25">
      <c r="A5688">
        <v>5687</v>
      </c>
      <c r="B5688">
        <v>8476362</v>
      </c>
      <c r="C5688" s="1" t="str">
        <f>HYPERLINK("http://stackoverflow.com/users/8476362", "Mstar")</f>
        <v>Mstar</v>
      </c>
      <c r="D5688" t="s">
        <v>5</v>
      </c>
      <c r="E5688">
        <v>16</v>
      </c>
    </row>
    <row r="5689" spans="1:5" x14ac:dyDescent="0.25">
      <c r="A5689">
        <v>5688</v>
      </c>
      <c r="B5689">
        <v>3160639</v>
      </c>
      <c r="C5689" s="1" t="str">
        <f>HYPERLINK("http://stackoverflow.com/users/3160639", "GlitterX")</f>
        <v>GlitterX</v>
      </c>
      <c r="D5689" t="s">
        <v>242</v>
      </c>
      <c r="E5689">
        <v>16</v>
      </c>
    </row>
    <row r="5690" spans="1:5" x14ac:dyDescent="0.25">
      <c r="A5690">
        <v>5689</v>
      </c>
      <c r="B5690">
        <v>1412616</v>
      </c>
      <c r="C5690" s="1" t="str">
        <f>HYPERLINK("http://stackoverflow.com/users/1412616", "Liu Yongtai")</f>
        <v>Liu Yongtai</v>
      </c>
      <c r="D5690" t="s">
        <v>56</v>
      </c>
      <c r="E5690">
        <v>16</v>
      </c>
    </row>
    <row r="5691" spans="1:5" x14ac:dyDescent="0.25">
      <c r="A5691">
        <v>5690</v>
      </c>
      <c r="B5691">
        <v>6778142</v>
      </c>
      <c r="C5691" s="1" t="str">
        <f>HYPERLINK("http://stackoverflow.com/users/6778142", "Henry Chu")</f>
        <v>Henry Chu</v>
      </c>
      <c r="D5691" t="s">
        <v>333</v>
      </c>
      <c r="E5691">
        <v>16</v>
      </c>
    </row>
    <row r="5692" spans="1:5" x14ac:dyDescent="0.25">
      <c r="A5692">
        <v>5691</v>
      </c>
      <c r="B5692">
        <v>1500576</v>
      </c>
      <c r="C5692" s="1" t="str">
        <f>HYPERLINK("http://stackoverflow.com/users/1500576", "liuguoyan")</f>
        <v>liuguoyan</v>
      </c>
      <c r="D5692" t="s">
        <v>5</v>
      </c>
      <c r="E5692">
        <v>16</v>
      </c>
    </row>
    <row r="5693" spans="1:5" x14ac:dyDescent="0.25">
      <c r="A5693">
        <v>5692</v>
      </c>
      <c r="B5693">
        <v>5387410</v>
      </c>
      <c r="C5693" s="1" t="str">
        <f>HYPERLINK("http://stackoverflow.com/users/5387410", "iphone-andy")</f>
        <v>iphone-andy</v>
      </c>
      <c r="D5693" t="s">
        <v>12</v>
      </c>
      <c r="E5693">
        <v>16</v>
      </c>
    </row>
    <row r="5694" spans="1:5" x14ac:dyDescent="0.25">
      <c r="A5694">
        <v>5693</v>
      </c>
      <c r="B5694">
        <v>1594228</v>
      </c>
      <c r="C5694" s="1" t="str">
        <f>HYPERLINK("http://stackoverflow.com/users/1594228", "leon")</f>
        <v>leon</v>
      </c>
      <c r="D5694" t="s">
        <v>7</v>
      </c>
      <c r="E5694">
        <v>16</v>
      </c>
    </row>
    <row r="5695" spans="1:5" x14ac:dyDescent="0.25">
      <c r="A5695">
        <v>5694</v>
      </c>
      <c r="B5695">
        <v>1641979</v>
      </c>
      <c r="C5695" s="1" t="str">
        <f>HYPERLINK("http://stackoverflow.com/users/1641979", "Hat Huang")</f>
        <v>Hat Huang</v>
      </c>
      <c r="D5695" t="s">
        <v>22</v>
      </c>
      <c r="E5695">
        <v>16</v>
      </c>
    </row>
    <row r="5696" spans="1:5" x14ac:dyDescent="0.25">
      <c r="A5696">
        <v>5695</v>
      </c>
      <c r="B5696">
        <v>1659360</v>
      </c>
      <c r="C5696" s="1" t="str">
        <f>HYPERLINK("http://stackoverflow.com/users/1659360", "chengmu")</f>
        <v>chengmu</v>
      </c>
      <c r="D5696" t="s">
        <v>5</v>
      </c>
      <c r="E5696">
        <v>16</v>
      </c>
    </row>
    <row r="5697" spans="1:5" x14ac:dyDescent="0.25">
      <c r="A5697">
        <v>5696</v>
      </c>
      <c r="B5697">
        <v>5352432</v>
      </c>
      <c r="C5697" s="1" t="str">
        <f>HYPERLINK("http://stackoverflow.com/users/5352432", "David")</f>
        <v>David</v>
      </c>
      <c r="D5697" t="s">
        <v>5</v>
      </c>
      <c r="E5697">
        <v>16</v>
      </c>
    </row>
    <row r="5698" spans="1:5" x14ac:dyDescent="0.25">
      <c r="A5698">
        <v>5697</v>
      </c>
      <c r="B5698">
        <v>1350785</v>
      </c>
      <c r="C5698" s="1" t="str">
        <f>HYPERLINK("http://stackoverflow.com/users/1350785", "songqi")</f>
        <v>songqi</v>
      </c>
      <c r="D5698" t="s">
        <v>5</v>
      </c>
      <c r="E5698">
        <v>16</v>
      </c>
    </row>
    <row r="5699" spans="1:5" x14ac:dyDescent="0.25">
      <c r="A5699">
        <v>5698</v>
      </c>
      <c r="B5699">
        <v>8607984</v>
      </c>
      <c r="C5699" s="1" t="str">
        <f>HYPERLINK("http://stackoverflow.com/users/8607984", "Dean")</f>
        <v>Dean</v>
      </c>
      <c r="D5699" t="s">
        <v>16</v>
      </c>
      <c r="E5699">
        <v>16</v>
      </c>
    </row>
    <row r="5700" spans="1:5" x14ac:dyDescent="0.25">
      <c r="A5700">
        <v>5699</v>
      </c>
      <c r="B5700">
        <v>5117673</v>
      </c>
      <c r="C5700" s="1" t="str">
        <f>HYPERLINK("http://stackoverflow.com/users/5117673", "v2panda")</f>
        <v>v2panda</v>
      </c>
      <c r="D5700" t="s">
        <v>5</v>
      </c>
      <c r="E5700">
        <v>16</v>
      </c>
    </row>
    <row r="5701" spans="1:5" x14ac:dyDescent="0.25">
      <c r="A5701">
        <v>5700</v>
      </c>
      <c r="B5701">
        <v>3359307</v>
      </c>
      <c r="C5701" s="1" t="str">
        <f>HYPERLINK("http://stackoverflow.com/users/3359307", "Kriss")</f>
        <v>Kriss</v>
      </c>
      <c r="D5701" t="s">
        <v>5</v>
      </c>
      <c r="E5701">
        <v>16</v>
      </c>
    </row>
    <row r="5702" spans="1:5" x14ac:dyDescent="0.25">
      <c r="A5702">
        <v>5701</v>
      </c>
      <c r="B5702">
        <v>1305160</v>
      </c>
      <c r="C5702" s="1" t="str">
        <f>HYPERLINK("http://stackoverflow.com/users/1305160", "zhangheyin")</f>
        <v>zhangheyin</v>
      </c>
      <c r="D5702" t="s">
        <v>5</v>
      </c>
      <c r="E5702">
        <v>16</v>
      </c>
    </row>
    <row r="5703" spans="1:5" x14ac:dyDescent="0.25">
      <c r="A5703">
        <v>5702</v>
      </c>
      <c r="B5703">
        <v>1285060</v>
      </c>
      <c r="C5703" s="1" t="str">
        <f>HYPERLINK("http://stackoverflow.com/users/1285060", "kafeitu")</f>
        <v>kafeitu</v>
      </c>
      <c r="D5703" t="s">
        <v>4</v>
      </c>
      <c r="E5703">
        <v>16</v>
      </c>
    </row>
    <row r="5704" spans="1:5" x14ac:dyDescent="0.25">
      <c r="A5704">
        <v>5703</v>
      </c>
      <c r="B5704">
        <v>1177687</v>
      </c>
      <c r="C5704" s="1" t="str">
        <f>HYPERLINK("http://stackoverflow.com/users/1177687", "mimvp")</f>
        <v>mimvp</v>
      </c>
      <c r="D5704" t="s">
        <v>5</v>
      </c>
      <c r="E5704">
        <v>16</v>
      </c>
    </row>
    <row r="5705" spans="1:5" x14ac:dyDescent="0.25">
      <c r="A5705">
        <v>5704</v>
      </c>
      <c r="B5705">
        <v>4972103</v>
      </c>
      <c r="C5705" s="1" t="str">
        <f>HYPERLINK("http://stackoverflow.com/users/4972103", "seekting zhang")</f>
        <v>seekting zhang</v>
      </c>
      <c r="D5705" t="s">
        <v>5</v>
      </c>
      <c r="E5705">
        <v>16</v>
      </c>
    </row>
    <row r="5706" spans="1:5" x14ac:dyDescent="0.25">
      <c r="A5706">
        <v>5705</v>
      </c>
      <c r="B5706">
        <v>1215571</v>
      </c>
      <c r="C5706" s="1" t="str">
        <f>HYPERLINK("http://stackoverflow.com/users/1215571", "lazycai")</f>
        <v>lazycai</v>
      </c>
      <c r="D5706" t="s">
        <v>5</v>
      </c>
      <c r="E5706">
        <v>16</v>
      </c>
    </row>
    <row r="5707" spans="1:5" x14ac:dyDescent="0.25">
      <c r="A5707">
        <v>5706</v>
      </c>
      <c r="B5707">
        <v>3180133</v>
      </c>
      <c r="C5707" s="1" t="str">
        <f>HYPERLINK("http://stackoverflow.com/users/3180133", "zhangyouzhi")</f>
        <v>zhangyouzhi</v>
      </c>
      <c r="D5707" t="s">
        <v>8</v>
      </c>
      <c r="E5707">
        <v>16</v>
      </c>
    </row>
    <row r="5708" spans="1:5" x14ac:dyDescent="0.25">
      <c r="A5708">
        <v>5707</v>
      </c>
      <c r="B5708">
        <v>1099060</v>
      </c>
      <c r="C5708" s="1" t="str">
        <f>HYPERLINK("http://stackoverflow.com/users/1099060", "ticktack")</f>
        <v>ticktack</v>
      </c>
      <c r="D5708" t="s">
        <v>334</v>
      </c>
      <c r="E5708">
        <v>16</v>
      </c>
    </row>
    <row r="5709" spans="1:5" x14ac:dyDescent="0.25">
      <c r="A5709">
        <v>5708</v>
      </c>
      <c r="B5709">
        <v>3040692</v>
      </c>
      <c r="C5709" s="1" t="str">
        <f>HYPERLINK("http://stackoverflow.com/users/3040692", "Maddie Zhan")</f>
        <v>Maddie Zhan</v>
      </c>
      <c r="D5709" t="s">
        <v>17</v>
      </c>
      <c r="E5709">
        <v>16</v>
      </c>
    </row>
    <row r="5710" spans="1:5" x14ac:dyDescent="0.25">
      <c r="A5710">
        <v>5709</v>
      </c>
      <c r="B5710">
        <v>3019852</v>
      </c>
      <c r="C5710" s="1" t="str">
        <f>HYPERLINK("http://stackoverflow.com/users/3019852", "yuansip")</f>
        <v>yuansip</v>
      </c>
      <c r="D5710" t="s">
        <v>5</v>
      </c>
      <c r="E5710">
        <v>16</v>
      </c>
    </row>
    <row r="5711" spans="1:5" x14ac:dyDescent="0.25">
      <c r="A5711">
        <v>5710</v>
      </c>
      <c r="B5711">
        <v>2990062</v>
      </c>
      <c r="C5711" s="1" t="str">
        <f>HYPERLINK("http://stackoverflow.com/users/2990062", "scfhao")</f>
        <v>scfhao</v>
      </c>
      <c r="D5711" t="s">
        <v>5</v>
      </c>
      <c r="E5711">
        <v>16</v>
      </c>
    </row>
    <row r="5712" spans="1:5" x14ac:dyDescent="0.25">
      <c r="A5712">
        <v>5711</v>
      </c>
      <c r="B5712">
        <v>793762</v>
      </c>
      <c r="C5712" s="1" t="str">
        <f>HYPERLINK("http://stackoverflow.com/users/793762", "AnalogKid")</f>
        <v>AnalogKid</v>
      </c>
      <c r="D5712" t="s">
        <v>17</v>
      </c>
      <c r="E5712">
        <v>16</v>
      </c>
    </row>
    <row r="5713" spans="1:5" x14ac:dyDescent="0.25">
      <c r="A5713">
        <v>5712</v>
      </c>
      <c r="B5713">
        <v>795304</v>
      </c>
      <c r="C5713" s="1" t="str">
        <f>HYPERLINK("http://stackoverflow.com/users/795304", "Chao")</f>
        <v>Chao</v>
      </c>
      <c r="D5713" t="s">
        <v>21</v>
      </c>
      <c r="E5713">
        <v>16</v>
      </c>
    </row>
    <row r="5714" spans="1:5" x14ac:dyDescent="0.25">
      <c r="A5714">
        <v>5713</v>
      </c>
      <c r="B5714">
        <v>10037361</v>
      </c>
      <c r="C5714" s="1" t="str">
        <f>HYPERLINK("http://stackoverflow.com/users/10037361", "sea_hunter")</f>
        <v>sea_hunter</v>
      </c>
      <c r="D5714" t="s">
        <v>5</v>
      </c>
      <c r="E5714">
        <v>16</v>
      </c>
    </row>
    <row r="5715" spans="1:5" x14ac:dyDescent="0.25">
      <c r="A5715">
        <v>5714</v>
      </c>
      <c r="B5715">
        <v>926357</v>
      </c>
      <c r="C5715" s="1" t="str">
        <f>HYPERLINK("http://stackoverflow.com/users/926357", "jinchao")</f>
        <v>jinchao</v>
      </c>
      <c r="D5715" t="s">
        <v>5</v>
      </c>
      <c r="E5715">
        <v>16</v>
      </c>
    </row>
    <row r="5716" spans="1:5" x14ac:dyDescent="0.25">
      <c r="A5716">
        <v>5715</v>
      </c>
      <c r="B5716">
        <v>2924805</v>
      </c>
      <c r="C5716" s="1" t="str">
        <f>HYPERLINK("http://stackoverflow.com/users/2924805", "Lucas Yang")</f>
        <v>Lucas Yang</v>
      </c>
      <c r="D5716" t="s">
        <v>43</v>
      </c>
      <c r="E5716">
        <v>16</v>
      </c>
    </row>
    <row r="5717" spans="1:5" x14ac:dyDescent="0.25">
      <c r="A5717">
        <v>5716</v>
      </c>
      <c r="B5717">
        <v>469445</v>
      </c>
      <c r="C5717" s="1" t="str">
        <f>HYPERLINK("http://stackoverflow.com/users/469445", "SleekCC")</f>
        <v>SleekCC</v>
      </c>
      <c r="D5717" t="s">
        <v>22</v>
      </c>
      <c r="E5717">
        <v>16</v>
      </c>
    </row>
    <row r="5718" spans="1:5" x14ac:dyDescent="0.25">
      <c r="A5718">
        <v>5717</v>
      </c>
      <c r="B5718">
        <v>6241560</v>
      </c>
      <c r="C5718" s="1" t="str">
        <f>HYPERLINK("http://stackoverflow.com/users/6241560", "mizhoux")</f>
        <v>mizhoux</v>
      </c>
      <c r="D5718" t="s">
        <v>131</v>
      </c>
      <c r="E5718">
        <v>16</v>
      </c>
    </row>
    <row r="5719" spans="1:5" x14ac:dyDescent="0.25">
      <c r="A5719">
        <v>5718</v>
      </c>
      <c r="B5719">
        <v>688700</v>
      </c>
      <c r="C5719" s="1" t="str">
        <f>HYPERLINK("http://stackoverflow.com/users/688700", "Woody Wang")</f>
        <v>Woody Wang</v>
      </c>
      <c r="D5719" t="s">
        <v>5</v>
      </c>
      <c r="E5719">
        <v>16</v>
      </c>
    </row>
    <row r="5720" spans="1:5" x14ac:dyDescent="0.25">
      <c r="A5720">
        <v>5719</v>
      </c>
      <c r="B5720">
        <v>663797</v>
      </c>
      <c r="C5720" s="1" t="str">
        <f>HYPERLINK("http://stackoverflow.com/users/663797", "napoleonu")</f>
        <v>napoleonu</v>
      </c>
      <c r="D5720" t="s">
        <v>4</v>
      </c>
      <c r="E5720">
        <v>16</v>
      </c>
    </row>
    <row r="5721" spans="1:5" x14ac:dyDescent="0.25">
      <c r="A5721">
        <v>5720</v>
      </c>
      <c r="B5721">
        <v>8146978</v>
      </c>
      <c r="C5721" s="1" t="str">
        <f>HYPERLINK("http://stackoverflow.com/users/8146978", "Sandy88")</f>
        <v>Sandy88</v>
      </c>
      <c r="D5721" t="s">
        <v>177</v>
      </c>
      <c r="E5721">
        <v>16</v>
      </c>
    </row>
    <row r="5722" spans="1:5" x14ac:dyDescent="0.25">
      <c r="A5722">
        <v>5721</v>
      </c>
      <c r="B5722">
        <v>2738940</v>
      </c>
      <c r="C5722" s="1" t="str">
        <f>HYPERLINK("http://stackoverflow.com/users/2738940", "thuai")</f>
        <v>thuai</v>
      </c>
      <c r="D5722" t="s">
        <v>17</v>
      </c>
      <c r="E5722">
        <v>16</v>
      </c>
    </row>
    <row r="5723" spans="1:5" x14ac:dyDescent="0.25">
      <c r="A5723">
        <v>5722</v>
      </c>
      <c r="B5723">
        <v>500303</v>
      </c>
      <c r="C5723" s="1" t="str">
        <f>HYPERLINK("http://stackoverflow.com/users/500303", "jingege")</f>
        <v>jingege</v>
      </c>
      <c r="D5723" t="s">
        <v>108</v>
      </c>
      <c r="E5723">
        <v>16</v>
      </c>
    </row>
    <row r="5724" spans="1:5" x14ac:dyDescent="0.25">
      <c r="A5724">
        <v>5723</v>
      </c>
      <c r="B5724">
        <v>2206422</v>
      </c>
      <c r="C5724" s="1" t="str">
        <f>HYPERLINK("http://stackoverflow.com/users/2206422", "maria")</f>
        <v>maria</v>
      </c>
      <c r="D5724" t="s">
        <v>4</v>
      </c>
      <c r="E5724">
        <v>16</v>
      </c>
    </row>
    <row r="5725" spans="1:5" x14ac:dyDescent="0.25">
      <c r="A5725">
        <v>5724</v>
      </c>
      <c r="B5725">
        <v>2357477</v>
      </c>
      <c r="C5725" s="1" t="str">
        <f>HYPERLINK("http://stackoverflow.com/users/2357477", "afon")</f>
        <v>afon</v>
      </c>
      <c r="D5725" t="s">
        <v>4</v>
      </c>
      <c r="E5725">
        <v>16</v>
      </c>
    </row>
    <row r="5726" spans="1:5" x14ac:dyDescent="0.25">
      <c r="A5726">
        <v>5725</v>
      </c>
      <c r="B5726">
        <v>5850627</v>
      </c>
      <c r="C5726" s="1" t="str">
        <f>HYPERLINK("http://stackoverflow.com/users/5850627", "R. Veeblefetzer")</f>
        <v>R. Veeblefetzer</v>
      </c>
      <c r="D5726" t="s">
        <v>4</v>
      </c>
      <c r="E5726">
        <v>16</v>
      </c>
    </row>
    <row r="5727" spans="1:5" x14ac:dyDescent="0.25">
      <c r="A5727">
        <v>5726</v>
      </c>
      <c r="B5727">
        <v>9215079</v>
      </c>
      <c r="C5727" s="1" t="str">
        <f>HYPERLINK("http://stackoverflow.com/users/9215079", "Wang")</f>
        <v>Wang</v>
      </c>
      <c r="D5727" t="s">
        <v>335</v>
      </c>
      <c r="E5727">
        <v>16</v>
      </c>
    </row>
    <row r="5728" spans="1:5" x14ac:dyDescent="0.25">
      <c r="A5728">
        <v>5727</v>
      </c>
      <c r="B5728">
        <v>1916109</v>
      </c>
      <c r="C5728" s="1" t="str">
        <f>HYPERLINK("http://stackoverflow.com/users/1916109", "Layner")</f>
        <v>Layner</v>
      </c>
      <c r="D5728" t="s">
        <v>16</v>
      </c>
      <c r="E5728">
        <v>16</v>
      </c>
    </row>
    <row r="5729" spans="1:5" x14ac:dyDescent="0.25">
      <c r="A5729">
        <v>5728</v>
      </c>
      <c r="B5729">
        <v>5474057</v>
      </c>
      <c r="C5729" s="1" t="str">
        <f>HYPERLINK("http://stackoverflow.com/users/5474057", "Lansiluo Thomas")</f>
        <v>Lansiluo Thomas</v>
      </c>
      <c r="D5729" t="s">
        <v>25</v>
      </c>
      <c r="E5729">
        <v>16</v>
      </c>
    </row>
    <row r="5730" spans="1:5" x14ac:dyDescent="0.25">
      <c r="A5730">
        <v>5729</v>
      </c>
      <c r="B5730">
        <v>5713058</v>
      </c>
      <c r="C5730" s="1" t="str">
        <f>HYPERLINK("http://stackoverflow.com/users/5713058", "jarod.tian")</f>
        <v>jarod.tian</v>
      </c>
      <c r="D5730" t="s">
        <v>5</v>
      </c>
      <c r="E5730">
        <v>16</v>
      </c>
    </row>
    <row r="5731" spans="1:5" x14ac:dyDescent="0.25">
      <c r="A5731">
        <v>5730</v>
      </c>
      <c r="B5731">
        <v>5713319</v>
      </c>
      <c r="C5731" s="1" t="str">
        <f>HYPERLINK("http://stackoverflow.com/users/5713319", "苏月如")</f>
        <v>苏月如</v>
      </c>
      <c r="D5731" t="s">
        <v>4</v>
      </c>
      <c r="E5731">
        <v>16</v>
      </c>
    </row>
    <row r="5732" spans="1:5" x14ac:dyDescent="0.25">
      <c r="A5732">
        <v>5731</v>
      </c>
      <c r="B5732">
        <v>2111518</v>
      </c>
      <c r="C5732" s="1" t="str">
        <f>HYPERLINK("http://stackoverflow.com/users/2111518", "Burning")</f>
        <v>Burning</v>
      </c>
      <c r="D5732" t="s">
        <v>4</v>
      </c>
      <c r="E5732">
        <v>16</v>
      </c>
    </row>
    <row r="5733" spans="1:5" x14ac:dyDescent="0.25">
      <c r="A5733">
        <v>5732</v>
      </c>
      <c r="B5733">
        <v>2016971</v>
      </c>
      <c r="C5733" s="1" t="str">
        <f>HYPERLINK("http://stackoverflow.com/users/2016971", "user2016971")</f>
        <v>user2016971</v>
      </c>
      <c r="D5733" t="s">
        <v>4</v>
      </c>
      <c r="E5733">
        <v>16</v>
      </c>
    </row>
    <row r="5734" spans="1:5" x14ac:dyDescent="0.25">
      <c r="A5734">
        <v>5733</v>
      </c>
      <c r="B5734">
        <v>7139303</v>
      </c>
      <c r="C5734" s="1" t="str">
        <f>HYPERLINK("http://stackoverflow.com/users/7139303", "Vic Liu")</f>
        <v>Vic Liu</v>
      </c>
      <c r="D5734" t="s">
        <v>4</v>
      </c>
      <c r="E5734">
        <v>16</v>
      </c>
    </row>
    <row r="5735" spans="1:5" x14ac:dyDescent="0.25">
      <c r="A5735">
        <v>5734</v>
      </c>
      <c r="B5735">
        <v>1929599</v>
      </c>
      <c r="C5735" s="1" t="str">
        <f>HYPERLINK("http://stackoverflow.com/users/1929599", "Vincent Ting")</f>
        <v>Vincent Ting</v>
      </c>
      <c r="D5735" t="s">
        <v>3</v>
      </c>
      <c r="E5735">
        <v>16</v>
      </c>
    </row>
    <row r="5736" spans="1:5" x14ac:dyDescent="0.25">
      <c r="A5736">
        <v>5735</v>
      </c>
      <c r="B5736">
        <v>3683964</v>
      </c>
      <c r="C5736" s="1" t="str">
        <f>HYPERLINK("http://stackoverflow.com/users/3683964", "Jacky Zhang")</f>
        <v>Jacky Zhang</v>
      </c>
      <c r="D5736" t="s">
        <v>5</v>
      </c>
      <c r="E5736">
        <v>16</v>
      </c>
    </row>
    <row r="5737" spans="1:5" x14ac:dyDescent="0.25">
      <c r="A5737">
        <v>5736</v>
      </c>
      <c r="B5737">
        <v>7453557</v>
      </c>
      <c r="C5737" s="1" t="str">
        <f>HYPERLINK("http://stackoverflow.com/users/7453557", "Rekols")</f>
        <v>Rekols</v>
      </c>
      <c r="D5737" t="s">
        <v>36</v>
      </c>
      <c r="E5737">
        <v>16</v>
      </c>
    </row>
    <row r="5738" spans="1:5" x14ac:dyDescent="0.25">
      <c r="A5738">
        <v>5737</v>
      </c>
      <c r="B5738">
        <v>6012217</v>
      </c>
      <c r="C5738" s="1" t="str">
        <f>HYPERLINK("http://stackoverflow.com/users/6012217", "XueBai")</f>
        <v>XueBai</v>
      </c>
      <c r="D5738" t="s">
        <v>5</v>
      </c>
      <c r="E5738">
        <v>16</v>
      </c>
    </row>
    <row r="5739" spans="1:5" x14ac:dyDescent="0.25">
      <c r="A5739">
        <v>5738</v>
      </c>
      <c r="B5739">
        <v>4213435</v>
      </c>
      <c r="C5739" s="1" t="str">
        <f>HYPERLINK("http://stackoverflow.com/users/4213435", "Tianyi Hao")</f>
        <v>Tianyi Hao</v>
      </c>
      <c r="D5739" t="s">
        <v>5</v>
      </c>
      <c r="E5739">
        <v>16</v>
      </c>
    </row>
    <row r="5740" spans="1:5" x14ac:dyDescent="0.25">
      <c r="A5740">
        <v>5739</v>
      </c>
      <c r="B5740">
        <v>4074020</v>
      </c>
      <c r="C5740" s="1" t="str">
        <f>HYPERLINK("http://stackoverflow.com/users/4074020", "Roman Alexis Anastasini")</f>
        <v>Roman Alexis Anastasini</v>
      </c>
      <c r="D5740" t="s">
        <v>5</v>
      </c>
      <c r="E5740">
        <v>16</v>
      </c>
    </row>
    <row r="5741" spans="1:5" x14ac:dyDescent="0.25">
      <c r="A5741">
        <v>5740</v>
      </c>
      <c r="B5741">
        <v>1378534</v>
      </c>
      <c r="C5741" s="1" t="str">
        <f>HYPERLINK("http://stackoverflow.com/users/1378534", "Steve Wang")</f>
        <v>Steve Wang</v>
      </c>
      <c r="D5741" t="s">
        <v>4</v>
      </c>
      <c r="E5741">
        <v>16</v>
      </c>
    </row>
    <row r="5742" spans="1:5" x14ac:dyDescent="0.25">
      <c r="A5742">
        <v>5741</v>
      </c>
      <c r="B5742">
        <v>1508346</v>
      </c>
      <c r="C5742" s="1" t="str">
        <f>HYPERLINK("http://stackoverflow.com/users/1508346", "ithlony")</f>
        <v>ithlony</v>
      </c>
      <c r="D5742" t="s">
        <v>5</v>
      </c>
      <c r="E5742">
        <v>16</v>
      </c>
    </row>
    <row r="5743" spans="1:5" x14ac:dyDescent="0.25">
      <c r="A5743">
        <v>5742</v>
      </c>
      <c r="B5743">
        <v>1514319</v>
      </c>
      <c r="C5743" s="1" t="str">
        <f>HYPERLINK("http://stackoverflow.com/users/1514319", "jeffery")</f>
        <v>jeffery</v>
      </c>
      <c r="D5743" t="s">
        <v>43</v>
      </c>
      <c r="E5743">
        <v>16</v>
      </c>
    </row>
    <row r="5744" spans="1:5" x14ac:dyDescent="0.25">
      <c r="A5744">
        <v>5743</v>
      </c>
      <c r="B5744">
        <v>3344721</v>
      </c>
      <c r="C5744" s="1" t="str">
        <f>HYPERLINK("http://stackoverflow.com/users/3344721", "0owen")</f>
        <v>0owen</v>
      </c>
      <c r="D5744" t="s">
        <v>38</v>
      </c>
      <c r="E5744">
        <v>16</v>
      </c>
    </row>
    <row r="5745" spans="1:5" x14ac:dyDescent="0.25">
      <c r="A5745">
        <v>5744</v>
      </c>
      <c r="B5745">
        <v>1685787</v>
      </c>
      <c r="C5745" s="1" t="str">
        <f>HYPERLINK("http://stackoverflow.com/users/1685787", "bluekurk")</f>
        <v>bluekurk</v>
      </c>
      <c r="D5745" t="s">
        <v>193</v>
      </c>
      <c r="E5745">
        <v>16</v>
      </c>
    </row>
    <row r="5746" spans="1:5" x14ac:dyDescent="0.25">
      <c r="A5746">
        <v>5745</v>
      </c>
      <c r="B5746">
        <v>8955020</v>
      </c>
      <c r="C5746" s="1" t="str">
        <f>HYPERLINK("http://stackoverflow.com/users/8955020", "oneslide")</f>
        <v>oneslide</v>
      </c>
      <c r="D5746" t="s">
        <v>5</v>
      </c>
      <c r="E5746">
        <v>16</v>
      </c>
    </row>
    <row r="5747" spans="1:5" x14ac:dyDescent="0.25">
      <c r="A5747">
        <v>5746</v>
      </c>
      <c r="B5747">
        <v>8470038</v>
      </c>
      <c r="C5747" s="1" t="str">
        <f>HYPERLINK("http://stackoverflow.com/users/8470038", "logan_white")</f>
        <v>logan_white</v>
      </c>
      <c r="D5747" t="s">
        <v>5</v>
      </c>
      <c r="E5747">
        <v>16</v>
      </c>
    </row>
    <row r="5748" spans="1:5" x14ac:dyDescent="0.25">
      <c r="A5748">
        <v>5747</v>
      </c>
      <c r="B5748">
        <v>8500731</v>
      </c>
      <c r="C5748" s="1" t="str">
        <f>HYPERLINK("http://stackoverflow.com/users/8500731", "X.Ming")</f>
        <v>X.Ming</v>
      </c>
      <c r="D5748" t="s">
        <v>336</v>
      </c>
      <c r="E5748">
        <v>16</v>
      </c>
    </row>
    <row r="5749" spans="1:5" x14ac:dyDescent="0.25">
      <c r="A5749">
        <v>5748</v>
      </c>
      <c r="B5749">
        <v>8510089</v>
      </c>
      <c r="C5749" s="1" t="str">
        <f>HYPERLINK("http://stackoverflow.com/users/8510089", "Jeffrey Yang")</f>
        <v>Jeffrey Yang</v>
      </c>
      <c r="D5749" t="s">
        <v>57</v>
      </c>
      <c r="E5749">
        <v>16</v>
      </c>
    </row>
    <row r="5750" spans="1:5" x14ac:dyDescent="0.25">
      <c r="A5750">
        <v>5749</v>
      </c>
      <c r="B5750">
        <v>2601673</v>
      </c>
      <c r="C5750" s="1" t="str">
        <f>HYPERLINK("http://stackoverflow.com/users/2601673", "kepbod")</f>
        <v>kepbod</v>
      </c>
      <c r="D5750" t="s">
        <v>4</v>
      </c>
      <c r="E5750">
        <v>16</v>
      </c>
    </row>
    <row r="5751" spans="1:5" x14ac:dyDescent="0.25">
      <c r="A5751">
        <v>5750</v>
      </c>
      <c r="B5751">
        <v>6181205</v>
      </c>
      <c r="C5751" s="1" t="str">
        <f>HYPERLINK("http://stackoverflow.com/users/6181205", "x5lcfd")</f>
        <v>x5lcfd</v>
      </c>
      <c r="D5751" t="s">
        <v>5</v>
      </c>
      <c r="E5751">
        <v>16</v>
      </c>
    </row>
    <row r="5752" spans="1:5" x14ac:dyDescent="0.25">
      <c r="A5752">
        <v>5751</v>
      </c>
      <c r="B5752">
        <v>2567351</v>
      </c>
      <c r="C5752" s="1" t="str">
        <f>HYPERLINK("http://stackoverflow.com/users/2567351", "crazy cat")</f>
        <v>crazy cat</v>
      </c>
      <c r="D5752" t="s">
        <v>90</v>
      </c>
      <c r="E5752">
        <v>16</v>
      </c>
    </row>
    <row r="5753" spans="1:5" x14ac:dyDescent="0.25">
      <c r="A5753">
        <v>5752</v>
      </c>
      <c r="B5753">
        <v>8029157</v>
      </c>
      <c r="C5753" s="1" t="str">
        <f>HYPERLINK("http://stackoverflow.com/users/8029157", "swordsmanye")</f>
        <v>swordsmanye</v>
      </c>
      <c r="D5753" t="s">
        <v>115</v>
      </c>
      <c r="E5753">
        <v>16</v>
      </c>
    </row>
    <row r="5754" spans="1:5" x14ac:dyDescent="0.25">
      <c r="A5754">
        <v>5753</v>
      </c>
      <c r="B5754">
        <v>7882976</v>
      </c>
      <c r="C5754" s="1" t="str">
        <f>HYPERLINK("http://stackoverflow.com/users/7882976", "leakey")</f>
        <v>leakey</v>
      </c>
      <c r="D5754" t="s">
        <v>176</v>
      </c>
      <c r="E5754">
        <v>16</v>
      </c>
    </row>
    <row r="5755" spans="1:5" x14ac:dyDescent="0.25">
      <c r="A5755">
        <v>5754</v>
      </c>
      <c r="B5755">
        <v>7817829</v>
      </c>
      <c r="C5755" s="1" t="str">
        <f>HYPERLINK("http://stackoverflow.com/users/7817829", "hhb1994")</f>
        <v>hhb1994</v>
      </c>
      <c r="D5755" t="s">
        <v>28</v>
      </c>
      <c r="E5755">
        <v>16</v>
      </c>
    </row>
    <row r="5756" spans="1:5" x14ac:dyDescent="0.25">
      <c r="A5756">
        <v>5755</v>
      </c>
      <c r="B5756">
        <v>8318455</v>
      </c>
      <c r="C5756" s="1" t="str">
        <f>HYPERLINK("http://stackoverflow.com/users/8318455", "Stark")</f>
        <v>Stark</v>
      </c>
      <c r="D5756" t="s">
        <v>337</v>
      </c>
      <c r="E5756">
        <v>16</v>
      </c>
    </row>
    <row r="5757" spans="1:5" x14ac:dyDescent="0.25">
      <c r="A5757">
        <v>5756</v>
      </c>
      <c r="B5757">
        <v>4705486</v>
      </c>
      <c r="C5757" s="1" t="str">
        <f>HYPERLINK("http://stackoverflow.com/users/4705486", "Sneezry")</f>
        <v>Sneezry</v>
      </c>
      <c r="D5757" t="s">
        <v>4</v>
      </c>
      <c r="E5757">
        <v>16</v>
      </c>
    </row>
    <row r="5758" spans="1:5" x14ac:dyDescent="0.25">
      <c r="A5758">
        <v>5757</v>
      </c>
      <c r="B5758">
        <v>769914</v>
      </c>
      <c r="C5758" s="1" t="str">
        <f>HYPERLINK("http://stackoverflow.com/users/769914", "anomalousmaterials")</f>
        <v>anomalousmaterials</v>
      </c>
      <c r="D5758" t="s">
        <v>21</v>
      </c>
      <c r="E5758">
        <v>16</v>
      </c>
    </row>
    <row r="5759" spans="1:5" x14ac:dyDescent="0.25">
      <c r="A5759">
        <v>5758</v>
      </c>
      <c r="B5759">
        <v>4744903</v>
      </c>
      <c r="C5759" s="1" t="str">
        <f>HYPERLINK("http://stackoverflow.com/users/4744903", "Tyshan Shi")</f>
        <v>Tyshan Shi</v>
      </c>
      <c r="D5759" t="s">
        <v>5</v>
      </c>
      <c r="E5759">
        <v>16</v>
      </c>
    </row>
    <row r="5760" spans="1:5" x14ac:dyDescent="0.25">
      <c r="A5760">
        <v>5759</v>
      </c>
      <c r="B5760">
        <v>522744</v>
      </c>
      <c r="C5760" s="1" t="str">
        <f>HYPERLINK("http://stackoverflow.com/users/522744", "zyy_max")</f>
        <v>zyy_max</v>
      </c>
      <c r="D5760" t="s">
        <v>22</v>
      </c>
      <c r="E5760">
        <v>16</v>
      </c>
    </row>
    <row r="5761" spans="1:5" x14ac:dyDescent="0.25">
      <c r="A5761">
        <v>5760</v>
      </c>
      <c r="B5761">
        <v>4616736</v>
      </c>
      <c r="C5761" s="1" t="str">
        <f>HYPERLINK("http://stackoverflow.com/users/4616736", "Dong Xiang")</f>
        <v>Dong Xiang</v>
      </c>
      <c r="D5761" t="s">
        <v>5</v>
      </c>
      <c r="E5761">
        <v>16</v>
      </c>
    </row>
    <row r="5762" spans="1:5" x14ac:dyDescent="0.25">
      <c r="A5762">
        <v>5761</v>
      </c>
      <c r="B5762">
        <v>676562</v>
      </c>
      <c r="C5762" s="1" t="str">
        <f>HYPERLINK("http://stackoverflow.com/users/676562", "Star Chu")</f>
        <v>Star Chu</v>
      </c>
      <c r="D5762" t="s">
        <v>12</v>
      </c>
      <c r="E5762">
        <v>16</v>
      </c>
    </row>
    <row r="5763" spans="1:5" x14ac:dyDescent="0.25">
      <c r="A5763">
        <v>5762</v>
      </c>
      <c r="B5763">
        <v>2785990</v>
      </c>
      <c r="C5763" s="1" t="str">
        <f>HYPERLINK("http://stackoverflow.com/users/2785990", "yejingfu")</f>
        <v>yejingfu</v>
      </c>
      <c r="D5763" t="s">
        <v>4</v>
      </c>
      <c r="E5763">
        <v>16</v>
      </c>
    </row>
    <row r="5764" spans="1:5" x14ac:dyDescent="0.25">
      <c r="A5764">
        <v>5763</v>
      </c>
      <c r="B5764">
        <v>1934123</v>
      </c>
      <c r="C5764" s="1" t="str">
        <f>HYPERLINK("http://stackoverflow.com/users/1934123", "Jacky LIU")</f>
        <v>Jacky LIU</v>
      </c>
      <c r="D5764" t="s">
        <v>4</v>
      </c>
      <c r="E5764">
        <v>16</v>
      </c>
    </row>
    <row r="5765" spans="1:5" x14ac:dyDescent="0.25">
      <c r="A5765">
        <v>5764</v>
      </c>
      <c r="B5765">
        <v>1745994</v>
      </c>
      <c r="C5765" s="1" t="str">
        <f>HYPERLINK("http://stackoverflow.com/users/1745994", "AdamL")</f>
        <v>AdamL</v>
      </c>
      <c r="D5765" t="s">
        <v>4</v>
      </c>
      <c r="E5765">
        <v>16</v>
      </c>
    </row>
    <row r="5766" spans="1:5" x14ac:dyDescent="0.25">
      <c r="A5766">
        <v>5765</v>
      </c>
      <c r="B5766">
        <v>5549662</v>
      </c>
      <c r="C5766" s="1" t="str">
        <f>HYPERLINK("http://stackoverflow.com/users/5549662", "dennis.liu")</f>
        <v>dennis.liu</v>
      </c>
      <c r="D5766" t="s">
        <v>4</v>
      </c>
      <c r="E5766">
        <v>16</v>
      </c>
    </row>
    <row r="5767" spans="1:5" x14ac:dyDescent="0.25">
      <c r="A5767">
        <v>5766</v>
      </c>
      <c r="B5767">
        <v>2006073</v>
      </c>
      <c r="C5767" s="1" t="str">
        <f>HYPERLINK("http://stackoverflow.com/users/2006073", "kiddingmu")</f>
        <v>kiddingmu</v>
      </c>
      <c r="D5767" t="s">
        <v>5</v>
      </c>
      <c r="E5767">
        <v>16</v>
      </c>
    </row>
    <row r="5768" spans="1:5" x14ac:dyDescent="0.25">
      <c r="A5768">
        <v>5767</v>
      </c>
      <c r="B5768">
        <v>2007087</v>
      </c>
      <c r="C5768" s="1" t="str">
        <f>HYPERLINK("http://stackoverflow.com/users/2007087", "Alvin")</f>
        <v>Alvin</v>
      </c>
      <c r="D5768" t="s">
        <v>3</v>
      </c>
      <c r="E5768">
        <v>16</v>
      </c>
    </row>
    <row r="5769" spans="1:5" x14ac:dyDescent="0.25">
      <c r="A5769">
        <v>5768</v>
      </c>
      <c r="B5769">
        <v>5648734</v>
      </c>
      <c r="C5769" s="1" t="str">
        <f>HYPERLINK("http://stackoverflow.com/users/5648734", "Winel Zhou")</f>
        <v>Winel Zhou</v>
      </c>
      <c r="D5769" t="s">
        <v>12</v>
      </c>
      <c r="E5769">
        <v>16</v>
      </c>
    </row>
    <row r="5770" spans="1:5" x14ac:dyDescent="0.25">
      <c r="A5770">
        <v>5769</v>
      </c>
      <c r="B5770">
        <v>5586501</v>
      </c>
      <c r="C5770" s="1" t="str">
        <f>HYPERLINK("http://stackoverflow.com/users/5586501", "zhengquan")</f>
        <v>zhengquan</v>
      </c>
      <c r="D5770" t="s">
        <v>4</v>
      </c>
      <c r="E5770">
        <v>16</v>
      </c>
    </row>
    <row r="5771" spans="1:5" x14ac:dyDescent="0.25">
      <c r="A5771">
        <v>5770</v>
      </c>
      <c r="B5771">
        <v>7387392</v>
      </c>
      <c r="C5771" s="1" t="str">
        <f>HYPERLINK("http://stackoverflow.com/users/7387392", "KidM")</f>
        <v>KidM</v>
      </c>
      <c r="D5771" t="s">
        <v>338</v>
      </c>
      <c r="E5771">
        <v>16</v>
      </c>
    </row>
    <row r="5772" spans="1:5" x14ac:dyDescent="0.25">
      <c r="A5772">
        <v>5771</v>
      </c>
      <c r="B5772">
        <v>4196548</v>
      </c>
      <c r="C5772" s="1" t="str">
        <f>HYPERLINK("http://stackoverflow.com/users/4196548", "wx0")</f>
        <v>wx0</v>
      </c>
      <c r="D5772" t="s">
        <v>7</v>
      </c>
      <c r="E5772">
        <v>16</v>
      </c>
    </row>
    <row r="5773" spans="1:5" x14ac:dyDescent="0.25">
      <c r="A5773">
        <v>5772</v>
      </c>
      <c r="B5773">
        <v>5739921</v>
      </c>
      <c r="C5773" s="1" t="str">
        <f>HYPERLINK("http://stackoverflow.com/users/5739921", "Hao Tan")</f>
        <v>Hao Tan</v>
      </c>
      <c r="D5773" t="s">
        <v>52</v>
      </c>
      <c r="E5773">
        <v>16</v>
      </c>
    </row>
    <row r="5774" spans="1:5" x14ac:dyDescent="0.25">
      <c r="A5774">
        <v>5773</v>
      </c>
      <c r="B5774">
        <v>5729178</v>
      </c>
      <c r="C5774" s="1" t="str">
        <f>HYPERLINK("http://stackoverflow.com/users/5729178", "Xing")</f>
        <v>Xing</v>
      </c>
      <c r="D5774" t="s">
        <v>22</v>
      </c>
      <c r="E5774">
        <v>16</v>
      </c>
    </row>
    <row r="5775" spans="1:5" x14ac:dyDescent="0.25">
      <c r="A5775">
        <v>5774</v>
      </c>
      <c r="B5775">
        <v>2138564</v>
      </c>
      <c r="C5775" s="1" t="str">
        <f>HYPERLINK("http://stackoverflow.com/users/2138564", "Lida Zhu")</f>
        <v>Lida Zhu</v>
      </c>
      <c r="D5775" t="s">
        <v>5</v>
      </c>
      <c r="E5775">
        <v>16</v>
      </c>
    </row>
    <row r="5776" spans="1:5" x14ac:dyDescent="0.25">
      <c r="A5776">
        <v>5775</v>
      </c>
      <c r="B5776">
        <v>5699854</v>
      </c>
      <c r="C5776" s="1" t="str">
        <f>HYPERLINK("http://stackoverflow.com/users/5699854", "iQiQi")</f>
        <v>iQiQi</v>
      </c>
      <c r="D5776" t="s">
        <v>8</v>
      </c>
      <c r="E5776">
        <v>16</v>
      </c>
    </row>
    <row r="5777" spans="1:5" x14ac:dyDescent="0.25">
      <c r="A5777">
        <v>5776</v>
      </c>
      <c r="B5777">
        <v>887042</v>
      </c>
      <c r="C5777" s="1" t="str">
        <f>HYPERLINK("http://stackoverflow.com/users/887042", "Zizon")</f>
        <v>Zizon</v>
      </c>
      <c r="D5777" t="s">
        <v>17</v>
      </c>
      <c r="E5777">
        <v>16</v>
      </c>
    </row>
    <row r="5778" spans="1:5" x14ac:dyDescent="0.25">
      <c r="A5778">
        <v>5777</v>
      </c>
      <c r="B5778">
        <v>10158398</v>
      </c>
      <c r="C5778" s="1" t="str">
        <f>HYPERLINK("http://stackoverflow.com/users/10158398", "ChuckZHB")</f>
        <v>ChuckZHB</v>
      </c>
      <c r="D5778" t="s">
        <v>35</v>
      </c>
      <c r="E5778">
        <v>16</v>
      </c>
    </row>
    <row r="5779" spans="1:5" x14ac:dyDescent="0.25">
      <c r="A5779">
        <v>5778</v>
      </c>
      <c r="B5779">
        <v>4807401</v>
      </c>
      <c r="C5779" s="1" t="str">
        <f>HYPERLINK("http://stackoverflow.com/users/4807401", "baixiangcpp")</f>
        <v>baixiangcpp</v>
      </c>
      <c r="D5779" t="s">
        <v>17</v>
      </c>
      <c r="E5779">
        <v>16</v>
      </c>
    </row>
    <row r="5780" spans="1:5" x14ac:dyDescent="0.25">
      <c r="A5780">
        <v>5779</v>
      </c>
      <c r="B5780">
        <v>2963794</v>
      </c>
      <c r="C5780" s="1" t="str">
        <f>HYPERLINK("http://stackoverflow.com/users/2963794", "jm7")</f>
        <v>jm7</v>
      </c>
      <c r="D5780" t="s">
        <v>17</v>
      </c>
      <c r="E5780">
        <v>16</v>
      </c>
    </row>
    <row r="5781" spans="1:5" x14ac:dyDescent="0.25">
      <c r="A5781">
        <v>5780</v>
      </c>
      <c r="B5781">
        <v>831034</v>
      </c>
      <c r="C5781" s="1" t="str">
        <f>HYPERLINK("http://stackoverflow.com/users/831034", "gadmyth")</f>
        <v>gadmyth</v>
      </c>
      <c r="D5781" t="s">
        <v>4</v>
      </c>
      <c r="E5781">
        <v>16</v>
      </c>
    </row>
    <row r="5782" spans="1:5" x14ac:dyDescent="0.25">
      <c r="A5782">
        <v>5781</v>
      </c>
      <c r="B5782">
        <v>4710508</v>
      </c>
      <c r="C5782" s="1" t="str">
        <f>HYPERLINK("http://stackoverflow.com/users/4710508", "little_tao_")</f>
        <v>little_tao_</v>
      </c>
      <c r="D5782" t="s">
        <v>5</v>
      </c>
      <c r="E5782">
        <v>16</v>
      </c>
    </row>
    <row r="5783" spans="1:5" x14ac:dyDescent="0.25">
      <c r="A5783">
        <v>5782</v>
      </c>
      <c r="B5783">
        <v>4721419</v>
      </c>
      <c r="C5783" s="1" t="str">
        <f>HYPERLINK("http://stackoverflow.com/users/4721419", "Yoga")</f>
        <v>Yoga</v>
      </c>
      <c r="D5783" t="s">
        <v>4</v>
      </c>
      <c r="E5783">
        <v>16</v>
      </c>
    </row>
    <row r="5784" spans="1:5" x14ac:dyDescent="0.25">
      <c r="A5784">
        <v>5783</v>
      </c>
      <c r="B5784">
        <v>809535</v>
      </c>
      <c r="C5784" s="1" t="str">
        <f>HYPERLINK("http://stackoverflow.com/users/809535", "user809535")</f>
        <v>user809535</v>
      </c>
      <c r="D5784" t="s">
        <v>4</v>
      </c>
      <c r="E5784">
        <v>16</v>
      </c>
    </row>
    <row r="5785" spans="1:5" x14ac:dyDescent="0.25">
      <c r="A5785">
        <v>5784</v>
      </c>
      <c r="B5785">
        <v>8114753</v>
      </c>
      <c r="C5785" s="1" t="str">
        <f>HYPERLINK("http://stackoverflow.com/users/8114753", "John.Chow")</f>
        <v>John.Chow</v>
      </c>
      <c r="D5785" t="s">
        <v>47</v>
      </c>
      <c r="E5785">
        <v>16</v>
      </c>
    </row>
    <row r="5786" spans="1:5" x14ac:dyDescent="0.25">
      <c r="A5786">
        <v>5785</v>
      </c>
      <c r="B5786">
        <v>4567930</v>
      </c>
      <c r="C5786" s="1" t="str">
        <f>HYPERLINK("http://stackoverflow.com/users/4567930", "Senjou Zhu")</f>
        <v>Senjou Zhu</v>
      </c>
      <c r="D5786" t="s">
        <v>4</v>
      </c>
      <c r="E5786">
        <v>16</v>
      </c>
    </row>
    <row r="5787" spans="1:5" x14ac:dyDescent="0.25">
      <c r="A5787">
        <v>5786</v>
      </c>
      <c r="B5787">
        <v>2743764</v>
      </c>
      <c r="C5787" s="1" t="str">
        <f>HYPERLINK("http://stackoverflow.com/users/2743764", "lostplesed")</f>
        <v>lostplesed</v>
      </c>
      <c r="D5787" t="s">
        <v>4</v>
      </c>
      <c r="E5787">
        <v>16</v>
      </c>
    </row>
    <row r="5788" spans="1:5" x14ac:dyDescent="0.25">
      <c r="A5788">
        <v>5787</v>
      </c>
      <c r="B5788">
        <v>470938</v>
      </c>
      <c r="C5788" s="1" t="str">
        <f>HYPERLINK("http://stackoverflow.com/users/470938", "riagis")</f>
        <v>riagis</v>
      </c>
      <c r="D5788" t="s">
        <v>5</v>
      </c>
      <c r="E5788">
        <v>16</v>
      </c>
    </row>
    <row r="5789" spans="1:5" x14ac:dyDescent="0.25">
      <c r="A5789">
        <v>5788</v>
      </c>
      <c r="B5789">
        <v>2700663</v>
      </c>
      <c r="C5789" s="1" t="str">
        <f>HYPERLINK("http://stackoverflow.com/users/2700663", "Leo Wu")</f>
        <v>Leo Wu</v>
      </c>
      <c r="D5789" t="s">
        <v>12</v>
      </c>
      <c r="E5789">
        <v>16</v>
      </c>
    </row>
    <row r="5790" spans="1:5" x14ac:dyDescent="0.25">
      <c r="A5790">
        <v>5789</v>
      </c>
      <c r="B5790">
        <v>430226</v>
      </c>
      <c r="C5790" s="1" t="str">
        <f>HYPERLINK("http://stackoverflow.com/users/430226", "SuoNayi")</f>
        <v>SuoNayi</v>
      </c>
      <c r="D5790" t="s">
        <v>5</v>
      </c>
      <c r="E5790">
        <v>16</v>
      </c>
    </row>
    <row r="5791" spans="1:5" x14ac:dyDescent="0.25">
      <c r="A5791">
        <v>5790</v>
      </c>
      <c r="B5791">
        <v>2681995</v>
      </c>
      <c r="C5791" s="1" t="str">
        <f>HYPERLINK("http://stackoverflow.com/users/2681995", "James Deng")</f>
        <v>James Deng</v>
      </c>
      <c r="D5791" t="s">
        <v>5</v>
      </c>
      <c r="E5791">
        <v>16</v>
      </c>
    </row>
    <row r="5792" spans="1:5" x14ac:dyDescent="0.25">
      <c r="A5792">
        <v>5791</v>
      </c>
      <c r="B5792">
        <v>8000776</v>
      </c>
      <c r="C5792" s="1" t="str">
        <f>HYPERLINK("http://stackoverflow.com/users/8000776", "Wenzhi Zou")</f>
        <v>Wenzhi Zou</v>
      </c>
      <c r="D5792" t="s">
        <v>4</v>
      </c>
      <c r="E5792">
        <v>16</v>
      </c>
    </row>
    <row r="5793" spans="1:5" x14ac:dyDescent="0.25">
      <c r="A5793">
        <v>5792</v>
      </c>
      <c r="B5793">
        <v>9786914</v>
      </c>
      <c r="C5793" s="1" t="str">
        <f>HYPERLINK("http://stackoverflow.com/users/9786914", "Kevin")</f>
        <v>Kevin</v>
      </c>
      <c r="D5793" t="s">
        <v>5</v>
      </c>
      <c r="E5793">
        <v>16</v>
      </c>
    </row>
    <row r="5794" spans="1:5" x14ac:dyDescent="0.25">
      <c r="A5794">
        <v>5793</v>
      </c>
      <c r="B5794">
        <v>6207959</v>
      </c>
      <c r="C5794" s="1" t="str">
        <f>HYPERLINK("http://stackoverflow.com/users/6207959", "caiyufei")</f>
        <v>caiyufei</v>
      </c>
      <c r="D5794" t="s">
        <v>339</v>
      </c>
      <c r="E5794">
        <v>16</v>
      </c>
    </row>
    <row r="5795" spans="1:5" x14ac:dyDescent="0.25">
      <c r="A5795">
        <v>5794</v>
      </c>
      <c r="B5795">
        <v>2610027</v>
      </c>
      <c r="C5795" s="1" t="str">
        <f>HYPERLINK("http://stackoverflow.com/users/2610027", "Billarch")</f>
        <v>Billarch</v>
      </c>
      <c r="D5795" t="s">
        <v>22</v>
      </c>
      <c r="E5795">
        <v>16</v>
      </c>
    </row>
    <row r="5796" spans="1:5" x14ac:dyDescent="0.25">
      <c r="A5796">
        <v>5795</v>
      </c>
      <c r="B5796">
        <v>4447693</v>
      </c>
      <c r="C5796" s="1" t="str">
        <f>HYPERLINK("http://stackoverflow.com/users/4447693", "Wode Liu")</f>
        <v>Wode Liu</v>
      </c>
      <c r="D5796" t="s">
        <v>5</v>
      </c>
      <c r="E5796">
        <v>16</v>
      </c>
    </row>
    <row r="5797" spans="1:5" x14ac:dyDescent="0.25">
      <c r="A5797">
        <v>5796</v>
      </c>
      <c r="B5797">
        <v>4318527</v>
      </c>
      <c r="C5797" s="1" t="str">
        <f>HYPERLINK("http://stackoverflow.com/users/4318527", "zfengqi")</f>
        <v>zfengqi</v>
      </c>
      <c r="D5797" t="s">
        <v>5</v>
      </c>
      <c r="E5797">
        <v>16</v>
      </c>
    </row>
    <row r="5798" spans="1:5" x14ac:dyDescent="0.25">
      <c r="A5798">
        <v>5797</v>
      </c>
      <c r="B5798">
        <v>2541282</v>
      </c>
      <c r="C5798" s="1" t="str">
        <f>HYPERLINK("http://stackoverflow.com/users/2541282", "Marine Lu")</f>
        <v>Marine Lu</v>
      </c>
      <c r="D5798" t="s">
        <v>4</v>
      </c>
      <c r="E5798">
        <v>16</v>
      </c>
    </row>
    <row r="5799" spans="1:5" x14ac:dyDescent="0.25">
      <c r="A5799">
        <v>5798</v>
      </c>
      <c r="B5799">
        <v>6102051</v>
      </c>
      <c r="C5799" s="1" t="str">
        <f>HYPERLINK("http://stackoverflow.com/users/6102051", "Alan M. Wang")</f>
        <v>Alan M. Wang</v>
      </c>
      <c r="D5799" t="s">
        <v>118</v>
      </c>
      <c r="E5799">
        <v>16</v>
      </c>
    </row>
    <row r="5800" spans="1:5" x14ac:dyDescent="0.25">
      <c r="A5800">
        <v>5799</v>
      </c>
      <c r="B5800">
        <v>1238254</v>
      </c>
      <c r="C5800" s="1" t="str">
        <f>HYPERLINK("http://stackoverflow.com/users/1238254", "hellolibo")</f>
        <v>hellolibo</v>
      </c>
      <c r="D5800" t="s">
        <v>185</v>
      </c>
      <c r="E5800">
        <v>16</v>
      </c>
    </row>
    <row r="5801" spans="1:5" x14ac:dyDescent="0.25">
      <c r="A5801">
        <v>5800</v>
      </c>
      <c r="B5801">
        <v>1237123</v>
      </c>
      <c r="C5801" s="1" t="str">
        <f>HYPERLINK("http://stackoverflow.com/users/1237123", "Richard Zxy")</f>
        <v>Richard Zxy</v>
      </c>
      <c r="D5801" t="s">
        <v>4</v>
      </c>
      <c r="E5801">
        <v>16</v>
      </c>
    </row>
    <row r="5802" spans="1:5" x14ac:dyDescent="0.25">
      <c r="A5802">
        <v>5801</v>
      </c>
      <c r="B5802">
        <v>1352642</v>
      </c>
      <c r="C5802" s="1" t="str">
        <f>HYPERLINK("http://stackoverflow.com/users/1352642", "sunway")</f>
        <v>sunway</v>
      </c>
      <c r="D5802" t="s">
        <v>37</v>
      </c>
      <c r="E5802">
        <v>16</v>
      </c>
    </row>
    <row r="5803" spans="1:5" x14ac:dyDescent="0.25">
      <c r="A5803">
        <v>5802</v>
      </c>
      <c r="B5803">
        <v>1153275</v>
      </c>
      <c r="C5803" s="1" t="str">
        <f>HYPERLINK("http://stackoverflow.com/users/1153275", "lyanbo")</f>
        <v>lyanbo</v>
      </c>
      <c r="D5803" t="s">
        <v>4</v>
      </c>
      <c r="E5803">
        <v>16</v>
      </c>
    </row>
    <row r="5804" spans="1:5" x14ac:dyDescent="0.25">
      <c r="A5804">
        <v>5803</v>
      </c>
      <c r="B5804">
        <v>3110130</v>
      </c>
      <c r="C5804" s="1" t="str">
        <f>HYPERLINK("http://stackoverflow.com/users/3110130", "Sineng")</f>
        <v>Sineng</v>
      </c>
      <c r="D5804" t="s">
        <v>21</v>
      </c>
      <c r="E5804">
        <v>16</v>
      </c>
    </row>
    <row r="5805" spans="1:5" x14ac:dyDescent="0.25">
      <c r="A5805">
        <v>5804</v>
      </c>
      <c r="B5805">
        <v>10264002</v>
      </c>
      <c r="C5805" s="1" t="str">
        <f>HYPERLINK("http://stackoverflow.com/users/10264002", "Luke")</f>
        <v>Luke</v>
      </c>
      <c r="D5805" t="s">
        <v>5</v>
      </c>
      <c r="E5805">
        <v>16</v>
      </c>
    </row>
    <row r="5806" spans="1:5" x14ac:dyDescent="0.25">
      <c r="A5806">
        <v>5805</v>
      </c>
      <c r="B5806">
        <v>5091768</v>
      </c>
      <c r="C5806" s="1" t="str">
        <f>HYPERLINK("http://stackoverflow.com/users/5091768", "Guanying.WU")</f>
        <v>Guanying.WU</v>
      </c>
      <c r="D5806" t="s">
        <v>59</v>
      </c>
      <c r="E5806">
        <v>16</v>
      </c>
    </row>
    <row r="5807" spans="1:5" x14ac:dyDescent="0.25">
      <c r="A5807">
        <v>5806</v>
      </c>
      <c r="B5807">
        <v>1353127</v>
      </c>
      <c r="C5807" s="1" t="str">
        <f>HYPERLINK("http://stackoverflow.com/users/1353127", "Cedric Zhuang")</f>
        <v>Cedric Zhuang</v>
      </c>
      <c r="D5807" t="s">
        <v>4</v>
      </c>
      <c r="E5807">
        <v>16</v>
      </c>
    </row>
    <row r="5808" spans="1:5" x14ac:dyDescent="0.25">
      <c r="A5808">
        <v>5807</v>
      </c>
      <c r="B5808">
        <v>5103403</v>
      </c>
      <c r="C5808" s="1" t="str">
        <f>HYPERLINK("http://stackoverflow.com/users/5103403", "Nicholas")</f>
        <v>Nicholas</v>
      </c>
      <c r="D5808" t="s">
        <v>5</v>
      </c>
      <c r="E5808">
        <v>16</v>
      </c>
    </row>
    <row r="5809" spans="1:5" x14ac:dyDescent="0.25">
      <c r="A5809">
        <v>5808</v>
      </c>
      <c r="B5809">
        <v>10683411</v>
      </c>
      <c r="C5809" s="1" t="str">
        <f>HYPERLINK("http://stackoverflow.com/users/10683411", "Xiaoling.Fu")</f>
        <v>Xiaoling.Fu</v>
      </c>
      <c r="D5809" t="s">
        <v>16</v>
      </c>
      <c r="E5809">
        <v>16</v>
      </c>
    </row>
    <row r="5810" spans="1:5" x14ac:dyDescent="0.25">
      <c r="A5810">
        <v>5809</v>
      </c>
      <c r="B5810">
        <v>3541855</v>
      </c>
      <c r="C5810" s="1" t="str">
        <f>HYPERLINK("http://stackoverflow.com/users/3541855", "micmiu")</f>
        <v>micmiu</v>
      </c>
      <c r="D5810" t="s">
        <v>4</v>
      </c>
      <c r="E5810">
        <v>16</v>
      </c>
    </row>
    <row r="5811" spans="1:5" x14ac:dyDescent="0.25">
      <c r="A5811">
        <v>5810</v>
      </c>
      <c r="B5811">
        <v>3533902</v>
      </c>
      <c r="C5811" s="1" t="str">
        <f>HYPERLINK("http://stackoverflow.com/users/3533902", "Roy Huang")</f>
        <v>Roy Huang</v>
      </c>
      <c r="D5811" t="s">
        <v>4</v>
      </c>
      <c r="E5811">
        <v>15</v>
      </c>
    </row>
    <row r="5812" spans="1:5" x14ac:dyDescent="0.25">
      <c r="A5812">
        <v>5811</v>
      </c>
      <c r="B5812">
        <v>1363071</v>
      </c>
      <c r="C5812" s="1" t="str">
        <f>HYPERLINK("http://stackoverflow.com/users/1363071", "Vision Ding")</f>
        <v>Vision Ding</v>
      </c>
      <c r="D5812" t="s">
        <v>21</v>
      </c>
      <c r="E5812">
        <v>15</v>
      </c>
    </row>
    <row r="5813" spans="1:5" x14ac:dyDescent="0.25">
      <c r="A5813">
        <v>5812</v>
      </c>
      <c r="B5813">
        <v>5156545</v>
      </c>
      <c r="C5813" s="1" t="str">
        <f>HYPERLINK("http://stackoverflow.com/users/5156545", "lucare")</f>
        <v>lucare</v>
      </c>
      <c r="D5813" t="s">
        <v>7</v>
      </c>
      <c r="E5813">
        <v>15</v>
      </c>
    </row>
    <row r="5814" spans="1:5" x14ac:dyDescent="0.25">
      <c r="A5814">
        <v>5813</v>
      </c>
      <c r="B5814">
        <v>954533</v>
      </c>
      <c r="C5814" s="1" t="str">
        <f>HYPERLINK("http://stackoverflow.com/users/954533", "Jamesprite")</f>
        <v>Jamesprite</v>
      </c>
      <c r="D5814" t="s">
        <v>63</v>
      </c>
      <c r="E5814">
        <v>15</v>
      </c>
    </row>
    <row r="5815" spans="1:5" x14ac:dyDescent="0.25">
      <c r="A5815">
        <v>5814</v>
      </c>
      <c r="B5815">
        <v>6680409</v>
      </c>
      <c r="C5815" s="1" t="str">
        <f>HYPERLINK("http://stackoverflow.com/users/6680409", "wu-sheng")</f>
        <v>wu-sheng</v>
      </c>
      <c r="D5815" t="s">
        <v>5</v>
      </c>
      <c r="E5815">
        <v>15</v>
      </c>
    </row>
    <row r="5816" spans="1:5" x14ac:dyDescent="0.25">
      <c r="A5816">
        <v>5815</v>
      </c>
      <c r="B5816">
        <v>2524554</v>
      </c>
      <c r="C5816" s="1" t="str">
        <f>HYPERLINK("http://stackoverflow.com/users/2524554", "Vizi")</f>
        <v>Vizi</v>
      </c>
      <c r="D5816" t="s">
        <v>16</v>
      </c>
      <c r="E5816">
        <v>15</v>
      </c>
    </row>
    <row r="5817" spans="1:5" x14ac:dyDescent="0.25">
      <c r="A5817">
        <v>5816</v>
      </c>
      <c r="B5817">
        <v>7819251</v>
      </c>
      <c r="C5817" s="1" t="str">
        <f>HYPERLINK("http://stackoverflow.com/users/7819251", "Dongxu Zhang")</f>
        <v>Dongxu Zhang</v>
      </c>
      <c r="D5817" t="s">
        <v>5</v>
      </c>
      <c r="E5817">
        <v>15</v>
      </c>
    </row>
    <row r="5818" spans="1:5" x14ac:dyDescent="0.25">
      <c r="A5818">
        <v>5817</v>
      </c>
      <c r="B5818">
        <v>271838</v>
      </c>
      <c r="C5818" s="1" t="str">
        <f>HYPERLINK("http://stackoverflow.com/users/271838", "tree1891")</f>
        <v>tree1891</v>
      </c>
      <c r="D5818" t="s">
        <v>340</v>
      </c>
      <c r="E5818">
        <v>15</v>
      </c>
    </row>
    <row r="5819" spans="1:5" x14ac:dyDescent="0.25">
      <c r="A5819">
        <v>5818</v>
      </c>
      <c r="B5819">
        <v>9427555</v>
      </c>
      <c r="C5819" s="1" t="str">
        <f>HYPERLINK("http://stackoverflow.com/users/9427555", "kuailehaibin")</f>
        <v>kuailehaibin</v>
      </c>
      <c r="D5819" t="s">
        <v>5</v>
      </c>
      <c r="E5819">
        <v>15</v>
      </c>
    </row>
    <row r="5820" spans="1:5" x14ac:dyDescent="0.25">
      <c r="A5820">
        <v>5819</v>
      </c>
      <c r="B5820">
        <v>7514727</v>
      </c>
      <c r="C5820" s="1" t="str">
        <f>HYPERLINK("http://stackoverflow.com/users/7514727", "dehua")</f>
        <v>dehua</v>
      </c>
      <c r="D5820" t="s">
        <v>16</v>
      </c>
      <c r="E5820">
        <v>15</v>
      </c>
    </row>
    <row r="5821" spans="1:5" x14ac:dyDescent="0.25">
      <c r="A5821">
        <v>5820</v>
      </c>
      <c r="B5821">
        <v>6029652</v>
      </c>
      <c r="C5821" s="1" t="str">
        <f>HYPERLINK("http://stackoverflow.com/users/6029652", "Alan")</f>
        <v>Alan</v>
      </c>
      <c r="D5821" t="s">
        <v>16</v>
      </c>
      <c r="E5821">
        <v>15</v>
      </c>
    </row>
    <row r="5822" spans="1:5" x14ac:dyDescent="0.25">
      <c r="A5822">
        <v>5821</v>
      </c>
      <c r="B5822">
        <v>2293607</v>
      </c>
      <c r="C5822" s="1" t="str">
        <f>HYPERLINK("http://stackoverflow.com/users/2293607", "Davim")</f>
        <v>Davim</v>
      </c>
      <c r="D5822" t="s">
        <v>4</v>
      </c>
      <c r="E5822">
        <v>15</v>
      </c>
    </row>
    <row r="5823" spans="1:5" x14ac:dyDescent="0.25">
      <c r="A5823">
        <v>5822</v>
      </c>
      <c r="B5823">
        <v>2099071</v>
      </c>
      <c r="C5823" s="1" t="str">
        <f>HYPERLINK("http://stackoverflow.com/users/2099071", "kdlan")</f>
        <v>kdlan</v>
      </c>
      <c r="D5823" t="s">
        <v>4</v>
      </c>
      <c r="E5823">
        <v>15</v>
      </c>
    </row>
    <row r="5824" spans="1:5" x14ac:dyDescent="0.25">
      <c r="A5824">
        <v>5823</v>
      </c>
      <c r="B5824">
        <v>1747050</v>
      </c>
      <c r="C5824" s="1" t="str">
        <f>HYPERLINK("http://stackoverflow.com/users/1747050", "Darsky")</f>
        <v>Darsky</v>
      </c>
      <c r="D5824" t="s">
        <v>22</v>
      </c>
      <c r="E5824">
        <v>15</v>
      </c>
    </row>
    <row r="5825" spans="1:5" x14ac:dyDescent="0.25">
      <c r="A5825">
        <v>5824</v>
      </c>
      <c r="B5825">
        <v>9045027</v>
      </c>
      <c r="C5825" s="1" t="str">
        <f>HYPERLINK("http://stackoverflow.com/users/9045027", "shenxiaoya")</f>
        <v>shenxiaoya</v>
      </c>
      <c r="D5825" t="s">
        <v>4</v>
      </c>
      <c r="E5825">
        <v>15</v>
      </c>
    </row>
    <row r="5826" spans="1:5" x14ac:dyDescent="0.25">
      <c r="A5826">
        <v>5825</v>
      </c>
      <c r="B5826">
        <v>472042</v>
      </c>
      <c r="C5826" s="1" t="str">
        <f>HYPERLINK("http://stackoverflow.com/users/472042", "cztchoice")</f>
        <v>cztchoice</v>
      </c>
      <c r="D5826" t="s">
        <v>31</v>
      </c>
      <c r="E5826">
        <v>15</v>
      </c>
    </row>
    <row r="5827" spans="1:5" x14ac:dyDescent="0.25">
      <c r="A5827">
        <v>5826</v>
      </c>
      <c r="B5827">
        <v>1262201</v>
      </c>
      <c r="C5827" s="1" t="str">
        <f>HYPERLINK("http://stackoverflow.com/users/1262201", "HaulCozen")</f>
        <v>HaulCozen</v>
      </c>
      <c r="D5827" t="s">
        <v>4</v>
      </c>
      <c r="E5827">
        <v>15</v>
      </c>
    </row>
    <row r="5828" spans="1:5" x14ac:dyDescent="0.25">
      <c r="A5828">
        <v>5827</v>
      </c>
      <c r="B5828">
        <v>1112025</v>
      </c>
      <c r="C5828" s="1" t="str">
        <f>HYPERLINK("http://stackoverflow.com/users/1112025", "Scorpio")</f>
        <v>Scorpio</v>
      </c>
      <c r="D5828" t="s">
        <v>12</v>
      </c>
      <c r="E5828">
        <v>15</v>
      </c>
    </row>
    <row r="5829" spans="1:5" x14ac:dyDescent="0.25">
      <c r="A5829">
        <v>5828</v>
      </c>
      <c r="B5829">
        <v>8370527</v>
      </c>
      <c r="C5829" s="1" t="str">
        <f>HYPERLINK("http://stackoverflow.com/users/8370527", "Minghang Yang")</f>
        <v>Minghang Yang</v>
      </c>
      <c r="D5829" t="s">
        <v>28</v>
      </c>
      <c r="E5829">
        <v>15</v>
      </c>
    </row>
    <row r="5830" spans="1:5" x14ac:dyDescent="0.25">
      <c r="A5830">
        <v>5829</v>
      </c>
      <c r="B5830">
        <v>5509227</v>
      </c>
      <c r="C5830" s="1" t="str">
        <f>HYPERLINK("http://stackoverflow.com/users/5509227", "mumubin")</f>
        <v>mumubin</v>
      </c>
      <c r="D5830" t="s">
        <v>12</v>
      </c>
      <c r="E5830">
        <v>15</v>
      </c>
    </row>
    <row r="5831" spans="1:5" x14ac:dyDescent="0.25">
      <c r="A5831">
        <v>5830</v>
      </c>
      <c r="B5831">
        <v>7357064</v>
      </c>
      <c r="C5831" s="1" t="str">
        <f>HYPERLINK("http://stackoverflow.com/users/7357064", "Frank")</f>
        <v>Frank</v>
      </c>
      <c r="D5831" t="s">
        <v>4</v>
      </c>
      <c r="E5831">
        <v>15</v>
      </c>
    </row>
    <row r="5832" spans="1:5" x14ac:dyDescent="0.25">
      <c r="A5832">
        <v>5831</v>
      </c>
      <c r="B5832">
        <v>913073</v>
      </c>
      <c r="C5832" s="1" t="str">
        <f>HYPERLINK("http://stackoverflow.com/users/913073", "oseifrimpong")</f>
        <v>oseifrimpong</v>
      </c>
      <c r="D5832" t="s">
        <v>21</v>
      </c>
      <c r="E5832">
        <v>15</v>
      </c>
    </row>
    <row r="5833" spans="1:5" x14ac:dyDescent="0.25">
      <c r="A5833">
        <v>5832</v>
      </c>
      <c r="B5833">
        <v>723560</v>
      </c>
      <c r="C5833" s="1" t="str">
        <f>HYPERLINK("http://stackoverflow.com/users/723560", "zhangsir199")</f>
        <v>zhangsir199</v>
      </c>
      <c r="D5833" t="s">
        <v>91</v>
      </c>
      <c r="E5833">
        <v>15</v>
      </c>
    </row>
    <row r="5834" spans="1:5" x14ac:dyDescent="0.25">
      <c r="A5834">
        <v>5833</v>
      </c>
      <c r="B5834">
        <v>3579768</v>
      </c>
      <c r="C5834" s="1" t="str">
        <f>HYPERLINK("http://stackoverflow.com/users/3579768", "HarriesChen")</f>
        <v>HarriesChen</v>
      </c>
      <c r="D5834" t="s">
        <v>4</v>
      </c>
      <c r="E5834">
        <v>15</v>
      </c>
    </row>
    <row r="5835" spans="1:5" x14ac:dyDescent="0.25">
      <c r="A5835">
        <v>5834</v>
      </c>
      <c r="B5835">
        <v>8682630</v>
      </c>
      <c r="C5835" s="1" t="str">
        <f>HYPERLINK("http://stackoverflow.com/users/8682630", "AXIHIXA")</f>
        <v>AXIHIXA</v>
      </c>
      <c r="D5835" t="s">
        <v>5</v>
      </c>
      <c r="E5835">
        <v>15</v>
      </c>
    </row>
    <row r="5836" spans="1:5" x14ac:dyDescent="0.25">
      <c r="A5836">
        <v>5835</v>
      </c>
      <c r="B5836">
        <v>5048058</v>
      </c>
      <c r="C5836" s="1" t="str">
        <f>HYPERLINK("http://stackoverflow.com/users/5048058", "Eric Zhang")</f>
        <v>Eric Zhang</v>
      </c>
      <c r="D5836" t="s">
        <v>5</v>
      </c>
      <c r="E5836">
        <v>15</v>
      </c>
    </row>
    <row r="5837" spans="1:5" x14ac:dyDescent="0.25">
      <c r="A5837">
        <v>5836</v>
      </c>
      <c r="B5837">
        <v>1857269</v>
      </c>
      <c r="C5837" s="1" t="str">
        <f>HYPERLINK("http://stackoverflow.com/users/1857269", "zyfyy")</f>
        <v>zyfyy</v>
      </c>
      <c r="D5837" t="s">
        <v>5</v>
      </c>
      <c r="E5837">
        <v>15</v>
      </c>
    </row>
    <row r="5838" spans="1:5" x14ac:dyDescent="0.25">
      <c r="A5838">
        <v>5837</v>
      </c>
      <c r="B5838">
        <v>5468030</v>
      </c>
      <c r="C5838" s="1" t="str">
        <f>HYPERLINK("http://stackoverflow.com/users/5468030", "GssFlyaway")</f>
        <v>GssFlyaway</v>
      </c>
      <c r="D5838" t="s">
        <v>341</v>
      </c>
      <c r="E5838">
        <v>15</v>
      </c>
    </row>
    <row r="5839" spans="1:5" x14ac:dyDescent="0.25">
      <c r="A5839">
        <v>5838</v>
      </c>
      <c r="B5839">
        <v>7682880</v>
      </c>
      <c r="C5839" s="1" t="str">
        <f>HYPERLINK("http://stackoverflow.com/users/7682880", "focus zheng")</f>
        <v>focus zheng</v>
      </c>
      <c r="D5839" t="s">
        <v>7</v>
      </c>
      <c r="E5839">
        <v>15</v>
      </c>
    </row>
    <row r="5840" spans="1:5" x14ac:dyDescent="0.25">
      <c r="A5840">
        <v>5839</v>
      </c>
      <c r="B5840">
        <v>6024923</v>
      </c>
      <c r="C5840" s="1" t="str">
        <f>HYPERLINK("http://stackoverflow.com/users/6024923", "J. Smith")</f>
        <v>J. Smith</v>
      </c>
      <c r="D5840" t="s">
        <v>29</v>
      </c>
      <c r="E5840">
        <v>15</v>
      </c>
    </row>
    <row r="5841" spans="1:5" x14ac:dyDescent="0.25">
      <c r="A5841">
        <v>5840</v>
      </c>
      <c r="B5841">
        <v>3922068</v>
      </c>
      <c r="C5841" s="1" t="str">
        <f>HYPERLINK("http://stackoverflow.com/users/3922068", "xna")</f>
        <v>xna</v>
      </c>
      <c r="D5841" t="s">
        <v>5</v>
      </c>
      <c r="E5841">
        <v>15</v>
      </c>
    </row>
    <row r="5842" spans="1:5" x14ac:dyDescent="0.25">
      <c r="A5842">
        <v>5841</v>
      </c>
      <c r="B5842">
        <v>1079753</v>
      </c>
      <c r="C5842" s="1" t="str">
        <f>HYPERLINK("http://stackoverflow.com/users/1079753", "cofol1986")</f>
        <v>cofol1986</v>
      </c>
      <c r="D5842" t="s">
        <v>4</v>
      </c>
      <c r="E5842">
        <v>15</v>
      </c>
    </row>
    <row r="5843" spans="1:5" x14ac:dyDescent="0.25">
      <c r="A5843">
        <v>5842</v>
      </c>
      <c r="B5843">
        <v>8879559</v>
      </c>
      <c r="C5843" s="1" t="str">
        <f>HYPERLINK("http://stackoverflow.com/users/8879559", "Strange Xue")</f>
        <v>Strange Xue</v>
      </c>
      <c r="D5843" t="s">
        <v>4</v>
      </c>
      <c r="E5843">
        <v>15</v>
      </c>
    </row>
    <row r="5844" spans="1:5" x14ac:dyDescent="0.25">
      <c r="A5844">
        <v>5843</v>
      </c>
      <c r="B5844">
        <v>1566453</v>
      </c>
      <c r="C5844" s="1" t="str">
        <f>HYPERLINK("http://stackoverflow.com/users/1566453", "ShadowStar")</f>
        <v>ShadowStar</v>
      </c>
      <c r="D5844" t="s">
        <v>5</v>
      </c>
      <c r="E5844">
        <v>15</v>
      </c>
    </row>
    <row r="5845" spans="1:5" x14ac:dyDescent="0.25">
      <c r="A5845">
        <v>5844</v>
      </c>
      <c r="B5845">
        <v>5019694</v>
      </c>
      <c r="C5845" s="1" t="str">
        <f>HYPERLINK("http://stackoverflow.com/users/5019694", "Jayn")</f>
        <v>Jayn</v>
      </c>
      <c r="D5845" t="s">
        <v>4</v>
      </c>
      <c r="E5845">
        <v>15</v>
      </c>
    </row>
    <row r="5846" spans="1:5" x14ac:dyDescent="0.25">
      <c r="A5846">
        <v>5845</v>
      </c>
      <c r="B5846">
        <v>1330565</v>
      </c>
      <c r="C5846" s="1" t="str">
        <f>HYPERLINK("http://stackoverflow.com/users/1330565", "Eellitterruht Jeenyes")</f>
        <v>Eellitterruht Jeenyes</v>
      </c>
      <c r="D5846" t="s">
        <v>5</v>
      </c>
      <c r="E5846">
        <v>15</v>
      </c>
    </row>
    <row r="5847" spans="1:5" x14ac:dyDescent="0.25">
      <c r="A5847">
        <v>5846</v>
      </c>
      <c r="B5847">
        <v>1396004</v>
      </c>
      <c r="C5847" s="1" t="str">
        <f>HYPERLINK("http://stackoverflow.com/users/1396004", "Felix Chang")</f>
        <v>Felix Chang</v>
      </c>
      <c r="D5847" t="s">
        <v>5</v>
      </c>
      <c r="E5847">
        <v>15</v>
      </c>
    </row>
    <row r="5848" spans="1:5" x14ac:dyDescent="0.25">
      <c r="A5848">
        <v>5847</v>
      </c>
      <c r="B5848">
        <v>4176653</v>
      </c>
      <c r="C5848" s="1" t="str">
        <f>HYPERLINK("http://stackoverflow.com/users/4176653", "Frye Lee")</f>
        <v>Frye Lee</v>
      </c>
      <c r="D5848" t="s">
        <v>5</v>
      </c>
      <c r="E5848">
        <v>15</v>
      </c>
    </row>
    <row r="5849" spans="1:5" x14ac:dyDescent="0.25">
      <c r="A5849">
        <v>5848</v>
      </c>
      <c r="B5849">
        <v>1726103</v>
      </c>
      <c r="C5849" s="1" t="str">
        <f>HYPERLINK("http://stackoverflow.com/users/1726103", "ruijun")</f>
        <v>ruijun</v>
      </c>
      <c r="D5849" t="s">
        <v>59</v>
      </c>
      <c r="E5849">
        <v>15</v>
      </c>
    </row>
    <row r="5850" spans="1:5" x14ac:dyDescent="0.25">
      <c r="A5850">
        <v>5849</v>
      </c>
      <c r="B5850">
        <v>671376</v>
      </c>
      <c r="C5850" s="1" t="str">
        <f>HYPERLINK("http://stackoverflow.com/users/671376", "zckevin")</f>
        <v>zckevin</v>
      </c>
      <c r="D5850" t="s">
        <v>37</v>
      </c>
      <c r="E5850">
        <v>15</v>
      </c>
    </row>
    <row r="5851" spans="1:5" x14ac:dyDescent="0.25">
      <c r="A5851">
        <v>5850</v>
      </c>
      <c r="B5851">
        <v>4992897</v>
      </c>
      <c r="C5851" s="1" t="str">
        <f>HYPERLINK("http://stackoverflow.com/users/4992897", "zhoukekestar")</f>
        <v>zhoukekestar</v>
      </c>
      <c r="D5851" t="s">
        <v>108</v>
      </c>
      <c r="E5851">
        <v>15</v>
      </c>
    </row>
    <row r="5852" spans="1:5" x14ac:dyDescent="0.25">
      <c r="A5852">
        <v>5851</v>
      </c>
      <c r="B5852">
        <v>6934078</v>
      </c>
      <c r="C5852" s="1" t="str">
        <f>HYPERLINK("http://stackoverflow.com/users/6934078", "littlefish")</f>
        <v>littlefish</v>
      </c>
      <c r="D5852" t="s">
        <v>47</v>
      </c>
      <c r="E5852">
        <v>15</v>
      </c>
    </row>
    <row r="5853" spans="1:5" x14ac:dyDescent="0.25">
      <c r="A5853">
        <v>5852</v>
      </c>
      <c r="B5853">
        <v>9013376</v>
      </c>
      <c r="C5853" s="1" t="str">
        <f>HYPERLINK("http://stackoverflow.com/users/9013376", "Quinlan Zhong")</f>
        <v>Quinlan Zhong</v>
      </c>
      <c r="D5853" t="s">
        <v>21</v>
      </c>
      <c r="E5853">
        <v>15</v>
      </c>
    </row>
    <row r="5854" spans="1:5" x14ac:dyDescent="0.25">
      <c r="A5854">
        <v>5853</v>
      </c>
      <c r="B5854">
        <v>2046553</v>
      </c>
      <c r="C5854" s="1" t="str">
        <f>HYPERLINK("http://stackoverflow.com/users/2046553", "Jack Li")</f>
        <v>Jack Li</v>
      </c>
      <c r="D5854" t="s">
        <v>57</v>
      </c>
      <c r="E5854">
        <v>14</v>
      </c>
    </row>
    <row r="5855" spans="1:5" x14ac:dyDescent="0.25">
      <c r="A5855">
        <v>5854</v>
      </c>
      <c r="B5855">
        <v>3319656</v>
      </c>
      <c r="C5855" s="1" t="str">
        <f>HYPERLINK("http://stackoverflow.com/users/3319656", "mel C")</f>
        <v>mel C</v>
      </c>
      <c r="D5855" t="s">
        <v>4</v>
      </c>
      <c r="E5855">
        <v>14</v>
      </c>
    </row>
    <row r="5856" spans="1:5" x14ac:dyDescent="0.25">
      <c r="A5856">
        <v>5855</v>
      </c>
      <c r="B5856">
        <v>1268410</v>
      </c>
      <c r="C5856" s="1" t="str">
        <f>HYPERLINK("http://stackoverflow.com/users/1268410", "BQiao")</f>
        <v>BQiao</v>
      </c>
      <c r="D5856" t="s">
        <v>4</v>
      </c>
      <c r="E5856">
        <v>14</v>
      </c>
    </row>
    <row r="5857" spans="1:5" x14ac:dyDescent="0.25">
      <c r="A5857">
        <v>5856</v>
      </c>
      <c r="B5857">
        <v>1784553</v>
      </c>
      <c r="C5857" s="1" t="str">
        <f>HYPERLINK("http://stackoverflow.com/users/1784553", "MJ000111")</f>
        <v>MJ000111</v>
      </c>
      <c r="D5857" t="s">
        <v>4</v>
      </c>
      <c r="E5857">
        <v>14</v>
      </c>
    </row>
    <row r="5858" spans="1:5" x14ac:dyDescent="0.25">
      <c r="A5858">
        <v>5857</v>
      </c>
      <c r="B5858">
        <v>7455746</v>
      </c>
      <c r="C5858" s="1" t="str">
        <f>HYPERLINK("http://stackoverflow.com/users/7455746", "phye")</f>
        <v>phye</v>
      </c>
      <c r="D5858" t="s">
        <v>4</v>
      </c>
      <c r="E5858">
        <v>14</v>
      </c>
    </row>
    <row r="5859" spans="1:5" x14ac:dyDescent="0.25">
      <c r="A5859">
        <v>5858</v>
      </c>
      <c r="B5859">
        <v>5660919</v>
      </c>
      <c r="C5859" s="1" t="str">
        <f>HYPERLINK("http://stackoverflow.com/users/5660919", "aczzdx")</f>
        <v>aczzdx</v>
      </c>
      <c r="D5859" t="s">
        <v>57</v>
      </c>
      <c r="E5859">
        <v>14</v>
      </c>
    </row>
    <row r="5860" spans="1:5" x14ac:dyDescent="0.25">
      <c r="A5860">
        <v>5859</v>
      </c>
      <c r="B5860">
        <v>2252289</v>
      </c>
      <c r="C5860" s="1" t="str">
        <f>HYPERLINK("http://stackoverflow.com/users/2252289", "JiangbeiLiu")</f>
        <v>JiangbeiLiu</v>
      </c>
      <c r="D5860" t="s">
        <v>5</v>
      </c>
      <c r="E5860">
        <v>14</v>
      </c>
    </row>
    <row r="5861" spans="1:5" x14ac:dyDescent="0.25">
      <c r="A5861">
        <v>5860</v>
      </c>
      <c r="B5861">
        <v>6785759</v>
      </c>
      <c r="C5861" s="1" t="str">
        <f>HYPERLINK("http://stackoverflow.com/users/6785759", "Andy")</f>
        <v>Andy</v>
      </c>
      <c r="D5861" t="s">
        <v>5</v>
      </c>
      <c r="E5861">
        <v>14</v>
      </c>
    </row>
    <row r="5862" spans="1:5" x14ac:dyDescent="0.25">
      <c r="A5862">
        <v>5861</v>
      </c>
      <c r="B5862">
        <v>7211909</v>
      </c>
      <c r="C5862" s="1" t="str">
        <f>HYPERLINK("http://stackoverflow.com/users/7211909", "Carlos Omeck")</f>
        <v>Carlos Omeck</v>
      </c>
      <c r="D5862" t="s">
        <v>240</v>
      </c>
      <c r="E5862">
        <v>14</v>
      </c>
    </row>
    <row r="5863" spans="1:5" x14ac:dyDescent="0.25">
      <c r="A5863">
        <v>5862</v>
      </c>
      <c r="B5863">
        <v>5192986</v>
      </c>
      <c r="C5863" s="1" t="str">
        <f>HYPERLINK("http://stackoverflow.com/users/5192986", "J.Jiao")</f>
        <v>J.Jiao</v>
      </c>
      <c r="D5863" t="s">
        <v>5</v>
      </c>
      <c r="E5863">
        <v>14</v>
      </c>
    </row>
    <row r="5864" spans="1:5" x14ac:dyDescent="0.25">
      <c r="A5864">
        <v>5863</v>
      </c>
      <c r="B5864">
        <v>1306438</v>
      </c>
      <c r="C5864" s="1" t="str">
        <f>HYPERLINK("http://stackoverflow.com/users/1306438", "KangKona")</f>
        <v>KangKona</v>
      </c>
      <c r="D5864" t="s">
        <v>17</v>
      </c>
      <c r="E5864">
        <v>14</v>
      </c>
    </row>
    <row r="5865" spans="1:5" x14ac:dyDescent="0.25">
      <c r="A5865">
        <v>5864</v>
      </c>
      <c r="B5865">
        <v>6463401</v>
      </c>
      <c r="C5865" s="1" t="str">
        <f>HYPERLINK("http://stackoverflow.com/users/6463401", "Julian Zhang")</f>
        <v>Julian Zhang</v>
      </c>
      <c r="D5865" t="s">
        <v>4</v>
      </c>
      <c r="E5865">
        <v>14</v>
      </c>
    </row>
    <row r="5866" spans="1:5" x14ac:dyDescent="0.25">
      <c r="A5866">
        <v>5865</v>
      </c>
      <c r="B5866">
        <v>10822612</v>
      </c>
      <c r="C5866" s="1" t="str">
        <f>HYPERLINK("http://stackoverflow.com/users/10822612", "Num233")</f>
        <v>Num233</v>
      </c>
      <c r="D5866" t="s">
        <v>29</v>
      </c>
      <c r="E5866">
        <v>14</v>
      </c>
    </row>
    <row r="5867" spans="1:5" x14ac:dyDescent="0.25">
      <c r="A5867">
        <v>5866</v>
      </c>
      <c r="B5867">
        <v>8373603</v>
      </c>
      <c r="C5867" s="1" t="str">
        <f>HYPERLINK("http://stackoverflow.com/users/8373603", "E. Ancuta")</f>
        <v>E. Ancuta</v>
      </c>
      <c r="D5867" t="s">
        <v>7</v>
      </c>
      <c r="E5867">
        <v>14</v>
      </c>
    </row>
    <row r="5868" spans="1:5" x14ac:dyDescent="0.25">
      <c r="A5868">
        <v>5867</v>
      </c>
      <c r="B5868">
        <v>8174600</v>
      </c>
      <c r="C5868" s="1" t="str">
        <f>HYPERLINK("http://stackoverflow.com/users/8174600", "mahesht")</f>
        <v>mahesht</v>
      </c>
      <c r="D5868" t="s">
        <v>25</v>
      </c>
      <c r="E5868">
        <v>14</v>
      </c>
    </row>
    <row r="5869" spans="1:5" x14ac:dyDescent="0.25">
      <c r="A5869">
        <v>5868</v>
      </c>
      <c r="B5869">
        <v>9941756</v>
      </c>
      <c r="C5869" s="1" t="str">
        <f>HYPERLINK("http://stackoverflow.com/users/9941756", "pan12jian")</f>
        <v>pan12jian</v>
      </c>
      <c r="D5869" t="s">
        <v>5</v>
      </c>
      <c r="E5869">
        <v>14</v>
      </c>
    </row>
    <row r="5870" spans="1:5" x14ac:dyDescent="0.25">
      <c r="A5870">
        <v>5869</v>
      </c>
      <c r="B5870">
        <v>1806632</v>
      </c>
      <c r="C5870" s="1" t="str">
        <f>HYPERLINK("http://stackoverflow.com/users/1806632", "Lei He")</f>
        <v>Lei He</v>
      </c>
      <c r="D5870" t="s">
        <v>22</v>
      </c>
      <c r="E5870">
        <v>14</v>
      </c>
    </row>
    <row r="5871" spans="1:5" x14ac:dyDescent="0.25">
      <c r="A5871">
        <v>5870</v>
      </c>
      <c r="B5871">
        <v>7538143</v>
      </c>
      <c r="C5871" s="1" t="str">
        <f>HYPERLINK("http://stackoverflow.com/users/7538143", "Lawes")</f>
        <v>Lawes</v>
      </c>
      <c r="D5871" t="s">
        <v>4</v>
      </c>
      <c r="E5871">
        <v>14</v>
      </c>
    </row>
    <row r="5872" spans="1:5" x14ac:dyDescent="0.25">
      <c r="A5872">
        <v>5871</v>
      </c>
      <c r="B5872">
        <v>9332980</v>
      </c>
      <c r="C5872" s="1" t="str">
        <f>HYPERLINK("http://stackoverflow.com/users/9332980", "Aphrodite")</f>
        <v>Aphrodite</v>
      </c>
      <c r="D5872" t="s">
        <v>5</v>
      </c>
      <c r="E5872">
        <v>14</v>
      </c>
    </row>
    <row r="5873" spans="1:5" x14ac:dyDescent="0.25">
      <c r="A5873">
        <v>5872</v>
      </c>
      <c r="B5873">
        <v>9394662</v>
      </c>
      <c r="C5873" s="1" t="str">
        <f>HYPERLINK("http://stackoverflow.com/users/9394662", "Kisen.Chin")</f>
        <v>Kisen.Chin</v>
      </c>
      <c r="D5873" t="s">
        <v>4</v>
      </c>
      <c r="E5873">
        <v>14</v>
      </c>
    </row>
    <row r="5874" spans="1:5" x14ac:dyDescent="0.25">
      <c r="A5874">
        <v>5873</v>
      </c>
      <c r="B5874">
        <v>4352488</v>
      </c>
      <c r="C5874" s="1" t="str">
        <f>HYPERLINK("http://stackoverflow.com/users/4352488", "loopscn")</f>
        <v>loopscn</v>
      </c>
      <c r="D5874" t="s">
        <v>3</v>
      </c>
      <c r="E5874">
        <v>14</v>
      </c>
    </row>
    <row r="5875" spans="1:5" x14ac:dyDescent="0.25">
      <c r="A5875">
        <v>5874</v>
      </c>
      <c r="B5875">
        <v>9928448</v>
      </c>
      <c r="C5875" s="1" t="str">
        <f>HYPERLINK("http://stackoverflow.com/users/9928448", "Mingqi Jin")</f>
        <v>Mingqi Jin</v>
      </c>
      <c r="D5875" t="s">
        <v>4</v>
      </c>
      <c r="E5875">
        <v>14</v>
      </c>
    </row>
    <row r="5876" spans="1:5" x14ac:dyDescent="0.25">
      <c r="A5876">
        <v>5875</v>
      </c>
      <c r="B5876">
        <v>954519</v>
      </c>
      <c r="C5876" s="1" t="str">
        <f>HYPERLINK("http://stackoverflow.com/users/954519", "Lee Pan")</f>
        <v>Lee Pan</v>
      </c>
      <c r="D5876" t="s">
        <v>5</v>
      </c>
      <c r="E5876">
        <v>14</v>
      </c>
    </row>
    <row r="5877" spans="1:5" x14ac:dyDescent="0.25">
      <c r="A5877">
        <v>5876</v>
      </c>
      <c r="B5877">
        <v>8367499</v>
      </c>
      <c r="C5877" s="1" t="str">
        <f>HYPERLINK("http://stackoverflow.com/users/8367499", "rachelnino")</f>
        <v>rachelnino</v>
      </c>
      <c r="D5877" t="s">
        <v>4</v>
      </c>
      <c r="E5877">
        <v>13</v>
      </c>
    </row>
    <row r="5878" spans="1:5" x14ac:dyDescent="0.25">
      <c r="A5878">
        <v>5877</v>
      </c>
      <c r="B5878">
        <v>1023233</v>
      </c>
      <c r="C5878" s="1" t="str">
        <f>HYPERLINK("http://stackoverflow.com/users/1023233", "Sylphia")</f>
        <v>Sylphia</v>
      </c>
      <c r="D5878" t="s">
        <v>5</v>
      </c>
      <c r="E5878">
        <v>13</v>
      </c>
    </row>
    <row r="5879" spans="1:5" x14ac:dyDescent="0.25">
      <c r="A5879">
        <v>5878</v>
      </c>
      <c r="B5879">
        <v>1008483</v>
      </c>
      <c r="C5879" s="1" t="str">
        <f>HYPERLINK("http://stackoverflow.com/users/1008483", "Shuiqing")</f>
        <v>Shuiqing</v>
      </c>
      <c r="D5879" t="s">
        <v>5</v>
      </c>
      <c r="E5879">
        <v>13</v>
      </c>
    </row>
    <row r="5880" spans="1:5" x14ac:dyDescent="0.25">
      <c r="A5880">
        <v>5879</v>
      </c>
      <c r="B5880">
        <v>8471133</v>
      </c>
      <c r="C5880" s="1" t="str">
        <f>HYPERLINK("http://stackoverflow.com/users/8471133", "S. Stevens")</f>
        <v>S. Stevens</v>
      </c>
      <c r="D5880" t="s">
        <v>4</v>
      </c>
      <c r="E5880">
        <v>13</v>
      </c>
    </row>
    <row r="5881" spans="1:5" x14ac:dyDescent="0.25">
      <c r="A5881">
        <v>5880</v>
      </c>
      <c r="B5881">
        <v>1207083</v>
      </c>
      <c r="C5881" s="1" t="str">
        <f>HYPERLINK("http://stackoverflow.com/users/1207083", "YinZheMin")</f>
        <v>YinZheMin</v>
      </c>
      <c r="D5881" t="s">
        <v>5</v>
      </c>
      <c r="E5881">
        <v>13</v>
      </c>
    </row>
    <row r="5882" spans="1:5" x14ac:dyDescent="0.25">
      <c r="A5882">
        <v>5881</v>
      </c>
      <c r="B5882">
        <v>5107003</v>
      </c>
      <c r="C5882" s="1" t="str">
        <f>HYPERLINK("http://stackoverflow.com/users/5107003", "yhlleo")</f>
        <v>yhlleo</v>
      </c>
      <c r="D5882" t="s">
        <v>8</v>
      </c>
      <c r="E5882">
        <v>13</v>
      </c>
    </row>
    <row r="5883" spans="1:5" x14ac:dyDescent="0.25">
      <c r="A5883">
        <v>5882</v>
      </c>
      <c r="B5883">
        <v>8675414</v>
      </c>
      <c r="C5883" s="1" t="str">
        <f>HYPERLINK("http://stackoverflow.com/users/8675414", "X. Jung")</f>
        <v>X. Jung</v>
      </c>
      <c r="D5883" t="s">
        <v>5</v>
      </c>
      <c r="E5883">
        <v>13</v>
      </c>
    </row>
    <row r="5884" spans="1:5" x14ac:dyDescent="0.25">
      <c r="A5884">
        <v>5883</v>
      </c>
      <c r="B5884">
        <v>5226030</v>
      </c>
      <c r="C5884" s="1" t="str">
        <f>HYPERLINK("http://stackoverflow.com/users/5226030", "Dengzh")</f>
        <v>Dengzh</v>
      </c>
      <c r="D5884" t="s">
        <v>5</v>
      </c>
      <c r="E5884">
        <v>13</v>
      </c>
    </row>
    <row r="5885" spans="1:5" x14ac:dyDescent="0.25">
      <c r="A5885">
        <v>5884</v>
      </c>
      <c r="B5885">
        <v>4678946</v>
      </c>
      <c r="C5885" s="1" t="str">
        <f>HYPERLINK("http://stackoverflow.com/users/4678946", "Kirk Ke Tang")</f>
        <v>Kirk Ke Tang</v>
      </c>
      <c r="D5885" t="s">
        <v>5</v>
      </c>
      <c r="E5885">
        <v>13</v>
      </c>
    </row>
    <row r="5886" spans="1:5" x14ac:dyDescent="0.25">
      <c r="A5886">
        <v>5885</v>
      </c>
      <c r="B5886">
        <v>7801031</v>
      </c>
      <c r="C5886" s="1" t="str">
        <f>HYPERLINK("http://stackoverflow.com/users/7801031", "ruoru")</f>
        <v>ruoru</v>
      </c>
      <c r="D5886" t="s">
        <v>4</v>
      </c>
      <c r="E5886">
        <v>13</v>
      </c>
    </row>
    <row r="5887" spans="1:5" x14ac:dyDescent="0.25">
      <c r="A5887">
        <v>5886</v>
      </c>
      <c r="B5887">
        <v>395583</v>
      </c>
      <c r="C5887" s="1" t="str">
        <f>HYPERLINK("http://stackoverflow.com/users/395583", "Sonic Wu")</f>
        <v>Sonic Wu</v>
      </c>
      <c r="D5887" t="s">
        <v>4</v>
      </c>
      <c r="E5887">
        <v>13</v>
      </c>
    </row>
    <row r="5888" spans="1:5" x14ac:dyDescent="0.25">
      <c r="A5888">
        <v>5887</v>
      </c>
      <c r="B5888">
        <v>2682705</v>
      </c>
      <c r="C5888" s="1" t="str">
        <f>HYPERLINK("http://stackoverflow.com/users/2682705", "CatKang")</f>
        <v>CatKang</v>
      </c>
      <c r="D5888" t="s">
        <v>5</v>
      </c>
      <c r="E5888">
        <v>13</v>
      </c>
    </row>
    <row r="5889" spans="1:5" x14ac:dyDescent="0.25">
      <c r="A5889">
        <v>5888</v>
      </c>
      <c r="B5889">
        <v>2189744</v>
      </c>
      <c r="C5889" s="1" t="str">
        <f>HYPERLINK("http://stackoverflow.com/users/2189744", "loglong")</f>
        <v>loglong</v>
      </c>
      <c r="D5889" t="s">
        <v>37</v>
      </c>
      <c r="E5889">
        <v>13</v>
      </c>
    </row>
    <row r="5890" spans="1:5" x14ac:dyDescent="0.25">
      <c r="A5890">
        <v>5889</v>
      </c>
      <c r="B5890">
        <v>2238861</v>
      </c>
      <c r="C5890" s="1" t="str">
        <f>HYPERLINK("http://stackoverflow.com/users/2238861", "studyzy")</f>
        <v>studyzy</v>
      </c>
      <c r="D5890" t="s">
        <v>5</v>
      </c>
      <c r="E5890">
        <v>13</v>
      </c>
    </row>
    <row r="5891" spans="1:5" x14ac:dyDescent="0.25">
      <c r="A5891">
        <v>5890</v>
      </c>
      <c r="B5891">
        <v>6021082</v>
      </c>
      <c r="C5891" s="1" t="str">
        <f>HYPERLINK("http://stackoverflow.com/users/6021082", "YtRen")</f>
        <v>YtRen</v>
      </c>
      <c r="D5891" t="s">
        <v>180</v>
      </c>
      <c r="E5891">
        <v>13</v>
      </c>
    </row>
    <row r="5892" spans="1:5" x14ac:dyDescent="0.25">
      <c r="A5892">
        <v>5891</v>
      </c>
      <c r="B5892">
        <v>7744053</v>
      </c>
      <c r="C5892" s="1" t="str">
        <f>HYPERLINK("http://stackoverflow.com/users/7744053", "assyncronimous")</f>
        <v>assyncronimous</v>
      </c>
      <c r="D5892" t="s">
        <v>5</v>
      </c>
      <c r="E5892">
        <v>13</v>
      </c>
    </row>
    <row r="5893" spans="1:5" x14ac:dyDescent="0.25">
      <c r="A5893">
        <v>5892</v>
      </c>
      <c r="B5893">
        <v>7744203</v>
      </c>
      <c r="C5893" s="1" t="str">
        <f>HYPERLINK("http://stackoverflow.com/users/7744203", "Yi Qingliang")</f>
        <v>Yi Qingliang</v>
      </c>
      <c r="D5893" t="s">
        <v>55</v>
      </c>
      <c r="E5893">
        <v>13</v>
      </c>
    </row>
    <row r="5894" spans="1:5" x14ac:dyDescent="0.25">
      <c r="A5894">
        <v>5893</v>
      </c>
      <c r="B5894">
        <v>7769221</v>
      </c>
      <c r="C5894" s="1" t="str">
        <f>HYPERLINK("http://stackoverflow.com/users/7769221", "Zain")</f>
        <v>Zain</v>
      </c>
      <c r="D5894" t="s">
        <v>33</v>
      </c>
      <c r="E5894">
        <v>13</v>
      </c>
    </row>
    <row r="5895" spans="1:5" x14ac:dyDescent="0.25">
      <c r="A5895">
        <v>5894</v>
      </c>
      <c r="B5895">
        <v>2113962</v>
      </c>
      <c r="C5895" s="1" t="str">
        <f>HYPERLINK("http://stackoverflow.com/users/2113962", "haidescs")</f>
        <v>haidescs</v>
      </c>
      <c r="D5895" t="s">
        <v>12</v>
      </c>
      <c r="E5895">
        <v>13</v>
      </c>
    </row>
    <row r="5896" spans="1:5" x14ac:dyDescent="0.25">
      <c r="A5896">
        <v>5895</v>
      </c>
      <c r="B5896">
        <v>3855051</v>
      </c>
      <c r="C5896" s="1" t="str">
        <f>HYPERLINK("http://stackoverflow.com/users/3855051", "SongYang")</f>
        <v>SongYang</v>
      </c>
      <c r="D5896" t="s">
        <v>5</v>
      </c>
      <c r="E5896">
        <v>13</v>
      </c>
    </row>
    <row r="5897" spans="1:5" x14ac:dyDescent="0.25">
      <c r="A5897">
        <v>5896</v>
      </c>
      <c r="B5897">
        <v>2914765</v>
      </c>
      <c r="C5897" s="1" t="str">
        <f>HYPERLINK("http://stackoverflow.com/users/2914765", "wkl17")</f>
        <v>wkl17</v>
      </c>
      <c r="D5897" t="s">
        <v>38</v>
      </c>
      <c r="E5897">
        <v>13</v>
      </c>
    </row>
    <row r="5898" spans="1:5" x14ac:dyDescent="0.25">
      <c r="A5898">
        <v>5897</v>
      </c>
      <c r="B5898">
        <v>928561</v>
      </c>
      <c r="C5898" s="1" t="str">
        <f>HYPERLINK("http://stackoverflow.com/users/928561", "yaowz")</f>
        <v>yaowz</v>
      </c>
      <c r="D5898" t="s">
        <v>4</v>
      </c>
      <c r="E5898">
        <v>13</v>
      </c>
    </row>
    <row r="5899" spans="1:5" x14ac:dyDescent="0.25">
      <c r="A5899">
        <v>5898</v>
      </c>
      <c r="B5899">
        <v>2655348</v>
      </c>
      <c r="C5899" s="1" t="str">
        <f>HYPERLINK("http://stackoverflow.com/users/2655348", "sinchang")</f>
        <v>sinchang</v>
      </c>
      <c r="D5899" t="s">
        <v>48</v>
      </c>
      <c r="E5899">
        <v>13</v>
      </c>
    </row>
    <row r="5900" spans="1:5" x14ac:dyDescent="0.25">
      <c r="A5900">
        <v>5899</v>
      </c>
      <c r="B5900">
        <v>7949916</v>
      </c>
      <c r="C5900" s="1" t="str">
        <f>HYPERLINK("http://stackoverflow.com/users/7949916", "Baiqiang")</f>
        <v>Baiqiang</v>
      </c>
      <c r="D5900" t="s">
        <v>4</v>
      </c>
      <c r="E5900">
        <v>13</v>
      </c>
    </row>
    <row r="5901" spans="1:5" x14ac:dyDescent="0.25">
      <c r="A5901">
        <v>5900</v>
      </c>
      <c r="B5901">
        <v>310226</v>
      </c>
      <c r="C5901" s="1" t="str">
        <f>HYPERLINK("http://stackoverflow.com/users/310226", "Eric Kung")</f>
        <v>Eric Kung</v>
      </c>
      <c r="D5901" t="s">
        <v>5</v>
      </c>
      <c r="E5901">
        <v>13</v>
      </c>
    </row>
    <row r="5902" spans="1:5" x14ac:dyDescent="0.25">
      <c r="A5902">
        <v>5901</v>
      </c>
      <c r="B5902">
        <v>3084496</v>
      </c>
      <c r="C5902" s="1" t="str">
        <f>HYPERLINK("http://stackoverflow.com/users/3084496", "Ray")</f>
        <v>Ray</v>
      </c>
      <c r="D5902" t="s">
        <v>4</v>
      </c>
      <c r="E5902">
        <v>13</v>
      </c>
    </row>
    <row r="5903" spans="1:5" x14ac:dyDescent="0.25">
      <c r="A5903">
        <v>5902</v>
      </c>
      <c r="B5903">
        <v>8482858</v>
      </c>
      <c r="C5903" s="1" t="str">
        <f>HYPERLINK("http://stackoverflow.com/users/8482858", "Joshua Willman")</f>
        <v>Joshua Willman</v>
      </c>
      <c r="D5903" t="s">
        <v>108</v>
      </c>
      <c r="E5903">
        <v>13</v>
      </c>
    </row>
    <row r="5904" spans="1:5" x14ac:dyDescent="0.25">
      <c r="A5904">
        <v>5903</v>
      </c>
      <c r="B5904">
        <v>5011548</v>
      </c>
      <c r="C5904" s="1" t="str">
        <f>HYPERLINK("http://stackoverflow.com/users/5011548", "RayLiao")</f>
        <v>RayLiao</v>
      </c>
      <c r="D5904" t="s">
        <v>21</v>
      </c>
      <c r="E5904">
        <v>13</v>
      </c>
    </row>
    <row r="5905" spans="1:5" x14ac:dyDescent="0.25">
      <c r="A5905">
        <v>5904</v>
      </c>
      <c r="B5905">
        <v>1241645</v>
      </c>
      <c r="C5905" s="1" t="str">
        <f>HYPERLINK("http://stackoverflow.com/users/1241645", "Hector")</f>
        <v>Hector</v>
      </c>
      <c r="D5905" t="s">
        <v>5</v>
      </c>
      <c r="E5905">
        <v>13</v>
      </c>
    </row>
    <row r="5906" spans="1:5" x14ac:dyDescent="0.25">
      <c r="A5906">
        <v>5905</v>
      </c>
      <c r="B5906">
        <v>7064247</v>
      </c>
      <c r="C5906" s="1" t="str">
        <f>HYPERLINK("http://stackoverflow.com/users/7064247", "Xylon Zhang")</f>
        <v>Xylon Zhang</v>
      </c>
      <c r="D5906" t="s">
        <v>5</v>
      </c>
      <c r="E5906">
        <v>13</v>
      </c>
    </row>
    <row r="5907" spans="1:5" x14ac:dyDescent="0.25">
      <c r="A5907">
        <v>5906</v>
      </c>
      <c r="B5907">
        <v>1544868</v>
      </c>
      <c r="C5907" s="1" t="str">
        <f>HYPERLINK("http://stackoverflow.com/users/1544868", "SZSL")</f>
        <v>SZSL</v>
      </c>
      <c r="D5907" t="s">
        <v>4</v>
      </c>
      <c r="E5907">
        <v>13</v>
      </c>
    </row>
    <row r="5908" spans="1:5" x14ac:dyDescent="0.25">
      <c r="A5908">
        <v>5907</v>
      </c>
      <c r="B5908">
        <v>1552993</v>
      </c>
      <c r="C5908" s="1" t="str">
        <f>HYPERLINK("http://stackoverflow.com/users/1552993", "aimspike")</f>
        <v>aimspike</v>
      </c>
      <c r="D5908" t="s">
        <v>5</v>
      </c>
      <c r="E5908">
        <v>13</v>
      </c>
    </row>
    <row r="5909" spans="1:5" x14ac:dyDescent="0.25">
      <c r="A5909">
        <v>5908</v>
      </c>
      <c r="B5909">
        <v>1488834</v>
      </c>
      <c r="C5909" s="1" t="str">
        <f>HYPERLINK("http://stackoverflow.com/users/1488834", "xunyn")</f>
        <v>xunyn</v>
      </c>
      <c r="D5909" t="s">
        <v>54</v>
      </c>
      <c r="E5909">
        <v>13</v>
      </c>
    </row>
    <row r="5910" spans="1:5" x14ac:dyDescent="0.25">
      <c r="A5910">
        <v>5909</v>
      </c>
      <c r="B5910">
        <v>1441242</v>
      </c>
      <c r="C5910" s="1" t="str">
        <f>HYPERLINK("http://stackoverflow.com/users/1441242", "Rorbbin Lan")</f>
        <v>Rorbbin Lan</v>
      </c>
      <c r="D5910" t="s">
        <v>5</v>
      </c>
      <c r="E5910">
        <v>13</v>
      </c>
    </row>
    <row r="5911" spans="1:5" x14ac:dyDescent="0.25">
      <c r="A5911">
        <v>5910</v>
      </c>
      <c r="B5911">
        <v>8751121</v>
      </c>
      <c r="C5911" s="1" t="str">
        <f>HYPERLINK("http://stackoverflow.com/users/8751121", "Arkin")</f>
        <v>Arkin</v>
      </c>
      <c r="D5911" t="s">
        <v>5</v>
      </c>
      <c r="E5911">
        <v>13</v>
      </c>
    </row>
    <row r="5912" spans="1:5" x14ac:dyDescent="0.25">
      <c r="A5912">
        <v>5911</v>
      </c>
      <c r="B5912">
        <v>5168127</v>
      </c>
      <c r="C5912" s="1" t="str">
        <f>HYPERLINK("http://stackoverflow.com/users/5168127", "garyzhu")</f>
        <v>garyzhu</v>
      </c>
      <c r="D5912" t="s">
        <v>5</v>
      </c>
      <c r="E5912">
        <v>13</v>
      </c>
    </row>
    <row r="5913" spans="1:5" x14ac:dyDescent="0.25">
      <c r="A5913">
        <v>5912</v>
      </c>
      <c r="B5913">
        <v>1391975</v>
      </c>
      <c r="C5913" s="1" t="str">
        <f>HYPERLINK("http://stackoverflow.com/users/1391975", "AngelIW")</f>
        <v>AngelIW</v>
      </c>
      <c r="D5913" t="s">
        <v>5</v>
      </c>
      <c r="E5913">
        <v>13</v>
      </c>
    </row>
    <row r="5914" spans="1:5" x14ac:dyDescent="0.25">
      <c r="A5914">
        <v>5913</v>
      </c>
      <c r="B5914">
        <v>1393122</v>
      </c>
      <c r="C5914" s="1" t="str">
        <f>HYPERLINK("http://stackoverflow.com/users/1393122", "brianchai")</f>
        <v>brianchai</v>
      </c>
      <c r="D5914" t="s">
        <v>4</v>
      </c>
      <c r="E5914">
        <v>13</v>
      </c>
    </row>
    <row r="5915" spans="1:5" x14ac:dyDescent="0.25">
      <c r="A5915">
        <v>5914</v>
      </c>
      <c r="B5915">
        <v>5105251</v>
      </c>
      <c r="C5915" s="1" t="str">
        <f>HYPERLINK("http://stackoverflow.com/users/5105251", "george")</f>
        <v>george</v>
      </c>
      <c r="D5915" t="s">
        <v>4</v>
      </c>
      <c r="E5915">
        <v>13</v>
      </c>
    </row>
    <row r="5916" spans="1:5" x14ac:dyDescent="0.25">
      <c r="A5916">
        <v>5915</v>
      </c>
      <c r="B5916">
        <v>9048763</v>
      </c>
      <c r="C5916" s="1" t="str">
        <f>HYPERLINK("http://stackoverflow.com/users/9048763", "crankwan")</f>
        <v>crankwan</v>
      </c>
      <c r="D5916" t="s">
        <v>25</v>
      </c>
      <c r="E5916">
        <v>13</v>
      </c>
    </row>
    <row r="5917" spans="1:5" x14ac:dyDescent="0.25">
      <c r="A5917">
        <v>5916</v>
      </c>
      <c r="B5917">
        <v>1805451</v>
      </c>
      <c r="C5917" s="1" t="str">
        <f>HYPERLINK("http://stackoverflow.com/users/1805451", "RichardTao")</f>
        <v>RichardTao</v>
      </c>
      <c r="D5917" t="s">
        <v>4</v>
      </c>
      <c r="E5917">
        <v>13</v>
      </c>
    </row>
    <row r="5918" spans="1:5" x14ac:dyDescent="0.25">
      <c r="A5918">
        <v>5917</v>
      </c>
      <c r="B5918">
        <v>5502890</v>
      </c>
      <c r="C5918" s="1" t="str">
        <f>HYPERLINK("http://stackoverflow.com/users/5502890", "FlyKite")</f>
        <v>FlyKite</v>
      </c>
      <c r="D5918" t="s">
        <v>342</v>
      </c>
      <c r="E5918">
        <v>13</v>
      </c>
    </row>
    <row r="5919" spans="1:5" x14ac:dyDescent="0.25">
      <c r="A5919">
        <v>5918</v>
      </c>
      <c r="B5919">
        <v>5604700</v>
      </c>
      <c r="C5919" s="1" t="str">
        <f>HYPERLINK("http://stackoverflow.com/users/5604700", "DolphinQuan")</f>
        <v>DolphinQuan</v>
      </c>
      <c r="D5919" t="s">
        <v>17</v>
      </c>
      <c r="E5919">
        <v>13</v>
      </c>
    </row>
    <row r="5920" spans="1:5" x14ac:dyDescent="0.25">
      <c r="A5920">
        <v>5919</v>
      </c>
      <c r="B5920">
        <v>5825654</v>
      </c>
      <c r="C5920" s="1" t="str">
        <f>HYPERLINK("http://stackoverflow.com/users/5825654", "zhiyi")</f>
        <v>zhiyi</v>
      </c>
      <c r="D5920" t="s">
        <v>25</v>
      </c>
      <c r="E5920">
        <v>13</v>
      </c>
    </row>
    <row r="5921" spans="1:5" x14ac:dyDescent="0.25">
      <c r="A5921">
        <v>5920</v>
      </c>
      <c r="B5921">
        <v>4172682</v>
      </c>
      <c r="C5921" s="1" t="str">
        <f>HYPERLINK("http://stackoverflow.com/users/4172682", "DanielG")</f>
        <v>DanielG</v>
      </c>
      <c r="D5921" t="s">
        <v>343</v>
      </c>
      <c r="E5921">
        <v>13</v>
      </c>
    </row>
    <row r="5922" spans="1:5" x14ac:dyDescent="0.25">
      <c r="A5922">
        <v>5921</v>
      </c>
      <c r="B5922">
        <v>7561762</v>
      </c>
      <c r="C5922" s="1" t="str">
        <f>HYPERLINK("http://stackoverflow.com/users/7561762", "andy")</f>
        <v>andy</v>
      </c>
      <c r="D5922" t="s">
        <v>5</v>
      </c>
      <c r="E5922">
        <v>13</v>
      </c>
    </row>
    <row r="5923" spans="1:5" x14ac:dyDescent="0.25">
      <c r="A5923">
        <v>5922</v>
      </c>
      <c r="B5923">
        <v>774827</v>
      </c>
      <c r="C5923" s="1" t="str">
        <f>HYPERLINK("http://stackoverflow.com/users/774827", "SnailTang")</f>
        <v>SnailTang</v>
      </c>
      <c r="D5923" t="s">
        <v>22</v>
      </c>
      <c r="E5923">
        <v>13</v>
      </c>
    </row>
    <row r="5924" spans="1:5" x14ac:dyDescent="0.25">
      <c r="A5924">
        <v>5923</v>
      </c>
      <c r="B5924">
        <v>2925495</v>
      </c>
      <c r="C5924" s="1" t="str">
        <f>HYPERLINK("http://stackoverflow.com/users/2925495", "Kent")</f>
        <v>Kent</v>
      </c>
      <c r="D5924" t="s">
        <v>61</v>
      </c>
      <c r="E5924">
        <v>13</v>
      </c>
    </row>
    <row r="5925" spans="1:5" x14ac:dyDescent="0.25">
      <c r="A5925">
        <v>5924</v>
      </c>
      <c r="B5925">
        <v>4918686</v>
      </c>
      <c r="C5925" s="1" t="str">
        <f>HYPERLINK("http://stackoverflow.com/users/4918686", "DaveyTao")</f>
        <v>DaveyTao</v>
      </c>
      <c r="D5925" t="s">
        <v>344</v>
      </c>
      <c r="E5925">
        <v>13</v>
      </c>
    </row>
    <row r="5926" spans="1:5" x14ac:dyDescent="0.25">
      <c r="A5926">
        <v>5925</v>
      </c>
      <c r="B5926">
        <v>523649</v>
      </c>
      <c r="C5926" s="1" t="str">
        <f>HYPERLINK("http://stackoverflow.com/users/523649", "jxw1102")</f>
        <v>jxw1102</v>
      </c>
      <c r="D5926" t="s">
        <v>4</v>
      </c>
      <c r="E5926">
        <v>13</v>
      </c>
    </row>
    <row r="5927" spans="1:5" x14ac:dyDescent="0.25">
      <c r="A5927">
        <v>5926</v>
      </c>
      <c r="B5927">
        <v>572141</v>
      </c>
      <c r="C5927" s="1" t="str">
        <f>HYPERLINK("http://stackoverflow.com/users/572141", "Z.W.F.")</f>
        <v>Z.W.F.</v>
      </c>
      <c r="D5927" t="s">
        <v>6</v>
      </c>
      <c r="E5927">
        <v>13</v>
      </c>
    </row>
    <row r="5928" spans="1:5" x14ac:dyDescent="0.25">
      <c r="A5928">
        <v>5927</v>
      </c>
      <c r="B5928">
        <v>8117046</v>
      </c>
      <c r="C5928" s="1" t="str">
        <f>HYPERLINK("http://stackoverflow.com/users/8117046", "Martin_at_Coventry")</f>
        <v>Martin_at_Coventry</v>
      </c>
      <c r="D5928" t="s">
        <v>345</v>
      </c>
      <c r="E5928">
        <v>13</v>
      </c>
    </row>
    <row r="5929" spans="1:5" x14ac:dyDescent="0.25">
      <c r="A5929">
        <v>5928</v>
      </c>
      <c r="B5929">
        <v>645669</v>
      </c>
      <c r="C5929" s="1" t="str">
        <f>HYPERLINK("http://stackoverflow.com/users/645669", "AlexQu")</f>
        <v>AlexQu</v>
      </c>
      <c r="D5929" t="s">
        <v>31</v>
      </c>
      <c r="E5929">
        <v>13</v>
      </c>
    </row>
    <row r="5930" spans="1:5" x14ac:dyDescent="0.25">
      <c r="A5930">
        <v>5929</v>
      </c>
      <c r="B5930">
        <v>8137041</v>
      </c>
      <c r="C5930" s="1" t="str">
        <f>HYPERLINK("http://stackoverflow.com/users/8137041", "zengchen")</f>
        <v>zengchen</v>
      </c>
      <c r="D5930" t="s">
        <v>115</v>
      </c>
      <c r="E5930">
        <v>13</v>
      </c>
    </row>
    <row r="5931" spans="1:5" x14ac:dyDescent="0.25">
      <c r="A5931">
        <v>5930</v>
      </c>
      <c r="B5931">
        <v>8170187</v>
      </c>
      <c r="C5931" s="1" t="str">
        <f>HYPERLINK("http://stackoverflow.com/users/8170187", "maosong")</f>
        <v>maosong</v>
      </c>
      <c r="D5931" t="s">
        <v>4</v>
      </c>
      <c r="E5931">
        <v>13</v>
      </c>
    </row>
    <row r="5932" spans="1:5" x14ac:dyDescent="0.25">
      <c r="A5932">
        <v>5931</v>
      </c>
      <c r="B5932">
        <v>703592</v>
      </c>
      <c r="C5932" s="1" t="str">
        <f>HYPERLINK("http://stackoverflow.com/users/703592", "surayabi")</f>
        <v>surayabi</v>
      </c>
      <c r="D5932" t="s">
        <v>119</v>
      </c>
      <c r="E5932">
        <v>13</v>
      </c>
    </row>
    <row r="5933" spans="1:5" x14ac:dyDescent="0.25">
      <c r="A5933">
        <v>5932</v>
      </c>
      <c r="B5933">
        <v>6264399</v>
      </c>
      <c r="C5933" s="1" t="str">
        <f>HYPERLINK("http://stackoverflow.com/users/6264399", "Gale Yao")</f>
        <v>Gale Yao</v>
      </c>
      <c r="D5933" t="s">
        <v>4</v>
      </c>
      <c r="E5933">
        <v>13</v>
      </c>
    </row>
    <row r="5934" spans="1:5" x14ac:dyDescent="0.25">
      <c r="A5934">
        <v>5933</v>
      </c>
      <c r="B5934">
        <v>327440</v>
      </c>
      <c r="C5934" s="1" t="str">
        <f>HYPERLINK("http://stackoverflow.com/users/327440", "Allen shen")</f>
        <v>Allen shen</v>
      </c>
      <c r="D5934" t="s">
        <v>3</v>
      </c>
      <c r="E5934">
        <v>13</v>
      </c>
    </row>
    <row r="5935" spans="1:5" x14ac:dyDescent="0.25">
      <c r="A5935">
        <v>5934</v>
      </c>
      <c r="B5935">
        <v>4383935</v>
      </c>
      <c r="C5935" s="1" t="str">
        <f>HYPERLINK("http://stackoverflow.com/users/4383935", "fanruhua")</f>
        <v>fanruhua</v>
      </c>
      <c r="D5935" t="s">
        <v>5</v>
      </c>
      <c r="E5935">
        <v>13</v>
      </c>
    </row>
    <row r="5936" spans="1:5" x14ac:dyDescent="0.25">
      <c r="A5936">
        <v>5935</v>
      </c>
      <c r="B5936">
        <v>3212015</v>
      </c>
      <c r="C5936" s="1" t="str">
        <f>HYPERLINK("http://stackoverflow.com/users/3212015", "buendia")</f>
        <v>buendia</v>
      </c>
      <c r="D5936" t="s">
        <v>4</v>
      </c>
      <c r="E5936">
        <v>13</v>
      </c>
    </row>
    <row r="5937" spans="1:5" x14ac:dyDescent="0.25">
      <c r="A5937">
        <v>5936</v>
      </c>
      <c r="B5937">
        <v>1273030</v>
      </c>
      <c r="C5937" s="1" t="str">
        <f>HYPERLINK("http://stackoverflow.com/users/1273030", "Jian Qin")</f>
        <v>Jian Qin</v>
      </c>
      <c r="D5937" t="s">
        <v>5</v>
      </c>
      <c r="E5937">
        <v>13</v>
      </c>
    </row>
    <row r="5938" spans="1:5" x14ac:dyDescent="0.25">
      <c r="A5938">
        <v>5937</v>
      </c>
      <c r="B5938">
        <v>3158387</v>
      </c>
      <c r="C5938" s="1" t="str">
        <f>HYPERLINK("http://stackoverflow.com/users/3158387", "Jasonho")</f>
        <v>Jasonho</v>
      </c>
      <c r="D5938" t="s">
        <v>41</v>
      </c>
      <c r="E5938">
        <v>13</v>
      </c>
    </row>
    <row r="5939" spans="1:5" x14ac:dyDescent="0.25">
      <c r="A5939">
        <v>5938</v>
      </c>
      <c r="B5939">
        <v>5121642</v>
      </c>
      <c r="C5939" s="1" t="str">
        <f>HYPERLINK("http://stackoverflow.com/users/5121642", "Allen")</f>
        <v>Allen</v>
      </c>
      <c r="D5939" t="s">
        <v>12</v>
      </c>
      <c r="E5939">
        <v>13</v>
      </c>
    </row>
    <row r="5940" spans="1:5" x14ac:dyDescent="0.25">
      <c r="A5940">
        <v>5939</v>
      </c>
      <c r="B5940">
        <v>3313293</v>
      </c>
      <c r="C5940" s="1" t="str">
        <f>HYPERLINK("http://stackoverflow.com/users/3313293", "JayGo")</f>
        <v>JayGo</v>
      </c>
      <c r="D5940" t="s">
        <v>4</v>
      </c>
      <c r="E5940">
        <v>13</v>
      </c>
    </row>
    <row r="5941" spans="1:5" x14ac:dyDescent="0.25">
      <c r="A5941">
        <v>5940</v>
      </c>
      <c r="B5941">
        <v>5082401</v>
      </c>
      <c r="C5941" s="1" t="str">
        <f>HYPERLINK("http://stackoverflow.com/users/5082401", "shine_like_a_million")</f>
        <v>shine_like_a_million</v>
      </c>
      <c r="D5941" t="s">
        <v>5</v>
      </c>
      <c r="E5941">
        <v>13</v>
      </c>
    </row>
    <row r="5942" spans="1:5" x14ac:dyDescent="0.25">
      <c r="A5942">
        <v>5941</v>
      </c>
      <c r="B5942">
        <v>1374314</v>
      </c>
      <c r="C5942" s="1" t="str">
        <f>HYPERLINK("http://stackoverflow.com/users/1374314", "Yun.X")</f>
        <v>Yun.X</v>
      </c>
      <c r="D5942" t="s">
        <v>4</v>
      </c>
      <c r="E5942">
        <v>13</v>
      </c>
    </row>
    <row r="5943" spans="1:5" x14ac:dyDescent="0.25">
      <c r="A5943">
        <v>5942</v>
      </c>
      <c r="B5943">
        <v>1531638</v>
      </c>
      <c r="C5943" s="1" t="str">
        <f>HYPERLINK("http://stackoverflow.com/users/1531638", "Feng Xu")</f>
        <v>Feng Xu</v>
      </c>
      <c r="D5943" t="s">
        <v>4</v>
      </c>
      <c r="E5943">
        <v>13</v>
      </c>
    </row>
    <row r="5944" spans="1:5" x14ac:dyDescent="0.25">
      <c r="A5944">
        <v>5943</v>
      </c>
      <c r="B5944">
        <v>3979651</v>
      </c>
      <c r="C5944" s="1" t="str">
        <f>HYPERLINK("http://stackoverflow.com/users/3979651", "Ching Jui Young")</f>
        <v>Ching Jui Young</v>
      </c>
      <c r="D5944" t="s">
        <v>4</v>
      </c>
      <c r="E5944">
        <v>13</v>
      </c>
    </row>
    <row r="5945" spans="1:5" x14ac:dyDescent="0.25">
      <c r="A5945">
        <v>5944</v>
      </c>
      <c r="B5945">
        <v>7610513</v>
      </c>
      <c r="C5945" s="1" t="str">
        <f>HYPERLINK("http://stackoverflow.com/users/7610513", "Minglei Lee")</f>
        <v>Minglei Lee</v>
      </c>
      <c r="D5945" t="s">
        <v>37</v>
      </c>
      <c r="E5945">
        <v>13</v>
      </c>
    </row>
    <row r="5946" spans="1:5" x14ac:dyDescent="0.25">
      <c r="A5946">
        <v>5945</v>
      </c>
      <c r="B5946">
        <v>9581211</v>
      </c>
      <c r="C5946" s="1" t="str">
        <f>HYPERLINK("http://stackoverflow.com/users/9581211", "李卓然")</f>
        <v>李卓然</v>
      </c>
      <c r="D5946" t="s">
        <v>62</v>
      </c>
      <c r="E5946">
        <v>13</v>
      </c>
    </row>
    <row r="5947" spans="1:5" x14ac:dyDescent="0.25">
      <c r="A5947">
        <v>5946</v>
      </c>
      <c r="B5947">
        <v>6768390</v>
      </c>
      <c r="C5947" s="1" t="str">
        <f>HYPERLINK("http://stackoverflow.com/users/6768390", "Sim Tsai")</f>
        <v>Sim Tsai</v>
      </c>
      <c r="D5947" t="s">
        <v>74</v>
      </c>
      <c r="E5947">
        <v>13</v>
      </c>
    </row>
    <row r="5948" spans="1:5" x14ac:dyDescent="0.25">
      <c r="A5948">
        <v>5947</v>
      </c>
      <c r="B5948">
        <v>5059550</v>
      </c>
      <c r="C5948" s="1" t="str">
        <f>HYPERLINK("http://stackoverflow.com/users/5059550", "Cleey")</f>
        <v>Cleey</v>
      </c>
      <c r="D5948" t="s">
        <v>5</v>
      </c>
      <c r="E5948">
        <v>13</v>
      </c>
    </row>
    <row r="5949" spans="1:5" x14ac:dyDescent="0.25">
      <c r="A5949">
        <v>5948</v>
      </c>
      <c r="B5949">
        <v>1495576</v>
      </c>
      <c r="C5949" s="1" t="str">
        <f>HYPERLINK("http://stackoverflow.com/users/1495576", "cfz")</f>
        <v>cfz</v>
      </c>
      <c r="D5949" t="s">
        <v>21</v>
      </c>
      <c r="E5949">
        <v>13</v>
      </c>
    </row>
    <row r="5950" spans="1:5" x14ac:dyDescent="0.25">
      <c r="A5950">
        <v>5949</v>
      </c>
      <c r="B5950">
        <v>6739891</v>
      </c>
      <c r="C5950" s="1" t="str">
        <f>HYPERLINK("http://stackoverflow.com/users/6739891", "J Eti")</f>
        <v>J Eti</v>
      </c>
      <c r="D5950" t="s">
        <v>62</v>
      </c>
      <c r="E5950">
        <v>13</v>
      </c>
    </row>
    <row r="5951" spans="1:5" x14ac:dyDescent="0.25">
      <c r="A5951">
        <v>5950</v>
      </c>
      <c r="B5951">
        <v>3124800</v>
      </c>
      <c r="C5951" s="1" t="str">
        <f>HYPERLINK("http://stackoverflow.com/users/3124800", "Zongyuan GU")</f>
        <v>Zongyuan GU</v>
      </c>
      <c r="D5951" t="s">
        <v>4</v>
      </c>
      <c r="E5951">
        <v>13</v>
      </c>
    </row>
    <row r="5952" spans="1:5" x14ac:dyDescent="0.25">
      <c r="A5952">
        <v>5951</v>
      </c>
      <c r="B5952">
        <v>1183727</v>
      </c>
      <c r="C5952" s="1" t="str">
        <f>HYPERLINK("http://stackoverflow.com/users/1183727", "jo32")</f>
        <v>jo32</v>
      </c>
      <c r="D5952" t="s">
        <v>7</v>
      </c>
      <c r="E5952">
        <v>13</v>
      </c>
    </row>
    <row r="5953" spans="1:5" x14ac:dyDescent="0.25">
      <c r="A5953">
        <v>5952</v>
      </c>
      <c r="B5953">
        <v>7218823</v>
      </c>
      <c r="C5953" s="1" t="str">
        <f>HYPERLINK("http://stackoverflow.com/users/7218823", "张安茂")</f>
        <v>张安茂</v>
      </c>
      <c r="D5953" t="s">
        <v>4</v>
      </c>
      <c r="E5953">
        <v>13</v>
      </c>
    </row>
    <row r="5954" spans="1:5" x14ac:dyDescent="0.25">
      <c r="A5954">
        <v>5953</v>
      </c>
      <c r="B5954">
        <v>1737779</v>
      </c>
      <c r="C5954" s="1" t="str">
        <f>HYPERLINK("http://stackoverflow.com/users/1737779", "geekymonkeybill")</f>
        <v>geekymonkeybill</v>
      </c>
      <c r="D5954" t="s">
        <v>5</v>
      </c>
      <c r="E5954">
        <v>13</v>
      </c>
    </row>
    <row r="5955" spans="1:5" x14ac:dyDescent="0.25">
      <c r="A5955">
        <v>5954</v>
      </c>
      <c r="B5955">
        <v>956651</v>
      </c>
      <c r="C5955" s="1" t="str">
        <f>HYPERLINK("http://stackoverflow.com/users/956651", "Louis de Quan")</f>
        <v>Louis de Quan</v>
      </c>
      <c r="D5955" t="s">
        <v>5</v>
      </c>
      <c r="E5955">
        <v>13</v>
      </c>
    </row>
    <row r="5956" spans="1:5" x14ac:dyDescent="0.25">
      <c r="A5956">
        <v>5955</v>
      </c>
      <c r="B5956">
        <v>966651</v>
      </c>
      <c r="C5956" s="1" t="str">
        <f>HYPERLINK("http://stackoverflow.com/users/966651", "ethanlai")</f>
        <v>ethanlai</v>
      </c>
      <c r="D5956" t="s">
        <v>17</v>
      </c>
      <c r="E5956">
        <v>13</v>
      </c>
    </row>
    <row r="5957" spans="1:5" x14ac:dyDescent="0.25">
      <c r="A5957">
        <v>5956</v>
      </c>
      <c r="B5957">
        <v>1121217</v>
      </c>
      <c r="C5957" s="1" t="str">
        <f>HYPERLINK("http://stackoverflow.com/users/1121217", "gamein")</f>
        <v>gamein</v>
      </c>
      <c r="D5957" t="s">
        <v>4</v>
      </c>
      <c r="E5957">
        <v>13</v>
      </c>
    </row>
    <row r="5958" spans="1:5" x14ac:dyDescent="0.25">
      <c r="A5958">
        <v>5957</v>
      </c>
      <c r="B5958">
        <v>4879865</v>
      </c>
      <c r="C5958" s="1" t="str">
        <f>HYPERLINK("http://stackoverflow.com/users/4879865", "hacke2")</f>
        <v>hacke2</v>
      </c>
      <c r="D5958" t="s">
        <v>62</v>
      </c>
      <c r="E5958">
        <v>13</v>
      </c>
    </row>
    <row r="5959" spans="1:5" x14ac:dyDescent="0.25">
      <c r="A5959">
        <v>5958</v>
      </c>
      <c r="B5959">
        <v>4884491</v>
      </c>
      <c r="C5959" s="1" t="str">
        <f>HYPERLINK("http://stackoverflow.com/users/4884491", "KeKeDeng")</f>
        <v>KeKeDeng</v>
      </c>
      <c r="D5959" t="s">
        <v>21</v>
      </c>
      <c r="E5959">
        <v>13</v>
      </c>
    </row>
    <row r="5960" spans="1:5" x14ac:dyDescent="0.25">
      <c r="A5960">
        <v>5959</v>
      </c>
      <c r="B5960">
        <v>10121221</v>
      </c>
      <c r="C5960" s="1" t="str">
        <f>HYPERLINK("http://stackoverflow.com/users/10121221", "LEO")</f>
        <v>LEO</v>
      </c>
      <c r="D5960" t="s">
        <v>16</v>
      </c>
      <c r="E5960">
        <v>13</v>
      </c>
    </row>
    <row r="5961" spans="1:5" x14ac:dyDescent="0.25">
      <c r="A5961">
        <v>5960</v>
      </c>
      <c r="B5961">
        <v>4783632</v>
      </c>
      <c r="C5961" s="1" t="str">
        <f>HYPERLINK("http://stackoverflow.com/users/4783632", "oscarxvita")</f>
        <v>oscarxvita</v>
      </c>
      <c r="D5961" t="s">
        <v>5</v>
      </c>
      <c r="E5961">
        <v>13</v>
      </c>
    </row>
    <row r="5962" spans="1:5" x14ac:dyDescent="0.25">
      <c r="A5962">
        <v>5961</v>
      </c>
      <c r="B5962">
        <v>844188</v>
      </c>
      <c r="C5962" s="1" t="str">
        <f>HYPERLINK("http://stackoverflow.com/users/844188", "gebaocai")</f>
        <v>gebaocai</v>
      </c>
      <c r="D5962" t="s">
        <v>5</v>
      </c>
      <c r="E5962">
        <v>13</v>
      </c>
    </row>
    <row r="5963" spans="1:5" x14ac:dyDescent="0.25">
      <c r="A5963">
        <v>5962</v>
      </c>
      <c r="B5963">
        <v>705670</v>
      </c>
      <c r="C5963" s="1" t="str">
        <f>HYPERLINK("http://stackoverflow.com/users/705670", "evil4emperor")</f>
        <v>evil4emperor</v>
      </c>
      <c r="D5963" t="s">
        <v>5</v>
      </c>
      <c r="E5963">
        <v>13</v>
      </c>
    </row>
    <row r="5964" spans="1:5" x14ac:dyDescent="0.25">
      <c r="A5964">
        <v>5963</v>
      </c>
      <c r="B5964">
        <v>6432978</v>
      </c>
      <c r="C5964" s="1" t="str">
        <f>HYPERLINK("http://stackoverflow.com/users/6432978", "Joe.Wu")</f>
        <v>Joe.Wu</v>
      </c>
      <c r="D5964" t="s">
        <v>5</v>
      </c>
      <c r="E5964">
        <v>13</v>
      </c>
    </row>
    <row r="5965" spans="1:5" x14ac:dyDescent="0.25">
      <c r="A5965">
        <v>5964</v>
      </c>
      <c r="B5965">
        <v>3978977</v>
      </c>
      <c r="C5965" s="1" t="str">
        <f>HYPERLINK("http://stackoverflow.com/users/3978977", "Kwan")</f>
        <v>Kwan</v>
      </c>
      <c r="D5965" t="s">
        <v>21</v>
      </c>
      <c r="E5965">
        <v>13</v>
      </c>
    </row>
    <row r="5966" spans="1:5" x14ac:dyDescent="0.25">
      <c r="A5966">
        <v>5965</v>
      </c>
      <c r="B5966">
        <v>7288477</v>
      </c>
      <c r="C5966" s="1" t="str">
        <f>HYPERLINK("http://stackoverflow.com/users/7288477", "Jason")</f>
        <v>Jason</v>
      </c>
      <c r="D5966" t="s">
        <v>4</v>
      </c>
      <c r="E5966">
        <v>13</v>
      </c>
    </row>
    <row r="5967" spans="1:5" x14ac:dyDescent="0.25">
      <c r="A5967">
        <v>5966</v>
      </c>
      <c r="B5967">
        <v>1912273</v>
      </c>
      <c r="C5967" s="1" t="str">
        <f>HYPERLINK("http://stackoverflow.com/users/1912273", "Maelstrom")</f>
        <v>Maelstrom</v>
      </c>
      <c r="D5967" t="s">
        <v>101</v>
      </c>
      <c r="E5967">
        <v>13</v>
      </c>
    </row>
    <row r="5968" spans="1:5" x14ac:dyDescent="0.25">
      <c r="A5968">
        <v>5967</v>
      </c>
      <c r="B5968">
        <v>7662761</v>
      </c>
      <c r="C5968" s="1" t="str">
        <f>HYPERLINK("http://stackoverflow.com/users/7662761", "user7662761")</f>
        <v>user7662761</v>
      </c>
      <c r="D5968" t="s">
        <v>4</v>
      </c>
      <c r="E5968">
        <v>13</v>
      </c>
    </row>
    <row r="5969" spans="1:5" x14ac:dyDescent="0.25">
      <c r="A5969">
        <v>5968</v>
      </c>
      <c r="B5969">
        <v>1773650</v>
      </c>
      <c r="C5969" s="1" t="str">
        <f>HYPERLINK("http://stackoverflow.com/users/1773650", "Tim Yang")</f>
        <v>Tim Yang</v>
      </c>
      <c r="D5969" t="s">
        <v>54</v>
      </c>
      <c r="E5969">
        <v>13</v>
      </c>
    </row>
    <row r="5970" spans="1:5" x14ac:dyDescent="0.25">
      <c r="A5970">
        <v>5969</v>
      </c>
      <c r="B5970">
        <v>1734912</v>
      </c>
      <c r="C5970" s="1" t="str">
        <f>HYPERLINK("http://stackoverflow.com/users/1734912", "iceesj")</f>
        <v>iceesj</v>
      </c>
      <c r="D5970" t="s">
        <v>4</v>
      </c>
      <c r="E5970">
        <v>13</v>
      </c>
    </row>
    <row r="5971" spans="1:5" x14ac:dyDescent="0.25">
      <c r="A5971">
        <v>5970</v>
      </c>
      <c r="B5971">
        <v>3562587</v>
      </c>
      <c r="C5971" s="1" t="str">
        <f>HYPERLINK("http://stackoverflow.com/users/3562587", "Shiqian Chen")</f>
        <v>Shiqian Chen</v>
      </c>
      <c r="D5971" t="s">
        <v>12</v>
      </c>
      <c r="E5971">
        <v>13</v>
      </c>
    </row>
    <row r="5972" spans="1:5" x14ac:dyDescent="0.25">
      <c r="A5972">
        <v>5971</v>
      </c>
      <c r="B5972">
        <v>3513956</v>
      </c>
      <c r="C5972" s="1" t="str">
        <f>HYPERLINK("http://stackoverflow.com/users/3513956", "hulk")</f>
        <v>hulk</v>
      </c>
      <c r="D5972" t="s">
        <v>5</v>
      </c>
      <c r="E5972">
        <v>13</v>
      </c>
    </row>
    <row r="5973" spans="1:5" x14ac:dyDescent="0.25">
      <c r="A5973">
        <v>5972</v>
      </c>
      <c r="B5973">
        <v>1707772</v>
      </c>
      <c r="C5973" s="1" t="str">
        <f>HYPERLINK("http://stackoverflow.com/users/1707772", "James")</f>
        <v>James</v>
      </c>
      <c r="D5973" t="s">
        <v>12</v>
      </c>
      <c r="E5973">
        <v>13</v>
      </c>
    </row>
    <row r="5974" spans="1:5" x14ac:dyDescent="0.25">
      <c r="A5974">
        <v>5973</v>
      </c>
      <c r="B5974">
        <v>1920444</v>
      </c>
      <c r="C5974" s="1" t="str">
        <f>HYPERLINK("http://stackoverflow.com/users/1920444", "edward44444")</f>
        <v>edward44444</v>
      </c>
      <c r="D5974" t="s">
        <v>3</v>
      </c>
      <c r="E5974">
        <v>13</v>
      </c>
    </row>
    <row r="5975" spans="1:5" x14ac:dyDescent="0.25">
      <c r="A5975">
        <v>5974</v>
      </c>
      <c r="B5975">
        <v>1915126</v>
      </c>
      <c r="C5975" s="1" t="str">
        <f>HYPERLINK("http://stackoverflow.com/users/1915126", "cxytomo")</f>
        <v>cxytomo</v>
      </c>
      <c r="D5975" t="s">
        <v>12</v>
      </c>
      <c r="E5975">
        <v>13</v>
      </c>
    </row>
    <row r="5976" spans="1:5" x14ac:dyDescent="0.25">
      <c r="A5976">
        <v>5975</v>
      </c>
      <c r="B5976">
        <v>9064621</v>
      </c>
      <c r="C5976" s="1" t="str">
        <f>HYPERLINK("http://stackoverflow.com/users/9064621", "IronPython")</f>
        <v>IronPython</v>
      </c>
      <c r="D5976" t="s">
        <v>5</v>
      </c>
      <c r="E5976">
        <v>13</v>
      </c>
    </row>
    <row r="5977" spans="1:5" x14ac:dyDescent="0.25">
      <c r="A5977">
        <v>5976</v>
      </c>
      <c r="B5977">
        <v>2368753</v>
      </c>
      <c r="C5977" s="1" t="str">
        <f>HYPERLINK("http://stackoverflow.com/users/2368753", "Bivozeou")</f>
        <v>Bivozeou</v>
      </c>
      <c r="D5977" t="s">
        <v>12</v>
      </c>
      <c r="E5977">
        <v>13</v>
      </c>
    </row>
    <row r="5978" spans="1:5" x14ac:dyDescent="0.25">
      <c r="A5978">
        <v>5977</v>
      </c>
      <c r="B5978">
        <v>5834803</v>
      </c>
      <c r="C5978" s="1" t="str">
        <f>HYPERLINK("http://stackoverflow.com/users/5834803", "poettian")</f>
        <v>poettian</v>
      </c>
      <c r="D5978" t="s">
        <v>346</v>
      </c>
      <c r="E5978">
        <v>13</v>
      </c>
    </row>
    <row r="5979" spans="1:5" x14ac:dyDescent="0.25">
      <c r="A5979">
        <v>5978</v>
      </c>
      <c r="B5979">
        <v>11206950</v>
      </c>
      <c r="C5979" s="1" t="str">
        <f>HYPERLINK("http://stackoverflow.com/users/11206950", "Zenman C")</f>
        <v>Zenman C</v>
      </c>
      <c r="D5979" t="s">
        <v>5</v>
      </c>
      <c r="E5979">
        <v>13</v>
      </c>
    </row>
    <row r="5980" spans="1:5" x14ac:dyDescent="0.25">
      <c r="A5980">
        <v>5979</v>
      </c>
      <c r="B5980">
        <v>2186774</v>
      </c>
      <c r="C5980" s="1" t="str">
        <f>HYPERLINK("http://stackoverflow.com/users/2186774", "hybda")</f>
        <v>hybda</v>
      </c>
      <c r="D5980" t="s">
        <v>5</v>
      </c>
      <c r="E5980">
        <v>13</v>
      </c>
    </row>
    <row r="5981" spans="1:5" x14ac:dyDescent="0.25">
      <c r="A5981">
        <v>5980</v>
      </c>
      <c r="B5981">
        <v>5746296</v>
      </c>
      <c r="C5981" s="1" t="str">
        <f>HYPERLINK("http://stackoverflow.com/users/5746296", "yuyushiki")</f>
        <v>yuyushiki</v>
      </c>
      <c r="D5981" t="s">
        <v>97</v>
      </c>
      <c r="E5981">
        <v>13</v>
      </c>
    </row>
    <row r="5982" spans="1:5" x14ac:dyDescent="0.25">
      <c r="A5982">
        <v>5981</v>
      </c>
      <c r="B5982">
        <v>3863055</v>
      </c>
      <c r="C5982" s="1" t="str">
        <f>HYPERLINK("http://stackoverflow.com/users/3863055", "WzoneLayer")</f>
        <v>WzoneLayer</v>
      </c>
      <c r="D5982" t="s">
        <v>5</v>
      </c>
      <c r="E5982">
        <v>13</v>
      </c>
    </row>
    <row r="5983" spans="1:5" x14ac:dyDescent="0.25">
      <c r="A5983">
        <v>5982</v>
      </c>
      <c r="B5983">
        <v>1376190</v>
      </c>
      <c r="C5983" s="1" t="str">
        <f>HYPERLINK("http://stackoverflow.com/users/1376190", "ataraxia")</f>
        <v>ataraxia</v>
      </c>
      <c r="D5983" t="s">
        <v>5</v>
      </c>
      <c r="E5983">
        <v>13</v>
      </c>
    </row>
    <row r="5984" spans="1:5" x14ac:dyDescent="0.25">
      <c r="A5984">
        <v>5983</v>
      </c>
      <c r="B5984">
        <v>1302530</v>
      </c>
      <c r="C5984" s="1" t="str">
        <f>HYPERLINK("http://stackoverflow.com/users/1302530", "nighca")</f>
        <v>nighca</v>
      </c>
      <c r="D5984" t="s">
        <v>4</v>
      </c>
      <c r="E5984">
        <v>13</v>
      </c>
    </row>
    <row r="5985" spans="1:5" x14ac:dyDescent="0.25">
      <c r="A5985">
        <v>5984</v>
      </c>
      <c r="B5985">
        <v>1409664</v>
      </c>
      <c r="C5985" s="1" t="str">
        <f>HYPERLINK("http://stackoverflow.com/users/1409664", "CharlesCui")</f>
        <v>CharlesCui</v>
      </c>
      <c r="D5985" t="s">
        <v>12</v>
      </c>
      <c r="E5985">
        <v>13</v>
      </c>
    </row>
    <row r="5986" spans="1:5" x14ac:dyDescent="0.25">
      <c r="A5986">
        <v>5985</v>
      </c>
      <c r="B5986">
        <v>6861527</v>
      </c>
      <c r="C5986" s="1" t="str">
        <f>HYPERLINK("http://stackoverflow.com/users/6861527", "Brainy Soon")</f>
        <v>Brainy Soon</v>
      </c>
      <c r="D5986" t="s">
        <v>217</v>
      </c>
      <c r="E5986">
        <v>13</v>
      </c>
    </row>
    <row r="5987" spans="1:5" x14ac:dyDescent="0.25">
      <c r="A5987">
        <v>5986</v>
      </c>
      <c r="B5987">
        <v>5270918</v>
      </c>
      <c r="C5987" s="1" t="str">
        <f>HYPERLINK("http://stackoverflow.com/users/5270918", "Leon.L")</f>
        <v>Leon.L</v>
      </c>
      <c r="D5987" t="s">
        <v>4</v>
      </c>
      <c r="E5987">
        <v>13</v>
      </c>
    </row>
    <row r="5988" spans="1:5" x14ac:dyDescent="0.25">
      <c r="A5988">
        <v>5987</v>
      </c>
      <c r="B5988">
        <v>8841378</v>
      </c>
      <c r="C5988" s="1" t="str">
        <f>HYPERLINK("http://stackoverflow.com/users/8841378", "Jason")</f>
        <v>Jason</v>
      </c>
      <c r="D5988" t="s">
        <v>4</v>
      </c>
      <c r="E5988">
        <v>13</v>
      </c>
    </row>
    <row r="5989" spans="1:5" x14ac:dyDescent="0.25">
      <c r="A5989">
        <v>5988</v>
      </c>
      <c r="B5989">
        <v>8804322</v>
      </c>
      <c r="C5989" s="1" t="str">
        <f>HYPERLINK("http://stackoverflow.com/users/8804322", "Horsen Zhuge")</f>
        <v>Horsen Zhuge</v>
      </c>
      <c r="D5989" t="s">
        <v>11</v>
      </c>
      <c r="E5989">
        <v>13</v>
      </c>
    </row>
    <row r="5990" spans="1:5" x14ac:dyDescent="0.25">
      <c r="A5990">
        <v>5989</v>
      </c>
      <c r="B5990">
        <v>2981895</v>
      </c>
      <c r="C5990" s="1" t="str">
        <f>HYPERLINK("http://stackoverflow.com/users/2981895", "DemoHn")</f>
        <v>DemoHn</v>
      </c>
      <c r="D5990" t="s">
        <v>12</v>
      </c>
      <c r="E5990">
        <v>13</v>
      </c>
    </row>
    <row r="5991" spans="1:5" x14ac:dyDescent="0.25">
      <c r="A5991">
        <v>5990</v>
      </c>
      <c r="B5991">
        <v>4929683</v>
      </c>
      <c r="C5991" s="1" t="str">
        <f>HYPERLINK("http://stackoverflow.com/users/4929683", "ADDICE")</f>
        <v>ADDICE</v>
      </c>
      <c r="D5991" t="s">
        <v>25</v>
      </c>
      <c r="E5991">
        <v>13</v>
      </c>
    </row>
    <row r="5992" spans="1:5" x14ac:dyDescent="0.25">
      <c r="A5992">
        <v>5991</v>
      </c>
      <c r="B5992">
        <v>1150145</v>
      </c>
      <c r="C5992" s="1" t="str">
        <f>HYPERLINK("http://stackoverflow.com/users/1150145", "Bones")</f>
        <v>Bones</v>
      </c>
      <c r="D5992" t="s">
        <v>5</v>
      </c>
      <c r="E5992">
        <v>13</v>
      </c>
    </row>
    <row r="5993" spans="1:5" x14ac:dyDescent="0.25">
      <c r="A5993">
        <v>5992</v>
      </c>
      <c r="B5993">
        <v>1252284</v>
      </c>
      <c r="C5993" s="1" t="str">
        <f>HYPERLINK("http://stackoverflow.com/users/1252284", "Kane")</f>
        <v>Kane</v>
      </c>
      <c r="D5993" t="s">
        <v>12</v>
      </c>
      <c r="E5993">
        <v>13</v>
      </c>
    </row>
    <row r="5994" spans="1:5" x14ac:dyDescent="0.25">
      <c r="A5994">
        <v>5993</v>
      </c>
      <c r="B5994">
        <v>535905</v>
      </c>
      <c r="C5994" s="1" t="str">
        <f>HYPERLINK("http://stackoverflow.com/users/535905", "Liki")</f>
        <v>Liki</v>
      </c>
      <c r="D5994" t="s">
        <v>4</v>
      </c>
      <c r="E5994">
        <v>13</v>
      </c>
    </row>
    <row r="5995" spans="1:5" x14ac:dyDescent="0.25">
      <c r="A5995">
        <v>5994</v>
      </c>
      <c r="B5995">
        <v>4635389</v>
      </c>
      <c r="C5995" s="1" t="str">
        <f>HYPERLINK("http://stackoverflow.com/users/4635389", "snowmanlarry")</f>
        <v>snowmanlarry</v>
      </c>
      <c r="D5995" t="s">
        <v>52</v>
      </c>
      <c r="E5995">
        <v>13</v>
      </c>
    </row>
    <row r="5996" spans="1:5" x14ac:dyDescent="0.25">
      <c r="A5996">
        <v>5995</v>
      </c>
      <c r="B5996">
        <v>8291324</v>
      </c>
      <c r="C5996" s="1" t="str">
        <f>HYPERLINK("http://stackoverflow.com/users/8291324", "Keys Yan")</f>
        <v>Keys Yan</v>
      </c>
      <c r="D5996" t="s">
        <v>28</v>
      </c>
      <c r="E5996">
        <v>13</v>
      </c>
    </row>
    <row r="5997" spans="1:5" x14ac:dyDescent="0.25">
      <c r="A5997">
        <v>5996</v>
      </c>
      <c r="B5997">
        <v>749800</v>
      </c>
      <c r="C5997" s="1" t="str">
        <f>HYPERLINK("http://stackoverflow.com/users/749800", "lawrencexu")</f>
        <v>lawrencexu</v>
      </c>
      <c r="D5997" t="s">
        <v>4</v>
      </c>
      <c r="E5997">
        <v>13</v>
      </c>
    </row>
    <row r="5998" spans="1:5" x14ac:dyDescent="0.25">
      <c r="A5998">
        <v>5997</v>
      </c>
      <c r="B5998">
        <v>9995615</v>
      </c>
      <c r="C5998" s="1" t="str">
        <f>HYPERLINK("http://stackoverflow.com/users/9995615", "hky_pumc")</f>
        <v>hky_pumc</v>
      </c>
      <c r="D5998" t="s">
        <v>5</v>
      </c>
      <c r="E5998">
        <v>13</v>
      </c>
    </row>
    <row r="5999" spans="1:5" x14ac:dyDescent="0.25">
      <c r="A5999">
        <v>5998</v>
      </c>
      <c r="B5999">
        <v>8203067</v>
      </c>
      <c r="C5999" s="1" t="str">
        <f>HYPERLINK("http://stackoverflow.com/users/8203067", "justry")</f>
        <v>justry</v>
      </c>
      <c r="D5999" t="s">
        <v>5</v>
      </c>
      <c r="E5999">
        <v>13</v>
      </c>
    </row>
    <row r="6000" spans="1:5" x14ac:dyDescent="0.25">
      <c r="A6000">
        <v>5999</v>
      </c>
      <c r="B6000">
        <v>2648278</v>
      </c>
      <c r="C6000" s="1" t="str">
        <f>HYPERLINK("http://stackoverflow.com/users/2648278", "XianB")</f>
        <v>XianB</v>
      </c>
      <c r="D6000" t="s">
        <v>54</v>
      </c>
      <c r="E6000">
        <v>13</v>
      </c>
    </row>
    <row r="6001" spans="1:5" x14ac:dyDescent="0.25">
      <c r="A6001">
        <v>6000</v>
      </c>
      <c r="B6001">
        <v>331949</v>
      </c>
      <c r="C6001" s="1" t="str">
        <f>HYPERLINK("http://stackoverflow.com/users/331949", "rui7905")</f>
        <v>rui7905</v>
      </c>
      <c r="D6001" t="s">
        <v>5</v>
      </c>
      <c r="E6001">
        <v>13</v>
      </c>
    </row>
    <row r="6002" spans="1:5" x14ac:dyDescent="0.25">
      <c r="A6002">
        <v>6001</v>
      </c>
      <c r="B6002">
        <v>6076105</v>
      </c>
      <c r="C6002" s="1" t="str">
        <f>HYPERLINK("http://stackoverflow.com/users/6076105", "Red Rain")</f>
        <v>Red Rain</v>
      </c>
      <c r="D6002" t="s">
        <v>5</v>
      </c>
      <c r="E6002">
        <v>13</v>
      </c>
    </row>
    <row r="6003" spans="1:5" x14ac:dyDescent="0.25">
      <c r="A6003">
        <v>6002</v>
      </c>
      <c r="B6003">
        <v>6107927</v>
      </c>
      <c r="C6003" s="1" t="str">
        <f>HYPERLINK("http://stackoverflow.com/users/6107927", "Scandy")</f>
        <v>Scandy</v>
      </c>
      <c r="D6003" t="s">
        <v>4</v>
      </c>
      <c r="E6003">
        <v>13</v>
      </c>
    </row>
    <row r="6004" spans="1:5" x14ac:dyDescent="0.25">
      <c r="A6004">
        <v>6003</v>
      </c>
      <c r="B6004">
        <v>1176271</v>
      </c>
      <c r="C6004" s="1" t="str">
        <f>HYPERLINK("http://stackoverflow.com/users/1176271", "VincentHou")</f>
        <v>VincentHou</v>
      </c>
      <c r="D6004" t="s">
        <v>5</v>
      </c>
      <c r="E6004">
        <v>13</v>
      </c>
    </row>
    <row r="6005" spans="1:5" x14ac:dyDescent="0.25">
      <c r="A6005">
        <v>6004</v>
      </c>
      <c r="B6005">
        <v>3138332</v>
      </c>
      <c r="C6005" s="1" t="str">
        <f>HYPERLINK("http://stackoverflow.com/users/3138332", "Felix Sun")</f>
        <v>Felix Sun</v>
      </c>
      <c r="D6005" t="s">
        <v>12</v>
      </c>
      <c r="E6005">
        <v>13</v>
      </c>
    </row>
    <row r="6006" spans="1:5" x14ac:dyDescent="0.25">
      <c r="A6006">
        <v>6005</v>
      </c>
      <c r="B6006">
        <v>1196307</v>
      </c>
      <c r="C6006" s="1" t="str">
        <f>HYPERLINK("http://stackoverflow.com/users/1196307", "Wang Zhong Kui")</f>
        <v>Wang Zhong Kui</v>
      </c>
      <c r="D6006" t="s">
        <v>3</v>
      </c>
      <c r="E6006">
        <v>13</v>
      </c>
    </row>
    <row r="6007" spans="1:5" x14ac:dyDescent="0.25">
      <c r="A6007">
        <v>6006</v>
      </c>
      <c r="B6007">
        <v>8527962</v>
      </c>
      <c r="C6007" s="1" t="str">
        <f>HYPERLINK("http://stackoverflow.com/users/8527962", "Neko Gong")</f>
        <v>Neko Gong</v>
      </c>
      <c r="D6007" t="s">
        <v>37</v>
      </c>
      <c r="E6007">
        <v>13</v>
      </c>
    </row>
    <row r="6008" spans="1:5" x14ac:dyDescent="0.25">
      <c r="A6008">
        <v>6007</v>
      </c>
      <c r="B6008">
        <v>1097309</v>
      </c>
      <c r="C6008" s="1" t="str">
        <f>HYPERLINK("http://stackoverflow.com/users/1097309", "xudong.zhao")</f>
        <v>xudong.zhao</v>
      </c>
      <c r="D6008" t="s">
        <v>4</v>
      </c>
      <c r="E6008">
        <v>13</v>
      </c>
    </row>
    <row r="6009" spans="1:5" x14ac:dyDescent="0.25">
      <c r="A6009">
        <v>6008</v>
      </c>
      <c r="B6009">
        <v>1402358</v>
      </c>
      <c r="C6009" s="1" t="str">
        <f>HYPERLINK("http://stackoverflow.com/users/1402358", "ark")</f>
        <v>ark</v>
      </c>
      <c r="D6009" t="s">
        <v>4</v>
      </c>
      <c r="E6009">
        <v>13</v>
      </c>
    </row>
    <row r="6010" spans="1:5" x14ac:dyDescent="0.25">
      <c r="A6010">
        <v>6009</v>
      </c>
      <c r="B6010">
        <v>8878756</v>
      </c>
      <c r="C6010" s="1" t="str">
        <f>HYPERLINK("http://stackoverflow.com/users/8878756", "kerby")</f>
        <v>kerby</v>
      </c>
      <c r="D6010" t="s">
        <v>74</v>
      </c>
      <c r="E6010">
        <v>13</v>
      </c>
    </row>
    <row r="6011" spans="1:5" x14ac:dyDescent="0.25">
      <c r="A6011">
        <v>6010</v>
      </c>
      <c r="B6011">
        <v>6275177</v>
      </c>
      <c r="C6011" s="1" t="str">
        <f>HYPERLINK("http://stackoverflow.com/users/6275177", "Libin Dai")</f>
        <v>Libin Dai</v>
      </c>
      <c r="D6011" t="s">
        <v>4</v>
      </c>
      <c r="E6011">
        <v>13</v>
      </c>
    </row>
    <row r="6012" spans="1:5" x14ac:dyDescent="0.25">
      <c r="A6012">
        <v>6011</v>
      </c>
      <c r="B6012">
        <v>8306079</v>
      </c>
      <c r="C6012" s="1" t="str">
        <f>HYPERLINK("http://stackoverflow.com/users/8306079", "madelaine")</f>
        <v>madelaine</v>
      </c>
      <c r="D6012" t="s">
        <v>4</v>
      </c>
      <c r="E6012">
        <v>13</v>
      </c>
    </row>
    <row r="6013" spans="1:5" x14ac:dyDescent="0.25">
      <c r="A6013">
        <v>6012</v>
      </c>
      <c r="B6013">
        <v>4812672</v>
      </c>
      <c r="C6013" s="1" t="str">
        <f>HYPERLINK("http://stackoverflow.com/users/4812672", "DanDan")</f>
        <v>DanDan</v>
      </c>
      <c r="D6013" t="s">
        <v>22</v>
      </c>
      <c r="E6013">
        <v>13</v>
      </c>
    </row>
    <row r="6014" spans="1:5" x14ac:dyDescent="0.25">
      <c r="A6014">
        <v>6013</v>
      </c>
      <c r="B6014">
        <v>806047</v>
      </c>
      <c r="C6014" s="1" t="str">
        <f>HYPERLINK("http://stackoverflow.com/users/806047", "yfk")</f>
        <v>yfk</v>
      </c>
      <c r="D6014" t="s">
        <v>4</v>
      </c>
      <c r="E6014">
        <v>13</v>
      </c>
    </row>
    <row r="6015" spans="1:5" x14ac:dyDescent="0.25">
      <c r="A6015">
        <v>6014</v>
      </c>
      <c r="B6015">
        <v>709442</v>
      </c>
      <c r="C6015" s="1" t="str">
        <f>HYPERLINK("http://stackoverflow.com/users/709442", "lichaoir")</f>
        <v>lichaoir</v>
      </c>
      <c r="D6015" t="s">
        <v>5</v>
      </c>
      <c r="E6015">
        <v>13</v>
      </c>
    </row>
    <row r="6016" spans="1:5" x14ac:dyDescent="0.25">
      <c r="A6016">
        <v>6015</v>
      </c>
      <c r="B6016">
        <v>8023795</v>
      </c>
      <c r="C6016" s="1" t="str">
        <f>HYPERLINK("http://stackoverflow.com/users/8023795", "Huooo")</f>
        <v>Huooo</v>
      </c>
      <c r="D6016" t="s">
        <v>16</v>
      </c>
      <c r="E6016">
        <v>13</v>
      </c>
    </row>
    <row r="6017" spans="1:5" x14ac:dyDescent="0.25">
      <c r="A6017">
        <v>6016</v>
      </c>
      <c r="B6017">
        <v>4375993</v>
      </c>
      <c r="C6017" s="1" t="str">
        <f>HYPERLINK("http://stackoverflow.com/users/4375993", "Little Pillow")</f>
        <v>Little Pillow</v>
      </c>
      <c r="D6017" t="s">
        <v>7</v>
      </c>
      <c r="E6017">
        <v>13</v>
      </c>
    </row>
    <row r="6018" spans="1:5" x14ac:dyDescent="0.25">
      <c r="A6018">
        <v>6017</v>
      </c>
      <c r="B6018">
        <v>237010</v>
      </c>
      <c r="C6018" s="1" t="str">
        <f>HYPERLINK("http://stackoverflow.com/users/237010", "blueManta")</f>
        <v>blueManta</v>
      </c>
      <c r="D6018" t="s">
        <v>37</v>
      </c>
      <c r="E6018">
        <v>13</v>
      </c>
    </row>
    <row r="6019" spans="1:5" x14ac:dyDescent="0.25">
      <c r="A6019">
        <v>6018</v>
      </c>
      <c r="B6019">
        <v>3819369</v>
      </c>
      <c r="C6019" s="1" t="str">
        <f>HYPERLINK("http://stackoverflow.com/users/3819369", "jackson")</f>
        <v>jackson</v>
      </c>
      <c r="D6019" t="s">
        <v>3</v>
      </c>
      <c r="E6019">
        <v>13</v>
      </c>
    </row>
    <row r="6020" spans="1:5" x14ac:dyDescent="0.25">
      <c r="A6020">
        <v>6019</v>
      </c>
      <c r="B6020">
        <v>1969192</v>
      </c>
      <c r="C6020" s="1" t="str">
        <f>HYPERLINK("http://stackoverflow.com/users/1969192", "lixiaomeng")</f>
        <v>lixiaomeng</v>
      </c>
      <c r="D6020" t="s">
        <v>5</v>
      </c>
      <c r="E6020">
        <v>13</v>
      </c>
    </row>
    <row r="6021" spans="1:5" x14ac:dyDescent="0.25">
      <c r="A6021">
        <v>6020</v>
      </c>
      <c r="B6021">
        <v>3728339</v>
      </c>
      <c r="C6021" s="1" t="str">
        <f>HYPERLINK("http://stackoverflow.com/users/3728339", "ChaoHui Ye")</f>
        <v>ChaoHui Ye</v>
      </c>
      <c r="D6021" t="s">
        <v>4</v>
      </c>
      <c r="E6021">
        <v>13</v>
      </c>
    </row>
    <row r="6022" spans="1:5" x14ac:dyDescent="0.25">
      <c r="A6022">
        <v>6021</v>
      </c>
      <c r="B6022">
        <v>7175788</v>
      </c>
      <c r="C6022" s="1" t="str">
        <f>HYPERLINK("http://stackoverflow.com/users/7175788", "Shaobo Cui")</f>
        <v>Shaobo Cui</v>
      </c>
      <c r="D6022" t="s">
        <v>52</v>
      </c>
      <c r="E6022">
        <v>13</v>
      </c>
    </row>
    <row r="6023" spans="1:5" x14ac:dyDescent="0.25">
      <c r="A6023">
        <v>6022</v>
      </c>
      <c r="B6023">
        <v>5462924</v>
      </c>
      <c r="C6023" s="1" t="str">
        <f>HYPERLINK("http://stackoverflow.com/users/5462924", "Cali")</f>
        <v>Cali</v>
      </c>
      <c r="D6023" t="s">
        <v>17</v>
      </c>
      <c r="E6023">
        <v>13</v>
      </c>
    </row>
    <row r="6024" spans="1:5" x14ac:dyDescent="0.25">
      <c r="A6024">
        <v>6023</v>
      </c>
      <c r="B6024">
        <v>5849910</v>
      </c>
      <c r="C6024" s="1" t="str">
        <f>HYPERLINK("http://stackoverflow.com/users/5849910", "Xiao Key")</f>
        <v>Xiao Key</v>
      </c>
      <c r="D6024" t="s">
        <v>7</v>
      </c>
      <c r="E6024">
        <v>13</v>
      </c>
    </row>
    <row r="6025" spans="1:5" x14ac:dyDescent="0.25">
      <c r="A6025">
        <v>6024</v>
      </c>
      <c r="B6025">
        <v>4299518</v>
      </c>
      <c r="C6025" s="1" t="str">
        <f>HYPERLINK("http://stackoverflow.com/users/4299518", "Wei Huang")</f>
        <v>Wei Huang</v>
      </c>
      <c r="D6025" t="s">
        <v>21</v>
      </c>
      <c r="E6025">
        <v>13</v>
      </c>
    </row>
    <row r="6026" spans="1:5" x14ac:dyDescent="0.25">
      <c r="A6026">
        <v>6025</v>
      </c>
      <c r="B6026">
        <v>2133482</v>
      </c>
      <c r="C6026" s="1" t="str">
        <f>HYPERLINK("http://stackoverflow.com/users/2133482", "Matthew Niederhauser")</f>
        <v>Matthew Niederhauser</v>
      </c>
      <c r="D6026" t="s">
        <v>5</v>
      </c>
      <c r="E6026">
        <v>13</v>
      </c>
    </row>
    <row r="6027" spans="1:5" x14ac:dyDescent="0.25">
      <c r="A6027">
        <v>6026</v>
      </c>
      <c r="B6027">
        <v>2189616</v>
      </c>
      <c r="C6027" s="1" t="str">
        <f>HYPERLINK("http://stackoverflow.com/users/2189616", "Lei  Wu")</f>
        <v>Lei  Wu</v>
      </c>
      <c r="D6027" t="s">
        <v>4</v>
      </c>
      <c r="E6027">
        <v>12</v>
      </c>
    </row>
    <row r="6028" spans="1:5" x14ac:dyDescent="0.25">
      <c r="A6028">
        <v>6027</v>
      </c>
      <c r="B6028">
        <v>5543513</v>
      </c>
      <c r="C6028" s="1" t="str">
        <f>HYPERLINK("http://stackoverflow.com/users/5543513", "Zhijian")</f>
        <v>Zhijian</v>
      </c>
      <c r="D6028" t="s">
        <v>5</v>
      </c>
      <c r="E6028">
        <v>12</v>
      </c>
    </row>
    <row r="6029" spans="1:5" x14ac:dyDescent="0.25">
      <c r="A6029">
        <v>6028</v>
      </c>
      <c r="B6029">
        <v>590169</v>
      </c>
      <c r="C6029" s="1" t="str">
        <f>HYPERLINK("http://stackoverflow.com/users/590169", "Javier")</f>
        <v>Javier</v>
      </c>
      <c r="D6029" t="s">
        <v>5</v>
      </c>
      <c r="E6029">
        <v>12</v>
      </c>
    </row>
    <row r="6030" spans="1:5" x14ac:dyDescent="0.25">
      <c r="A6030">
        <v>6029</v>
      </c>
      <c r="B6030">
        <v>1280844</v>
      </c>
      <c r="C6030" s="1" t="str">
        <f>HYPERLINK("http://stackoverflow.com/users/1280844", "Nicq Chen")</f>
        <v>Nicq Chen</v>
      </c>
      <c r="D6030" t="s">
        <v>5</v>
      </c>
      <c r="E6030">
        <v>12</v>
      </c>
    </row>
    <row r="6031" spans="1:5" x14ac:dyDescent="0.25">
      <c r="A6031">
        <v>6030</v>
      </c>
      <c r="B6031">
        <v>320027</v>
      </c>
      <c r="C6031" s="1" t="str">
        <f>HYPERLINK("http://stackoverflow.com/users/320027", "wolfer")</f>
        <v>wolfer</v>
      </c>
      <c r="D6031" t="s">
        <v>5</v>
      </c>
      <c r="E6031">
        <v>12</v>
      </c>
    </row>
    <row r="6032" spans="1:5" x14ac:dyDescent="0.25">
      <c r="A6032">
        <v>6031</v>
      </c>
      <c r="B6032">
        <v>1265554</v>
      </c>
      <c r="C6032" s="1" t="str">
        <f>HYPERLINK("http://stackoverflow.com/users/1265554", "Tranq")</f>
        <v>Tranq</v>
      </c>
      <c r="D6032" t="s">
        <v>5</v>
      </c>
      <c r="E6032">
        <v>12</v>
      </c>
    </row>
    <row r="6033" spans="1:5" x14ac:dyDescent="0.25">
      <c r="A6033">
        <v>6032</v>
      </c>
      <c r="B6033">
        <v>6885919</v>
      </c>
      <c r="C6033" s="1" t="str">
        <f>HYPERLINK("http://stackoverflow.com/users/6885919", "antil")</f>
        <v>antil</v>
      </c>
      <c r="D6033" t="s">
        <v>7</v>
      </c>
      <c r="E6033">
        <v>12</v>
      </c>
    </row>
    <row r="6034" spans="1:5" x14ac:dyDescent="0.25">
      <c r="A6034">
        <v>6033</v>
      </c>
      <c r="B6034">
        <v>2353275</v>
      </c>
      <c r="C6034" s="1" t="str">
        <f>HYPERLINK("http://stackoverflow.com/users/2353275", "Alex Steven")</f>
        <v>Alex Steven</v>
      </c>
      <c r="D6034" t="s">
        <v>37</v>
      </c>
      <c r="E6034">
        <v>12</v>
      </c>
    </row>
    <row r="6035" spans="1:5" x14ac:dyDescent="0.25">
      <c r="A6035">
        <v>6034</v>
      </c>
      <c r="B6035">
        <v>1784567</v>
      </c>
      <c r="C6035" s="1" t="str">
        <f>HYPERLINK("http://stackoverflow.com/users/1784567", "MuziLee")</f>
        <v>MuziLee</v>
      </c>
      <c r="D6035" t="s">
        <v>4</v>
      </c>
      <c r="E6035">
        <v>12</v>
      </c>
    </row>
    <row r="6036" spans="1:5" x14ac:dyDescent="0.25">
      <c r="A6036">
        <v>6035</v>
      </c>
      <c r="B6036">
        <v>8987093</v>
      </c>
      <c r="C6036" s="1" t="str">
        <f>HYPERLINK("http://stackoverflow.com/users/8987093", "ezer1337")</f>
        <v>ezer1337</v>
      </c>
      <c r="D6036" t="s">
        <v>322</v>
      </c>
      <c r="E6036">
        <v>12</v>
      </c>
    </row>
    <row r="6037" spans="1:5" x14ac:dyDescent="0.25">
      <c r="A6037">
        <v>6036</v>
      </c>
      <c r="B6037">
        <v>3060967</v>
      </c>
      <c r="C6037" s="1" t="str">
        <f>HYPERLINK("http://stackoverflow.com/users/3060967", "gongmingqm10")</f>
        <v>gongmingqm10</v>
      </c>
      <c r="D6037" t="s">
        <v>54</v>
      </c>
      <c r="E6037">
        <v>12</v>
      </c>
    </row>
    <row r="6038" spans="1:5" x14ac:dyDescent="0.25">
      <c r="A6038">
        <v>6037</v>
      </c>
      <c r="B6038">
        <v>5604467</v>
      </c>
      <c r="C6038" s="1" t="str">
        <f>HYPERLINK("http://stackoverflow.com/users/5604467", "Peng Chen")</f>
        <v>Peng Chen</v>
      </c>
      <c r="D6038" t="s">
        <v>244</v>
      </c>
      <c r="E6038">
        <v>12</v>
      </c>
    </row>
    <row r="6039" spans="1:5" x14ac:dyDescent="0.25">
      <c r="A6039">
        <v>6038</v>
      </c>
      <c r="B6039">
        <v>3506119</v>
      </c>
      <c r="C6039" s="1" t="str">
        <f>HYPERLINK("http://stackoverflow.com/users/3506119", "Chen")</f>
        <v>Chen</v>
      </c>
      <c r="D6039" t="s">
        <v>88</v>
      </c>
      <c r="E6039">
        <v>12</v>
      </c>
    </row>
    <row r="6040" spans="1:5" x14ac:dyDescent="0.25">
      <c r="A6040">
        <v>6039</v>
      </c>
      <c r="B6040">
        <v>8370428</v>
      </c>
      <c r="C6040" s="1" t="str">
        <f>HYPERLINK("http://stackoverflow.com/users/8370428", "齐天大圣")</f>
        <v>齐天大圣</v>
      </c>
      <c r="D6040" t="s">
        <v>5</v>
      </c>
      <c r="E6040">
        <v>12</v>
      </c>
    </row>
    <row r="6041" spans="1:5" x14ac:dyDescent="0.25">
      <c r="A6041">
        <v>6040</v>
      </c>
      <c r="B6041">
        <v>6077236</v>
      </c>
      <c r="C6041" s="1" t="str">
        <f>HYPERLINK("http://stackoverflow.com/users/6077236", "Skateboard")</f>
        <v>Skateboard</v>
      </c>
      <c r="D6041" t="s">
        <v>7</v>
      </c>
      <c r="E6041">
        <v>12</v>
      </c>
    </row>
    <row r="6042" spans="1:5" x14ac:dyDescent="0.25">
      <c r="A6042">
        <v>6041</v>
      </c>
      <c r="B6042">
        <v>6526534</v>
      </c>
      <c r="C6042" s="1" t="str">
        <f>HYPERLINK("http://stackoverflow.com/users/6526534", "fiz")</f>
        <v>fiz</v>
      </c>
      <c r="D6042" t="s">
        <v>4</v>
      </c>
      <c r="E6042">
        <v>12</v>
      </c>
    </row>
    <row r="6043" spans="1:5" x14ac:dyDescent="0.25">
      <c r="A6043">
        <v>6042</v>
      </c>
      <c r="B6043">
        <v>5226547</v>
      </c>
      <c r="C6043" s="1" t="str">
        <f>HYPERLINK("http://stackoverflow.com/users/5226547", "Barry Bao")</f>
        <v>Barry Bao</v>
      </c>
      <c r="D6043" t="s">
        <v>21</v>
      </c>
      <c r="E6043">
        <v>12</v>
      </c>
    </row>
    <row r="6044" spans="1:5" x14ac:dyDescent="0.25">
      <c r="A6044">
        <v>6043</v>
      </c>
      <c r="B6044">
        <v>5087541</v>
      </c>
      <c r="C6044" s="1" t="str">
        <f>HYPERLINK("http://stackoverflow.com/users/5087541", "billzhao")</f>
        <v>billzhao</v>
      </c>
      <c r="D6044" t="s">
        <v>16</v>
      </c>
      <c r="E6044">
        <v>12</v>
      </c>
    </row>
    <row r="6045" spans="1:5" x14ac:dyDescent="0.25">
      <c r="A6045">
        <v>6044</v>
      </c>
      <c r="B6045">
        <v>3262022</v>
      </c>
      <c r="C6045" s="1" t="str">
        <f>HYPERLINK("http://stackoverflow.com/users/3262022", "Xiangyu Chan")</f>
        <v>Xiangyu Chan</v>
      </c>
      <c r="D6045" t="s">
        <v>8</v>
      </c>
      <c r="E6045">
        <v>12</v>
      </c>
    </row>
    <row r="6046" spans="1:5" x14ac:dyDescent="0.25">
      <c r="A6046">
        <v>6045</v>
      </c>
      <c r="B6046">
        <v>5156509</v>
      </c>
      <c r="C6046" s="1" t="str">
        <f>HYPERLINK("http://stackoverflow.com/users/5156509", "Jonathan Aaron Alpart")</f>
        <v>Jonathan Aaron Alpart</v>
      </c>
      <c r="D6046" t="s">
        <v>5</v>
      </c>
      <c r="E6046">
        <v>12</v>
      </c>
    </row>
    <row r="6047" spans="1:5" x14ac:dyDescent="0.25">
      <c r="A6047">
        <v>6046</v>
      </c>
      <c r="B6047">
        <v>5135259</v>
      </c>
      <c r="C6047" s="1" t="str">
        <f>HYPERLINK("http://stackoverflow.com/users/5135259", "Jaden Liang")</f>
        <v>Jaden Liang</v>
      </c>
      <c r="D6047" t="s">
        <v>7</v>
      </c>
      <c r="E6047">
        <v>12</v>
      </c>
    </row>
    <row r="6048" spans="1:5" x14ac:dyDescent="0.25">
      <c r="A6048">
        <v>6047</v>
      </c>
      <c r="B6048">
        <v>3397641</v>
      </c>
      <c r="C6048" s="1" t="str">
        <f>HYPERLINK("http://stackoverflow.com/users/3397641", "WilburJiang")</f>
        <v>WilburJiang</v>
      </c>
      <c r="D6048" t="s">
        <v>12</v>
      </c>
      <c r="E6048">
        <v>11</v>
      </c>
    </row>
    <row r="6049" spans="1:5" x14ac:dyDescent="0.25">
      <c r="A6049">
        <v>6048</v>
      </c>
      <c r="B6049">
        <v>5083945</v>
      </c>
      <c r="C6049" s="1" t="str">
        <f>HYPERLINK("http://stackoverflow.com/users/5083945", "Onway")</f>
        <v>Onway</v>
      </c>
      <c r="D6049" t="s">
        <v>17</v>
      </c>
      <c r="E6049">
        <v>11</v>
      </c>
    </row>
    <row r="6050" spans="1:5" x14ac:dyDescent="0.25">
      <c r="A6050">
        <v>6049</v>
      </c>
      <c r="B6050">
        <v>5087679</v>
      </c>
      <c r="C6050" s="1" t="str">
        <f>HYPERLINK("http://stackoverflow.com/users/5087679", "helicopter")</f>
        <v>helicopter</v>
      </c>
      <c r="D6050" t="s">
        <v>4</v>
      </c>
      <c r="E6050">
        <v>11</v>
      </c>
    </row>
    <row r="6051" spans="1:5" x14ac:dyDescent="0.25">
      <c r="A6051">
        <v>6050</v>
      </c>
      <c r="B6051">
        <v>5068734</v>
      </c>
      <c r="C6051" s="1" t="str">
        <f>HYPERLINK("http://stackoverflow.com/users/5068734", "Michael Lee")</f>
        <v>Michael Lee</v>
      </c>
      <c r="D6051" t="s">
        <v>339</v>
      </c>
      <c r="E6051">
        <v>11</v>
      </c>
    </row>
    <row r="6052" spans="1:5" x14ac:dyDescent="0.25">
      <c r="A6052">
        <v>6051</v>
      </c>
      <c r="B6052">
        <v>5069327</v>
      </c>
      <c r="C6052" s="1" t="str">
        <f>HYPERLINK("http://stackoverflow.com/users/5069327", "Alex")</f>
        <v>Alex</v>
      </c>
      <c r="D6052" t="s">
        <v>16</v>
      </c>
      <c r="E6052">
        <v>11</v>
      </c>
    </row>
    <row r="6053" spans="1:5" x14ac:dyDescent="0.25">
      <c r="A6053">
        <v>6052</v>
      </c>
      <c r="B6053">
        <v>1424949</v>
      </c>
      <c r="C6053" s="1" t="str">
        <f>HYPERLINK("http://stackoverflow.com/users/1424949", "leejaen")</f>
        <v>leejaen</v>
      </c>
      <c r="D6053" t="s">
        <v>34</v>
      </c>
      <c r="E6053">
        <v>11</v>
      </c>
    </row>
    <row r="6054" spans="1:5" x14ac:dyDescent="0.25">
      <c r="A6054">
        <v>6053</v>
      </c>
      <c r="B6054">
        <v>5099474</v>
      </c>
      <c r="C6054" s="1" t="str">
        <f>HYPERLINK("http://stackoverflow.com/users/5099474", "zdwchang")</f>
        <v>zdwchang</v>
      </c>
      <c r="D6054" t="s">
        <v>5</v>
      </c>
      <c r="E6054">
        <v>11</v>
      </c>
    </row>
    <row r="6055" spans="1:5" x14ac:dyDescent="0.25">
      <c r="A6055">
        <v>6054</v>
      </c>
      <c r="B6055">
        <v>1444063</v>
      </c>
      <c r="C6055" s="1" t="str">
        <f>HYPERLINK("http://stackoverflow.com/users/1444063", "webster_guo")</f>
        <v>webster_guo</v>
      </c>
      <c r="D6055" t="s">
        <v>5</v>
      </c>
      <c r="E6055">
        <v>11</v>
      </c>
    </row>
    <row r="6056" spans="1:5" x14ac:dyDescent="0.25">
      <c r="A6056">
        <v>6055</v>
      </c>
      <c r="B6056">
        <v>3409528</v>
      </c>
      <c r="C6056" s="1" t="str">
        <f>HYPERLINK("http://stackoverflow.com/users/3409528", "frankcrc")</f>
        <v>frankcrc</v>
      </c>
      <c r="D6056" t="s">
        <v>8</v>
      </c>
      <c r="E6056">
        <v>11</v>
      </c>
    </row>
    <row r="6057" spans="1:5" x14ac:dyDescent="0.25">
      <c r="A6057">
        <v>6056</v>
      </c>
      <c r="B6057">
        <v>10595194</v>
      </c>
      <c r="C6057" s="1" t="str">
        <f>HYPERLINK("http://stackoverflow.com/users/10595194", "Kexy Biscuit")</f>
        <v>Kexy Biscuit</v>
      </c>
      <c r="D6057" t="s">
        <v>4</v>
      </c>
      <c r="E6057">
        <v>11</v>
      </c>
    </row>
    <row r="6058" spans="1:5" x14ac:dyDescent="0.25">
      <c r="A6058">
        <v>6057</v>
      </c>
      <c r="B6058">
        <v>8794789</v>
      </c>
      <c r="C6058" s="1" t="str">
        <f>HYPERLINK("http://stackoverflow.com/users/8794789", "Frank.W")</f>
        <v>Frank.W</v>
      </c>
      <c r="D6058" t="s">
        <v>28</v>
      </c>
      <c r="E6058">
        <v>11</v>
      </c>
    </row>
    <row r="6059" spans="1:5" x14ac:dyDescent="0.25">
      <c r="A6059">
        <v>6058</v>
      </c>
      <c r="B6059">
        <v>1632013</v>
      </c>
      <c r="C6059" s="1" t="str">
        <f>HYPERLINK("http://stackoverflow.com/users/1632013", "xirong")</f>
        <v>xirong</v>
      </c>
      <c r="D6059" t="s">
        <v>5</v>
      </c>
      <c r="E6059">
        <v>11</v>
      </c>
    </row>
    <row r="6060" spans="1:5" x14ac:dyDescent="0.25">
      <c r="A6060">
        <v>6059</v>
      </c>
      <c r="B6060">
        <v>1621496</v>
      </c>
      <c r="C6060" s="1" t="str">
        <f>HYPERLINK("http://stackoverflow.com/users/1621496", "cxsun")</f>
        <v>cxsun</v>
      </c>
      <c r="D6060" t="s">
        <v>37</v>
      </c>
      <c r="E6060">
        <v>11</v>
      </c>
    </row>
    <row r="6061" spans="1:5" x14ac:dyDescent="0.25">
      <c r="A6061">
        <v>6060</v>
      </c>
      <c r="B6061">
        <v>1709258</v>
      </c>
      <c r="C6061" s="1" t="str">
        <f>HYPERLINK("http://stackoverflow.com/users/1709258", "bg2bkk")</f>
        <v>bg2bkk</v>
      </c>
      <c r="D6061" t="s">
        <v>16</v>
      </c>
      <c r="E6061">
        <v>11</v>
      </c>
    </row>
    <row r="6062" spans="1:5" x14ac:dyDescent="0.25">
      <c r="A6062">
        <v>6061</v>
      </c>
      <c r="B6062">
        <v>5302957</v>
      </c>
      <c r="C6062" s="1" t="str">
        <f>HYPERLINK("http://stackoverflow.com/users/5302957", "Israr Ahmad")</f>
        <v>Israr Ahmad</v>
      </c>
      <c r="D6062" t="s">
        <v>5</v>
      </c>
      <c r="E6062">
        <v>11</v>
      </c>
    </row>
    <row r="6063" spans="1:5" x14ac:dyDescent="0.25">
      <c r="A6063">
        <v>6062</v>
      </c>
      <c r="B6063">
        <v>8498735</v>
      </c>
      <c r="C6063" s="1" t="str">
        <f>HYPERLINK("http://stackoverflow.com/users/8498735", "Qin Kai")</f>
        <v>Qin Kai</v>
      </c>
      <c r="D6063" t="s">
        <v>4</v>
      </c>
      <c r="E6063">
        <v>11</v>
      </c>
    </row>
    <row r="6064" spans="1:5" x14ac:dyDescent="0.25">
      <c r="A6064">
        <v>6063</v>
      </c>
      <c r="B6064">
        <v>4936248</v>
      </c>
      <c r="C6064" s="1" t="str">
        <f>HYPERLINK("http://stackoverflow.com/users/4936248", "RickyGao")</f>
        <v>RickyGao</v>
      </c>
      <c r="D6064" t="s">
        <v>209</v>
      </c>
      <c r="E6064">
        <v>11</v>
      </c>
    </row>
    <row r="6065" spans="1:5" x14ac:dyDescent="0.25">
      <c r="A6065">
        <v>6064</v>
      </c>
      <c r="B6065">
        <v>5048229</v>
      </c>
      <c r="C6065" s="1" t="str">
        <f>HYPERLINK("http://stackoverflow.com/users/5048229", "Aji Mide")</f>
        <v>Aji Mide</v>
      </c>
      <c r="D6065" t="s">
        <v>25</v>
      </c>
      <c r="E6065">
        <v>11</v>
      </c>
    </row>
    <row r="6066" spans="1:5" x14ac:dyDescent="0.25">
      <c r="A6066">
        <v>6065</v>
      </c>
      <c r="B6066">
        <v>5048901</v>
      </c>
      <c r="C6066" s="1" t="str">
        <f>HYPERLINK("http://stackoverflow.com/users/5048901", "bigCat")</f>
        <v>bigCat</v>
      </c>
      <c r="D6066" t="s">
        <v>5</v>
      </c>
      <c r="E6066">
        <v>11</v>
      </c>
    </row>
    <row r="6067" spans="1:5" x14ac:dyDescent="0.25">
      <c r="A6067">
        <v>6066</v>
      </c>
      <c r="B6067">
        <v>3225971</v>
      </c>
      <c r="C6067" s="1" t="str">
        <f>HYPERLINK("http://stackoverflow.com/users/3225971", "david")</f>
        <v>david</v>
      </c>
      <c r="D6067" t="s">
        <v>17</v>
      </c>
      <c r="E6067">
        <v>11</v>
      </c>
    </row>
    <row r="6068" spans="1:5" x14ac:dyDescent="0.25">
      <c r="A6068">
        <v>6067</v>
      </c>
      <c r="B6068">
        <v>1270909</v>
      </c>
      <c r="C6068" s="1" t="str">
        <f>HYPERLINK("http://stackoverflow.com/users/1270909", "Zhang YiJun")</f>
        <v>Zhang YiJun</v>
      </c>
      <c r="D6068" t="s">
        <v>5</v>
      </c>
      <c r="E6068">
        <v>11</v>
      </c>
    </row>
    <row r="6069" spans="1:5" x14ac:dyDescent="0.25">
      <c r="A6069">
        <v>6068</v>
      </c>
      <c r="B6069">
        <v>1282810</v>
      </c>
      <c r="C6069" s="1" t="str">
        <f>HYPERLINK("http://stackoverflow.com/users/1282810", "mat")</f>
        <v>mat</v>
      </c>
      <c r="D6069" t="s">
        <v>5</v>
      </c>
      <c r="E6069">
        <v>11</v>
      </c>
    </row>
    <row r="6070" spans="1:5" x14ac:dyDescent="0.25">
      <c r="A6070">
        <v>6069</v>
      </c>
      <c r="B6070">
        <v>3190291</v>
      </c>
      <c r="C6070" s="1" t="str">
        <f>HYPERLINK("http://stackoverflow.com/users/3190291", "juntao.qiu")</f>
        <v>juntao.qiu</v>
      </c>
      <c r="D6070" t="s">
        <v>54</v>
      </c>
      <c r="E6070">
        <v>11</v>
      </c>
    </row>
    <row r="6071" spans="1:5" x14ac:dyDescent="0.25">
      <c r="A6071">
        <v>6070</v>
      </c>
      <c r="B6071">
        <v>3201030</v>
      </c>
      <c r="C6071" s="1" t="str">
        <f>HYPERLINK("http://stackoverflow.com/users/3201030", "minxinfeng")</f>
        <v>minxinfeng</v>
      </c>
      <c r="D6071" t="s">
        <v>151</v>
      </c>
      <c r="E6071">
        <v>11</v>
      </c>
    </row>
    <row r="6072" spans="1:5" x14ac:dyDescent="0.25">
      <c r="A6072">
        <v>6071</v>
      </c>
      <c r="B6072">
        <v>4932099</v>
      </c>
      <c r="C6072" s="1" t="str">
        <f>HYPERLINK("http://stackoverflow.com/users/4932099", "luffyjet")</f>
        <v>luffyjet</v>
      </c>
      <c r="D6072" t="s">
        <v>17</v>
      </c>
      <c r="E6072">
        <v>11</v>
      </c>
    </row>
    <row r="6073" spans="1:5" x14ac:dyDescent="0.25">
      <c r="A6073">
        <v>6072</v>
      </c>
      <c r="B6073">
        <v>3106419</v>
      </c>
      <c r="C6073" s="1" t="str">
        <f>HYPERLINK("http://stackoverflow.com/users/3106419", "Small Wood")</f>
        <v>Small Wood</v>
      </c>
      <c r="D6073" t="s">
        <v>4</v>
      </c>
      <c r="E6073">
        <v>11</v>
      </c>
    </row>
    <row r="6074" spans="1:5" x14ac:dyDescent="0.25">
      <c r="A6074">
        <v>6073</v>
      </c>
      <c r="B6074">
        <v>1111005</v>
      </c>
      <c r="C6074" s="1" t="str">
        <f>HYPERLINK("http://stackoverflow.com/users/1111005", "yxsh01")</f>
        <v>yxsh01</v>
      </c>
      <c r="D6074" t="s">
        <v>5</v>
      </c>
      <c r="E6074">
        <v>11</v>
      </c>
    </row>
    <row r="6075" spans="1:5" x14ac:dyDescent="0.25">
      <c r="A6075">
        <v>6074</v>
      </c>
      <c r="B6075">
        <v>1111299</v>
      </c>
      <c r="C6075" s="1" t="str">
        <f>HYPERLINK("http://stackoverflow.com/users/1111299", "Minhao")</f>
        <v>Minhao</v>
      </c>
      <c r="D6075" t="s">
        <v>5</v>
      </c>
      <c r="E6075">
        <v>11</v>
      </c>
    </row>
    <row r="6076" spans="1:5" x14ac:dyDescent="0.25">
      <c r="A6076">
        <v>6075</v>
      </c>
      <c r="B6076">
        <v>1063425</v>
      </c>
      <c r="C6076" s="1" t="str">
        <f>HYPERLINK("http://stackoverflow.com/users/1063425", "edanwade")</f>
        <v>edanwade</v>
      </c>
      <c r="D6076" t="s">
        <v>5</v>
      </c>
      <c r="E6076">
        <v>11</v>
      </c>
    </row>
    <row r="6077" spans="1:5" x14ac:dyDescent="0.25">
      <c r="A6077">
        <v>6076</v>
      </c>
      <c r="B6077">
        <v>3068534</v>
      </c>
      <c r="C6077" s="1" t="str">
        <f>HYPERLINK("http://stackoverflow.com/users/3068534", "soooldier")</f>
        <v>soooldier</v>
      </c>
      <c r="D6077" t="s">
        <v>5</v>
      </c>
      <c r="E6077">
        <v>11</v>
      </c>
    </row>
    <row r="6078" spans="1:5" x14ac:dyDescent="0.25">
      <c r="A6078">
        <v>6077</v>
      </c>
      <c r="B6078">
        <v>4861379</v>
      </c>
      <c r="C6078" s="1" t="str">
        <f>HYPERLINK("http://stackoverflow.com/users/4861379", "Jack Zhu")</f>
        <v>Jack Zhu</v>
      </c>
      <c r="D6078" t="s">
        <v>16</v>
      </c>
      <c r="E6078">
        <v>11</v>
      </c>
    </row>
    <row r="6079" spans="1:5" x14ac:dyDescent="0.25">
      <c r="A6079">
        <v>6078</v>
      </c>
      <c r="B6079">
        <v>1049235</v>
      </c>
      <c r="C6079" s="1" t="str">
        <f>HYPERLINK("http://stackoverflow.com/users/1049235", "Aladin Lee")</f>
        <v>Aladin Lee</v>
      </c>
      <c r="D6079" t="s">
        <v>17</v>
      </c>
      <c r="E6079">
        <v>11</v>
      </c>
    </row>
    <row r="6080" spans="1:5" x14ac:dyDescent="0.25">
      <c r="A6080">
        <v>6079</v>
      </c>
      <c r="B6080">
        <v>985304</v>
      </c>
      <c r="C6080" s="1" t="str">
        <f>HYPERLINK("http://stackoverflow.com/users/985304", "Ryan")</f>
        <v>Ryan</v>
      </c>
      <c r="D6080" t="s">
        <v>5</v>
      </c>
      <c r="E6080">
        <v>11</v>
      </c>
    </row>
    <row r="6081" spans="1:5" x14ac:dyDescent="0.25">
      <c r="A6081">
        <v>6080</v>
      </c>
      <c r="B6081">
        <v>2955606</v>
      </c>
      <c r="C6081" s="1" t="str">
        <f>HYPERLINK("http://stackoverflow.com/users/2955606", "Wanli Zhu")</f>
        <v>Wanli Zhu</v>
      </c>
      <c r="D6081" t="s">
        <v>4</v>
      </c>
      <c r="E6081">
        <v>11</v>
      </c>
    </row>
    <row r="6082" spans="1:5" x14ac:dyDescent="0.25">
      <c r="A6082">
        <v>6081</v>
      </c>
      <c r="B6082">
        <v>892861</v>
      </c>
      <c r="C6082" s="1" t="str">
        <f>HYPERLINK("http://stackoverflow.com/users/892861", "roger")</f>
        <v>roger</v>
      </c>
      <c r="D6082" t="s">
        <v>54</v>
      </c>
      <c r="E6082">
        <v>11</v>
      </c>
    </row>
    <row r="6083" spans="1:5" x14ac:dyDescent="0.25">
      <c r="A6083">
        <v>6082</v>
      </c>
      <c r="B6083">
        <v>864553</v>
      </c>
      <c r="C6083" s="1" t="str">
        <f>HYPERLINK("http://stackoverflow.com/users/864553", "Jerry.CUi")</f>
        <v>Jerry.CUi</v>
      </c>
      <c r="D6083" t="s">
        <v>4</v>
      </c>
      <c r="E6083">
        <v>11</v>
      </c>
    </row>
    <row r="6084" spans="1:5" x14ac:dyDescent="0.25">
      <c r="A6084">
        <v>6083</v>
      </c>
      <c r="B6084">
        <v>4670657</v>
      </c>
      <c r="C6084" s="1" t="str">
        <f>HYPERLINK("http://stackoverflow.com/users/4670657", "George")</f>
        <v>George</v>
      </c>
      <c r="D6084" t="s">
        <v>12</v>
      </c>
      <c r="E6084">
        <v>11</v>
      </c>
    </row>
    <row r="6085" spans="1:5" x14ac:dyDescent="0.25">
      <c r="A6085">
        <v>6084</v>
      </c>
      <c r="B6085">
        <v>8221146</v>
      </c>
      <c r="C6085" s="1" t="str">
        <f>HYPERLINK("http://stackoverflow.com/users/8221146", "lynnic")</f>
        <v>lynnic</v>
      </c>
      <c r="D6085" t="s">
        <v>43</v>
      </c>
      <c r="E6085">
        <v>11</v>
      </c>
    </row>
    <row r="6086" spans="1:5" x14ac:dyDescent="0.25">
      <c r="A6086">
        <v>6085</v>
      </c>
      <c r="B6086">
        <v>779212</v>
      </c>
      <c r="C6086" s="1" t="str">
        <f>HYPERLINK("http://stackoverflow.com/users/779212", "zephyro")</f>
        <v>zephyro</v>
      </c>
      <c r="D6086" t="s">
        <v>5</v>
      </c>
      <c r="E6086">
        <v>11</v>
      </c>
    </row>
    <row r="6087" spans="1:5" x14ac:dyDescent="0.25">
      <c r="A6087">
        <v>6086</v>
      </c>
      <c r="B6087">
        <v>4710276</v>
      </c>
      <c r="C6087" s="1" t="str">
        <f>HYPERLINK("http://stackoverflow.com/users/4710276", "Yanwen")</f>
        <v>Yanwen</v>
      </c>
      <c r="D6087" t="s">
        <v>5</v>
      </c>
      <c r="E6087">
        <v>11</v>
      </c>
    </row>
    <row r="6088" spans="1:5" x14ac:dyDescent="0.25">
      <c r="A6088">
        <v>6087</v>
      </c>
      <c r="B6088">
        <v>8262079</v>
      </c>
      <c r="C6088" s="1" t="str">
        <f>HYPERLINK("http://stackoverflow.com/users/8262079", "suga_e")</f>
        <v>suga_e</v>
      </c>
      <c r="D6088" t="s">
        <v>4</v>
      </c>
      <c r="E6088">
        <v>11</v>
      </c>
    </row>
    <row r="6089" spans="1:5" x14ac:dyDescent="0.25">
      <c r="A6089">
        <v>6088</v>
      </c>
      <c r="B6089">
        <v>2902365</v>
      </c>
      <c r="C6089" s="1" t="str">
        <f>HYPERLINK("http://stackoverflow.com/users/2902365", "sloanyang")</f>
        <v>sloanyang</v>
      </c>
      <c r="D6089" t="s">
        <v>21</v>
      </c>
      <c r="E6089">
        <v>11</v>
      </c>
    </row>
    <row r="6090" spans="1:5" x14ac:dyDescent="0.25">
      <c r="A6090">
        <v>6089</v>
      </c>
      <c r="B6090">
        <v>8114204</v>
      </c>
      <c r="C6090" s="1" t="str">
        <f>HYPERLINK("http://stackoverflow.com/users/8114204", "Manasseh Zhou")</f>
        <v>Manasseh Zhou</v>
      </c>
      <c r="D6090" t="s">
        <v>66</v>
      </c>
      <c r="E6090">
        <v>11</v>
      </c>
    </row>
    <row r="6091" spans="1:5" x14ac:dyDescent="0.25">
      <c r="A6091">
        <v>6090</v>
      </c>
      <c r="B6091">
        <v>8114680</v>
      </c>
      <c r="C6091" s="1" t="str">
        <f>HYPERLINK("http://stackoverflow.com/users/8114680", "Aeins")</f>
        <v>Aeins</v>
      </c>
      <c r="D6091" t="s">
        <v>28</v>
      </c>
      <c r="E6091">
        <v>11</v>
      </c>
    </row>
    <row r="6092" spans="1:5" x14ac:dyDescent="0.25">
      <c r="A6092">
        <v>6091</v>
      </c>
      <c r="B6092">
        <v>8117784</v>
      </c>
      <c r="C6092" s="1" t="str">
        <f>HYPERLINK("http://stackoverflow.com/users/8117784", "ziwen qin")</f>
        <v>ziwen qin</v>
      </c>
      <c r="D6092" t="s">
        <v>5</v>
      </c>
      <c r="E6092">
        <v>11</v>
      </c>
    </row>
    <row r="6093" spans="1:5" x14ac:dyDescent="0.25">
      <c r="A6093">
        <v>6092</v>
      </c>
      <c r="B6093">
        <v>2771761</v>
      </c>
      <c r="C6093" s="1" t="str">
        <f>HYPERLINK("http://stackoverflow.com/users/2771761", "guoshichao")</f>
        <v>guoshichao</v>
      </c>
      <c r="D6093" t="s">
        <v>5</v>
      </c>
      <c r="E6093">
        <v>11</v>
      </c>
    </row>
    <row r="6094" spans="1:5" x14ac:dyDescent="0.25">
      <c r="A6094">
        <v>6093</v>
      </c>
      <c r="B6094">
        <v>9987689</v>
      </c>
      <c r="C6094" s="1" t="str">
        <f>HYPERLINK("http://stackoverflow.com/users/9987689", "Duan Bing")</f>
        <v>Duan Bing</v>
      </c>
      <c r="D6094" t="s">
        <v>5</v>
      </c>
      <c r="E6094">
        <v>11</v>
      </c>
    </row>
    <row r="6095" spans="1:5" x14ac:dyDescent="0.25">
      <c r="A6095">
        <v>6094</v>
      </c>
      <c r="B6095">
        <v>6358860</v>
      </c>
      <c r="C6095" s="1" t="str">
        <f>HYPERLINK("http://stackoverflow.com/users/6358860", "Gao.YD")</f>
        <v>Gao.YD</v>
      </c>
      <c r="D6095" t="s">
        <v>4</v>
      </c>
      <c r="E6095">
        <v>11</v>
      </c>
    </row>
    <row r="6096" spans="1:5" x14ac:dyDescent="0.25">
      <c r="A6096">
        <v>6095</v>
      </c>
      <c r="B6096">
        <v>8149291</v>
      </c>
      <c r="C6096" s="1" t="str">
        <f>HYPERLINK("http://stackoverflow.com/users/8149291", "Mu00")</f>
        <v>Mu00</v>
      </c>
      <c r="D6096" t="s">
        <v>5</v>
      </c>
      <c r="E6096">
        <v>11</v>
      </c>
    </row>
    <row r="6097" spans="1:5" x14ac:dyDescent="0.25">
      <c r="A6097">
        <v>6096</v>
      </c>
      <c r="B6097">
        <v>6367683</v>
      </c>
      <c r="C6097" s="1" t="str">
        <f>HYPERLINK("http://stackoverflow.com/users/6367683", "akira kato")</f>
        <v>akira kato</v>
      </c>
      <c r="D6097" t="s">
        <v>4</v>
      </c>
      <c r="E6097">
        <v>11</v>
      </c>
    </row>
    <row r="6098" spans="1:5" x14ac:dyDescent="0.25">
      <c r="A6098">
        <v>6097</v>
      </c>
      <c r="B6098">
        <v>2685259</v>
      </c>
      <c r="C6098" s="1" t="str">
        <f>HYPERLINK("http://stackoverflow.com/users/2685259", "zjy")</f>
        <v>zjy</v>
      </c>
      <c r="D6098" t="s">
        <v>43</v>
      </c>
      <c r="E6098">
        <v>11</v>
      </c>
    </row>
    <row r="6099" spans="1:5" x14ac:dyDescent="0.25">
      <c r="A6099">
        <v>6098</v>
      </c>
      <c r="B6099">
        <v>553064</v>
      </c>
      <c r="C6099" s="1" t="str">
        <f>HYPERLINK("http://stackoverflow.com/users/553064", "annabel1832")</f>
        <v>annabel1832</v>
      </c>
      <c r="D6099" t="s">
        <v>5</v>
      </c>
      <c r="E6099">
        <v>11</v>
      </c>
    </row>
    <row r="6100" spans="1:5" x14ac:dyDescent="0.25">
      <c r="A6100">
        <v>6099</v>
      </c>
      <c r="B6100">
        <v>2735232</v>
      </c>
      <c r="C6100" s="1" t="str">
        <f>HYPERLINK("http://stackoverflow.com/users/2735232", "yanfei pei")</f>
        <v>yanfei pei</v>
      </c>
      <c r="D6100" t="s">
        <v>12</v>
      </c>
      <c r="E6100">
        <v>11</v>
      </c>
    </row>
    <row r="6101" spans="1:5" x14ac:dyDescent="0.25">
      <c r="A6101">
        <v>6100</v>
      </c>
      <c r="B6101">
        <v>560274</v>
      </c>
      <c r="C6101" s="1" t="str">
        <f>HYPERLINK("http://stackoverflow.com/users/560274", "xzhai")</f>
        <v>xzhai</v>
      </c>
      <c r="D6101" t="s">
        <v>8</v>
      </c>
      <c r="E6101">
        <v>11</v>
      </c>
    </row>
    <row r="6102" spans="1:5" x14ac:dyDescent="0.25">
      <c r="A6102">
        <v>6101</v>
      </c>
      <c r="B6102">
        <v>561333</v>
      </c>
      <c r="C6102" s="1" t="str">
        <f>HYPERLINK("http://stackoverflow.com/users/561333", "denfon")</f>
        <v>denfon</v>
      </c>
      <c r="D6102" t="s">
        <v>5</v>
      </c>
      <c r="E6102">
        <v>11</v>
      </c>
    </row>
    <row r="6103" spans="1:5" x14ac:dyDescent="0.25">
      <c r="A6103">
        <v>6102</v>
      </c>
      <c r="B6103">
        <v>8100877</v>
      </c>
      <c r="C6103" s="1" t="str">
        <f>HYPERLINK("http://stackoverflow.com/users/8100877", "Bin")</f>
        <v>Bin</v>
      </c>
      <c r="D6103" t="s">
        <v>5</v>
      </c>
      <c r="E6103">
        <v>11</v>
      </c>
    </row>
    <row r="6104" spans="1:5" x14ac:dyDescent="0.25">
      <c r="A6104">
        <v>6103</v>
      </c>
      <c r="B6104">
        <v>527562</v>
      </c>
      <c r="C6104" s="1" t="str">
        <f>HYPERLINK("http://stackoverflow.com/users/527562", "lv_yonggang")</f>
        <v>lv_yonggang</v>
      </c>
      <c r="D6104" t="s">
        <v>5</v>
      </c>
      <c r="E6104">
        <v>11</v>
      </c>
    </row>
    <row r="6105" spans="1:5" x14ac:dyDescent="0.25">
      <c r="A6105">
        <v>6104</v>
      </c>
      <c r="B6105">
        <v>365579</v>
      </c>
      <c r="C6105" s="1" t="str">
        <f>HYPERLINK("http://stackoverflow.com/users/365579", "everbird")</f>
        <v>everbird</v>
      </c>
      <c r="D6105" t="s">
        <v>5</v>
      </c>
      <c r="E6105">
        <v>11</v>
      </c>
    </row>
    <row r="6106" spans="1:5" x14ac:dyDescent="0.25">
      <c r="A6106">
        <v>6105</v>
      </c>
      <c r="B6106">
        <v>2640980</v>
      </c>
      <c r="C6106" s="1" t="str">
        <f>HYPERLINK("http://stackoverflow.com/users/2640980", "Stephane")</f>
        <v>Stephane</v>
      </c>
      <c r="D6106" t="s">
        <v>5</v>
      </c>
      <c r="E6106">
        <v>11</v>
      </c>
    </row>
    <row r="6107" spans="1:5" x14ac:dyDescent="0.25">
      <c r="A6107">
        <v>6106</v>
      </c>
      <c r="B6107">
        <v>289795</v>
      </c>
      <c r="C6107" s="1" t="str">
        <f>HYPERLINK("http://stackoverflow.com/users/289795", "flyingchen")</f>
        <v>flyingchen</v>
      </c>
      <c r="D6107" t="s">
        <v>12</v>
      </c>
      <c r="E6107">
        <v>11</v>
      </c>
    </row>
    <row r="6108" spans="1:5" x14ac:dyDescent="0.25">
      <c r="A6108">
        <v>6107</v>
      </c>
      <c r="B6108">
        <v>9733066</v>
      </c>
      <c r="C6108" s="1" t="str">
        <f>HYPERLINK("http://stackoverflow.com/users/9733066", "Ryan")</f>
        <v>Ryan</v>
      </c>
      <c r="D6108" t="s">
        <v>4</v>
      </c>
      <c r="E6108">
        <v>11</v>
      </c>
    </row>
    <row r="6109" spans="1:5" x14ac:dyDescent="0.25">
      <c r="A6109">
        <v>6108</v>
      </c>
      <c r="B6109">
        <v>4460798</v>
      </c>
      <c r="C6109" s="1" t="str">
        <f>HYPERLINK("http://stackoverflow.com/users/4460798", "George Kuo")</f>
        <v>George Kuo</v>
      </c>
      <c r="D6109" t="s">
        <v>4</v>
      </c>
      <c r="E6109">
        <v>11</v>
      </c>
    </row>
    <row r="6110" spans="1:5" x14ac:dyDescent="0.25">
      <c r="A6110">
        <v>6109</v>
      </c>
      <c r="B6110">
        <v>9608882</v>
      </c>
      <c r="C6110" s="1" t="str">
        <f>HYPERLINK("http://stackoverflow.com/users/9608882", "Vincent Chen")</f>
        <v>Vincent Chen</v>
      </c>
      <c r="D6110" t="s">
        <v>5</v>
      </c>
      <c r="E6110">
        <v>11</v>
      </c>
    </row>
    <row r="6111" spans="1:5" x14ac:dyDescent="0.25">
      <c r="A6111">
        <v>6110</v>
      </c>
      <c r="B6111">
        <v>7809125</v>
      </c>
      <c r="C6111" s="1" t="str">
        <f>HYPERLINK("http://stackoverflow.com/users/7809125", "Radek")</f>
        <v>Radek</v>
      </c>
      <c r="D6111" t="s">
        <v>7</v>
      </c>
      <c r="E6111">
        <v>11</v>
      </c>
    </row>
    <row r="6112" spans="1:5" x14ac:dyDescent="0.25">
      <c r="A6112">
        <v>6111</v>
      </c>
      <c r="B6112">
        <v>2436204</v>
      </c>
      <c r="C6112" s="1" t="str">
        <f>HYPERLINK("http://stackoverflow.com/users/2436204", "Sun Fuqiang")</f>
        <v>Sun Fuqiang</v>
      </c>
      <c r="D6112" t="s">
        <v>5</v>
      </c>
      <c r="E6112">
        <v>11</v>
      </c>
    </row>
    <row r="6113" spans="1:5" x14ac:dyDescent="0.25">
      <c r="A6113">
        <v>6112</v>
      </c>
      <c r="B6113">
        <v>2459704</v>
      </c>
      <c r="C6113" s="1" t="str">
        <f>HYPERLINK("http://stackoverflow.com/users/2459704", "meat grinder")</f>
        <v>meat grinder</v>
      </c>
      <c r="D6113" t="s">
        <v>37</v>
      </c>
      <c r="E6113">
        <v>11</v>
      </c>
    </row>
    <row r="6114" spans="1:5" x14ac:dyDescent="0.25">
      <c r="A6114">
        <v>6113</v>
      </c>
      <c r="B6114">
        <v>6065304</v>
      </c>
      <c r="C6114" s="1" t="str">
        <f>HYPERLINK("http://stackoverflow.com/users/6065304", "Raul Yang")</f>
        <v>Raul Yang</v>
      </c>
      <c r="D6114" t="s">
        <v>5</v>
      </c>
      <c r="E6114">
        <v>11</v>
      </c>
    </row>
    <row r="6115" spans="1:5" x14ac:dyDescent="0.25">
      <c r="A6115">
        <v>6114</v>
      </c>
      <c r="B6115">
        <v>7864944</v>
      </c>
      <c r="C6115" s="1" t="str">
        <f>HYPERLINK("http://stackoverflow.com/users/7864944", "eating_miao")</f>
        <v>eating_miao</v>
      </c>
      <c r="D6115" t="s">
        <v>25</v>
      </c>
      <c r="E6115">
        <v>11</v>
      </c>
    </row>
    <row r="6116" spans="1:5" x14ac:dyDescent="0.25">
      <c r="A6116">
        <v>6115</v>
      </c>
      <c r="B6116">
        <v>6112199</v>
      </c>
      <c r="C6116" s="1" t="str">
        <f>HYPERLINK("http://stackoverflow.com/users/6112199", "btista")</f>
        <v>btista</v>
      </c>
      <c r="D6116" t="s">
        <v>131</v>
      </c>
      <c r="E6116">
        <v>11</v>
      </c>
    </row>
    <row r="6117" spans="1:5" x14ac:dyDescent="0.25">
      <c r="A6117">
        <v>6116</v>
      </c>
      <c r="B6117">
        <v>6116235</v>
      </c>
      <c r="C6117" s="1" t="str">
        <f>HYPERLINK("http://stackoverflow.com/users/6116235", "X.Chen")</f>
        <v>X.Chen</v>
      </c>
      <c r="D6117" t="s">
        <v>5</v>
      </c>
      <c r="E6117">
        <v>11</v>
      </c>
    </row>
    <row r="6118" spans="1:5" x14ac:dyDescent="0.25">
      <c r="A6118">
        <v>6117</v>
      </c>
      <c r="B6118">
        <v>4380644</v>
      </c>
      <c r="C6118" s="1" t="str">
        <f>HYPERLINK("http://stackoverflow.com/users/4380644", "Sean Bohan")</f>
        <v>Sean Bohan</v>
      </c>
      <c r="D6118" t="s">
        <v>62</v>
      </c>
      <c r="E6118">
        <v>11</v>
      </c>
    </row>
    <row r="6119" spans="1:5" x14ac:dyDescent="0.25">
      <c r="A6119">
        <v>6118</v>
      </c>
      <c r="B6119">
        <v>2511646</v>
      </c>
      <c r="C6119" s="1" t="str">
        <f>HYPERLINK("http://stackoverflow.com/users/2511646", "Elan")</f>
        <v>Elan</v>
      </c>
      <c r="D6119" t="s">
        <v>4</v>
      </c>
      <c r="E6119">
        <v>11</v>
      </c>
    </row>
    <row r="6120" spans="1:5" x14ac:dyDescent="0.25">
      <c r="A6120">
        <v>6119</v>
      </c>
      <c r="B6120">
        <v>6133505</v>
      </c>
      <c r="C6120" s="1" t="str">
        <f>HYPERLINK("http://stackoverflow.com/users/6133505", "Zhou Cheng")</f>
        <v>Zhou Cheng</v>
      </c>
      <c r="D6120" t="s">
        <v>62</v>
      </c>
      <c r="E6120">
        <v>11</v>
      </c>
    </row>
    <row r="6121" spans="1:5" x14ac:dyDescent="0.25">
      <c r="A6121">
        <v>6120</v>
      </c>
      <c r="B6121">
        <v>2545593</v>
      </c>
      <c r="C6121" s="1" t="str">
        <f>HYPERLINK("http://stackoverflow.com/users/2545593", "Jevan Wu")</f>
        <v>Jevan Wu</v>
      </c>
      <c r="D6121" t="s">
        <v>4</v>
      </c>
      <c r="E6121">
        <v>11</v>
      </c>
    </row>
    <row r="6122" spans="1:5" x14ac:dyDescent="0.25">
      <c r="A6122">
        <v>6121</v>
      </c>
      <c r="B6122">
        <v>4400024</v>
      </c>
      <c r="C6122" s="1" t="str">
        <f>HYPERLINK("http://stackoverflow.com/users/4400024", "ardiya")</f>
        <v>ardiya</v>
      </c>
      <c r="D6122" t="s">
        <v>7</v>
      </c>
      <c r="E6122">
        <v>11</v>
      </c>
    </row>
    <row r="6123" spans="1:5" x14ac:dyDescent="0.25">
      <c r="A6123">
        <v>6122</v>
      </c>
      <c r="B6123">
        <v>9709048</v>
      </c>
      <c r="C6123" s="1" t="str">
        <f>HYPERLINK("http://stackoverflow.com/users/9709048", "Tanzeem Bhatti")</f>
        <v>Tanzeem Bhatti</v>
      </c>
      <c r="D6123" t="s">
        <v>7</v>
      </c>
      <c r="E6123">
        <v>11</v>
      </c>
    </row>
    <row r="6124" spans="1:5" x14ac:dyDescent="0.25">
      <c r="A6124">
        <v>6123</v>
      </c>
      <c r="B6124">
        <v>3855255</v>
      </c>
      <c r="C6124" s="1" t="str">
        <f>HYPERLINK("http://stackoverflow.com/users/3855255", "Woody")</f>
        <v>Woody</v>
      </c>
      <c r="D6124" t="s">
        <v>4</v>
      </c>
      <c r="E6124">
        <v>11</v>
      </c>
    </row>
    <row r="6125" spans="1:5" x14ac:dyDescent="0.25">
      <c r="A6125">
        <v>6124</v>
      </c>
      <c r="B6125">
        <v>7365581</v>
      </c>
      <c r="C6125" s="1" t="str">
        <f>HYPERLINK("http://stackoverflow.com/users/7365581", "Raven Shee")</f>
        <v>Raven Shee</v>
      </c>
      <c r="D6125" t="s">
        <v>10</v>
      </c>
      <c r="E6125">
        <v>11</v>
      </c>
    </row>
    <row r="6126" spans="1:5" x14ac:dyDescent="0.25">
      <c r="A6126">
        <v>6125</v>
      </c>
      <c r="B6126">
        <v>5653121</v>
      </c>
      <c r="C6126" s="1" t="str">
        <f>HYPERLINK("http://stackoverflow.com/users/5653121", "Tyorofurin")</f>
        <v>Tyorofurin</v>
      </c>
      <c r="D6126" t="s">
        <v>4</v>
      </c>
      <c r="E6126">
        <v>11</v>
      </c>
    </row>
    <row r="6127" spans="1:5" x14ac:dyDescent="0.25">
      <c r="A6127">
        <v>6126</v>
      </c>
      <c r="B6127">
        <v>5648867</v>
      </c>
      <c r="C6127" s="1" t="str">
        <f>HYPERLINK("http://stackoverflow.com/users/5648867", "Jonthan Yang")</f>
        <v>Jonthan Yang</v>
      </c>
      <c r="D6127" t="s">
        <v>21</v>
      </c>
      <c r="E6127">
        <v>11</v>
      </c>
    </row>
    <row r="6128" spans="1:5" x14ac:dyDescent="0.25">
      <c r="A6128">
        <v>6127</v>
      </c>
      <c r="B6128">
        <v>3855775</v>
      </c>
      <c r="C6128" s="1" t="str">
        <f>HYPERLINK("http://stackoverflow.com/users/3855775", "frankqian")</f>
        <v>frankqian</v>
      </c>
      <c r="D6128" t="s">
        <v>4</v>
      </c>
      <c r="E6128">
        <v>11</v>
      </c>
    </row>
    <row r="6129" spans="1:5" x14ac:dyDescent="0.25">
      <c r="A6129">
        <v>6128</v>
      </c>
      <c r="B6129">
        <v>1982247</v>
      </c>
      <c r="C6129" s="1" t="str">
        <f>HYPERLINK("http://stackoverflow.com/users/1982247", "Yan Bo")</f>
        <v>Yan Bo</v>
      </c>
      <c r="D6129" t="s">
        <v>5</v>
      </c>
      <c r="E6129">
        <v>11</v>
      </c>
    </row>
    <row r="6130" spans="1:5" x14ac:dyDescent="0.25">
      <c r="A6130">
        <v>6129</v>
      </c>
      <c r="B6130">
        <v>3770264</v>
      </c>
      <c r="C6130" s="1" t="str">
        <f>HYPERLINK("http://stackoverflow.com/users/3770264", "Yiheng")</f>
        <v>Yiheng</v>
      </c>
      <c r="D6130" t="s">
        <v>5</v>
      </c>
      <c r="E6130">
        <v>11</v>
      </c>
    </row>
    <row r="6131" spans="1:5" x14ac:dyDescent="0.25">
      <c r="A6131">
        <v>6130</v>
      </c>
      <c r="B6131">
        <v>7335542</v>
      </c>
      <c r="C6131" s="1" t="str">
        <f>HYPERLINK("http://stackoverflow.com/users/7335542", "LevinHelixTalos")</f>
        <v>LevinHelixTalos</v>
      </c>
      <c r="D6131" t="s">
        <v>347</v>
      </c>
      <c r="E6131">
        <v>11</v>
      </c>
    </row>
    <row r="6132" spans="1:5" x14ac:dyDescent="0.25">
      <c r="A6132">
        <v>6131</v>
      </c>
      <c r="B6132">
        <v>5542818</v>
      </c>
      <c r="C6132" s="1" t="str">
        <f>HYPERLINK("http://stackoverflow.com/users/5542818", "GongchuangSu")</f>
        <v>GongchuangSu</v>
      </c>
      <c r="D6132" t="s">
        <v>8</v>
      </c>
      <c r="E6132">
        <v>11</v>
      </c>
    </row>
    <row r="6133" spans="1:5" x14ac:dyDescent="0.25">
      <c r="A6133">
        <v>6132</v>
      </c>
      <c r="B6133">
        <v>10957878</v>
      </c>
      <c r="C6133" s="1" t="str">
        <f>HYPERLINK("http://stackoverflow.com/users/10957878", "hongdeshuai")</f>
        <v>hongdeshuai</v>
      </c>
      <c r="D6133" t="s">
        <v>33</v>
      </c>
      <c r="E6133">
        <v>11</v>
      </c>
    </row>
    <row r="6134" spans="1:5" x14ac:dyDescent="0.25">
      <c r="A6134">
        <v>6133</v>
      </c>
      <c r="B6134">
        <v>3616612</v>
      </c>
      <c r="C6134" s="1" t="str">
        <f>HYPERLINK("http://stackoverflow.com/users/3616612", "Lumia_Saki")</f>
        <v>Lumia_Saki</v>
      </c>
      <c r="D6134" t="s">
        <v>5</v>
      </c>
      <c r="E6134">
        <v>11</v>
      </c>
    </row>
    <row r="6135" spans="1:5" x14ac:dyDescent="0.25">
      <c r="A6135">
        <v>6134</v>
      </c>
      <c r="B6135">
        <v>3600874</v>
      </c>
      <c r="C6135" s="1" t="str">
        <f>HYPERLINK("http://stackoverflow.com/users/3600874", "JM_BJ")</f>
        <v>JM_BJ</v>
      </c>
      <c r="D6135" t="s">
        <v>5</v>
      </c>
      <c r="E6135">
        <v>11</v>
      </c>
    </row>
    <row r="6136" spans="1:5" x14ac:dyDescent="0.25">
      <c r="A6136">
        <v>6135</v>
      </c>
      <c r="B6136">
        <v>3609229</v>
      </c>
      <c r="C6136" s="1" t="str">
        <f>HYPERLINK("http://stackoverflow.com/users/3609229", "Hanyu Ye")</f>
        <v>Hanyu Ye</v>
      </c>
      <c r="D6136" t="s">
        <v>5</v>
      </c>
      <c r="E6136">
        <v>11</v>
      </c>
    </row>
    <row r="6137" spans="1:5" x14ac:dyDescent="0.25">
      <c r="A6137">
        <v>6136</v>
      </c>
      <c r="B6137">
        <v>7195364</v>
      </c>
      <c r="C6137" s="1" t="str">
        <f>HYPERLINK("http://stackoverflow.com/users/7195364", "light_bo")</f>
        <v>light_bo</v>
      </c>
      <c r="D6137" t="s">
        <v>17</v>
      </c>
      <c r="E6137">
        <v>11</v>
      </c>
    </row>
    <row r="6138" spans="1:5" x14ac:dyDescent="0.25">
      <c r="A6138">
        <v>6137</v>
      </c>
      <c r="B6138">
        <v>3559473</v>
      </c>
      <c r="C6138" s="1" t="str">
        <f>HYPERLINK("http://stackoverflow.com/users/3559473", "fendar")</f>
        <v>fendar</v>
      </c>
      <c r="D6138" t="s">
        <v>22</v>
      </c>
      <c r="E6138">
        <v>11</v>
      </c>
    </row>
    <row r="6139" spans="1:5" x14ac:dyDescent="0.25">
      <c r="A6139">
        <v>6138</v>
      </c>
      <c r="B6139">
        <v>9130003</v>
      </c>
      <c r="C6139" s="1" t="str">
        <f>HYPERLINK("http://stackoverflow.com/users/9130003", "AireSpringfield")</f>
        <v>AireSpringfield</v>
      </c>
      <c r="D6139" t="s">
        <v>5</v>
      </c>
      <c r="E6139">
        <v>11</v>
      </c>
    </row>
    <row r="6140" spans="1:5" x14ac:dyDescent="0.25">
      <c r="A6140">
        <v>6139</v>
      </c>
      <c r="B6140">
        <v>9126101</v>
      </c>
      <c r="C6140" s="1" t="str">
        <f>HYPERLINK("http://stackoverflow.com/users/9126101", "Jay")</f>
        <v>Jay</v>
      </c>
      <c r="D6140" t="s">
        <v>29</v>
      </c>
      <c r="E6140">
        <v>11</v>
      </c>
    </row>
    <row r="6141" spans="1:5" x14ac:dyDescent="0.25">
      <c r="A6141">
        <v>6140</v>
      </c>
      <c r="B6141">
        <v>7234608</v>
      </c>
      <c r="C6141" s="1" t="str">
        <f>HYPERLINK("http://stackoverflow.com/users/7234608", "Ray")</f>
        <v>Ray</v>
      </c>
      <c r="D6141" t="s">
        <v>28</v>
      </c>
      <c r="E6141">
        <v>11</v>
      </c>
    </row>
    <row r="6142" spans="1:5" x14ac:dyDescent="0.25">
      <c r="A6142">
        <v>6141</v>
      </c>
      <c r="B6142">
        <v>10921127</v>
      </c>
      <c r="C6142" s="1" t="str">
        <f>HYPERLINK("http://stackoverflow.com/users/10921127", "nano")</f>
        <v>nano</v>
      </c>
      <c r="D6142" t="s">
        <v>5</v>
      </c>
      <c r="E6142">
        <v>11</v>
      </c>
    </row>
    <row r="6143" spans="1:5" x14ac:dyDescent="0.25">
      <c r="A6143">
        <v>6142</v>
      </c>
      <c r="B6143">
        <v>7223635</v>
      </c>
      <c r="C6143" s="1" t="str">
        <f>HYPERLINK("http://stackoverflow.com/users/7223635", "zhangyh")</f>
        <v>zhangyh</v>
      </c>
      <c r="D6143" t="s">
        <v>16</v>
      </c>
      <c r="E6143">
        <v>11</v>
      </c>
    </row>
    <row r="6144" spans="1:5" x14ac:dyDescent="0.25">
      <c r="A6144">
        <v>6143</v>
      </c>
      <c r="B6144">
        <v>5459597</v>
      </c>
      <c r="C6144" s="1" t="str">
        <f>HYPERLINK("http://stackoverflow.com/users/5459597", "geekgao")</f>
        <v>geekgao</v>
      </c>
      <c r="D6144" t="s">
        <v>131</v>
      </c>
      <c r="E6144">
        <v>11</v>
      </c>
    </row>
    <row r="6145" spans="1:5" x14ac:dyDescent="0.25">
      <c r="A6145">
        <v>6144</v>
      </c>
      <c r="B6145">
        <v>7724731</v>
      </c>
      <c r="C6145" s="1" t="str">
        <f>HYPERLINK("http://stackoverflow.com/users/7724731", "Bill Yang")</f>
        <v>Bill Yang</v>
      </c>
      <c r="D6145" t="s">
        <v>4</v>
      </c>
      <c r="E6145">
        <v>11</v>
      </c>
    </row>
    <row r="6146" spans="1:5" x14ac:dyDescent="0.25">
      <c r="A6146">
        <v>6145</v>
      </c>
      <c r="B6146">
        <v>7739717</v>
      </c>
      <c r="C6146" s="1" t="str">
        <f>HYPERLINK("http://stackoverflow.com/users/7739717", "pulord")</f>
        <v>pulord</v>
      </c>
      <c r="D6146" t="s">
        <v>25</v>
      </c>
      <c r="E6146">
        <v>11</v>
      </c>
    </row>
    <row r="6147" spans="1:5" x14ac:dyDescent="0.25">
      <c r="A6147">
        <v>6146</v>
      </c>
      <c r="B6147">
        <v>7710032</v>
      </c>
      <c r="C6147" s="1" t="str">
        <f>HYPERLINK("http://stackoverflow.com/users/7710032", "Haoran Zhang")</f>
        <v>Haoran Zhang</v>
      </c>
      <c r="D6147" t="s">
        <v>49</v>
      </c>
      <c r="E6147">
        <v>11</v>
      </c>
    </row>
    <row r="6148" spans="1:5" x14ac:dyDescent="0.25">
      <c r="A6148">
        <v>6147</v>
      </c>
      <c r="B6148">
        <v>7666369</v>
      </c>
      <c r="C6148" s="1" t="str">
        <f>HYPERLINK("http://stackoverflow.com/users/7666369", "winbill")</f>
        <v>winbill</v>
      </c>
      <c r="D6148" t="s">
        <v>5</v>
      </c>
      <c r="E6148">
        <v>11</v>
      </c>
    </row>
    <row r="6149" spans="1:5" x14ac:dyDescent="0.25">
      <c r="A6149">
        <v>6148</v>
      </c>
      <c r="B6149">
        <v>5842344</v>
      </c>
      <c r="C6149" s="1" t="str">
        <f>HYPERLINK("http://stackoverflow.com/users/5842344", "E.Lau")</f>
        <v>E.Lau</v>
      </c>
      <c r="D6149" t="s">
        <v>348</v>
      </c>
      <c r="E6149">
        <v>11</v>
      </c>
    </row>
    <row r="6150" spans="1:5" x14ac:dyDescent="0.25">
      <c r="A6150">
        <v>6149</v>
      </c>
      <c r="B6150">
        <v>2376718</v>
      </c>
      <c r="C6150" s="1" t="str">
        <f>HYPERLINK("http://stackoverflow.com/users/2376718", "gankme")</f>
        <v>gankme</v>
      </c>
      <c r="D6150" t="s">
        <v>5</v>
      </c>
      <c r="E6150">
        <v>11</v>
      </c>
    </row>
    <row r="6151" spans="1:5" x14ac:dyDescent="0.25">
      <c r="A6151">
        <v>6150</v>
      </c>
      <c r="B6151">
        <v>2389342</v>
      </c>
      <c r="C6151" s="1" t="str">
        <f>HYPERLINK("http://stackoverflow.com/users/2389342", "Yuze Wang")</f>
        <v>Yuze Wang</v>
      </c>
      <c r="D6151" t="s">
        <v>349</v>
      </c>
      <c r="E6151">
        <v>11</v>
      </c>
    </row>
    <row r="6152" spans="1:5" x14ac:dyDescent="0.25">
      <c r="A6152">
        <v>6151</v>
      </c>
      <c r="B6152">
        <v>7518946</v>
      </c>
      <c r="C6152" s="1" t="str">
        <f>HYPERLINK("http://stackoverflow.com/users/7518946", "Star.1215")</f>
        <v>Star.1215</v>
      </c>
      <c r="D6152" t="s">
        <v>221</v>
      </c>
      <c r="E6152">
        <v>11</v>
      </c>
    </row>
    <row r="6153" spans="1:5" x14ac:dyDescent="0.25">
      <c r="A6153">
        <v>6152</v>
      </c>
      <c r="B6153">
        <v>7522277</v>
      </c>
      <c r="C6153" s="1" t="str">
        <f>HYPERLINK("http://stackoverflow.com/users/7522277", "Xin Liu")</f>
        <v>Xin Liu</v>
      </c>
      <c r="D6153" t="s">
        <v>4</v>
      </c>
      <c r="E6153">
        <v>11</v>
      </c>
    </row>
    <row r="6154" spans="1:5" x14ac:dyDescent="0.25">
      <c r="A6154">
        <v>6153</v>
      </c>
      <c r="B6154">
        <v>5804622</v>
      </c>
      <c r="C6154" s="1" t="str">
        <f>HYPERLINK("http://stackoverflow.com/users/5804622", "Haniel Cui")</f>
        <v>Haniel Cui</v>
      </c>
      <c r="D6154" t="s">
        <v>5</v>
      </c>
      <c r="E6154">
        <v>11</v>
      </c>
    </row>
    <row r="6155" spans="1:5" x14ac:dyDescent="0.25">
      <c r="A6155">
        <v>6154</v>
      </c>
      <c r="B6155">
        <v>9380072</v>
      </c>
      <c r="C6155" s="1" t="str">
        <f>HYPERLINK("http://stackoverflow.com/users/9380072", "James Lee")</f>
        <v>James Lee</v>
      </c>
      <c r="D6155" t="s">
        <v>33</v>
      </c>
      <c r="E6155">
        <v>11</v>
      </c>
    </row>
    <row r="6156" spans="1:5" x14ac:dyDescent="0.25">
      <c r="A6156">
        <v>6155</v>
      </c>
      <c r="B6156">
        <v>5733556</v>
      </c>
      <c r="C6156" s="1" t="str">
        <f>HYPERLINK("http://stackoverflow.com/users/5733556", "Mingbao")</f>
        <v>Mingbao</v>
      </c>
      <c r="D6156" t="s">
        <v>4</v>
      </c>
      <c r="E6156">
        <v>11</v>
      </c>
    </row>
    <row r="6157" spans="1:5" x14ac:dyDescent="0.25">
      <c r="A6157">
        <v>6156</v>
      </c>
      <c r="B6157">
        <v>3894030</v>
      </c>
      <c r="C6157" s="1" t="str">
        <f>HYPERLINK("http://stackoverflow.com/users/3894030", "Sarah")</f>
        <v>Sarah</v>
      </c>
      <c r="D6157" t="s">
        <v>4</v>
      </c>
      <c r="E6157">
        <v>11</v>
      </c>
    </row>
    <row r="6158" spans="1:5" x14ac:dyDescent="0.25">
      <c r="A6158">
        <v>6157</v>
      </c>
      <c r="B6158">
        <v>2462595</v>
      </c>
      <c r="C6158" s="1" t="str">
        <f>HYPERLINK("http://stackoverflow.com/users/2462595", "Pete Alexandrou")</f>
        <v>Pete Alexandrou</v>
      </c>
      <c r="D6158" t="s">
        <v>4</v>
      </c>
      <c r="E6158">
        <v>11</v>
      </c>
    </row>
    <row r="6159" spans="1:5" x14ac:dyDescent="0.25">
      <c r="A6159">
        <v>6158</v>
      </c>
      <c r="B6159">
        <v>183503</v>
      </c>
      <c r="C6159" s="1" t="str">
        <f>HYPERLINK("http://stackoverflow.com/users/183503", "Charlie Zhu")</f>
        <v>Charlie Zhu</v>
      </c>
      <c r="D6159" t="s">
        <v>5</v>
      </c>
      <c r="E6159">
        <v>11</v>
      </c>
    </row>
    <row r="6160" spans="1:5" x14ac:dyDescent="0.25">
      <c r="A6160">
        <v>6159</v>
      </c>
      <c r="B6160">
        <v>9629341</v>
      </c>
      <c r="C6160" s="1" t="str">
        <f>HYPERLINK("http://stackoverflow.com/users/9629341", "Russell Zhang")</f>
        <v>Russell Zhang</v>
      </c>
      <c r="D6160" t="s">
        <v>5</v>
      </c>
      <c r="E6160">
        <v>11</v>
      </c>
    </row>
    <row r="6161" spans="1:5" x14ac:dyDescent="0.25">
      <c r="A6161">
        <v>6160</v>
      </c>
      <c r="B6161">
        <v>7825317</v>
      </c>
      <c r="C6161" s="1" t="str">
        <f>HYPERLINK("http://stackoverflow.com/users/7825317", "lanlan.zheng")</f>
        <v>lanlan.zheng</v>
      </c>
      <c r="D6161" t="s">
        <v>7</v>
      </c>
      <c r="E6161">
        <v>11</v>
      </c>
    </row>
    <row r="6162" spans="1:5" x14ac:dyDescent="0.25">
      <c r="A6162">
        <v>6161</v>
      </c>
      <c r="B6162">
        <v>9612552</v>
      </c>
      <c r="C6162" s="1" t="str">
        <f>HYPERLINK("http://stackoverflow.com/users/9612552", "JinJinSu")</f>
        <v>JinJinSu</v>
      </c>
      <c r="D6162" t="s">
        <v>33</v>
      </c>
      <c r="E6162">
        <v>11</v>
      </c>
    </row>
    <row r="6163" spans="1:5" x14ac:dyDescent="0.25">
      <c r="A6163">
        <v>6162</v>
      </c>
      <c r="B6163">
        <v>2435158</v>
      </c>
      <c r="C6163" s="1" t="str">
        <f>HYPERLINK("http://stackoverflow.com/users/2435158", "Long Bu")</f>
        <v>Long Bu</v>
      </c>
      <c r="D6163" t="s">
        <v>4</v>
      </c>
      <c r="E6163">
        <v>11</v>
      </c>
    </row>
    <row r="6164" spans="1:5" x14ac:dyDescent="0.25">
      <c r="A6164">
        <v>6163</v>
      </c>
      <c r="B6164">
        <v>2435517</v>
      </c>
      <c r="C6164" s="1" t="str">
        <f>HYPERLINK("http://stackoverflow.com/users/2435517", "Tario Jun Yang")</f>
        <v>Tario Jun Yang</v>
      </c>
      <c r="D6164" t="s">
        <v>4</v>
      </c>
      <c r="E6164">
        <v>11</v>
      </c>
    </row>
    <row r="6165" spans="1:5" x14ac:dyDescent="0.25">
      <c r="A6165">
        <v>6164</v>
      </c>
      <c r="B6165">
        <v>4387245</v>
      </c>
      <c r="C6165" s="1" t="str">
        <f>HYPERLINK("http://stackoverflow.com/users/4387245", "daidongsheng")</f>
        <v>daidongsheng</v>
      </c>
      <c r="D6165" t="s">
        <v>5</v>
      </c>
      <c r="E6165">
        <v>11</v>
      </c>
    </row>
    <row r="6166" spans="1:5" x14ac:dyDescent="0.25">
      <c r="A6166">
        <v>6165</v>
      </c>
      <c r="B6166">
        <v>2519872</v>
      </c>
      <c r="C6166" s="1" t="str">
        <f>HYPERLINK("http://stackoverflow.com/users/2519872", "Mike Tang")</f>
        <v>Mike Tang</v>
      </c>
      <c r="D6166" t="s">
        <v>3</v>
      </c>
      <c r="E6166">
        <v>11</v>
      </c>
    </row>
    <row r="6167" spans="1:5" x14ac:dyDescent="0.25">
      <c r="A6167">
        <v>6166</v>
      </c>
      <c r="B6167">
        <v>7892897</v>
      </c>
      <c r="C6167" s="1" t="str">
        <f>HYPERLINK("http://stackoverflow.com/users/7892897", "John")</f>
        <v>John</v>
      </c>
      <c r="D6167" t="s">
        <v>28</v>
      </c>
      <c r="E6167">
        <v>11</v>
      </c>
    </row>
    <row r="6168" spans="1:5" x14ac:dyDescent="0.25">
      <c r="A6168">
        <v>6167</v>
      </c>
      <c r="B6168">
        <v>190987</v>
      </c>
      <c r="C6168" s="1" t="str">
        <f>HYPERLINK("http://stackoverflow.com/users/190987", "Johnny")</f>
        <v>Johnny</v>
      </c>
      <c r="D6168" t="s">
        <v>17</v>
      </c>
      <c r="E6168">
        <v>11</v>
      </c>
    </row>
    <row r="6169" spans="1:5" x14ac:dyDescent="0.25">
      <c r="A6169">
        <v>6168</v>
      </c>
      <c r="B6169">
        <v>2547108</v>
      </c>
      <c r="C6169" s="1" t="str">
        <f>HYPERLINK("http://stackoverflow.com/users/2547108", "Martin")</f>
        <v>Martin</v>
      </c>
      <c r="D6169" t="s">
        <v>21</v>
      </c>
      <c r="E6169">
        <v>11</v>
      </c>
    </row>
    <row r="6170" spans="1:5" x14ac:dyDescent="0.25">
      <c r="A6170">
        <v>6169</v>
      </c>
      <c r="B6170">
        <v>2580416</v>
      </c>
      <c r="C6170" s="1" t="str">
        <f>HYPERLINK("http://stackoverflow.com/users/2580416", "coleflowers")</f>
        <v>coleflowers</v>
      </c>
      <c r="D6170" t="s">
        <v>12</v>
      </c>
      <c r="E6170">
        <v>11</v>
      </c>
    </row>
    <row r="6171" spans="1:5" x14ac:dyDescent="0.25">
      <c r="A6171">
        <v>6170</v>
      </c>
      <c r="B6171">
        <v>321900</v>
      </c>
      <c r="C6171" s="1" t="str">
        <f>HYPERLINK("http://stackoverflow.com/users/321900", "AnthonyDouSole")</f>
        <v>AnthonyDouSole</v>
      </c>
      <c r="D6171" t="s">
        <v>5</v>
      </c>
      <c r="E6171">
        <v>11</v>
      </c>
    </row>
    <row r="6172" spans="1:5" x14ac:dyDescent="0.25">
      <c r="A6172">
        <v>6171</v>
      </c>
      <c r="B6172">
        <v>297197</v>
      </c>
      <c r="C6172" s="1" t="str">
        <f>HYPERLINK("http://stackoverflow.com/users/297197", "Rainux")</f>
        <v>Rainux</v>
      </c>
      <c r="D6172" t="s">
        <v>4</v>
      </c>
      <c r="E6172">
        <v>11</v>
      </c>
    </row>
    <row r="6173" spans="1:5" x14ac:dyDescent="0.25">
      <c r="A6173">
        <v>6172</v>
      </c>
      <c r="B6173">
        <v>2608744</v>
      </c>
      <c r="C6173" s="1" t="str">
        <f>HYPERLINK("http://stackoverflow.com/users/2608744", "timepp")</f>
        <v>timepp</v>
      </c>
      <c r="D6173" t="s">
        <v>5</v>
      </c>
      <c r="E6173">
        <v>11</v>
      </c>
    </row>
    <row r="6174" spans="1:5" x14ac:dyDescent="0.25">
      <c r="A6174">
        <v>6173</v>
      </c>
      <c r="B6174">
        <v>2609042</v>
      </c>
      <c r="C6174" s="1" t="str">
        <f>HYPERLINK("http://stackoverflow.com/users/2609042", "Aaron Chiao")</f>
        <v>Aaron Chiao</v>
      </c>
      <c r="D6174" t="s">
        <v>4</v>
      </c>
      <c r="E6174">
        <v>11</v>
      </c>
    </row>
    <row r="6175" spans="1:5" x14ac:dyDescent="0.25">
      <c r="A6175">
        <v>6174</v>
      </c>
      <c r="B6175">
        <v>4485673</v>
      </c>
      <c r="C6175" s="1" t="str">
        <f>HYPERLINK("http://stackoverflow.com/users/4485673", "Shuai Guo")</f>
        <v>Shuai Guo</v>
      </c>
      <c r="D6175" t="s">
        <v>4</v>
      </c>
      <c r="E6175">
        <v>11</v>
      </c>
    </row>
    <row r="6176" spans="1:5" x14ac:dyDescent="0.25">
      <c r="A6176">
        <v>6175</v>
      </c>
      <c r="B6176">
        <v>2656271</v>
      </c>
      <c r="C6176" s="1" t="str">
        <f>HYPERLINK("http://stackoverflow.com/users/2656271", "Xiaohui")</f>
        <v>Xiaohui</v>
      </c>
      <c r="D6176" t="s">
        <v>114</v>
      </c>
      <c r="E6176">
        <v>11</v>
      </c>
    </row>
    <row r="6177" spans="1:5" x14ac:dyDescent="0.25">
      <c r="A6177">
        <v>6176</v>
      </c>
      <c r="B6177">
        <v>6220083</v>
      </c>
      <c r="C6177" s="1" t="str">
        <f>HYPERLINK("http://stackoverflow.com/users/6220083", "ytwan")</f>
        <v>ytwan</v>
      </c>
      <c r="D6177" t="s">
        <v>15</v>
      </c>
      <c r="E6177">
        <v>11</v>
      </c>
    </row>
    <row r="6178" spans="1:5" x14ac:dyDescent="0.25">
      <c r="A6178">
        <v>6177</v>
      </c>
      <c r="B6178">
        <v>404490</v>
      </c>
      <c r="C6178" s="1" t="str">
        <f>HYPERLINK("http://stackoverflow.com/users/404490", "wocow3")</f>
        <v>wocow3</v>
      </c>
      <c r="D6178" t="s">
        <v>5</v>
      </c>
      <c r="E6178">
        <v>11</v>
      </c>
    </row>
    <row r="6179" spans="1:5" x14ac:dyDescent="0.25">
      <c r="A6179">
        <v>6178</v>
      </c>
      <c r="B6179">
        <v>493345</v>
      </c>
      <c r="C6179" s="1" t="str">
        <f>HYPERLINK("http://stackoverflow.com/users/493345", "ananlz")</f>
        <v>ananlz</v>
      </c>
      <c r="D6179" t="s">
        <v>5</v>
      </c>
      <c r="E6179">
        <v>11</v>
      </c>
    </row>
    <row r="6180" spans="1:5" x14ac:dyDescent="0.25">
      <c r="A6180">
        <v>6179</v>
      </c>
      <c r="B6180">
        <v>2705605</v>
      </c>
      <c r="C6180" s="1" t="str">
        <f>HYPERLINK("http://stackoverflow.com/users/2705605", "kevinX")</f>
        <v>kevinX</v>
      </c>
      <c r="D6180" t="s">
        <v>37</v>
      </c>
      <c r="E6180">
        <v>11</v>
      </c>
    </row>
    <row r="6181" spans="1:5" x14ac:dyDescent="0.25">
      <c r="A6181">
        <v>6180</v>
      </c>
      <c r="B6181">
        <v>2705714</v>
      </c>
      <c r="C6181" s="1" t="str">
        <f>HYPERLINK("http://stackoverflow.com/users/2705714", "storkzhang")</f>
        <v>storkzhang</v>
      </c>
      <c r="D6181" t="s">
        <v>5</v>
      </c>
      <c r="E6181">
        <v>11</v>
      </c>
    </row>
    <row r="6182" spans="1:5" x14ac:dyDescent="0.25">
      <c r="A6182">
        <v>6181</v>
      </c>
      <c r="B6182">
        <v>459809</v>
      </c>
      <c r="C6182" s="1" t="str">
        <f>HYPERLINK("http://stackoverflow.com/users/459809", "dreamcog")</f>
        <v>dreamcog</v>
      </c>
      <c r="D6182" t="s">
        <v>5</v>
      </c>
      <c r="E6182">
        <v>11</v>
      </c>
    </row>
    <row r="6183" spans="1:5" x14ac:dyDescent="0.25">
      <c r="A6183">
        <v>6182</v>
      </c>
      <c r="B6183">
        <v>10142054</v>
      </c>
      <c r="C6183" s="1" t="str">
        <f>HYPERLINK("http://stackoverflow.com/users/10142054", "BaiMaoli")</f>
        <v>BaiMaoli</v>
      </c>
      <c r="D6183" t="s">
        <v>33</v>
      </c>
      <c r="E6183">
        <v>11</v>
      </c>
    </row>
    <row r="6184" spans="1:5" x14ac:dyDescent="0.25">
      <c r="A6184">
        <v>6183</v>
      </c>
      <c r="B6184">
        <v>948249</v>
      </c>
      <c r="C6184" s="1" t="str">
        <f>HYPERLINK("http://stackoverflow.com/users/948249", "inmyfree")</f>
        <v>inmyfree</v>
      </c>
      <c r="D6184" t="s">
        <v>17</v>
      </c>
      <c r="E6184">
        <v>11</v>
      </c>
    </row>
    <row r="6185" spans="1:5" x14ac:dyDescent="0.25">
      <c r="A6185">
        <v>6184</v>
      </c>
      <c r="B6185">
        <v>2931269</v>
      </c>
      <c r="C6185" s="1" t="str">
        <f>HYPERLINK("http://stackoverflow.com/users/2931269", "vincent1110")</f>
        <v>vincent1110</v>
      </c>
      <c r="D6185" t="s">
        <v>4</v>
      </c>
      <c r="E6185">
        <v>11</v>
      </c>
    </row>
    <row r="6186" spans="1:5" x14ac:dyDescent="0.25">
      <c r="A6186">
        <v>6185</v>
      </c>
      <c r="B6186">
        <v>876300</v>
      </c>
      <c r="C6186" s="1" t="str">
        <f>HYPERLINK("http://stackoverflow.com/users/876300", "Duan")</f>
        <v>Duan</v>
      </c>
      <c r="D6186" t="s">
        <v>37</v>
      </c>
      <c r="E6186">
        <v>11</v>
      </c>
    </row>
    <row r="6187" spans="1:5" x14ac:dyDescent="0.25">
      <c r="A6187">
        <v>6186</v>
      </c>
      <c r="B6187">
        <v>4771883</v>
      </c>
      <c r="C6187" s="1" t="str">
        <f>HYPERLINK("http://stackoverflow.com/users/4771883", "Ning.Z")</f>
        <v>Ning.Z</v>
      </c>
      <c r="D6187" t="s">
        <v>4</v>
      </c>
      <c r="E6187">
        <v>11</v>
      </c>
    </row>
    <row r="6188" spans="1:5" x14ac:dyDescent="0.25">
      <c r="A6188">
        <v>6187</v>
      </c>
      <c r="B6188">
        <v>4736526</v>
      </c>
      <c r="C6188" s="1" t="str">
        <f>HYPERLINK("http://stackoverflow.com/users/4736526", "wavever")</f>
        <v>wavever</v>
      </c>
      <c r="D6188" t="s">
        <v>62</v>
      </c>
      <c r="E6188">
        <v>11</v>
      </c>
    </row>
    <row r="6189" spans="1:5" x14ac:dyDescent="0.25">
      <c r="A6189">
        <v>6188</v>
      </c>
      <c r="B6189">
        <v>2873433</v>
      </c>
      <c r="C6189" s="1" t="str">
        <f>HYPERLINK("http://stackoverflow.com/users/2873433", "Wankey Cheng")</f>
        <v>Wankey Cheng</v>
      </c>
      <c r="D6189" t="s">
        <v>4</v>
      </c>
      <c r="E6189">
        <v>11</v>
      </c>
    </row>
    <row r="6190" spans="1:5" x14ac:dyDescent="0.25">
      <c r="A6190">
        <v>6189</v>
      </c>
      <c r="B6190">
        <v>2861243</v>
      </c>
      <c r="C6190" s="1" t="str">
        <f>HYPERLINK("http://stackoverflow.com/users/2861243", "Hamilleton")</f>
        <v>Hamilleton</v>
      </c>
      <c r="D6190" t="s">
        <v>5</v>
      </c>
      <c r="E6190">
        <v>11</v>
      </c>
    </row>
    <row r="6191" spans="1:5" x14ac:dyDescent="0.25">
      <c r="A6191">
        <v>6190</v>
      </c>
      <c r="B6191">
        <v>4605219</v>
      </c>
      <c r="C6191" s="1" t="str">
        <f>HYPERLINK("http://stackoverflow.com/users/4605219", "Yates Zhou")</f>
        <v>Yates Zhou</v>
      </c>
      <c r="D6191" t="s">
        <v>5</v>
      </c>
      <c r="E6191">
        <v>11</v>
      </c>
    </row>
    <row r="6192" spans="1:5" x14ac:dyDescent="0.25">
      <c r="A6192">
        <v>6191</v>
      </c>
      <c r="B6192">
        <v>2766513</v>
      </c>
      <c r="C6192" s="1" t="str">
        <f>HYPERLINK("http://stackoverflow.com/users/2766513", "Hongjie LI")</f>
        <v>Hongjie LI</v>
      </c>
      <c r="D6192" t="s">
        <v>12</v>
      </c>
      <c r="E6192">
        <v>11</v>
      </c>
    </row>
    <row r="6193" spans="1:5" x14ac:dyDescent="0.25">
      <c r="A6193">
        <v>6192</v>
      </c>
      <c r="B6193">
        <v>2741871</v>
      </c>
      <c r="C6193" s="1" t="str">
        <f>HYPERLINK("http://stackoverflow.com/users/2741871", "Kai Ni")</f>
        <v>Kai Ni</v>
      </c>
      <c r="D6193" t="s">
        <v>5</v>
      </c>
      <c r="E6193">
        <v>11</v>
      </c>
    </row>
    <row r="6194" spans="1:5" x14ac:dyDescent="0.25">
      <c r="A6194">
        <v>6193</v>
      </c>
      <c r="B6194">
        <v>6312869</v>
      </c>
      <c r="C6194" s="1" t="str">
        <f>HYPERLINK("http://stackoverflow.com/users/6312869", "max yi")</f>
        <v>max yi</v>
      </c>
      <c r="D6194" t="s">
        <v>4</v>
      </c>
      <c r="E6194">
        <v>11</v>
      </c>
    </row>
    <row r="6195" spans="1:5" x14ac:dyDescent="0.25">
      <c r="A6195">
        <v>6194</v>
      </c>
      <c r="B6195">
        <v>521453</v>
      </c>
      <c r="C6195" s="1" t="str">
        <f>HYPERLINK("http://stackoverflow.com/users/521453", "xuehua")</f>
        <v>xuehua</v>
      </c>
      <c r="D6195" t="s">
        <v>12</v>
      </c>
      <c r="E6195">
        <v>11</v>
      </c>
    </row>
    <row r="6196" spans="1:5" x14ac:dyDescent="0.25">
      <c r="A6196">
        <v>6195</v>
      </c>
      <c r="B6196">
        <v>9897627</v>
      </c>
      <c r="C6196" s="1" t="str">
        <f>HYPERLINK("http://stackoverflow.com/users/9897627", "Farhad")</f>
        <v>Farhad</v>
      </c>
      <c r="D6196" t="s">
        <v>5</v>
      </c>
      <c r="E6196">
        <v>11</v>
      </c>
    </row>
    <row r="6197" spans="1:5" x14ac:dyDescent="0.25">
      <c r="A6197">
        <v>6196</v>
      </c>
      <c r="B6197">
        <v>2825836</v>
      </c>
      <c r="C6197" s="1" t="str">
        <f>HYPERLINK("http://stackoverflow.com/users/2825836", "Finn")</f>
        <v>Finn</v>
      </c>
      <c r="D6197" t="s">
        <v>5</v>
      </c>
      <c r="E6197">
        <v>11</v>
      </c>
    </row>
    <row r="6198" spans="1:5" x14ac:dyDescent="0.25">
      <c r="A6198">
        <v>6197</v>
      </c>
      <c r="B6198">
        <v>3033243</v>
      </c>
      <c r="C6198" s="1" t="str">
        <f>HYPERLINK("http://stackoverflow.com/users/3033243", "PythonShell")</f>
        <v>PythonShell</v>
      </c>
      <c r="D6198" t="s">
        <v>4</v>
      </c>
      <c r="E6198">
        <v>11</v>
      </c>
    </row>
    <row r="6199" spans="1:5" x14ac:dyDescent="0.25">
      <c r="A6199">
        <v>6198</v>
      </c>
      <c r="B6199">
        <v>8377294</v>
      </c>
      <c r="C6199" s="1" t="str">
        <f>HYPERLINK("http://stackoverflow.com/users/8377294", "Leo Lee")</f>
        <v>Leo Lee</v>
      </c>
      <c r="D6199" t="s">
        <v>7</v>
      </c>
      <c r="E6199">
        <v>11</v>
      </c>
    </row>
    <row r="6200" spans="1:5" x14ac:dyDescent="0.25">
      <c r="A6200">
        <v>6199</v>
      </c>
      <c r="B6200">
        <v>8403607</v>
      </c>
      <c r="C6200" s="1" t="str">
        <f>HYPERLINK("http://stackoverflow.com/users/8403607", "Yerzhan Serikbay")</f>
        <v>Yerzhan Serikbay</v>
      </c>
      <c r="D6200" t="s">
        <v>5</v>
      </c>
      <c r="E6200">
        <v>11</v>
      </c>
    </row>
    <row r="6201" spans="1:5" x14ac:dyDescent="0.25">
      <c r="A6201">
        <v>6200</v>
      </c>
      <c r="B6201">
        <v>1037413</v>
      </c>
      <c r="C6201" s="1" t="str">
        <f>HYPERLINK("http://stackoverflow.com/users/1037413", "timeptr")</f>
        <v>timeptr</v>
      </c>
      <c r="D6201" t="s">
        <v>4</v>
      </c>
      <c r="E6201">
        <v>11</v>
      </c>
    </row>
    <row r="6202" spans="1:5" x14ac:dyDescent="0.25">
      <c r="A6202">
        <v>6201</v>
      </c>
      <c r="B6202">
        <v>1064941</v>
      </c>
      <c r="C6202" s="1" t="str">
        <f>HYPERLINK("http://stackoverflow.com/users/1064941", "user1064941")</f>
        <v>user1064941</v>
      </c>
      <c r="D6202" t="s">
        <v>5</v>
      </c>
      <c r="E6202">
        <v>11</v>
      </c>
    </row>
    <row r="6203" spans="1:5" x14ac:dyDescent="0.25">
      <c r="A6203">
        <v>6202</v>
      </c>
      <c r="B6203">
        <v>1065285</v>
      </c>
      <c r="C6203" s="1" t="str">
        <f>HYPERLINK("http://stackoverflow.com/users/1065285", "eongoo")</f>
        <v>eongoo</v>
      </c>
      <c r="D6203" t="s">
        <v>5</v>
      </c>
      <c r="E6203">
        <v>11</v>
      </c>
    </row>
    <row r="6204" spans="1:5" x14ac:dyDescent="0.25">
      <c r="A6204">
        <v>6203</v>
      </c>
      <c r="B6204">
        <v>1070471</v>
      </c>
      <c r="C6204" s="1" t="str">
        <f>HYPERLINK("http://stackoverflow.com/users/1070471", "burning")</f>
        <v>burning</v>
      </c>
      <c r="D6204" t="s">
        <v>37</v>
      </c>
      <c r="E6204">
        <v>11</v>
      </c>
    </row>
    <row r="6205" spans="1:5" x14ac:dyDescent="0.25">
      <c r="A6205">
        <v>6204</v>
      </c>
      <c r="B6205">
        <v>4877549</v>
      </c>
      <c r="C6205" s="1" t="str">
        <f>HYPERLINK("http://stackoverflow.com/users/4877549", "JiDong Liu")</f>
        <v>JiDong Liu</v>
      </c>
      <c r="D6205" t="s">
        <v>5</v>
      </c>
      <c r="E6205">
        <v>11</v>
      </c>
    </row>
    <row r="6206" spans="1:5" x14ac:dyDescent="0.25">
      <c r="A6206">
        <v>6205</v>
      </c>
      <c r="B6206">
        <v>6660335</v>
      </c>
      <c r="C6206" s="1" t="str">
        <f>HYPERLINK("http://stackoverflow.com/users/6660335", "yodahaji")</f>
        <v>yodahaji</v>
      </c>
      <c r="D6206" t="s">
        <v>8</v>
      </c>
      <c r="E6206">
        <v>11</v>
      </c>
    </row>
    <row r="6207" spans="1:5" x14ac:dyDescent="0.25">
      <c r="A6207">
        <v>6206</v>
      </c>
      <c r="B6207">
        <v>4938855</v>
      </c>
      <c r="C6207" s="1" t="str">
        <f>HYPERLINK("http://stackoverflow.com/users/4938855", "jetwaves")</f>
        <v>jetwaves</v>
      </c>
      <c r="D6207" t="s">
        <v>17</v>
      </c>
      <c r="E6207">
        <v>11</v>
      </c>
    </row>
    <row r="6208" spans="1:5" x14ac:dyDescent="0.25">
      <c r="A6208">
        <v>6207</v>
      </c>
      <c r="B6208">
        <v>1157928</v>
      </c>
      <c r="C6208" s="1" t="str">
        <f>HYPERLINK("http://stackoverflow.com/users/1157928", "Xiaodong Jia")</f>
        <v>Xiaodong Jia</v>
      </c>
      <c r="D6208" t="s">
        <v>5</v>
      </c>
      <c r="E6208">
        <v>11</v>
      </c>
    </row>
    <row r="6209" spans="1:5" x14ac:dyDescent="0.25">
      <c r="A6209">
        <v>6208</v>
      </c>
      <c r="B6209">
        <v>4942848</v>
      </c>
      <c r="C6209" s="1" t="str">
        <f>HYPERLINK("http://stackoverflow.com/users/4942848", "Doog")</f>
        <v>Doog</v>
      </c>
      <c r="D6209" t="s">
        <v>5</v>
      </c>
      <c r="E6209">
        <v>11</v>
      </c>
    </row>
    <row r="6210" spans="1:5" x14ac:dyDescent="0.25">
      <c r="A6210">
        <v>6209</v>
      </c>
      <c r="B6210">
        <v>1145041</v>
      </c>
      <c r="C6210" s="1" t="str">
        <f>HYPERLINK("http://stackoverflow.com/users/1145041", "CodyZhang")</f>
        <v>CodyZhang</v>
      </c>
      <c r="D6210" t="s">
        <v>4</v>
      </c>
      <c r="E6210">
        <v>11</v>
      </c>
    </row>
    <row r="6211" spans="1:5" x14ac:dyDescent="0.25">
      <c r="A6211">
        <v>6210</v>
      </c>
      <c r="B6211">
        <v>1132447</v>
      </c>
      <c r="C6211" s="1" t="str">
        <f>HYPERLINK("http://stackoverflow.com/users/1132447", "Tao Yiheng")</f>
        <v>Tao Yiheng</v>
      </c>
      <c r="D6211" t="s">
        <v>4</v>
      </c>
      <c r="E6211">
        <v>11</v>
      </c>
    </row>
    <row r="6212" spans="1:5" x14ac:dyDescent="0.25">
      <c r="A6212">
        <v>6211</v>
      </c>
      <c r="B6212">
        <v>3081539</v>
      </c>
      <c r="C6212" s="1" t="str">
        <f>HYPERLINK("http://stackoverflow.com/users/3081539", "stillWindows7")</f>
        <v>stillWindows7</v>
      </c>
      <c r="D6212" t="s">
        <v>21</v>
      </c>
      <c r="E6212">
        <v>11</v>
      </c>
    </row>
    <row r="6213" spans="1:5" x14ac:dyDescent="0.25">
      <c r="A6213">
        <v>6212</v>
      </c>
      <c r="B6213">
        <v>4895671</v>
      </c>
      <c r="C6213" s="1" t="str">
        <f>HYPERLINK("http://stackoverflow.com/users/4895671", "bingxian")</f>
        <v>bingxian</v>
      </c>
      <c r="D6213" t="s">
        <v>12</v>
      </c>
      <c r="E6213">
        <v>11</v>
      </c>
    </row>
    <row r="6214" spans="1:5" x14ac:dyDescent="0.25">
      <c r="A6214">
        <v>6213</v>
      </c>
      <c r="B6214">
        <v>8437024</v>
      </c>
      <c r="C6214" s="1" t="str">
        <f>HYPERLINK("http://stackoverflow.com/users/8437024", "wang xiang")</f>
        <v>wang xiang</v>
      </c>
      <c r="D6214" t="s">
        <v>7</v>
      </c>
      <c r="E6214">
        <v>11</v>
      </c>
    </row>
    <row r="6215" spans="1:5" x14ac:dyDescent="0.25">
      <c r="A6215">
        <v>6214</v>
      </c>
      <c r="B6215">
        <v>8443649</v>
      </c>
      <c r="C6215" s="1" t="str">
        <f>HYPERLINK("http://stackoverflow.com/users/8443649", "Spike Liu")</f>
        <v>Spike Liu</v>
      </c>
      <c r="D6215" t="s">
        <v>4</v>
      </c>
      <c r="E6215">
        <v>11</v>
      </c>
    </row>
    <row r="6216" spans="1:5" x14ac:dyDescent="0.25">
      <c r="A6216">
        <v>6215</v>
      </c>
      <c r="B6216">
        <v>1082979</v>
      </c>
      <c r="C6216" s="1" t="str">
        <f>HYPERLINK("http://stackoverflow.com/users/1082979", "china.pingxiang")</f>
        <v>china.pingxiang</v>
      </c>
      <c r="D6216" t="s">
        <v>5</v>
      </c>
      <c r="E6216">
        <v>11</v>
      </c>
    </row>
    <row r="6217" spans="1:5" x14ac:dyDescent="0.25">
      <c r="A6217">
        <v>6216</v>
      </c>
      <c r="B6217">
        <v>1233776</v>
      </c>
      <c r="C6217" s="1" t="str">
        <f>HYPERLINK("http://stackoverflow.com/users/1233776", "fengmvp1984")</f>
        <v>fengmvp1984</v>
      </c>
      <c r="D6217" t="s">
        <v>5</v>
      </c>
      <c r="E6217">
        <v>11</v>
      </c>
    </row>
    <row r="6218" spans="1:5" x14ac:dyDescent="0.25">
      <c r="A6218">
        <v>6217</v>
      </c>
      <c r="B6218">
        <v>8522382</v>
      </c>
      <c r="C6218" s="1" t="str">
        <f>HYPERLINK("http://stackoverflow.com/users/8522382", "banrieen")</f>
        <v>banrieen</v>
      </c>
      <c r="D6218" t="s">
        <v>7</v>
      </c>
      <c r="E6218">
        <v>11</v>
      </c>
    </row>
    <row r="6219" spans="1:5" x14ac:dyDescent="0.25">
      <c r="A6219">
        <v>6218</v>
      </c>
      <c r="B6219">
        <v>1202225</v>
      </c>
      <c r="C6219" s="1" t="str">
        <f>HYPERLINK("http://stackoverflow.com/users/1202225", "Mark_WM")</f>
        <v>Mark_WM</v>
      </c>
      <c r="D6219" t="s">
        <v>5</v>
      </c>
      <c r="E6219">
        <v>11</v>
      </c>
    </row>
    <row r="6220" spans="1:5" x14ac:dyDescent="0.25">
      <c r="A6220">
        <v>6219</v>
      </c>
      <c r="B6220">
        <v>1186796</v>
      </c>
      <c r="C6220" s="1" t="str">
        <f>HYPERLINK("http://stackoverflow.com/users/1186796", "马元生")</f>
        <v>马元生</v>
      </c>
      <c r="D6220" t="s">
        <v>12</v>
      </c>
      <c r="E6220">
        <v>11</v>
      </c>
    </row>
    <row r="6221" spans="1:5" x14ac:dyDescent="0.25">
      <c r="A6221">
        <v>6220</v>
      </c>
      <c r="B6221">
        <v>1194246</v>
      </c>
      <c r="C6221" s="1" t="str">
        <f>HYPERLINK("http://stackoverflow.com/users/1194246", "thmmrs")</f>
        <v>thmmrs</v>
      </c>
      <c r="D6221" t="s">
        <v>4</v>
      </c>
      <c r="E6221">
        <v>11</v>
      </c>
    </row>
    <row r="6222" spans="1:5" x14ac:dyDescent="0.25">
      <c r="A6222">
        <v>6221</v>
      </c>
      <c r="B6222">
        <v>8561206</v>
      </c>
      <c r="C6222" s="1" t="str">
        <f>HYPERLINK("http://stackoverflow.com/users/8561206", "Gavin Gan")</f>
        <v>Gavin Gan</v>
      </c>
      <c r="D6222" t="s">
        <v>7</v>
      </c>
      <c r="E6222">
        <v>11</v>
      </c>
    </row>
    <row r="6223" spans="1:5" x14ac:dyDescent="0.25">
      <c r="A6223">
        <v>6222</v>
      </c>
      <c r="B6223">
        <v>10390748</v>
      </c>
      <c r="C6223" s="1" t="str">
        <f>HYPERLINK("http://stackoverflow.com/users/10390748", "Sam.Wang")</f>
        <v>Sam.Wang</v>
      </c>
      <c r="D6223" t="s">
        <v>5</v>
      </c>
      <c r="E6223">
        <v>11</v>
      </c>
    </row>
    <row r="6224" spans="1:5" x14ac:dyDescent="0.25">
      <c r="A6224">
        <v>6223</v>
      </c>
      <c r="B6224">
        <v>1321005</v>
      </c>
      <c r="C6224" s="1" t="str">
        <f>HYPERLINK("http://stackoverflow.com/users/1321005", "Dongxu Wang")</f>
        <v>Dongxu Wang</v>
      </c>
      <c r="D6224" t="s">
        <v>8</v>
      </c>
      <c r="E6224">
        <v>11</v>
      </c>
    </row>
    <row r="6225" spans="1:5" x14ac:dyDescent="0.25">
      <c r="A6225">
        <v>6224</v>
      </c>
      <c r="B6225">
        <v>6735422</v>
      </c>
      <c r="C6225" s="1" t="str">
        <f>HYPERLINK("http://stackoverflow.com/users/6735422", "Allen.T")</f>
        <v>Allen.T</v>
      </c>
      <c r="D6225" t="s">
        <v>4</v>
      </c>
      <c r="E6225">
        <v>11</v>
      </c>
    </row>
    <row r="6226" spans="1:5" x14ac:dyDescent="0.25">
      <c r="A6226">
        <v>6225</v>
      </c>
      <c r="B6226">
        <v>3211256</v>
      </c>
      <c r="C6226" s="1" t="str">
        <f>HYPERLINK("http://stackoverflow.com/users/3211256", "smilexu")</f>
        <v>smilexu</v>
      </c>
      <c r="D6226" t="s">
        <v>12</v>
      </c>
      <c r="E6226">
        <v>11</v>
      </c>
    </row>
    <row r="6227" spans="1:5" x14ac:dyDescent="0.25">
      <c r="A6227">
        <v>6226</v>
      </c>
      <c r="B6227">
        <v>1263172</v>
      </c>
      <c r="C6227" s="1" t="str">
        <f>HYPERLINK("http://stackoverflow.com/users/1263172", "HaleDeng")</f>
        <v>HaleDeng</v>
      </c>
      <c r="D6227" t="s">
        <v>8</v>
      </c>
      <c r="E6227">
        <v>11</v>
      </c>
    </row>
    <row r="6228" spans="1:5" x14ac:dyDescent="0.25">
      <c r="A6228">
        <v>6227</v>
      </c>
      <c r="B6228">
        <v>4989276</v>
      </c>
      <c r="C6228" s="1" t="str">
        <f>HYPERLINK("http://stackoverflow.com/users/4989276", "dong")</f>
        <v>dong</v>
      </c>
      <c r="D6228" t="s">
        <v>4</v>
      </c>
      <c r="E6228">
        <v>11</v>
      </c>
    </row>
    <row r="6229" spans="1:5" x14ac:dyDescent="0.25">
      <c r="A6229">
        <v>6228</v>
      </c>
      <c r="B6229">
        <v>4989316</v>
      </c>
      <c r="C6229" s="1" t="str">
        <f>HYPERLINK("http://stackoverflow.com/users/4989316", "Levin")</f>
        <v>Levin</v>
      </c>
      <c r="D6229" t="s">
        <v>12</v>
      </c>
      <c r="E6229">
        <v>11</v>
      </c>
    </row>
    <row r="6230" spans="1:5" x14ac:dyDescent="0.25">
      <c r="A6230">
        <v>6229</v>
      </c>
      <c r="B6230">
        <v>1667478</v>
      </c>
      <c r="C6230" s="1" t="str">
        <f>HYPERLINK("http://stackoverflow.com/users/1667478", "Moten")</f>
        <v>Moten</v>
      </c>
      <c r="D6230" t="s">
        <v>5</v>
      </c>
      <c r="E6230">
        <v>11</v>
      </c>
    </row>
    <row r="6231" spans="1:5" x14ac:dyDescent="0.25">
      <c r="A6231">
        <v>6230</v>
      </c>
      <c r="B6231">
        <v>1705642</v>
      </c>
      <c r="C6231" s="1" t="str">
        <f>HYPERLINK("http://stackoverflow.com/users/1705642", "yangsx")</f>
        <v>yangsx</v>
      </c>
      <c r="D6231" t="s">
        <v>5</v>
      </c>
      <c r="E6231">
        <v>11</v>
      </c>
    </row>
    <row r="6232" spans="1:5" x14ac:dyDescent="0.25">
      <c r="A6232">
        <v>6231</v>
      </c>
      <c r="B6232">
        <v>5328994</v>
      </c>
      <c r="C6232" s="1" t="str">
        <f>HYPERLINK("http://stackoverflow.com/users/5328994", "thenewhd")</f>
        <v>thenewhd</v>
      </c>
      <c r="D6232" t="s">
        <v>91</v>
      </c>
      <c r="E6232">
        <v>11</v>
      </c>
    </row>
    <row r="6233" spans="1:5" x14ac:dyDescent="0.25">
      <c r="A6233">
        <v>6232</v>
      </c>
      <c r="B6233">
        <v>1710720</v>
      </c>
      <c r="C6233" s="1" t="str">
        <f>HYPERLINK("http://stackoverflow.com/users/1710720", "liguopeng")</f>
        <v>liguopeng</v>
      </c>
      <c r="D6233" t="s">
        <v>5</v>
      </c>
      <c r="E6233">
        <v>11</v>
      </c>
    </row>
    <row r="6234" spans="1:5" x14ac:dyDescent="0.25">
      <c r="A6234">
        <v>6233</v>
      </c>
      <c r="B6234">
        <v>1719611</v>
      </c>
      <c r="C6234" s="1" t="str">
        <f>HYPERLINK("http://stackoverflow.com/users/1719611", "Jue Wang")</f>
        <v>Jue Wang</v>
      </c>
      <c r="D6234" t="s">
        <v>7</v>
      </c>
      <c r="E6234">
        <v>11</v>
      </c>
    </row>
    <row r="6235" spans="1:5" x14ac:dyDescent="0.25">
      <c r="A6235">
        <v>6234</v>
      </c>
      <c r="B6235">
        <v>10584615</v>
      </c>
      <c r="C6235" s="1" t="str">
        <f>HYPERLINK("http://stackoverflow.com/users/10584615", "Water Flower")</f>
        <v>Water Flower</v>
      </c>
      <c r="D6235" t="s">
        <v>133</v>
      </c>
      <c r="E6235">
        <v>11</v>
      </c>
    </row>
    <row r="6236" spans="1:5" x14ac:dyDescent="0.25">
      <c r="A6236">
        <v>6235</v>
      </c>
      <c r="B6236">
        <v>3445129</v>
      </c>
      <c r="C6236" s="1" t="str">
        <f>HYPERLINK("http://stackoverflow.com/users/3445129", "Qinger")</f>
        <v>Qinger</v>
      </c>
      <c r="D6236" t="s">
        <v>7</v>
      </c>
      <c r="E6236">
        <v>11</v>
      </c>
    </row>
    <row r="6237" spans="1:5" x14ac:dyDescent="0.25">
      <c r="A6237">
        <v>6236</v>
      </c>
      <c r="B6237">
        <v>5090575</v>
      </c>
      <c r="C6237" s="1" t="str">
        <f>HYPERLINK("http://stackoverflow.com/users/5090575", "joey.rong")</f>
        <v>joey.rong</v>
      </c>
      <c r="D6237" t="s">
        <v>21</v>
      </c>
      <c r="E6237">
        <v>11</v>
      </c>
    </row>
    <row r="6238" spans="1:5" x14ac:dyDescent="0.25">
      <c r="A6238">
        <v>6237</v>
      </c>
      <c r="B6238">
        <v>6792549</v>
      </c>
      <c r="C6238" s="1" t="str">
        <f>HYPERLINK("http://stackoverflow.com/users/6792549", "ChunYu Wang")</f>
        <v>ChunYu Wang</v>
      </c>
      <c r="D6238" t="s">
        <v>5</v>
      </c>
      <c r="E6238">
        <v>11</v>
      </c>
    </row>
    <row r="6239" spans="1:5" x14ac:dyDescent="0.25">
      <c r="A6239">
        <v>6238</v>
      </c>
      <c r="B6239">
        <v>5061899</v>
      </c>
      <c r="C6239" s="1" t="str">
        <f>HYPERLINK("http://stackoverflow.com/users/5061899", "Tinvy")</f>
        <v>Tinvy</v>
      </c>
      <c r="D6239" t="s">
        <v>22</v>
      </c>
      <c r="E6239">
        <v>11</v>
      </c>
    </row>
    <row r="6240" spans="1:5" x14ac:dyDescent="0.25">
      <c r="A6240">
        <v>6239</v>
      </c>
      <c r="B6240">
        <v>8613215</v>
      </c>
      <c r="C6240" s="1" t="str">
        <f>HYPERLINK("http://stackoverflow.com/users/8613215", "Mike Xue")</f>
        <v>Mike Xue</v>
      </c>
      <c r="D6240" t="s">
        <v>5</v>
      </c>
      <c r="E6240">
        <v>11</v>
      </c>
    </row>
    <row r="6241" spans="1:5" x14ac:dyDescent="0.25">
      <c r="A6241">
        <v>6240</v>
      </c>
      <c r="B6241">
        <v>1340393</v>
      </c>
      <c r="C6241" s="1" t="str">
        <f>HYPERLINK("http://stackoverflow.com/users/1340393", "SomeOneSomeDay")</f>
        <v>SomeOneSomeDay</v>
      </c>
      <c r="D6241" t="s">
        <v>5</v>
      </c>
      <c r="E6241">
        <v>11</v>
      </c>
    </row>
    <row r="6242" spans="1:5" x14ac:dyDescent="0.25">
      <c r="A6242">
        <v>6241</v>
      </c>
      <c r="B6242">
        <v>1340190</v>
      </c>
      <c r="C6242" s="1" t="str">
        <f>HYPERLINK("http://stackoverflow.com/users/1340190", "Leco Lin")</f>
        <v>Leco Lin</v>
      </c>
      <c r="D6242" t="s">
        <v>4</v>
      </c>
      <c r="E6242">
        <v>11</v>
      </c>
    </row>
    <row r="6243" spans="1:5" x14ac:dyDescent="0.25">
      <c r="A6243">
        <v>6242</v>
      </c>
      <c r="B6243">
        <v>1513482</v>
      </c>
      <c r="C6243" s="1" t="str">
        <f>HYPERLINK("http://stackoverflow.com/users/1513482", "fyhack")</f>
        <v>fyhack</v>
      </c>
      <c r="D6243" t="s">
        <v>17</v>
      </c>
      <c r="E6243">
        <v>11</v>
      </c>
    </row>
    <row r="6244" spans="1:5" x14ac:dyDescent="0.25">
      <c r="A6244">
        <v>6243</v>
      </c>
      <c r="B6244">
        <v>6907301</v>
      </c>
      <c r="C6244" s="1" t="str">
        <f>HYPERLINK("http://stackoverflow.com/users/6907301", "Conan Jin")</f>
        <v>Conan Jin</v>
      </c>
      <c r="D6244" t="s">
        <v>4</v>
      </c>
      <c r="E6244">
        <v>11</v>
      </c>
    </row>
    <row r="6245" spans="1:5" x14ac:dyDescent="0.25">
      <c r="A6245">
        <v>6244</v>
      </c>
      <c r="B6245">
        <v>8661102</v>
      </c>
      <c r="C6245" s="1" t="str">
        <f>HYPERLINK("http://stackoverflow.com/users/8661102", "Harrison  Liu")</f>
        <v>Harrison  Liu</v>
      </c>
      <c r="D6245" t="s">
        <v>4</v>
      </c>
      <c r="E6245">
        <v>11</v>
      </c>
    </row>
    <row r="6246" spans="1:5" x14ac:dyDescent="0.25">
      <c r="A6246">
        <v>6245</v>
      </c>
      <c r="B6246">
        <v>5624422</v>
      </c>
      <c r="C6246" s="1" t="str">
        <f>HYPERLINK("http://stackoverflow.com/users/5624422", "Beili")</f>
        <v>Beili</v>
      </c>
      <c r="D6246" t="s">
        <v>4</v>
      </c>
      <c r="E6246">
        <v>11</v>
      </c>
    </row>
    <row r="6247" spans="1:5" x14ac:dyDescent="0.25">
      <c r="A6247">
        <v>6246</v>
      </c>
      <c r="B6247">
        <v>5667140</v>
      </c>
      <c r="C6247" s="1" t="str">
        <f>HYPERLINK("http://stackoverflow.com/users/5667140", "barryz")</f>
        <v>barryz</v>
      </c>
      <c r="D6247" t="s">
        <v>4</v>
      </c>
      <c r="E6247">
        <v>11</v>
      </c>
    </row>
    <row r="6248" spans="1:5" x14ac:dyDescent="0.25">
      <c r="A6248">
        <v>6247</v>
      </c>
      <c r="B6248">
        <v>7421833</v>
      </c>
      <c r="C6248" s="1" t="str">
        <f>HYPERLINK("http://stackoverflow.com/users/7421833", "Yibo")</f>
        <v>Yibo</v>
      </c>
      <c r="D6248" t="s">
        <v>42</v>
      </c>
      <c r="E6248">
        <v>11</v>
      </c>
    </row>
    <row r="6249" spans="1:5" x14ac:dyDescent="0.25">
      <c r="A6249">
        <v>6248</v>
      </c>
      <c r="B6249">
        <v>11122881</v>
      </c>
      <c r="C6249" s="1" t="str">
        <f>HYPERLINK("http://stackoverflow.com/users/11122881", "YifanLu")</f>
        <v>YifanLu</v>
      </c>
      <c r="D6249" t="s">
        <v>4</v>
      </c>
      <c r="E6249">
        <v>11</v>
      </c>
    </row>
    <row r="6250" spans="1:5" x14ac:dyDescent="0.25">
      <c r="A6250">
        <v>6249</v>
      </c>
      <c r="B6250">
        <v>5577267</v>
      </c>
      <c r="C6250" s="1" t="str">
        <f>HYPERLINK("http://stackoverflow.com/users/5577267", "Ming")</f>
        <v>Ming</v>
      </c>
      <c r="D6250" t="s">
        <v>37</v>
      </c>
      <c r="E6250">
        <v>11</v>
      </c>
    </row>
    <row r="6251" spans="1:5" x14ac:dyDescent="0.25">
      <c r="A6251">
        <v>6250</v>
      </c>
      <c r="B6251">
        <v>10982331</v>
      </c>
      <c r="C6251" s="1" t="str">
        <f>HYPERLINK("http://stackoverflow.com/users/10982331", "R.L")</f>
        <v>R.L</v>
      </c>
      <c r="D6251" t="s">
        <v>4</v>
      </c>
      <c r="E6251">
        <v>11</v>
      </c>
    </row>
    <row r="6252" spans="1:5" x14ac:dyDescent="0.25">
      <c r="A6252">
        <v>6251</v>
      </c>
      <c r="B6252">
        <v>5528162</v>
      </c>
      <c r="C6252" s="1" t="str">
        <f>HYPERLINK("http://stackoverflow.com/users/5528162", "Ping Amos")</f>
        <v>Ping Amos</v>
      </c>
      <c r="D6252" t="s">
        <v>37</v>
      </c>
      <c r="E6252">
        <v>11</v>
      </c>
    </row>
    <row r="6253" spans="1:5" x14ac:dyDescent="0.25">
      <c r="A6253">
        <v>6252</v>
      </c>
      <c r="B6253">
        <v>5539643</v>
      </c>
      <c r="C6253" s="1" t="str">
        <f>HYPERLINK("http://stackoverflow.com/users/5539643", "FengYao")</f>
        <v>FengYao</v>
      </c>
      <c r="D6253" t="s">
        <v>4</v>
      </c>
      <c r="E6253">
        <v>11</v>
      </c>
    </row>
    <row r="6254" spans="1:5" x14ac:dyDescent="0.25">
      <c r="A6254">
        <v>6253</v>
      </c>
      <c r="B6254">
        <v>1939100</v>
      </c>
      <c r="C6254" s="1" t="str">
        <f>HYPERLINK("http://stackoverflow.com/users/1939100", "denganliang")</f>
        <v>denganliang</v>
      </c>
      <c r="D6254" t="s">
        <v>37</v>
      </c>
      <c r="E6254">
        <v>11</v>
      </c>
    </row>
    <row r="6255" spans="1:5" x14ac:dyDescent="0.25">
      <c r="A6255">
        <v>6254</v>
      </c>
      <c r="B6255">
        <v>5525155</v>
      </c>
      <c r="C6255" s="1" t="str">
        <f>HYPERLINK("http://stackoverflow.com/users/5525155", "轩加振")</f>
        <v>轩加振</v>
      </c>
      <c r="D6255" t="s">
        <v>12</v>
      </c>
      <c r="E6255">
        <v>11</v>
      </c>
    </row>
    <row r="6256" spans="1:5" x14ac:dyDescent="0.25">
      <c r="A6256">
        <v>6255</v>
      </c>
      <c r="B6256">
        <v>9151641</v>
      </c>
      <c r="C6256" s="1" t="str">
        <f>HYPERLINK("http://stackoverflow.com/users/9151641", "Trevor Zhang")</f>
        <v>Trevor Zhang</v>
      </c>
      <c r="D6256" t="s">
        <v>4</v>
      </c>
      <c r="E6256">
        <v>11</v>
      </c>
    </row>
    <row r="6257" spans="1:5" x14ac:dyDescent="0.25">
      <c r="A6257">
        <v>6256</v>
      </c>
      <c r="B6257">
        <v>1880969</v>
      </c>
      <c r="C6257" s="1" t="str">
        <f>HYPERLINK("http://stackoverflow.com/users/1880969", "rogman")</f>
        <v>rogman</v>
      </c>
      <c r="D6257" t="s">
        <v>5</v>
      </c>
      <c r="E6257">
        <v>11</v>
      </c>
    </row>
    <row r="6258" spans="1:5" x14ac:dyDescent="0.25">
      <c r="A6258">
        <v>6257</v>
      </c>
      <c r="B6258">
        <v>3603485</v>
      </c>
      <c r="C6258" s="1" t="str">
        <f>HYPERLINK("http://stackoverflow.com/users/3603485", "colin-zhou")</f>
        <v>colin-zhou</v>
      </c>
      <c r="D6258" t="s">
        <v>225</v>
      </c>
      <c r="E6258">
        <v>11</v>
      </c>
    </row>
    <row r="6259" spans="1:5" x14ac:dyDescent="0.25">
      <c r="A6259">
        <v>6258</v>
      </c>
      <c r="B6259">
        <v>7198851</v>
      </c>
      <c r="C6259" s="1" t="str">
        <f>HYPERLINK("http://stackoverflow.com/users/7198851", "Zhang Rhett")</f>
        <v>Zhang Rhett</v>
      </c>
      <c r="D6259" t="s">
        <v>74</v>
      </c>
      <c r="E6259">
        <v>11</v>
      </c>
    </row>
    <row r="6260" spans="1:5" x14ac:dyDescent="0.25">
      <c r="A6260">
        <v>6259</v>
      </c>
      <c r="B6260">
        <v>9019896</v>
      </c>
      <c r="C6260" s="1" t="str">
        <f>HYPERLINK("http://stackoverflow.com/users/9019896", "ShawnZhu")</f>
        <v>ShawnZhu</v>
      </c>
      <c r="D6260" t="s">
        <v>5</v>
      </c>
      <c r="E6260">
        <v>11</v>
      </c>
    </row>
    <row r="6261" spans="1:5" x14ac:dyDescent="0.25">
      <c r="A6261">
        <v>6260</v>
      </c>
      <c r="B6261">
        <v>5374565</v>
      </c>
      <c r="C6261" s="1" t="str">
        <f>HYPERLINK("http://stackoverflow.com/users/5374565", "John")</f>
        <v>John</v>
      </c>
      <c r="D6261" t="s">
        <v>5</v>
      </c>
      <c r="E6261">
        <v>11</v>
      </c>
    </row>
    <row r="6262" spans="1:5" x14ac:dyDescent="0.25">
      <c r="A6262">
        <v>6261</v>
      </c>
      <c r="B6262">
        <v>1738695</v>
      </c>
      <c r="C6262" s="1" t="str">
        <f>HYPERLINK("http://stackoverflow.com/users/1738695", "kmo")</f>
        <v>kmo</v>
      </c>
      <c r="D6262" t="s">
        <v>59</v>
      </c>
      <c r="E6262">
        <v>11</v>
      </c>
    </row>
    <row r="6263" spans="1:5" x14ac:dyDescent="0.25">
      <c r="A6263">
        <v>6262</v>
      </c>
      <c r="B6263">
        <v>2300267</v>
      </c>
      <c r="C6263" s="1" t="str">
        <f>HYPERLINK("http://stackoverflow.com/users/2300267", "xiaominfc")</f>
        <v>xiaominfc</v>
      </c>
      <c r="D6263" t="s">
        <v>52</v>
      </c>
      <c r="E6263">
        <v>11</v>
      </c>
    </row>
    <row r="6264" spans="1:5" x14ac:dyDescent="0.25">
      <c r="A6264">
        <v>6263</v>
      </c>
      <c r="B6264">
        <v>4053086</v>
      </c>
      <c r="C6264" s="1" t="str">
        <f>HYPERLINK("http://stackoverflow.com/users/4053086", "Wong")</f>
        <v>Wong</v>
      </c>
      <c r="D6264" t="s">
        <v>350</v>
      </c>
      <c r="E6264">
        <v>11</v>
      </c>
    </row>
    <row r="6265" spans="1:5" x14ac:dyDescent="0.25">
      <c r="A6265">
        <v>6264</v>
      </c>
      <c r="B6265">
        <v>9519817</v>
      </c>
      <c r="C6265" s="1" t="str">
        <f>HYPERLINK("http://stackoverflow.com/users/9519817", "shawndoyle")</f>
        <v>shawndoyle</v>
      </c>
      <c r="D6265" t="s">
        <v>62</v>
      </c>
      <c r="E6265">
        <v>11</v>
      </c>
    </row>
    <row r="6266" spans="1:5" x14ac:dyDescent="0.25">
      <c r="A6266">
        <v>6265</v>
      </c>
      <c r="B6266">
        <v>2249489</v>
      </c>
      <c r="C6266" s="1" t="str">
        <f>HYPERLINK("http://stackoverflow.com/users/2249489", "leon_skof")</f>
        <v>leon_skof</v>
      </c>
      <c r="D6266" t="s">
        <v>37</v>
      </c>
      <c r="E6266">
        <v>11</v>
      </c>
    </row>
    <row r="6267" spans="1:5" x14ac:dyDescent="0.25">
      <c r="A6267">
        <v>6266</v>
      </c>
      <c r="B6267">
        <v>5781811</v>
      </c>
      <c r="C6267" s="1" t="str">
        <f>HYPERLINK("http://stackoverflow.com/users/5781811", "Capa")</f>
        <v>Capa</v>
      </c>
      <c r="D6267" t="s">
        <v>16</v>
      </c>
      <c r="E6267">
        <v>11</v>
      </c>
    </row>
    <row r="6268" spans="1:5" x14ac:dyDescent="0.25">
      <c r="A6268">
        <v>6267</v>
      </c>
      <c r="B6268">
        <v>11166094</v>
      </c>
      <c r="C6268" s="1" t="str">
        <f>HYPERLINK("http://stackoverflow.com/users/11166094", "iouzzr")</f>
        <v>iouzzr</v>
      </c>
      <c r="D6268" t="s">
        <v>5</v>
      </c>
      <c r="E6268">
        <v>11</v>
      </c>
    </row>
    <row r="6269" spans="1:5" x14ac:dyDescent="0.25">
      <c r="A6269">
        <v>6268</v>
      </c>
      <c r="B6269">
        <v>5715738</v>
      </c>
      <c r="C6269" s="1" t="str">
        <f>HYPERLINK("http://stackoverflow.com/users/5715738", "GaoYu")</f>
        <v>GaoYu</v>
      </c>
      <c r="D6269" t="s">
        <v>5</v>
      </c>
      <c r="E6269">
        <v>11</v>
      </c>
    </row>
    <row r="6270" spans="1:5" x14ac:dyDescent="0.25">
      <c r="A6270">
        <v>6269</v>
      </c>
      <c r="B6270">
        <v>2159642</v>
      </c>
      <c r="C6270" s="1" t="str">
        <f>HYPERLINK("http://stackoverflow.com/users/2159642", "Yuhang Zhu")</f>
        <v>Yuhang Zhu</v>
      </c>
      <c r="D6270" t="s">
        <v>5</v>
      </c>
      <c r="E6270">
        <v>11</v>
      </c>
    </row>
    <row r="6271" spans="1:5" x14ac:dyDescent="0.25">
      <c r="A6271">
        <v>6270</v>
      </c>
      <c r="B6271">
        <v>3899413</v>
      </c>
      <c r="C6271" s="1" t="str">
        <f>HYPERLINK("http://stackoverflow.com/users/3899413", "yihhe")</f>
        <v>yihhe</v>
      </c>
      <c r="D6271" t="s">
        <v>4</v>
      </c>
      <c r="E6271">
        <v>11</v>
      </c>
    </row>
    <row r="6272" spans="1:5" x14ac:dyDescent="0.25">
      <c r="A6272">
        <v>6271</v>
      </c>
      <c r="B6272">
        <v>11136420</v>
      </c>
      <c r="C6272" s="1" t="str">
        <f>HYPERLINK("http://stackoverflow.com/users/11136420", "yangtao")</f>
        <v>yangtao</v>
      </c>
      <c r="D6272" t="s">
        <v>16</v>
      </c>
      <c r="E6272">
        <v>11</v>
      </c>
    </row>
    <row r="6273" spans="1:5" x14ac:dyDescent="0.25">
      <c r="A6273">
        <v>6272</v>
      </c>
      <c r="B6273">
        <v>3907410</v>
      </c>
      <c r="C6273" s="1" t="str">
        <f>HYPERLINK("http://stackoverflow.com/users/3907410", "tofu")</f>
        <v>tofu</v>
      </c>
      <c r="D6273" t="s">
        <v>5</v>
      </c>
      <c r="E6273">
        <v>11</v>
      </c>
    </row>
    <row r="6274" spans="1:5" x14ac:dyDescent="0.25">
      <c r="A6274">
        <v>6273</v>
      </c>
      <c r="B6274">
        <v>2210987</v>
      </c>
      <c r="C6274" s="1" t="str">
        <f>HYPERLINK("http://stackoverflow.com/users/2210987", "swordguy")</f>
        <v>swordguy</v>
      </c>
      <c r="D6274" t="s">
        <v>5</v>
      </c>
      <c r="E6274">
        <v>11</v>
      </c>
    </row>
    <row r="6275" spans="1:5" x14ac:dyDescent="0.25">
      <c r="A6275">
        <v>6274</v>
      </c>
      <c r="B6275">
        <v>2219270</v>
      </c>
      <c r="C6275" s="1" t="str">
        <f>HYPERLINK("http://stackoverflow.com/users/2219270", "frank19900731")</f>
        <v>frank19900731</v>
      </c>
      <c r="D6275" t="s">
        <v>5</v>
      </c>
      <c r="E6275">
        <v>11</v>
      </c>
    </row>
    <row r="6276" spans="1:5" x14ac:dyDescent="0.25">
      <c r="A6276">
        <v>6275</v>
      </c>
      <c r="B6276">
        <v>3966454</v>
      </c>
      <c r="C6276" s="1" t="str">
        <f>HYPERLINK("http://stackoverflow.com/users/3966454", "Kevin Kong")</f>
        <v>Kevin Kong</v>
      </c>
      <c r="D6276" t="s">
        <v>37</v>
      </c>
      <c r="E6276">
        <v>11</v>
      </c>
    </row>
    <row r="6277" spans="1:5" x14ac:dyDescent="0.25">
      <c r="A6277">
        <v>6276</v>
      </c>
      <c r="B6277">
        <v>5745656</v>
      </c>
      <c r="C6277" s="1" t="str">
        <f>HYPERLINK("http://stackoverflow.com/users/5745656", "Qiwang CHEN")</f>
        <v>Qiwang CHEN</v>
      </c>
      <c r="D6277" t="s">
        <v>55</v>
      </c>
      <c r="E6277">
        <v>11</v>
      </c>
    </row>
    <row r="6278" spans="1:5" x14ac:dyDescent="0.25">
      <c r="A6278">
        <v>6277</v>
      </c>
      <c r="B6278">
        <v>5722561</v>
      </c>
      <c r="C6278" s="1" t="str">
        <f>HYPERLINK("http://stackoverflow.com/users/5722561", "magic")</f>
        <v>magic</v>
      </c>
      <c r="D6278" t="s">
        <v>4</v>
      </c>
      <c r="E6278">
        <v>11</v>
      </c>
    </row>
    <row r="6279" spans="1:5" x14ac:dyDescent="0.25">
      <c r="A6279">
        <v>6278</v>
      </c>
      <c r="B6279">
        <v>7483203</v>
      </c>
      <c r="C6279" s="1" t="str">
        <f>HYPERLINK("http://stackoverflow.com/users/7483203", "大绵羊")</f>
        <v>大绵羊</v>
      </c>
      <c r="D6279" t="s">
        <v>5</v>
      </c>
      <c r="E6279">
        <v>11</v>
      </c>
    </row>
    <row r="6280" spans="1:5" x14ac:dyDescent="0.25">
      <c r="A6280">
        <v>6279</v>
      </c>
      <c r="B6280">
        <v>3958303</v>
      </c>
      <c r="C6280" s="1" t="str">
        <f>HYPERLINK("http://stackoverflow.com/users/3958303", "Jean Ge")</f>
        <v>Jean Ge</v>
      </c>
      <c r="D6280" t="s">
        <v>4</v>
      </c>
      <c r="E6280">
        <v>11</v>
      </c>
    </row>
    <row r="6281" spans="1:5" x14ac:dyDescent="0.25">
      <c r="A6281">
        <v>6280</v>
      </c>
      <c r="B6281">
        <v>2412760</v>
      </c>
      <c r="C6281" s="1" t="str">
        <f>HYPERLINK("http://stackoverflow.com/users/2412760", "shutear")</f>
        <v>shutear</v>
      </c>
      <c r="D6281" t="s">
        <v>5</v>
      </c>
      <c r="E6281">
        <v>11</v>
      </c>
    </row>
    <row r="6282" spans="1:5" x14ac:dyDescent="0.25">
      <c r="A6282">
        <v>6281</v>
      </c>
      <c r="B6282">
        <v>2345968</v>
      </c>
      <c r="C6282" s="1" t="str">
        <f>HYPERLINK("http://stackoverflow.com/users/2345968", "liangjie.zhu")</f>
        <v>liangjie.zhu</v>
      </c>
      <c r="D6282" t="s">
        <v>5</v>
      </c>
      <c r="E6282">
        <v>11</v>
      </c>
    </row>
    <row r="6283" spans="1:5" x14ac:dyDescent="0.25">
      <c r="A6283">
        <v>6282</v>
      </c>
      <c r="B6283">
        <v>2360527</v>
      </c>
      <c r="C6283" s="1" t="str">
        <f>HYPERLINK("http://stackoverflow.com/users/2360527", "Guangning Yu")</f>
        <v>Guangning Yu</v>
      </c>
      <c r="D6283" t="s">
        <v>4</v>
      </c>
      <c r="E6283">
        <v>11</v>
      </c>
    </row>
    <row r="6284" spans="1:5" x14ac:dyDescent="0.25">
      <c r="A6284">
        <v>6283</v>
      </c>
      <c r="B6284">
        <v>2396216</v>
      </c>
      <c r="C6284" s="1" t="str">
        <f>HYPERLINK("http://stackoverflow.com/users/2396216", "Shunix")</f>
        <v>Shunix</v>
      </c>
      <c r="D6284" t="s">
        <v>4</v>
      </c>
      <c r="E6284">
        <v>11</v>
      </c>
    </row>
    <row r="6285" spans="1:5" x14ac:dyDescent="0.25">
      <c r="A6285">
        <v>6284</v>
      </c>
      <c r="B6285">
        <v>3044611</v>
      </c>
      <c r="C6285" s="1" t="str">
        <f>HYPERLINK("http://stackoverflow.com/users/3044611", "akaristar")</f>
        <v>akaristar</v>
      </c>
      <c r="D6285" t="s">
        <v>4</v>
      </c>
      <c r="E6285">
        <v>11</v>
      </c>
    </row>
    <row r="6286" spans="1:5" x14ac:dyDescent="0.25">
      <c r="A6286">
        <v>6285</v>
      </c>
      <c r="B6286">
        <v>3044738</v>
      </c>
      <c r="C6286" s="1" t="str">
        <f>HYPERLINK("http://stackoverflow.com/users/3044738", "vicvinc")</f>
        <v>vicvinc</v>
      </c>
      <c r="D6286" t="s">
        <v>5</v>
      </c>
      <c r="E6286">
        <v>11</v>
      </c>
    </row>
    <row r="6287" spans="1:5" x14ac:dyDescent="0.25">
      <c r="A6287">
        <v>6286</v>
      </c>
      <c r="B6287">
        <v>8423542</v>
      </c>
      <c r="C6287" s="1" t="str">
        <f>HYPERLINK("http://stackoverflow.com/users/8423542", "Jinlxz Liu")</f>
        <v>Jinlxz Liu</v>
      </c>
      <c r="D6287" t="s">
        <v>22</v>
      </c>
      <c r="E6287">
        <v>11</v>
      </c>
    </row>
    <row r="6288" spans="1:5" x14ac:dyDescent="0.25">
      <c r="A6288">
        <v>6287</v>
      </c>
      <c r="B6288">
        <v>8457016</v>
      </c>
      <c r="C6288" s="1" t="str">
        <f>HYPERLINK("http://stackoverflow.com/users/8457016", "r0beRT")</f>
        <v>r0beRT</v>
      </c>
      <c r="D6288" t="s">
        <v>351</v>
      </c>
      <c r="E6288">
        <v>11</v>
      </c>
    </row>
    <row r="6289" spans="1:5" x14ac:dyDescent="0.25">
      <c r="A6289">
        <v>6288</v>
      </c>
      <c r="B6289">
        <v>1107119</v>
      </c>
      <c r="C6289" s="1" t="str">
        <f>HYPERLINK("http://stackoverflow.com/users/1107119", "blacktea")</f>
        <v>blacktea</v>
      </c>
      <c r="D6289" t="s">
        <v>12</v>
      </c>
      <c r="E6289">
        <v>11</v>
      </c>
    </row>
    <row r="6290" spans="1:5" x14ac:dyDescent="0.25">
      <c r="A6290">
        <v>6289</v>
      </c>
      <c r="B6290">
        <v>1107228</v>
      </c>
      <c r="C6290" s="1" t="str">
        <f>HYPERLINK("http://stackoverflow.com/users/1107228", "Haitch")</f>
        <v>Haitch</v>
      </c>
      <c r="D6290" t="s">
        <v>4</v>
      </c>
      <c r="E6290">
        <v>11</v>
      </c>
    </row>
    <row r="6291" spans="1:5" x14ac:dyDescent="0.25">
      <c r="A6291">
        <v>6290</v>
      </c>
      <c r="B6291">
        <v>3001621</v>
      </c>
      <c r="C6291" s="1" t="str">
        <f>HYPERLINK("http://stackoverflow.com/users/3001621", "tju077")</f>
        <v>tju077</v>
      </c>
      <c r="D6291" t="s">
        <v>4</v>
      </c>
      <c r="E6291">
        <v>11</v>
      </c>
    </row>
    <row r="6292" spans="1:5" x14ac:dyDescent="0.25">
      <c r="A6292">
        <v>6291</v>
      </c>
      <c r="B6292">
        <v>10175555</v>
      </c>
      <c r="C6292" s="1" t="str">
        <f>HYPERLINK("http://stackoverflow.com/users/10175555", "黄怀贵")</f>
        <v>黄怀贵</v>
      </c>
      <c r="D6292" t="s">
        <v>4</v>
      </c>
      <c r="E6292">
        <v>11</v>
      </c>
    </row>
    <row r="6293" spans="1:5" x14ac:dyDescent="0.25">
      <c r="A6293">
        <v>6292</v>
      </c>
      <c r="B6293">
        <v>3019902</v>
      </c>
      <c r="C6293" s="1" t="str">
        <f>HYPERLINK("http://stackoverflow.com/users/3019902", "Bowen")</f>
        <v>Bowen</v>
      </c>
      <c r="D6293" t="s">
        <v>17</v>
      </c>
      <c r="E6293">
        <v>11</v>
      </c>
    </row>
    <row r="6294" spans="1:5" x14ac:dyDescent="0.25">
      <c r="A6294">
        <v>6293</v>
      </c>
      <c r="B6294">
        <v>8397255</v>
      </c>
      <c r="C6294" s="1" t="str">
        <f>HYPERLINK("http://stackoverflow.com/users/8397255", "Valerie Wu")</f>
        <v>Valerie Wu</v>
      </c>
      <c r="D6294" t="s">
        <v>5</v>
      </c>
      <c r="E6294">
        <v>11</v>
      </c>
    </row>
    <row r="6295" spans="1:5" x14ac:dyDescent="0.25">
      <c r="A6295">
        <v>6294</v>
      </c>
      <c r="B6295">
        <v>3035409</v>
      </c>
      <c r="C6295" s="1" t="str">
        <f>HYPERLINK("http://stackoverflow.com/users/3035409", "goudan-er")</f>
        <v>goudan-er</v>
      </c>
      <c r="D6295" t="s">
        <v>5</v>
      </c>
      <c r="E6295">
        <v>11</v>
      </c>
    </row>
    <row r="6296" spans="1:5" x14ac:dyDescent="0.25">
      <c r="A6296">
        <v>6295</v>
      </c>
      <c r="B6296">
        <v>2925282</v>
      </c>
      <c r="C6296" s="1" t="str">
        <f>HYPERLINK("http://stackoverflow.com/users/2925282", "lookaround")</f>
        <v>lookaround</v>
      </c>
      <c r="D6296" t="s">
        <v>12</v>
      </c>
      <c r="E6296">
        <v>11</v>
      </c>
    </row>
    <row r="6297" spans="1:5" x14ac:dyDescent="0.25">
      <c r="A6297">
        <v>6296</v>
      </c>
      <c r="B6297">
        <v>4762444</v>
      </c>
      <c r="C6297" s="1" t="str">
        <f>HYPERLINK("http://stackoverflow.com/users/4762444", "Etahudu")</f>
        <v>Etahudu</v>
      </c>
      <c r="D6297" t="s">
        <v>5</v>
      </c>
      <c r="E6297">
        <v>11</v>
      </c>
    </row>
    <row r="6298" spans="1:5" x14ac:dyDescent="0.25">
      <c r="A6298">
        <v>6297</v>
      </c>
      <c r="B6298">
        <v>2937924</v>
      </c>
      <c r="C6298" s="1" t="str">
        <f>HYPERLINK("http://stackoverflow.com/users/2937924", "hcjcch")</f>
        <v>hcjcch</v>
      </c>
      <c r="D6298" t="s">
        <v>5</v>
      </c>
      <c r="E6298">
        <v>11</v>
      </c>
    </row>
    <row r="6299" spans="1:5" x14ac:dyDescent="0.25">
      <c r="A6299">
        <v>6298</v>
      </c>
      <c r="B6299">
        <v>10154029</v>
      </c>
      <c r="C6299" s="1" t="str">
        <f>HYPERLINK("http://stackoverflow.com/users/10154029", "Zheng Guo")</f>
        <v>Zheng Guo</v>
      </c>
      <c r="D6299" t="s">
        <v>74</v>
      </c>
      <c r="E6299">
        <v>11</v>
      </c>
    </row>
    <row r="6300" spans="1:5" x14ac:dyDescent="0.25">
      <c r="A6300">
        <v>6299</v>
      </c>
      <c r="B6300">
        <v>4715497</v>
      </c>
      <c r="C6300" s="1" t="str">
        <f>HYPERLINK("http://stackoverflow.com/users/4715497", "Sally")</f>
        <v>Sally</v>
      </c>
      <c r="D6300" t="s">
        <v>52</v>
      </c>
      <c r="E6300">
        <v>11</v>
      </c>
    </row>
    <row r="6301" spans="1:5" x14ac:dyDescent="0.25">
      <c r="A6301">
        <v>6300</v>
      </c>
      <c r="B6301">
        <v>774232</v>
      </c>
      <c r="C6301" s="1" t="str">
        <f>HYPERLINK("http://stackoverflow.com/users/774232", "RStyle Au")</f>
        <v>RStyle Au</v>
      </c>
      <c r="D6301" t="s">
        <v>21</v>
      </c>
      <c r="E6301">
        <v>11</v>
      </c>
    </row>
    <row r="6302" spans="1:5" x14ac:dyDescent="0.25">
      <c r="A6302">
        <v>6301</v>
      </c>
      <c r="B6302">
        <v>6463001</v>
      </c>
      <c r="C6302" s="1" t="str">
        <f>HYPERLINK("http://stackoverflow.com/users/6463001", "Yelei Wang")</f>
        <v>Yelei Wang</v>
      </c>
      <c r="D6302" t="s">
        <v>16</v>
      </c>
      <c r="E6302">
        <v>11</v>
      </c>
    </row>
    <row r="6303" spans="1:5" x14ac:dyDescent="0.25">
      <c r="A6303">
        <v>6302</v>
      </c>
      <c r="B6303">
        <v>4741476</v>
      </c>
      <c r="C6303" s="1" t="str">
        <f>HYPERLINK("http://stackoverflow.com/users/4741476", "uestc_dpz")</f>
        <v>uestc_dpz</v>
      </c>
      <c r="D6303" t="s">
        <v>28</v>
      </c>
      <c r="E6303">
        <v>11</v>
      </c>
    </row>
    <row r="6304" spans="1:5" x14ac:dyDescent="0.25">
      <c r="A6304">
        <v>6303</v>
      </c>
      <c r="B6304">
        <v>815002</v>
      </c>
      <c r="C6304" s="1" t="str">
        <f>HYPERLINK("http://stackoverflow.com/users/815002", "rongbo.jin")</f>
        <v>rongbo.jin</v>
      </c>
      <c r="D6304" t="s">
        <v>5</v>
      </c>
      <c r="E6304">
        <v>11</v>
      </c>
    </row>
    <row r="6305" spans="1:5" x14ac:dyDescent="0.25">
      <c r="A6305">
        <v>6304</v>
      </c>
      <c r="B6305">
        <v>306151</v>
      </c>
      <c r="C6305" s="1" t="str">
        <f>HYPERLINK("http://stackoverflow.com/users/306151", "BrightChen")</f>
        <v>BrightChen</v>
      </c>
      <c r="D6305" t="s">
        <v>4</v>
      </c>
      <c r="E6305">
        <v>11</v>
      </c>
    </row>
    <row r="6306" spans="1:5" x14ac:dyDescent="0.25">
      <c r="A6306">
        <v>6305</v>
      </c>
      <c r="B6306">
        <v>161763</v>
      </c>
      <c r="C6306" s="1" t="str">
        <f>HYPERLINK("http://stackoverflow.com/users/161763", "fozzold")</f>
        <v>fozzold</v>
      </c>
      <c r="D6306" t="s">
        <v>5</v>
      </c>
      <c r="E6306">
        <v>11</v>
      </c>
    </row>
    <row r="6307" spans="1:5" x14ac:dyDescent="0.25">
      <c r="A6307">
        <v>6306</v>
      </c>
      <c r="B6307">
        <v>318165</v>
      </c>
      <c r="C6307" s="1" t="str">
        <f>HYPERLINK("http://stackoverflow.com/users/318165", "InuiSadaharu")</f>
        <v>InuiSadaharu</v>
      </c>
      <c r="D6307" t="s">
        <v>4</v>
      </c>
      <c r="E6307">
        <v>11</v>
      </c>
    </row>
    <row r="6308" spans="1:5" x14ac:dyDescent="0.25">
      <c r="A6308">
        <v>6307</v>
      </c>
      <c r="B6308">
        <v>7976227</v>
      </c>
      <c r="C6308" s="1" t="str">
        <f>HYPERLINK("http://stackoverflow.com/users/7976227", "Jerry Zhao")</f>
        <v>Jerry Zhao</v>
      </c>
      <c r="D6308" t="s">
        <v>5</v>
      </c>
      <c r="E6308">
        <v>11</v>
      </c>
    </row>
    <row r="6309" spans="1:5" x14ac:dyDescent="0.25">
      <c r="A6309">
        <v>6308</v>
      </c>
      <c r="B6309">
        <v>6257135</v>
      </c>
      <c r="C6309" s="1" t="str">
        <f>HYPERLINK("http://stackoverflow.com/users/6257135", "Jason Lian")</f>
        <v>Jason Lian</v>
      </c>
      <c r="D6309" t="s">
        <v>4</v>
      </c>
      <c r="E6309">
        <v>11</v>
      </c>
    </row>
    <row r="6310" spans="1:5" x14ac:dyDescent="0.25">
      <c r="A6310">
        <v>6309</v>
      </c>
      <c r="B6310">
        <v>8182781</v>
      </c>
      <c r="C6310" s="1" t="str">
        <f>HYPERLINK("http://stackoverflow.com/users/8182781", "Skywalker")</f>
        <v>Skywalker</v>
      </c>
      <c r="D6310" t="s">
        <v>5</v>
      </c>
      <c r="E6310">
        <v>11</v>
      </c>
    </row>
    <row r="6311" spans="1:5" x14ac:dyDescent="0.25">
      <c r="A6311">
        <v>6310</v>
      </c>
      <c r="B6311">
        <v>8170577</v>
      </c>
      <c r="C6311" s="1" t="str">
        <f>HYPERLINK("http://stackoverflow.com/users/8170577", "Zzh.")</f>
        <v>Zzh.</v>
      </c>
      <c r="D6311" t="s">
        <v>5</v>
      </c>
      <c r="E6311">
        <v>11</v>
      </c>
    </row>
    <row r="6312" spans="1:5" x14ac:dyDescent="0.25">
      <c r="A6312">
        <v>6311</v>
      </c>
      <c r="B6312">
        <v>4656315</v>
      </c>
      <c r="C6312" s="1" t="str">
        <f>HYPERLINK("http://stackoverflow.com/users/4656315", "Alvin")</f>
        <v>Alvin</v>
      </c>
      <c r="D6312" t="s">
        <v>4</v>
      </c>
      <c r="E6312">
        <v>11</v>
      </c>
    </row>
    <row r="6313" spans="1:5" x14ac:dyDescent="0.25">
      <c r="A6313">
        <v>6312</v>
      </c>
      <c r="B6313">
        <v>6373760</v>
      </c>
      <c r="C6313" s="1" t="str">
        <f>HYPERLINK("http://stackoverflow.com/users/6373760", "vince")</f>
        <v>vince</v>
      </c>
      <c r="D6313" t="s">
        <v>16</v>
      </c>
      <c r="E6313">
        <v>11</v>
      </c>
    </row>
    <row r="6314" spans="1:5" x14ac:dyDescent="0.25">
      <c r="A6314">
        <v>6313</v>
      </c>
      <c r="B6314">
        <v>6373766</v>
      </c>
      <c r="C6314" s="1" t="str">
        <f>HYPERLINK("http://stackoverflow.com/users/6373766", "Howard")</f>
        <v>Howard</v>
      </c>
      <c r="D6314" t="s">
        <v>5</v>
      </c>
      <c r="E6314">
        <v>11</v>
      </c>
    </row>
    <row r="6315" spans="1:5" x14ac:dyDescent="0.25">
      <c r="A6315">
        <v>6314</v>
      </c>
      <c r="B6315">
        <v>2790687</v>
      </c>
      <c r="C6315" s="1" t="str">
        <f>HYPERLINK("http://stackoverflow.com/users/2790687", "hatakawas")</f>
        <v>hatakawas</v>
      </c>
      <c r="D6315" t="s">
        <v>5</v>
      </c>
      <c r="E6315">
        <v>11</v>
      </c>
    </row>
    <row r="6316" spans="1:5" x14ac:dyDescent="0.25">
      <c r="A6316">
        <v>6315</v>
      </c>
      <c r="B6316">
        <v>8129705</v>
      </c>
      <c r="C6316" s="1" t="str">
        <f>HYPERLINK("http://stackoverflow.com/users/8129705", "huohaoliz")</f>
        <v>huohaoliz</v>
      </c>
      <c r="D6316" t="s">
        <v>120</v>
      </c>
      <c r="E6316">
        <v>11</v>
      </c>
    </row>
    <row r="6317" spans="1:5" x14ac:dyDescent="0.25">
      <c r="A6317">
        <v>6316</v>
      </c>
      <c r="B6317">
        <v>2771353</v>
      </c>
      <c r="C6317" s="1" t="str">
        <f>HYPERLINK("http://stackoverflow.com/users/2771353", "diaosj")</f>
        <v>diaosj</v>
      </c>
      <c r="D6317" t="s">
        <v>4</v>
      </c>
      <c r="E6317">
        <v>11</v>
      </c>
    </row>
    <row r="6318" spans="1:5" x14ac:dyDescent="0.25">
      <c r="A6318">
        <v>6317</v>
      </c>
      <c r="B6318">
        <v>6340280</v>
      </c>
      <c r="C6318" s="1" t="str">
        <f>HYPERLINK("http://stackoverflow.com/users/6340280", "Jacob Jin")</f>
        <v>Jacob Jin</v>
      </c>
      <c r="D6318" t="s">
        <v>66</v>
      </c>
      <c r="E6318">
        <v>11</v>
      </c>
    </row>
    <row r="6319" spans="1:5" x14ac:dyDescent="0.25">
      <c r="A6319">
        <v>6318</v>
      </c>
      <c r="B6319">
        <v>565025</v>
      </c>
      <c r="C6319" s="1" t="str">
        <f>HYPERLINK("http://stackoverflow.com/users/565025", "Blue Blue")</f>
        <v>Blue Blue</v>
      </c>
      <c r="D6319" t="s">
        <v>5</v>
      </c>
      <c r="E6319">
        <v>11</v>
      </c>
    </row>
    <row r="6320" spans="1:5" x14ac:dyDescent="0.25">
      <c r="A6320">
        <v>6319</v>
      </c>
      <c r="B6320">
        <v>524706</v>
      </c>
      <c r="C6320" s="1" t="str">
        <f>HYPERLINK("http://stackoverflow.com/users/524706", "chenyukun")</f>
        <v>chenyukun</v>
      </c>
      <c r="D6320" t="s">
        <v>5</v>
      </c>
      <c r="E6320">
        <v>11</v>
      </c>
    </row>
    <row r="6321" spans="1:5" x14ac:dyDescent="0.25">
      <c r="A6321">
        <v>6320</v>
      </c>
      <c r="B6321">
        <v>515532</v>
      </c>
      <c r="C6321" s="1" t="str">
        <f>HYPERLINK("http://stackoverflow.com/users/515532", "jack mo")</f>
        <v>jack mo</v>
      </c>
      <c r="D6321" t="s">
        <v>17</v>
      </c>
      <c r="E6321">
        <v>11</v>
      </c>
    </row>
    <row r="6322" spans="1:5" x14ac:dyDescent="0.25">
      <c r="A6322">
        <v>6321</v>
      </c>
      <c r="B6322">
        <v>2721453</v>
      </c>
      <c r="C6322" s="1" t="str">
        <f>HYPERLINK("http://stackoverflow.com/users/2721453", "Windsting")</f>
        <v>Windsting</v>
      </c>
      <c r="D6322" t="s">
        <v>4</v>
      </c>
      <c r="E6322">
        <v>11</v>
      </c>
    </row>
    <row r="6323" spans="1:5" x14ac:dyDescent="0.25">
      <c r="A6323">
        <v>6322</v>
      </c>
      <c r="B6323">
        <v>500409</v>
      </c>
      <c r="C6323" s="1" t="str">
        <f>HYPERLINK("http://stackoverflow.com/users/500409", "welfear")</f>
        <v>welfear</v>
      </c>
      <c r="D6323" t="s">
        <v>12</v>
      </c>
      <c r="E6323">
        <v>11</v>
      </c>
    </row>
    <row r="6324" spans="1:5" x14ac:dyDescent="0.25">
      <c r="A6324">
        <v>6323</v>
      </c>
      <c r="B6324">
        <v>1547483</v>
      </c>
      <c r="C6324" s="1" t="str">
        <f>HYPERLINK("http://stackoverflow.com/users/1547483", "albert")</f>
        <v>albert</v>
      </c>
      <c r="D6324" t="s">
        <v>5</v>
      </c>
      <c r="E6324">
        <v>11</v>
      </c>
    </row>
    <row r="6325" spans="1:5" x14ac:dyDescent="0.25">
      <c r="A6325">
        <v>6324</v>
      </c>
      <c r="B6325">
        <v>1556659</v>
      </c>
      <c r="C6325" s="1" t="str">
        <f>HYPERLINK("http://stackoverflow.com/users/1556659", "Summerson")</f>
        <v>Summerson</v>
      </c>
      <c r="D6325" t="s">
        <v>8</v>
      </c>
      <c r="E6325">
        <v>11</v>
      </c>
    </row>
    <row r="6326" spans="1:5" x14ac:dyDescent="0.25">
      <c r="A6326">
        <v>6325</v>
      </c>
      <c r="B6326">
        <v>3426071</v>
      </c>
      <c r="C6326" s="1" t="str">
        <f>HYPERLINK("http://stackoverflow.com/users/3426071", "legendlin")</f>
        <v>legendlin</v>
      </c>
      <c r="D6326" t="s">
        <v>21</v>
      </c>
      <c r="E6326">
        <v>11</v>
      </c>
    </row>
    <row r="6327" spans="1:5" x14ac:dyDescent="0.25">
      <c r="A6327">
        <v>6326</v>
      </c>
      <c r="B6327">
        <v>3427535</v>
      </c>
      <c r="C6327" s="1" t="str">
        <f>HYPERLINK("http://stackoverflow.com/users/3427535", "Jeff Jiang")</f>
        <v>Jeff Jiang</v>
      </c>
      <c r="D6327" t="s">
        <v>4</v>
      </c>
      <c r="E6327">
        <v>11</v>
      </c>
    </row>
    <row r="6328" spans="1:5" x14ac:dyDescent="0.25">
      <c r="A6328">
        <v>6327</v>
      </c>
      <c r="B6328">
        <v>1600274</v>
      </c>
      <c r="C6328" s="1" t="str">
        <f>HYPERLINK("http://stackoverflow.com/users/1600274", "Arron Sun")</f>
        <v>Arron Sun</v>
      </c>
      <c r="D6328" t="s">
        <v>17</v>
      </c>
      <c r="E6328">
        <v>11</v>
      </c>
    </row>
    <row r="6329" spans="1:5" x14ac:dyDescent="0.25">
      <c r="A6329">
        <v>6328</v>
      </c>
      <c r="B6329">
        <v>5245010</v>
      </c>
      <c r="C6329" s="1" t="str">
        <f>HYPERLINK("http://stackoverflow.com/users/5245010", "Honghui Mei")</f>
        <v>Honghui Mei</v>
      </c>
      <c r="D6329" t="s">
        <v>352</v>
      </c>
      <c r="E6329">
        <v>11</v>
      </c>
    </row>
    <row r="6330" spans="1:5" x14ac:dyDescent="0.25">
      <c r="A6330">
        <v>6329</v>
      </c>
      <c r="B6330">
        <v>5352685</v>
      </c>
      <c r="C6330" s="1" t="str">
        <f>HYPERLINK("http://stackoverflow.com/users/5352685", "Raphael Marmalade")</f>
        <v>Raphael Marmalade</v>
      </c>
      <c r="D6330" t="s">
        <v>4</v>
      </c>
      <c r="E6330">
        <v>11</v>
      </c>
    </row>
    <row r="6331" spans="1:5" x14ac:dyDescent="0.25">
      <c r="A6331">
        <v>6330</v>
      </c>
      <c r="B6331">
        <v>7074907</v>
      </c>
      <c r="C6331" s="1" t="str">
        <f>HYPERLINK("http://stackoverflow.com/users/7074907", "benborbah")</f>
        <v>benborbah</v>
      </c>
      <c r="D6331" t="s">
        <v>5</v>
      </c>
      <c r="E6331">
        <v>11</v>
      </c>
    </row>
    <row r="6332" spans="1:5" x14ac:dyDescent="0.25">
      <c r="A6332">
        <v>6331</v>
      </c>
      <c r="B6332">
        <v>3500801</v>
      </c>
      <c r="C6332" s="1" t="str">
        <f>HYPERLINK("http://stackoverflow.com/users/3500801", "Kevin Yao")</f>
        <v>Kevin Yao</v>
      </c>
      <c r="D6332" t="s">
        <v>17</v>
      </c>
      <c r="E6332">
        <v>11</v>
      </c>
    </row>
    <row r="6333" spans="1:5" x14ac:dyDescent="0.25">
      <c r="A6333">
        <v>6332</v>
      </c>
      <c r="B6333">
        <v>9064352</v>
      </c>
      <c r="C6333" s="1" t="str">
        <f>HYPERLINK("http://stackoverflow.com/users/9064352", "uuorb")</f>
        <v>uuorb</v>
      </c>
      <c r="D6333" t="s">
        <v>28</v>
      </c>
      <c r="E6333">
        <v>11</v>
      </c>
    </row>
    <row r="6334" spans="1:5" x14ac:dyDescent="0.25">
      <c r="A6334">
        <v>6333</v>
      </c>
      <c r="B6334">
        <v>3656176</v>
      </c>
      <c r="C6334" s="1" t="str">
        <f>HYPERLINK("http://stackoverflow.com/users/3656176", "Guillaume")</f>
        <v>Guillaume</v>
      </c>
      <c r="D6334" t="s">
        <v>5</v>
      </c>
      <c r="E6334">
        <v>11</v>
      </c>
    </row>
    <row r="6335" spans="1:5" x14ac:dyDescent="0.25">
      <c r="A6335">
        <v>6334</v>
      </c>
      <c r="B6335">
        <v>7207638</v>
      </c>
      <c r="C6335" s="1" t="str">
        <f>HYPERLINK("http://stackoverflow.com/users/7207638", "Lan")</f>
        <v>Lan</v>
      </c>
      <c r="D6335" t="s">
        <v>266</v>
      </c>
      <c r="E6335">
        <v>11</v>
      </c>
    </row>
    <row r="6336" spans="1:5" x14ac:dyDescent="0.25">
      <c r="A6336">
        <v>6335</v>
      </c>
      <c r="B6336">
        <v>9047374</v>
      </c>
      <c r="C6336" s="1" t="str">
        <f>HYPERLINK("http://stackoverflow.com/users/9047374", "kooooq")</f>
        <v>kooooq</v>
      </c>
      <c r="D6336" t="s">
        <v>5</v>
      </c>
      <c r="E6336">
        <v>11</v>
      </c>
    </row>
    <row r="6337" spans="1:5" x14ac:dyDescent="0.25">
      <c r="A6337">
        <v>6336</v>
      </c>
      <c r="B6337">
        <v>9109641</v>
      </c>
      <c r="C6337" s="1" t="str">
        <f>HYPERLINK("http://stackoverflow.com/users/9109641", "Allen Luo")</f>
        <v>Allen Luo</v>
      </c>
      <c r="D6337" t="s">
        <v>4</v>
      </c>
      <c r="E6337">
        <v>11</v>
      </c>
    </row>
    <row r="6338" spans="1:5" x14ac:dyDescent="0.25">
      <c r="A6338">
        <v>6337</v>
      </c>
      <c r="B6338">
        <v>5376276</v>
      </c>
      <c r="C6338" s="1" t="str">
        <f>HYPERLINK("http://stackoverflow.com/users/5376276", "JeyChou")</f>
        <v>JeyChou</v>
      </c>
      <c r="D6338" t="s">
        <v>4</v>
      </c>
      <c r="E6338">
        <v>11</v>
      </c>
    </row>
    <row r="6339" spans="1:5" x14ac:dyDescent="0.25">
      <c r="A6339">
        <v>6338</v>
      </c>
      <c r="B6339">
        <v>3567356</v>
      </c>
      <c r="C6339" s="1" t="str">
        <f>HYPERLINK("http://stackoverflow.com/users/3567356", "HawkingOuYang")</f>
        <v>HawkingOuYang</v>
      </c>
      <c r="D6339" t="s">
        <v>5</v>
      </c>
      <c r="E6339">
        <v>11</v>
      </c>
    </row>
    <row r="6340" spans="1:5" x14ac:dyDescent="0.25">
      <c r="A6340">
        <v>6339</v>
      </c>
      <c r="B6340">
        <v>5367945</v>
      </c>
      <c r="C6340" s="1" t="str">
        <f>HYPERLINK("http://stackoverflow.com/users/5367945", "Y.Won")</f>
        <v>Y.Won</v>
      </c>
      <c r="D6340" t="s">
        <v>16</v>
      </c>
      <c r="E6340">
        <v>11</v>
      </c>
    </row>
    <row r="6341" spans="1:5" x14ac:dyDescent="0.25">
      <c r="A6341">
        <v>6340</v>
      </c>
      <c r="B6341">
        <v>3562983</v>
      </c>
      <c r="C6341" s="1" t="str">
        <f>HYPERLINK("http://stackoverflow.com/users/3562983", "Leo")</f>
        <v>Leo</v>
      </c>
      <c r="D6341" t="s">
        <v>5</v>
      </c>
      <c r="E6341">
        <v>11</v>
      </c>
    </row>
    <row r="6342" spans="1:5" x14ac:dyDescent="0.25">
      <c r="A6342">
        <v>6341</v>
      </c>
      <c r="B6342">
        <v>7144271</v>
      </c>
      <c r="C6342" s="1" t="str">
        <f>HYPERLINK("http://stackoverflow.com/users/7144271", "Habib Derbyshire")</f>
        <v>Habib Derbyshire</v>
      </c>
      <c r="D6342" t="s">
        <v>5</v>
      </c>
      <c r="E6342">
        <v>11</v>
      </c>
    </row>
    <row r="6343" spans="1:5" x14ac:dyDescent="0.25">
      <c r="A6343">
        <v>6342</v>
      </c>
      <c r="B6343">
        <v>3300932</v>
      </c>
      <c r="C6343" s="1" t="str">
        <f>HYPERLINK("http://stackoverflow.com/users/3300932", "user3300932")</f>
        <v>user3300932</v>
      </c>
      <c r="D6343" t="s">
        <v>4</v>
      </c>
      <c r="E6343">
        <v>11</v>
      </c>
    </row>
    <row r="6344" spans="1:5" x14ac:dyDescent="0.25">
      <c r="A6344">
        <v>6343</v>
      </c>
      <c r="B6344">
        <v>3304416</v>
      </c>
      <c r="C6344" s="1" t="str">
        <f>HYPERLINK("http://stackoverflow.com/users/3304416", "coco")</f>
        <v>coco</v>
      </c>
      <c r="D6344" t="s">
        <v>5</v>
      </c>
      <c r="E6344">
        <v>11</v>
      </c>
    </row>
    <row r="6345" spans="1:5" x14ac:dyDescent="0.25">
      <c r="A6345">
        <v>6344</v>
      </c>
      <c r="B6345">
        <v>5109264</v>
      </c>
      <c r="C6345" s="1" t="str">
        <f>HYPERLINK("http://stackoverflow.com/users/5109264", "zaraguo")</f>
        <v>zaraguo</v>
      </c>
      <c r="D6345" t="s">
        <v>16</v>
      </c>
      <c r="E6345">
        <v>11</v>
      </c>
    </row>
    <row r="6346" spans="1:5" x14ac:dyDescent="0.25">
      <c r="A6346">
        <v>6345</v>
      </c>
      <c r="B6346">
        <v>5100965</v>
      </c>
      <c r="C6346" s="1" t="str">
        <f>HYPERLINK("http://stackoverflow.com/users/5100965", "Hai Lu")</f>
        <v>Hai Lu</v>
      </c>
      <c r="D6346" t="s">
        <v>4</v>
      </c>
      <c r="E6346">
        <v>11</v>
      </c>
    </row>
    <row r="6347" spans="1:5" x14ac:dyDescent="0.25">
      <c r="A6347">
        <v>6346</v>
      </c>
      <c r="B6347">
        <v>1451018</v>
      </c>
      <c r="C6347" s="1" t="str">
        <f>HYPERLINK("http://stackoverflow.com/users/1451018", "David")</f>
        <v>David</v>
      </c>
      <c r="D6347" t="s">
        <v>4</v>
      </c>
      <c r="E6347">
        <v>11</v>
      </c>
    </row>
    <row r="6348" spans="1:5" x14ac:dyDescent="0.25">
      <c r="A6348">
        <v>6347</v>
      </c>
      <c r="B6348">
        <v>6693749</v>
      </c>
      <c r="C6348" s="1" t="str">
        <f>HYPERLINK("http://stackoverflow.com/users/6693749", "Chao Pan")</f>
        <v>Chao Pan</v>
      </c>
      <c r="D6348" t="s">
        <v>4</v>
      </c>
      <c r="E6348">
        <v>11</v>
      </c>
    </row>
    <row r="6349" spans="1:5" x14ac:dyDescent="0.25">
      <c r="A6349">
        <v>6348</v>
      </c>
      <c r="B6349">
        <v>1185326</v>
      </c>
      <c r="C6349" s="1" t="str">
        <f>HYPERLINK("http://stackoverflow.com/users/1185326", "yilee")</f>
        <v>yilee</v>
      </c>
      <c r="D6349" t="s">
        <v>5</v>
      </c>
      <c r="E6349">
        <v>11</v>
      </c>
    </row>
    <row r="6350" spans="1:5" x14ac:dyDescent="0.25">
      <c r="A6350">
        <v>6349</v>
      </c>
      <c r="B6350">
        <v>1272364</v>
      </c>
      <c r="C6350" s="1" t="str">
        <f>HYPERLINK("http://stackoverflow.com/users/1272364", "wangsan")</f>
        <v>wangsan</v>
      </c>
      <c r="D6350" t="s">
        <v>27</v>
      </c>
      <c r="E6350">
        <v>11</v>
      </c>
    </row>
    <row r="6351" spans="1:5" x14ac:dyDescent="0.25">
      <c r="A6351">
        <v>6350</v>
      </c>
      <c r="B6351">
        <v>1260923</v>
      </c>
      <c r="C6351" s="1" t="str">
        <f>HYPERLINK("http://stackoverflow.com/users/1260923", "Eric Song")</f>
        <v>Eric Song</v>
      </c>
      <c r="D6351" t="s">
        <v>5</v>
      </c>
      <c r="E6351">
        <v>11</v>
      </c>
    </row>
    <row r="6352" spans="1:5" x14ac:dyDescent="0.25">
      <c r="A6352">
        <v>6351</v>
      </c>
      <c r="B6352">
        <v>4995737</v>
      </c>
      <c r="C6352" s="1" t="str">
        <f>HYPERLINK("http://stackoverflow.com/users/4995737", "pinggod")</f>
        <v>pinggod</v>
      </c>
      <c r="D6352" t="s">
        <v>5</v>
      </c>
      <c r="E6352">
        <v>11</v>
      </c>
    </row>
    <row r="6353" spans="1:5" x14ac:dyDescent="0.25">
      <c r="A6353">
        <v>6352</v>
      </c>
      <c r="B6353">
        <v>1291270</v>
      </c>
      <c r="C6353" s="1" t="str">
        <f>HYPERLINK("http://stackoverflow.com/users/1291270", "Eric")</f>
        <v>Eric</v>
      </c>
      <c r="D6353" t="s">
        <v>5</v>
      </c>
      <c r="E6353">
        <v>11</v>
      </c>
    </row>
    <row r="6354" spans="1:5" x14ac:dyDescent="0.25">
      <c r="A6354">
        <v>6353</v>
      </c>
      <c r="B6354">
        <v>3212102</v>
      </c>
      <c r="C6354" s="1" t="str">
        <f>HYPERLINK("http://stackoverflow.com/users/3212102", "Eric")</f>
        <v>Eric</v>
      </c>
      <c r="D6354" t="s">
        <v>35</v>
      </c>
      <c r="E6354">
        <v>11</v>
      </c>
    </row>
    <row r="6355" spans="1:5" x14ac:dyDescent="0.25">
      <c r="A6355">
        <v>6354</v>
      </c>
      <c r="B6355">
        <v>1306934</v>
      </c>
      <c r="C6355" s="1" t="str">
        <f>HYPERLINK("http://stackoverflow.com/users/1306934", "ronaldaai")</f>
        <v>ronaldaai</v>
      </c>
      <c r="D6355" t="s">
        <v>17</v>
      </c>
      <c r="E6355">
        <v>11</v>
      </c>
    </row>
    <row r="6356" spans="1:5" x14ac:dyDescent="0.25">
      <c r="A6356">
        <v>6355</v>
      </c>
      <c r="B6356">
        <v>2372877</v>
      </c>
      <c r="C6356" s="1" t="str">
        <f>HYPERLINK("http://stackoverflow.com/users/2372877", "Yang")</f>
        <v>Yang</v>
      </c>
      <c r="D6356" t="s">
        <v>4</v>
      </c>
      <c r="E6356">
        <v>11</v>
      </c>
    </row>
    <row r="6357" spans="1:5" x14ac:dyDescent="0.25">
      <c r="A6357">
        <v>6356</v>
      </c>
      <c r="B6357">
        <v>5804077</v>
      </c>
      <c r="C6357" s="1" t="str">
        <f>HYPERLINK("http://stackoverflow.com/users/5804077", "MichaelX")</f>
        <v>MichaelX</v>
      </c>
      <c r="D6357" t="s">
        <v>5</v>
      </c>
      <c r="E6357">
        <v>11</v>
      </c>
    </row>
    <row r="6358" spans="1:5" x14ac:dyDescent="0.25">
      <c r="A6358">
        <v>6357</v>
      </c>
      <c r="B6358">
        <v>4031286</v>
      </c>
      <c r="C6358" s="1" t="str">
        <f>HYPERLINK("http://stackoverflow.com/users/4031286", "jackqqxu")</f>
        <v>jackqqxu</v>
      </c>
      <c r="D6358" t="s">
        <v>17</v>
      </c>
      <c r="E6358">
        <v>11</v>
      </c>
    </row>
    <row r="6359" spans="1:5" x14ac:dyDescent="0.25">
      <c r="A6359">
        <v>6358</v>
      </c>
      <c r="B6359">
        <v>4289788</v>
      </c>
      <c r="C6359" s="1" t="str">
        <f>HYPERLINK("http://stackoverflow.com/users/4289788", "JayC1386")</f>
        <v>JayC1386</v>
      </c>
      <c r="D6359" t="s">
        <v>4</v>
      </c>
      <c r="E6359">
        <v>11</v>
      </c>
    </row>
    <row r="6360" spans="1:5" x14ac:dyDescent="0.25">
      <c r="A6360">
        <v>6359</v>
      </c>
      <c r="B6360">
        <v>6010781</v>
      </c>
      <c r="C6360" s="1" t="str">
        <f>HYPERLINK("http://stackoverflow.com/users/6010781", "Zhang Chen")</f>
        <v>Zhang Chen</v>
      </c>
      <c r="D6360" t="s">
        <v>131</v>
      </c>
      <c r="E6360">
        <v>11</v>
      </c>
    </row>
    <row r="6361" spans="1:5" x14ac:dyDescent="0.25">
      <c r="A6361">
        <v>6360</v>
      </c>
      <c r="B6361">
        <v>7773142</v>
      </c>
      <c r="C6361" s="1" t="str">
        <f>HYPERLINK("http://stackoverflow.com/users/7773142", "Yanghui Liu")</f>
        <v>Yanghui Liu</v>
      </c>
      <c r="D6361" t="s">
        <v>4</v>
      </c>
      <c r="E6361">
        <v>11</v>
      </c>
    </row>
    <row r="6362" spans="1:5" x14ac:dyDescent="0.25">
      <c r="A6362">
        <v>6361</v>
      </c>
      <c r="B6362">
        <v>3959727</v>
      </c>
      <c r="C6362" s="1" t="str">
        <f>HYPERLINK("http://stackoverflow.com/users/3959727", "Jarvis Niu")</f>
        <v>Jarvis Niu</v>
      </c>
      <c r="D6362" t="s">
        <v>5</v>
      </c>
      <c r="E6362">
        <v>11</v>
      </c>
    </row>
    <row r="6363" spans="1:5" x14ac:dyDescent="0.25">
      <c r="A6363">
        <v>6362</v>
      </c>
      <c r="B6363">
        <v>2205979</v>
      </c>
      <c r="C6363" s="1" t="str">
        <f>HYPERLINK("http://stackoverflow.com/users/2205979", "Darth-L")</f>
        <v>Darth-L</v>
      </c>
      <c r="D6363" t="s">
        <v>5</v>
      </c>
      <c r="E6363">
        <v>11</v>
      </c>
    </row>
    <row r="6364" spans="1:5" x14ac:dyDescent="0.25">
      <c r="A6364">
        <v>6363</v>
      </c>
      <c r="B6364">
        <v>9407599</v>
      </c>
      <c r="C6364" s="1" t="str">
        <f>HYPERLINK("http://stackoverflow.com/users/9407599", "Kirinzer")</f>
        <v>Kirinzer</v>
      </c>
      <c r="D6364" t="s">
        <v>7</v>
      </c>
      <c r="E6364">
        <v>11</v>
      </c>
    </row>
    <row r="6365" spans="1:5" x14ac:dyDescent="0.25">
      <c r="A6365">
        <v>6364</v>
      </c>
      <c r="B6365">
        <v>3969930</v>
      </c>
      <c r="C6365" s="1" t="str">
        <f>HYPERLINK("http://stackoverflow.com/users/3969930", "hsinglin")</f>
        <v>hsinglin</v>
      </c>
      <c r="D6365" t="s">
        <v>12</v>
      </c>
      <c r="E6365">
        <v>11</v>
      </c>
    </row>
    <row r="6366" spans="1:5" x14ac:dyDescent="0.25">
      <c r="A6366">
        <v>6365</v>
      </c>
      <c r="B6366">
        <v>3999257</v>
      </c>
      <c r="C6366" s="1" t="str">
        <f>HYPERLINK("http://stackoverflow.com/users/3999257", "feilong.yfl")</f>
        <v>feilong.yfl</v>
      </c>
      <c r="D6366" t="s">
        <v>4</v>
      </c>
      <c r="E6366">
        <v>11</v>
      </c>
    </row>
    <row r="6367" spans="1:5" x14ac:dyDescent="0.25">
      <c r="A6367">
        <v>6366</v>
      </c>
      <c r="B6367">
        <v>2137960</v>
      </c>
      <c r="C6367" s="1" t="str">
        <f>HYPERLINK("http://stackoverflow.com/users/2137960", "ashu")</f>
        <v>ashu</v>
      </c>
      <c r="D6367" t="s">
        <v>16</v>
      </c>
      <c r="E6367">
        <v>11</v>
      </c>
    </row>
    <row r="6368" spans="1:5" x14ac:dyDescent="0.25">
      <c r="A6368">
        <v>6367</v>
      </c>
      <c r="B6368">
        <v>3929039</v>
      </c>
      <c r="C6368" s="1" t="str">
        <f>HYPERLINK("http://stackoverflow.com/users/3929039", "vook")</f>
        <v>vook</v>
      </c>
      <c r="D6368" t="s">
        <v>5</v>
      </c>
      <c r="E6368">
        <v>11</v>
      </c>
    </row>
    <row r="6369" spans="1:5" x14ac:dyDescent="0.25">
      <c r="A6369">
        <v>6368</v>
      </c>
      <c r="B6369">
        <v>3851459</v>
      </c>
      <c r="C6369" s="1" t="str">
        <f>HYPERLINK("http://stackoverflow.com/users/3851459", "Aderan")</f>
        <v>Aderan</v>
      </c>
      <c r="D6369" t="s">
        <v>16</v>
      </c>
      <c r="E6369">
        <v>11</v>
      </c>
    </row>
    <row r="6370" spans="1:5" x14ac:dyDescent="0.25">
      <c r="A6370">
        <v>6369</v>
      </c>
      <c r="B6370">
        <v>2075611</v>
      </c>
      <c r="C6370" s="1" t="str">
        <f>HYPERLINK("http://stackoverflow.com/users/2075611", "celeron533")</f>
        <v>celeron533</v>
      </c>
      <c r="D6370" t="s">
        <v>4</v>
      </c>
      <c r="E6370">
        <v>11</v>
      </c>
    </row>
    <row r="6371" spans="1:5" x14ac:dyDescent="0.25">
      <c r="A6371">
        <v>6370</v>
      </c>
      <c r="B6371">
        <v>7429517</v>
      </c>
      <c r="C6371" s="1" t="str">
        <f>HYPERLINK("http://stackoverflow.com/users/7429517", "Gavin")</f>
        <v>Gavin</v>
      </c>
      <c r="D6371" t="s">
        <v>5</v>
      </c>
      <c r="E6371">
        <v>11</v>
      </c>
    </row>
    <row r="6372" spans="1:5" x14ac:dyDescent="0.25">
      <c r="A6372">
        <v>6371</v>
      </c>
      <c r="B6372">
        <v>9331533</v>
      </c>
      <c r="C6372" s="1" t="str">
        <f>HYPERLINK("http://stackoverflow.com/users/9331533", "w_AQ")</f>
        <v>w_AQ</v>
      </c>
      <c r="D6372" t="s">
        <v>5</v>
      </c>
      <c r="E6372">
        <v>11</v>
      </c>
    </row>
    <row r="6373" spans="1:5" x14ac:dyDescent="0.25">
      <c r="A6373">
        <v>6372</v>
      </c>
      <c r="B6373">
        <v>5680132</v>
      </c>
      <c r="C6373" s="1" t="str">
        <f>HYPERLINK("http://stackoverflow.com/users/5680132", "Su Na")</f>
        <v>Su Na</v>
      </c>
      <c r="D6373" t="s">
        <v>5</v>
      </c>
      <c r="E6373">
        <v>11</v>
      </c>
    </row>
    <row r="6374" spans="1:5" x14ac:dyDescent="0.25">
      <c r="A6374">
        <v>6373</v>
      </c>
      <c r="B6374">
        <v>1900407</v>
      </c>
      <c r="C6374" s="1" t="str">
        <f>HYPERLINK("http://stackoverflow.com/users/1900407", "Minus")</f>
        <v>Minus</v>
      </c>
      <c r="D6374" t="s">
        <v>21</v>
      </c>
      <c r="E6374">
        <v>11</v>
      </c>
    </row>
    <row r="6375" spans="1:5" x14ac:dyDescent="0.25">
      <c r="A6375">
        <v>6374</v>
      </c>
      <c r="B6375">
        <v>5497486</v>
      </c>
      <c r="C6375" s="1" t="str">
        <f>HYPERLINK("http://stackoverflow.com/users/5497486", "Naveen Kumar")</f>
        <v>Naveen Kumar</v>
      </c>
      <c r="D6375" t="s">
        <v>4</v>
      </c>
      <c r="E6375">
        <v>11</v>
      </c>
    </row>
    <row r="6376" spans="1:5" x14ac:dyDescent="0.25">
      <c r="A6376">
        <v>6375</v>
      </c>
      <c r="B6376">
        <v>9144216</v>
      </c>
      <c r="C6376" s="1" t="str">
        <f>HYPERLINK("http://stackoverflow.com/users/9144216", "Xiong Yufan")</f>
        <v>Xiong Yufan</v>
      </c>
      <c r="D6376" t="s">
        <v>28</v>
      </c>
      <c r="E6376">
        <v>11</v>
      </c>
    </row>
    <row r="6377" spans="1:5" x14ac:dyDescent="0.25">
      <c r="A6377">
        <v>6376</v>
      </c>
      <c r="B6377">
        <v>1951948</v>
      </c>
      <c r="C6377" s="1" t="str">
        <f>HYPERLINK("http://stackoverflow.com/users/1951948", "user1951948")</f>
        <v>user1951948</v>
      </c>
      <c r="D6377" t="s">
        <v>21</v>
      </c>
      <c r="E6377">
        <v>11</v>
      </c>
    </row>
    <row r="6378" spans="1:5" x14ac:dyDescent="0.25">
      <c r="A6378">
        <v>6377</v>
      </c>
      <c r="B6378">
        <v>1952175</v>
      </c>
      <c r="C6378" s="1" t="str">
        <f>HYPERLINK("http://stackoverflow.com/users/1952175", "Ethan More")</f>
        <v>Ethan More</v>
      </c>
      <c r="D6378" t="s">
        <v>5</v>
      </c>
      <c r="E6378">
        <v>11</v>
      </c>
    </row>
    <row r="6379" spans="1:5" x14ac:dyDescent="0.25">
      <c r="A6379">
        <v>6378</v>
      </c>
      <c r="B6379">
        <v>9169058</v>
      </c>
      <c r="C6379" s="1" t="str">
        <f>HYPERLINK("http://stackoverflow.com/users/9169058", "sugongqing")</f>
        <v>sugongqing</v>
      </c>
      <c r="D6379" t="s">
        <v>25</v>
      </c>
      <c r="E6379">
        <v>11</v>
      </c>
    </row>
    <row r="6380" spans="1:5" x14ac:dyDescent="0.25">
      <c r="A6380">
        <v>6379</v>
      </c>
      <c r="B6380">
        <v>5576286</v>
      </c>
      <c r="C6380" s="1" t="str">
        <f>HYPERLINK("http://stackoverflow.com/users/5576286", "seaside")</f>
        <v>seaside</v>
      </c>
      <c r="D6380" t="s">
        <v>5</v>
      </c>
      <c r="E6380">
        <v>11</v>
      </c>
    </row>
    <row r="6381" spans="1:5" x14ac:dyDescent="0.25">
      <c r="A6381">
        <v>6380</v>
      </c>
      <c r="B6381">
        <v>5584316</v>
      </c>
      <c r="C6381" s="1" t="str">
        <f>HYPERLINK("http://stackoverflow.com/users/5584316", "ZhangTe")</f>
        <v>ZhangTe</v>
      </c>
      <c r="D6381" t="s">
        <v>131</v>
      </c>
      <c r="E6381">
        <v>11</v>
      </c>
    </row>
    <row r="6382" spans="1:5" x14ac:dyDescent="0.25">
      <c r="A6382">
        <v>6381</v>
      </c>
      <c r="B6382">
        <v>9232675</v>
      </c>
      <c r="C6382" s="1" t="str">
        <f>HYPERLINK("http://stackoverflow.com/users/9232675", "Trevor Hsu")</f>
        <v>Trevor Hsu</v>
      </c>
      <c r="D6382" t="s">
        <v>25</v>
      </c>
      <c r="E6382">
        <v>11</v>
      </c>
    </row>
    <row r="6383" spans="1:5" x14ac:dyDescent="0.25">
      <c r="A6383">
        <v>6382</v>
      </c>
      <c r="B6383">
        <v>9261698</v>
      </c>
      <c r="C6383" s="1" t="str">
        <f>HYPERLINK("http://stackoverflow.com/users/9261698", "LoliMay")</f>
        <v>LoliMay</v>
      </c>
      <c r="D6383" t="s">
        <v>353</v>
      </c>
      <c r="E6383">
        <v>11</v>
      </c>
    </row>
    <row r="6384" spans="1:5" x14ac:dyDescent="0.25">
      <c r="A6384">
        <v>6383</v>
      </c>
      <c r="B6384">
        <v>3814093</v>
      </c>
      <c r="C6384" s="1" t="str">
        <f>HYPERLINK("http://stackoverflow.com/users/3814093", "asadmujtaba")</f>
        <v>asadmujtaba</v>
      </c>
      <c r="D6384" t="s">
        <v>4</v>
      </c>
      <c r="E6384">
        <v>11</v>
      </c>
    </row>
    <row r="6385" spans="1:5" x14ac:dyDescent="0.25">
      <c r="A6385">
        <v>6384</v>
      </c>
      <c r="B6385">
        <v>9569161</v>
      </c>
      <c r="C6385" s="1" t="str">
        <f>HYPERLINK("http://stackoverflow.com/users/9569161", "Pawda")</f>
        <v>Pawda</v>
      </c>
      <c r="D6385" t="s">
        <v>5</v>
      </c>
      <c r="E6385">
        <v>11</v>
      </c>
    </row>
    <row r="6386" spans="1:5" x14ac:dyDescent="0.25">
      <c r="A6386">
        <v>6385</v>
      </c>
      <c r="B6386">
        <v>9574849</v>
      </c>
      <c r="C6386" s="1" t="str">
        <f>HYPERLINK("http://stackoverflow.com/users/9574849", "钟士昂")</f>
        <v>钟士昂</v>
      </c>
      <c r="D6386" t="s">
        <v>214</v>
      </c>
      <c r="E6386">
        <v>11</v>
      </c>
    </row>
    <row r="6387" spans="1:5" x14ac:dyDescent="0.25">
      <c r="A6387">
        <v>6386</v>
      </c>
      <c r="B6387">
        <v>7629081</v>
      </c>
      <c r="C6387" s="1" t="str">
        <f>HYPERLINK("http://stackoverflow.com/users/7629081", "mengkeer")</f>
        <v>mengkeer</v>
      </c>
      <c r="D6387" t="s">
        <v>4</v>
      </c>
      <c r="E6387">
        <v>11</v>
      </c>
    </row>
    <row r="6388" spans="1:5" x14ac:dyDescent="0.25">
      <c r="A6388">
        <v>6387</v>
      </c>
      <c r="B6388">
        <v>7677427</v>
      </c>
      <c r="C6388" s="1" t="str">
        <f>HYPERLINK("http://stackoverflow.com/users/7677427", "Yinuo")</f>
        <v>Yinuo</v>
      </c>
      <c r="D6388" t="s">
        <v>33</v>
      </c>
      <c r="E6388">
        <v>11</v>
      </c>
    </row>
    <row r="6389" spans="1:5" x14ac:dyDescent="0.25">
      <c r="A6389">
        <v>6388</v>
      </c>
      <c r="B6389">
        <v>2406092</v>
      </c>
      <c r="C6389" s="1" t="str">
        <f>HYPERLINK("http://stackoverflow.com/users/2406092", "Anlea pat")</f>
        <v>Anlea pat</v>
      </c>
      <c r="D6389" t="s">
        <v>7</v>
      </c>
      <c r="E6389">
        <v>11</v>
      </c>
    </row>
    <row r="6390" spans="1:5" x14ac:dyDescent="0.25">
      <c r="A6390">
        <v>6389</v>
      </c>
      <c r="B6390">
        <v>6000990</v>
      </c>
      <c r="C6390" s="1" t="str">
        <f>HYPERLINK("http://stackoverflow.com/users/6000990", "Ken")</f>
        <v>Ken</v>
      </c>
      <c r="D6390" t="s">
        <v>16</v>
      </c>
      <c r="E6390">
        <v>11</v>
      </c>
    </row>
    <row r="6391" spans="1:5" x14ac:dyDescent="0.25">
      <c r="A6391">
        <v>6390</v>
      </c>
      <c r="B6391">
        <v>7602211</v>
      </c>
      <c r="C6391" s="1" t="str">
        <f>HYPERLINK("http://stackoverflow.com/users/7602211", "Pingmin Fenlly Liu")</f>
        <v>Pingmin Fenlly Liu</v>
      </c>
      <c r="D6391" t="s">
        <v>354</v>
      </c>
      <c r="E6391">
        <v>11</v>
      </c>
    </row>
    <row r="6392" spans="1:5" x14ac:dyDescent="0.25">
      <c r="A6392">
        <v>6391</v>
      </c>
      <c r="B6392">
        <v>7591075</v>
      </c>
      <c r="C6392" s="1" t="str">
        <f>HYPERLINK("http://stackoverflow.com/users/7591075", "jack.ping")</f>
        <v>jack.ping</v>
      </c>
      <c r="D6392" t="s">
        <v>4</v>
      </c>
      <c r="E6392">
        <v>11</v>
      </c>
    </row>
    <row r="6393" spans="1:5" x14ac:dyDescent="0.25">
      <c r="A6393">
        <v>6392</v>
      </c>
      <c r="B6393">
        <v>2284954</v>
      </c>
      <c r="C6393" s="1" t="str">
        <f>HYPERLINK("http://stackoverflow.com/users/2284954", "TudoRex")</f>
        <v>TudoRex</v>
      </c>
      <c r="D6393" t="s">
        <v>5</v>
      </c>
      <c r="E6393">
        <v>11</v>
      </c>
    </row>
    <row r="6394" spans="1:5" x14ac:dyDescent="0.25">
      <c r="A6394">
        <v>6393</v>
      </c>
      <c r="B6394">
        <v>2289133</v>
      </c>
      <c r="C6394" s="1" t="str">
        <f>HYPERLINK("http://stackoverflow.com/users/2289133", "fan123199")</f>
        <v>fan123199</v>
      </c>
      <c r="D6394" t="s">
        <v>17</v>
      </c>
      <c r="E6394">
        <v>11</v>
      </c>
    </row>
    <row r="6395" spans="1:5" x14ac:dyDescent="0.25">
      <c r="A6395">
        <v>6394</v>
      </c>
      <c r="B6395">
        <v>1925840</v>
      </c>
      <c r="C6395" s="1" t="str">
        <f>HYPERLINK("http://stackoverflow.com/users/1925840", "fei")</f>
        <v>fei</v>
      </c>
      <c r="D6395" t="s">
        <v>5</v>
      </c>
      <c r="E6395">
        <v>11</v>
      </c>
    </row>
    <row r="6396" spans="1:5" x14ac:dyDescent="0.25">
      <c r="A6396">
        <v>6395</v>
      </c>
      <c r="B6396">
        <v>9151541</v>
      </c>
      <c r="C6396" s="1" t="str">
        <f>HYPERLINK("http://stackoverflow.com/users/9151541", "Hongliang Ma")</f>
        <v>Hongliang Ma</v>
      </c>
      <c r="D6396" t="s">
        <v>5</v>
      </c>
      <c r="E6396">
        <v>11</v>
      </c>
    </row>
    <row r="6397" spans="1:5" x14ac:dyDescent="0.25">
      <c r="A6397">
        <v>6396</v>
      </c>
      <c r="B6397">
        <v>7275379</v>
      </c>
      <c r="C6397" s="1" t="str">
        <f>HYPERLINK("http://stackoverflow.com/users/7275379", "Jaille Chen")</f>
        <v>Jaille Chen</v>
      </c>
      <c r="D6397" t="s">
        <v>355</v>
      </c>
      <c r="E6397">
        <v>11</v>
      </c>
    </row>
    <row r="6398" spans="1:5" x14ac:dyDescent="0.25">
      <c r="A6398">
        <v>6397</v>
      </c>
      <c r="B6398">
        <v>1903505</v>
      </c>
      <c r="C6398" s="1" t="str">
        <f>HYPERLINK("http://stackoverflow.com/users/1903505", "luinstein")</f>
        <v>luinstein</v>
      </c>
      <c r="D6398" t="s">
        <v>37</v>
      </c>
      <c r="E6398">
        <v>11</v>
      </c>
    </row>
    <row r="6399" spans="1:5" x14ac:dyDescent="0.25">
      <c r="A6399">
        <v>6398</v>
      </c>
      <c r="B6399">
        <v>1979364</v>
      </c>
      <c r="C6399" s="1" t="str">
        <f>HYPERLINK("http://stackoverflow.com/users/1979364", "Eric Wong")</f>
        <v>Eric Wong</v>
      </c>
      <c r="D6399" t="s">
        <v>5</v>
      </c>
      <c r="E6399">
        <v>11</v>
      </c>
    </row>
    <row r="6400" spans="1:5" x14ac:dyDescent="0.25">
      <c r="A6400">
        <v>6399</v>
      </c>
      <c r="B6400">
        <v>1956789</v>
      </c>
      <c r="C6400" s="1" t="str">
        <f>HYPERLINK("http://stackoverflow.com/users/1956789", "amoblin")</f>
        <v>amoblin</v>
      </c>
      <c r="D6400" t="s">
        <v>5</v>
      </c>
      <c r="E6400">
        <v>11</v>
      </c>
    </row>
    <row r="6401" spans="1:5" x14ac:dyDescent="0.25">
      <c r="A6401">
        <v>6400</v>
      </c>
      <c r="B6401">
        <v>2023662</v>
      </c>
      <c r="C6401" s="1" t="str">
        <f>HYPERLINK("http://stackoverflow.com/users/2023662", "Ruchee")</f>
        <v>Ruchee</v>
      </c>
      <c r="D6401" t="s">
        <v>97</v>
      </c>
      <c r="E6401">
        <v>11</v>
      </c>
    </row>
    <row r="6402" spans="1:5" x14ac:dyDescent="0.25">
      <c r="A6402">
        <v>6401</v>
      </c>
      <c r="B6402">
        <v>7340842</v>
      </c>
      <c r="C6402" s="1" t="str">
        <f>HYPERLINK("http://stackoverflow.com/users/7340842", "Morry")</f>
        <v>Morry</v>
      </c>
      <c r="D6402" t="s">
        <v>4</v>
      </c>
      <c r="E6402">
        <v>11</v>
      </c>
    </row>
    <row r="6403" spans="1:5" x14ac:dyDescent="0.25">
      <c r="A6403">
        <v>6402</v>
      </c>
      <c r="B6403">
        <v>7345354</v>
      </c>
      <c r="C6403" s="1" t="str">
        <f>HYPERLINK("http://stackoverflow.com/users/7345354", "superbiger")</f>
        <v>superbiger</v>
      </c>
      <c r="D6403" t="s">
        <v>7</v>
      </c>
      <c r="E6403">
        <v>11</v>
      </c>
    </row>
    <row r="6404" spans="1:5" x14ac:dyDescent="0.25">
      <c r="A6404">
        <v>6403</v>
      </c>
      <c r="B6404">
        <v>5743220</v>
      </c>
      <c r="C6404" s="1" t="str">
        <f>HYPERLINK("http://stackoverflow.com/users/5743220", "Atheos")</f>
        <v>Atheos</v>
      </c>
      <c r="D6404" t="s">
        <v>12</v>
      </c>
      <c r="E6404">
        <v>11</v>
      </c>
    </row>
    <row r="6405" spans="1:5" x14ac:dyDescent="0.25">
      <c r="A6405">
        <v>6404</v>
      </c>
      <c r="B6405">
        <v>5732554</v>
      </c>
      <c r="C6405" s="1" t="str">
        <f>HYPERLINK("http://stackoverflow.com/users/5732554", "蔡小木")</f>
        <v>蔡小木</v>
      </c>
      <c r="D6405" t="s">
        <v>8</v>
      </c>
      <c r="E6405">
        <v>11</v>
      </c>
    </row>
    <row r="6406" spans="1:5" x14ac:dyDescent="0.25">
      <c r="A6406">
        <v>6405</v>
      </c>
      <c r="B6406">
        <v>5750480</v>
      </c>
      <c r="C6406" s="1" t="str">
        <f>HYPERLINK("http://stackoverflow.com/users/5750480", "Joe Hisaishi")</f>
        <v>Joe Hisaishi</v>
      </c>
      <c r="D6406" t="s">
        <v>12</v>
      </c>
      <c r="E6406">
        <v>11</v>
      </c>
    </row>
    <row r="6407" spans="1:5" x14ac:dyDescent="0.25">
      <c r="A6407">
        <v>6406</v>
      </c>
      <c r="B6407">
        <v>7520985</v>
      </c>
      <c r="C6407" s="1" t="str">
        <f>HYPERLINK("http://stackoverflow.com/users/7520985", "Gaga")</f>
        <v>Gaga</v>
      </c>
      <c r="D6407" t="s">
        <v>356</v>
      </c>
      <c r="E6407">
        <v>11</v>
      </c>
    </row>
    <row r="6408" spans="1:5" x14ac:dyDescent="0.25">
      <c r="A6408">
        <v>6407</v>
      </c>
      <c r="B6408">
        <v>7532056</v>
      </c>
      <c r="C6408" s="1" t="str">
        <f>HYPERLINK("http://stackoverflow.com/users/7532056", "tsui")</f>
        <v>tsui</v>
      </c>
      <c r="D6408" t="s">
        <v>16</v>
      </c>
      <c r="E6408">
        <v>11</v>
      </c>
    </row>
    <row r="6409" spans="1:5" x14ac:dyDescent="0.25">
      <c r="A6409">
        <v>6408</v>
      </c>
      <c r="B6409">
        <v>2146732</v>
      </c>
      <c r="C6409" s="1" t="str">
        <f>HYPERLINK("http://stackoverflow.com/users/2146732", "MikanMu")</f>
        <v>MikanMu</v>
      </c>
      <c r="D6409" t="s">
        <v>22</v>
      </c>
      <c r="E6409">
        <v>11</v>
      </c>
    </row>
    <row r="6410" spans="1:5" x14ac:dyDescent="0.25">
      <c r="A6410">
        <v>6409</v>
      </c>
      <c r="B6410">
        <v>5710491</v>
      </c>
      <c r="C6410" s="1" t="str">
        <f>HYPERLINK("http://stackoverflow.com/users/5710491", "user5710491")</f>
        <v>user5710491</v>
      </c>
      <c r="D6410" t="s">
        <v>4</v>
      </c>
      <c r="E6410">
        <v>11</v>
      </c>
    </row>
    <row r="6411" spans="1:5" x14ac:dyDescent="0.25">
      <c r="A6411">
        <v>6410</v>
      </c>
      <c r="B6411">
        <v>5722122</v>
      </c>
      <c r="C6411" s="1" t="str">
        <f>HYPERLINK("http://stackoverflow.com/users/5722122", "Neil Lee")</f>
        <v>Neil Lee</v>
      </c>
      <c r="D6411" t="s">
        <v>28</v>
      </c>
      <c r="E6411">
        <v>11</v>
      </c>
    </row>
    <row r="6412" spans="1:5" x14ac:dyDescent="0.25">
      <c r="A6412">
        <v>6411</v>
      </c>
      <c r="B6412">
        <v>9384926</v>
      </c>
      <c r="C6412" s="1" t="str">
        <f>HYPERLINK("http://stackoverflow.com/users/9384926", "danvic712")</f>
        <v>danvic712</v>
      </c>
      <c r="D6412" t="s">
        <v>118</v>
      </c>
      <c r="E6412">
        <v>11</v>
      </c>
    </row>
    <row r="6413" spans="1:5" x14ac:dyDescent="0.25">
      <c r="A6413">
        <v>6412</v>
      </c>
      <c r="B6413">
        <v>5726014</v>
      </c>
      <c r="C6413" s="1" t="str">
        <f>HYPERLINK("http://stackoverflow.com/users/5726014", "mondongxr")</f>
        <v>mondongxr</v>
      </c>
      <c r="D6413" t="s">
        <v>25</v>
      </c>
      <c r="E6413">
        <v>11</v>
      </c>
    </row>
    <row r="6414" spans="1:5" x14ac:dyDescent="0.25">
      <c r="A6414">
        <v>6413</v>
      </c>
      <c r="B6414">
        <v>777005</v>
      </c>
      <c r="C6414" s="1" t="str">
        <f>HYPERLINK("http://stackoverflow.com/users/777005", "Too")</f>
        <v>Too</v>
      </c>
      <c r="D6414" t="s">
        <v>22</v>
      </c>
      <c r="E6414">
        <v>11</v>
      </c>
    </row>
    <row r="6415" spans="1:5" x14ac:dyDescent="0.25">
      <c r="A6415">
        <v>6414</v>
      </c>
      <c r="B6415">
        <v>777194</v>
      </c>
      <c r="C6415" s="1" t="str">
        <f>HYPERLINK("http://stackoverflow.com/users/777194", "S.C.")</f>
        <v>S.C.</v>
      </c>
      <c r="D6415" t="s">
        <v>4</v>
      </c>
      <c r="E6415">
        <v>11</v>
      </c>
    </row>
    <row r="6416" spans="1:5" x14ac:dyDescent="0.25">
      <c r="A6416">
        <v>6415</v>
      </c>
      <c r="B6416">
        <v>6455586</v>
      </c>
      <c r="C6416" s="1" t="str">
        <f>HYPERLINK("http://stackoverflow.com/users/6455586", "Da Bihui")</f>
        <v>Da Bihui</v>
      </c>
      <c r="D6416" t="s">
        <v>43</v>
      </c>
      <c r="E6416">
        <v>11</v>
      </c>
    </row>
    <row r="6417" spans="1:5" x14ac:dyDescent="0.25">
      <c r="A6417">
        <v>6416</v>
      </c>
      <c r="B6417">
        <v>6404736</v>
      </c>
      <c r="C6417" s="1" t="str">
        <f>HYPERLINK("http://stackoverflow.com/users/6404736", "Alexander Lee")</f>
        <v>Alexander Lee</v>
      </c>
      <c r="D6417" t="s">
        <v>33</v>
      </c>
      <c r="E6417">
        <v>11</v>
      </c>
    </row>
    <row r="6418" spans="1:5" x14ac:dyDescent="0.25">
      <c r="A6418">
        <v>6417</v>
      </c>
      <c r="B6418">
        <v>855579</v>
      </c>
      <c r="C6418" s="1" t="str">
        <f>HYPERLINK("http://stackoverflow.com/users/855579", "wwwjiandan")</f>
        <v>wwwjiandan</v>
      </c>
      <c r="D6418" t="s">
        <v>5</v>
      </c>
      <c r="E6418">
        <v>11</v>
      </c>
    </row>
    <row r="6419" spans="1:5" x14ac:dyDescent="0.25">
      <c r="A6419">
        <v>6418</v>
      </c>
      <c r="B6419">
        <v>2905825</v>
      </c>
      <c r="C6419" s="1" t="str">
        <f>HYPERLINK("http://stackoverflow.com/users/2905825", "xhhjin")</f>
        <v>xhhjin</v>
      </c>
      <c r="D6419" t="s">
        <v>12</v>
      </c>
      <c r="E6419">
        <v>11</v>
      </c>
    </row>
    <row r="6420" spans="1:5" x14ac:dyDescent="0.25">
      <c r="A6420">
        <v>6419</v>
      </c>
      <c r="B6420">
        <v>2975697</v>
      </c>
      <c r="C6420" s="1" t="str">
        <f>HYPERLINK("http://stackoverflow.com/users/2975697", "Razzzzz")</f>
        <v>Razzzzz</v>
      </c>
      <c r="D6420" t="s">
        <v>4</v>
      </c>
      <c r="E6420">
        <v>11</v>
      </c>
    </row>
    <row r="6421" spans="1:5" x14ac:dyDescent="0.25">
      <c r="A6421">
        <v>6420</v>
      </c>
      <c r="B6421">
        <v>6503007</v>
      </c>
      <c r="C6421" s="1" t="str">
        <f>HYPERLINK("http://stackoverflow.com/users/6503007", "RocWay")</f>
        <v>RocWay</v>
      </c>
      <c r="D6421" t="s">
        <v>4</v>
      </c>
      <c r="E6421">
        <v>11</v>
      </c>
    </row>
    <row r="6422" spans="1:5" x14ac:dyDescent="0.25">
      <c r="A6422">
        <v>6421</v>
      </c>
      <c r="B6422">
        <v>1089047</v>
      </c>
      <c r="C6422" s="1" t="str">
        <f>HYPERLINK("http://stackoverflow.com/users/1089047", "Shihua Ma")</f>
        <v>Shihua Ma</v>
      </c>
      <c r="D6422" t="s">
        <v>5</v>
      </c>
      <c r="E6422">
        <v>11</v>
      </c>
    </row>
    <row r="6423" spans="1:5" x14ac:dyDescent="0.25">
      <c r="A6423">
        <v>6422</v>
      </c>
      <c r="B6423">
        <v>1083651</v>
      </c>
      <c r="C6423" s="1" t="str">
        <f>HYPERLINK("http://stackoverflow.com/users/1083651", "leizisdu")</f>
        <v>leizisdu</v>
      </c>
      <c r="D6423" t="s">
        <v>37</v>
      </c>
      <c r="E6423">
        <v>11</v>
      </c>
    </row>
    <row r="6424" spans="1:5" x14ac:dyDescent="0.25">
      <c r="A6424">
        <v>6423</v>
      </c>
      <c r="B6424">
        <v>3051534</v>
      </c>
      <c r="C6424" s="1" t="str">
        <f>HYPERLINK("http://stackoverflow.com/users/3051534", "amaker")</f>
        <v>amaker</v>
      </c>
      <c r="D6424" t="s">
        <v>5</v>
      </c>
      <c r="E6424">
        <v>11</v>
      </c>
    </row>
    <row r="6425" spans="1:5" x14ac:dyDescent="0.25">
      <c r="A6425">
        <v>6424</v>
      </c>
      <c r="B6425">
        <v>1121468</v>
      </c>
      <c r="C6425" s="1" t="str">
        <f>HYPERLINK("http://stackoverflow.com/users/1121468", "Ricepig")</f>
        <v>Ricepig</v>
      </c>
      <c r="D6425" t="s">
        <v>5</v>
      </c>
      <c r="E6425">
        <v>11</v>
      </c>
    </row>
    <row r="6426" spans="1:5" x14ac:dyDescent="0.25">
      <c r="A6426">
        <v>6425</v>
      </c>
      <c r="B6426">
        <v>1120853</v>
      </c>
      <c r="C6426" s="1" t="str">
        <f>HYPERLINK("http://stackoverflow.com/users/1120853", "TonyWong")</f>
        <v>TonyWong</v>
      </c>
      <c r="D6426" t="s">
        <v>21</v>
      </c>
      <c r="E6426">
        <v>11</v>
      </c>
    </row>
    <row r="6427" spans="1:5" x14ac:dyDescent="0.25">
      <c r="A6427">
        <v>6426</v>
      </c>
      <c r="B6427">
        <v>1122586</v>
      </c>
      <c r="C6427" s="1" t="str">
        <f>HYPERLINK("http://stackoverflow.com/users/1122586", "goyem")</f>
        <v>goyem</v>
      </c>
      <c r="D6427" t="s">
        <v>5</v>
      </c>
      <c r="E6427">
        <v>11</v>
      </c>
    </row>
    <row r="6428" spans="1:5" x14ac:dyDescent="0.25">
      <c r="A6428">
        <v>6427</v>
      </c>
      <c r="B6428">
        <v>1114573</v>
      </c>
      <c r="C6428" s="1" t="str">
        <f>HYPERLINK("http://stackoverflow.com/users/1114573", "IUSR")</f>
        <v>IUSR</v>
      </c>
      <c r="D6428" t="s">
        <v>57</v>
      </c>
      <c r="E6428">
        <v>11</v>
      </c>
    </row>
    <row r="6429" spans="1:5" x14ac:dyDescent="0.25">
      <c r="A6429">
        <v>6428</v>
      </c>
      <c r="B6429">
        <v>10255512</v>
      </c>
      <c r="C6429" s="1" t="str">
        <f>HYPERLINK("http://stackoverflow.com/users/10255512", "TizeeU0U")</f>
        <v>TizeeU0U</v>
      </c>
      <c r="D6429" t="s">
        <v>16</v>
      </c>
      <c r="E6429">
        <v>11</v>
      </c>
    </row>
    <row r="6430" spans="1:5" x14ac:dyDescent="0.25">
      <c r="A6430">
        <v>6429</v>
      </c>
      <c r="B6430">
        <v>4823481</v>
      </c>
      <c r="C6430" s="1" t="str">
        <f>HYPERLINK("http://stackoverflow.com/users/4823481", "kuailezhish")</f>
        <v>kuailezhish</v>
      </c>
      <c r="D6430" t="s">
        <v>5</v>
      </c>
      <c r="E6430">
        <v>11</v>
      </c>
    </row>
    <row r="6431" spans="1:5" x14ac:dyDescent="0.25">
      <c r="A6431">
        <v>6430</v>
      </c>
      <c r="B6431">
        <v>981288</v>
      </c>
      <c r="C6431" s="1" t="str">
        <f>HYPERLINK("http://stackoverflow.com/users/981288", "Hao Ding")</f>
        <v>Hao Ding</v>
      </c>
      <c r="D6431" t="s">
        <v>12</v>
      </c>
      <c r="E6431">
        <v>11</v>
      </c>
    </row>
    <row r="6432" spans="1:5" x14ac:dyDescent="0.25">
      <c r="A6432">
        <v>6431</v>
      </c>
      <c r="B6432">
        <v>986468</v>
      </c>
      <c r="C6432" s="1" t="str">
        <f>HYPERLINK("http://stackoverflow.com/users/986468", "Eli")</f>
        <v>Eli</v>
      </c>
      <c r="D6432" t="s">
        <v>17</v>
      </c>
      <c r="E6432">
        <v>11</v>
      </c>
    </row>
    <row r="6433" spans="1:5" x14ac:dyDescent="0.25">
      <c r="A6433">
        <v>6432</v>
      </c>
      <c r="B6433">
        <v>1006319</v>
      </c>
      <c r="C6433" s="1" t="str">
        <f>HYPERLINK("http://stackoverflow.com/users/1006319", "wuyi")</f>
        <v>wuyi</v>
      </c>
      <c r="D6433" t="s">
        <v>5</v>
      </c>
      <c r="E6433">
        <v>11</v>
      </c>
    </row>
    <row r="6434" spans="1:5" x14ac:dyDescent="0.25">
      <c r="A6434">
        <v>6433</v>
      </c>
      <c r="B6434">
        <v>9740404</v>
      </c>
      <c r="C6434" s="1" t="str">
        <f>HYPERLINK("http://stackoverflow.com/users/9740404", "JINRUN.LIU")</f>
        <v>JINRUN.LIU</v>
      </c>
      <c r="D6434" t="s">
        <v>7</v>
      </c>
      <c r="E6434">
        <v>11</v>
      </c>
    </row>
    <row r="6435" spans="1:5" x14ac:dyDescent="0.25">
      <c r="A6435">
        <v>6434</v>
      </c>
      <c r="B6435">
        <v>2594460</v>
      </c>
      <c r="C6435" s="1" t="str">
        <f>HYPERLINK("http://stackoverflow.com/users/2594460", "zhi zhi")</f>
        <v>zhi zhi</v>
      </c>
      <c r="D6435" t="s">
        <v>5</v>
      </c>
      <c r="E6435">
        <v>11</v>
      </c>
    </row>
    <row r="6436" spans="1:5" x14ac:dyDescent="0.25">
      <c r="A6436">
        <v>6435</v>
      </c>
      <c r="B6436">
        <v>407316</v>
      </c>
      <c r="C6436" s="1" t="str">
        <f>HYPERLINK("http://stackoverflow.com/users/407316", "北理工人")</f>
        <v>北理工人</v>
      </c>
      <c r="D6436" t="s">
        <v>5</v>
      </c>
      <c r="E6436">
        <v>11</v>
      </c>
    </row>
    <row r="6437" spans="1:5" x14ac:dyDescent="0.25">
      <c r="A6437">
        <v>6436</v>
      </c>
      <c r="B6437">
        <v>6236633</v>
      </c>
      <c r="C6437" s="1" t="str">
        <f>HYPERLINK("http://stackoverflow.com/users/6236633", "ding van")</f>
        <v>ding van</v>
      </c>
      <c r="D6437" t="s">
        <v>4</v>
      </c>
      <c r="E6437">
        <v>11</v>
      </c>
    </row>
    <row r="6438" spans="1:5" x14ac:dyDescent="0.25">
      <c r="A6438">
        <v>6437</v>
      </c>
      <c r="B6438">
        <v>211444</v>
      </c>
      <c r="C6438" s="1" t="str">
        <f>HYPERLINK("http://stackoverflow.com/users/211444", "davansy")</f>
        <v>davansy</v>
      </c>
      <c r="D6438" t="s">
        <v>5</v>
      </c>
      <c r="E6438">
        <v>11</v>
      </c>
    </row>
    <row r="6439" spans="1:5" x14ac:dyDescent="0.25">
      <c r="A6439">
        <v>6438</v>
      </c>
      <c r="B6439">
        <v>9717408</v>
      </c>
      <c r="C6439" s="1" t="str">
        <f>HYPERLINK("http://stackoverflow.com/users/9717408", "ywllyht")</f>
        <v>ywllyht</v>
      </c>
      <c r="D6439" t="s">
        <v>5</v>
      </c>
      <c r="E6439">
        <v>11</v>
      </c>
    </row>
    <row r="6440" spans="1:5" x14ac:dyDescent="0.25">
      <c r="A6440">
        <v>6439</v>
      </c>
      <c r="B6440">
        <v>4399052</v>
      </c>
      <c r="C6440" s="1" t="str">
        <f>HYPERLINK("http://stackoverflow.com/users/4399052", "Eli Huang")</f>
        <v>Eli Huang</v>
      </c>
      <c r="D6440" t="s">
        <v>4</v>
      </c>
      <c r="E6440">
        <v>11</v>
      </c>
    </row>
    <row r="6441" spans="1:5" x14ac:dyDescent="0.25">
      <c r="A6441">
        <v>6440</v>
      </c>
      <c r="B6441">
        <v>6043535</v>
      </c>
      <c r="C6441" s="1" t="str">
        <f>HYPERLINK("http://stackoverflow.com/users/6043535", "xxshiyao")</f>
        <v>xxshiyao</v>
      </c>
      <c r="D6441" t="s">
        <v>5</v>
      </c>
      <c r="E6441">
        <v>11</v>
      </c>
    </row>
    <row r="6442" spans="1:5" x14ac:dyDescent="0.25">
      <c r="A6442">
        <v>6441</v>
      </c>
      <c r="B6442">
        <v>7804609</v>
      </c>
      <c r="C6442" s="1" t="str">
        <f>HYPERLINK("http://stackoverflow.com/users/7804609", "Jon Jiang")</f>
        <v>Jon Jiang</v>
      </c>
      <c r="D6442" t="s">
        <v>202</v>
      </c>
      <c r="E6442">
        <v>11</v>
      </c>
    </row>
    <row r="6443" spans="1:5" x14ac:dyDescent="0.25">
      <c r="A6443">
        <v>6442</v>
      </c>
      <c r="B6443">
        <v>534728</v>
      </c>
      <c r="C6443" s="1" t="str">
        <f>HYPERLINK("http://stackoverflow.com/users/534728", "Sagacity")</f>
        <v>Sagacity</v>
      </c>
      <c r="D6443" t="s">
        <v>5</v>
      </c>
      <c r="E6443">
        <v>11</v>
      </c>
    </row>
    <row r="6444" spans="1:5" x14ac:dyDescent="0.25">
      <c r="A6444">
        <v>6443</v>
      </c>
      <c r="B6444">
        <v>468247</v>
      </c>
      <c r="C6444" s="1" t="str">
        <f>HYPERLINK("http://stackoverflow.com/users/468247", "dminorstudio")</f>
        <v>dminorstudio</v>
      </c>
      <c r="D6444" t="s">
        <v>4</v>
      </c>
      <c r="E6444">
        <v>11</v>
      </c>
    </row>
    <row r="6445" spans="1:5" x14ac:dyDescent="0.25">
      <c r="A6445">
        <v>6444</v>
      </c>
      <c r="B6445">
        <v>2713241</v>
      </c>
      <c r="C6445" s="1" t="str">
        <f>HYPERLINK("http://stackoverflow.com/users/2713241", "magicfillcs")</f>
        <v>magicfillcs</v>
      </c>
      <c r="D6445" t="s">
        <v>54</v>
      </c>
      <c r="E6445">
        <v>11</v>
      </c>
    </row>
    <row r="6446" spans="1:5" x14ac:dyDescent="0.25">
      <c r="A6446">
        <v>6445</v>
      </c>
      <c r="B6446">
        <v>627633</v>
      </c>
      <c r="C6446" s="1" t="str">
        <f>HYPERLINK("http://stackoverflow.com/users/627633", "jiyee")</f>
        <v>jiyee</v>
      </c>
      <c r="D6446" t="s">
        <v>5</v>
      </c>
      <c r="E6446">
        <v>11</v>
      </c>
    </row>
    <row r="6447" spans="1:5" x14ac:dyDescent="0.25">
      <c r="A6447">
        <v>6446</v>
      </c>
      <c r="B6447">
        <v>8102087</v>
      </c>
      <c r="C6447" s="1" t="str">
        <f>HYPERLINK("http://stackoverflow.com/users/8102087", "bugall")</f>
        <v>bugall</v>
      </c>
      <c r="D6447" t="s">
        <v>4</v>
      </c>
      <c r="E6447">
        <v>11</v>
      </c>
    </row>
    <row r="6448" spans="1:5" x14ac:dyDescent="0.25">
      <c r="A6448">
        <v>6447</v>
      </c>
      <c r="B6448">
        <v>4634283</v>
      </c>
      <c r="C6448" s="1" t="str">
        <f>HYPERLINK("http://stackoverflow.com/users/4634283", "FredWe")</f>
        <v>FredWe</v>
      </c>
      <c r="D6448" t="s">
        <v>5</v>
      </c>
      <c r="E6448">
        <v>11</v>
      </c>
    </row>
    <row r="6449" spans="1:5" x14ac:dyDescent="0.25">
      <c r="A6449">
        <v>6448</v>
      </c>
      <c r="B6449">
        <v>8163831</v>
      </c>
      <c r="C6449" s="1" t="str">
        <f>HYPERLINK("http://stackoverflow.com/users/8163831", "Will Long")</f>
        <v>Will Long</v>
      </c>
      <c r="D6449" t="s">
        <v>4</v>
      </c>
      <c r="E6449">
        <v>11</v>
      </c>
    </row>
    <row r="6450" spans="1:5" x14ac:dyDescent="0.25">
      <c r="A6450">
        <v>6449</v>
      </c>
      <c r="B6450">
        <v>658479</v>
      </c>
      <c r="C6450" s="1" t="str">
        <f>HYPERLINK("http://stackoverflow.com/users/658479", "Scorponok")</f>
        <v>Scorponok</v>
      </c>
      <c r="D6450" t="s">
        <v>4</v>
      </c>
      <c r="E6450">
        <v>11</v>
      </c>
    </row>
    <row r="6451" spans="1:5" x14ac:dyDescent="0.25">
      <c r="A6451">
        <v>6450</v>
      </c>
      <c r="B6451">
        <v>658488</v>
      </c>
      <c r="C6451" s="1" t="str">
        <f>HYPERLINK("http://stackoverflow.com/users/658488", "redbrick9")</f>
        <v>redbrick9</v>
      </c>
      <c r="D6451" t="s">
        <v>5</v>
      </c>
      <c r="E6451">
        <v>11</v>
      </c>
    </row>
    <row r="6452" spans="1:5" x14ac:dyDescent="0.25">
      <c r="A6452">
        <v>6451</v>
      </c>
      <c r="B6452">
        <v>659783</v>
      </c>
      <c r="C6452" s="1" t="str">
        <f>HYPERLINK("http://stackoverflow.com/users/659783", "Tim")</f>
        <v>Tim</v>
      </c>
      <c r="D6452" t="s">
        <v>4</v>
      </c>
      <c r="E6452">
        <v>11</v>
      </c>
    </row>
    <row r="6453" spans="1:5" x14ac:dyDescent="0.25">
      <c r="A6453">
        <v>6452</v>
      </c>
      <c r="B6453">
        <v>8949443</v>
      </c>
      <c r="C6453" s="1" t="str">
        <f>HYPERLINK("http://stackoverflow.com/users/8949443", "Ding Li")</f>
        <v>Ding Li</v>
      </c>
      <c r="D6453" t="s">
        <v>5</v>
      </c>
      <c r="E6453">
        <v>11</v>
      </c>
    </row>
    <row r="6454" spans="1:5" x14ac:dyDescent="0.25">
      <c r="A6454">
        <v>6453</v>
      </c>
      <c r="B6454">
        <v>5381752</v>
      </c>
      <c r="C6454" s="1" t="str">
        <f>HYPERLINK("http://stackoverflow.com/users/5381752", "shaxquan")</f>
        <v>shaxquan</v>
      </c>
      <c r="D6454" t="s">
        <v>43</v>
      </c>
      <c r="E6454">
        <v>11</v>
      </c>
    </row>
    <row r="6455" spans="1:5" x14ac:dyDescent="0.25">
      <c r="A6455">
        <v>6454</v>
      </c>
      <c r="B6455">
        <v>5353887</v>
      </c>
      <c r="C6455" s="1" t="str">
        <f>HYPERLINK("http://stackoverflow.com/users/5353887", "QiunCheng")</f>
        <v>QiunCheng</v>
      </c>
      <c r="D6455" t="s">
        <v>287</v>
      </c>
      <c r="E6455">
        <v>11</v>
      </c>
    </row>
    <row r="6456" spans="1:5" x14ac:dyDescent="0.25">
      <c r="A6456">
        <v>6455</v>
      </c>
      <c r="B6456">
        <v>7156671</v>
      </c>
      <c r="C6456" s="1" t="str">
        <f>HYPERLINK("http://stackoverflow.com/users/7156671", "fuxiang")</f>
        <v>fuxiang</v>
      </c>
      <c r="D6456" t="s">
        <v>5</v>
      </c>
      <c r="E6456">
        <v>11</v>
      </c>
    </row>
    <row r="6457" spans="1:5" x14ac:dyDescent="0.25">
      <c r="A6457">
        <v>6456</v>
      </c>
      <c r="B6457">
        <v>1865737</v>
      </c>
      <c r="C6457" s="1" t="str">
        <f>HYPERLINK("http://stackoverflow.com/users/1865737", "shuaizki")</f>
        <v>shuaizki</v>
      </c>
      <c r="D6457" t="s">
        <v>4</v>
      </c>
      <c r="E6457">
        <v>11</v>
      </c>
    </row>
    <row r="6458" spans="1:5" x14ac:dyDescent="0.25">
      <c r="A6458">
        <v>6457</v>
      </c>
      <c r="B6458">
        <v>7223111</v>
      </c>
      <c r="C6458" s="1" t="str">
        <f>HYPERLINK("http://stackoverflow.com/users/7223111", "Aaron Chen")</f>
        <v>Aaron Chen</v>
      </c>
      <c r="D6458" t="s">
        <v>5</v>
      </c>
      <c r="E6458">
        <v>11</v>
      </c>
    </row>
    <row r="6459" spans="1:5" x14ac:dyDescent="0.25">
      <c r="A6459">
        <v>6458</v>
      </c>
      <c r="B6459">
        <v>1871888</v>
      </c>
      <c r="C6459" s="1" t="str">
        <f>HYPERLINK("http://stackoverflow.com/users/1871888", "zhumaomao")</f>
        <v>zhumaomao</v>
      </c>
      <c r="D6459" t="s">
        <v>37</v>
      </c>
      <c r="E6459">
        <v>11</v>
      </c>
    </row>
    <row r="6460" spans="1:5" x14ac:dyDescent="0.25">
      <c r="A6460">
        <v>6459</v>
      </c>
      <c r="B6460">
        <v>10823512</v>
      </c>
      <c r="C6460" s="1" t="str">
        <f>HYPERLINK("http://stackoverflow.com/users/10823512", "shangjiaxuan")</f>
        <v>shangjiaxuan</v>
      </c>
      <c r="D6460" t="s">
        <v>5</v>
      </c>
      <c r="E6460">
        <v>11</v>
      </c>
    </row>
    <row r="6461" spans="1:5" x14ac:dyDescent="0.25">
      <c r="A6461">
        <v>6460</v>
      </c>
      <c r="B6461">
        <v>1565023</v>
      </c>
      <c r="C6461" s="1" t="str">
        <f>HYPERLINK("http://stackoverflow.com/users/1565023", "Steven")</f>
        <v>Steven</v>
      </c>
      <c r="D6461" t="s">
        <v>4</v>
      </c>
      <c r="E6461">
        <v>11</v>
      </c>
    </row>
    <row r="6462" spans="1:5" x14ac:dyDescent="0.25">
      <c r="A6462">
        <v>6461</v>
      </c>
      <c r="B6462">
        <v>3462391</v>
      </c>
      <c r="C6462" s="1" t="str">
        <f>HYPERLINK("http://stackoverflow.com/users/3462391", "lyfeyaj")</f>
        <v>lyfeyaj</v>
      </c>
      <c r="D6462" t="s">
        <v>4</v>
      </c>
      <c r="E6462">
        <v>11</v>
      </c>
    </row>
    <row r="6463" spans="1:5" x14ac:dyDescent="0.25">
      <c r="A6463">
        <v>6462</v>
      </c>
      <c r="B6463">
        <v>5281360</v>
      </c>
      <c r="C6463" s="1" t="str">
        <f>HYPERLINK("http://stackoverflow.com/users/5281360", "noanswer")</f>
        <v>noanswer</v>
      </c>
      <c r="D6463" t="s">
        <v>5</v>
      </c>
      <c r="E6463">
        <v>11</v>
      </c>
    </row>
    <row r="6464" spans="1:5" x14ac:dyDescent="0.25">
      <c r="A6464">
        <v>6463</v>
      </c>
      <c r="B6464">
        <v>5305176</v>
      </c>
      <c r="C6464" s="1" t="str">
        <f>HYPERLINK("http://stackoverflow.com/users/5305176", "Eric Guo")</f>
        <v>Eric Guo</v>
      </c>
      <c r="D6464" t="s">
        <v>5</v>
      </c>
      <c r="E6464">
        <v>11</v>
      </c>
    </row>
    <row r="6465" spans="1:5" x14ac:dyDescent="0.25">
      <c r="A6465">
        <v>6464</v>
      </c>
      <c r="B6465">
        <v>5213371</v>
      </c>
      <c r="C6465" s="1" t="str">
        <f>HYPERLINK("http://stackoverflow.com/users/5213371", "andy miao")</f>
        <v>andy miao</v>
      </c>
      <c r="D6465" t="s">
        <v>4</v>
      </c>
      <c r="E6465">
        <v>11</v>
      </c>
    </row>
    <row r="6466" spans="1:5" x14ac:dyDescent="0.25">
      <c r="A6466">
        <v>6465</v>
      </c>
      <c r="B6466">
        <v>10583241</v>
      </c>
      <c r="C6466" s="1" t="str">
        <f>HYPERLINK("http://stackoverflow.com/users/10583241", "jmido8")</f>
        <v>jmido8</v>
      </c>
      <c r="D6466" t="s">
        <v>28</v>
      </c>
      <c r="E6466">
        <v>11</v>
      </c>
    </row>
    <row r="6467" spans="1:5" x14ac:dyDescent="0.25">
      <c r="A6467">
        <v>6466</v>
      </c>
      <c r="B6467">
        <v>8768922</v>
      </c>
      <c r="C6467" s="1" t="str">
        <f>HYPERLINK("http://stackoverflow.com/users/8768922", "Lin Wang")</f>
        <v>Lin Wang</v>
      </c>
      <c r="D6467" t="s">
        <v>4</v>
      </c>
      <c r="E6467">
        <v>11</v>
      </c>
    </row>
    <row r="6468" spans="1:5" x14ac:dyDescent="0.25">
      <c r="A6468">
        <v>6467</v>
      </c>
      <c r="B6468">
        <v>8490948</v>
      </c>
      <c r="C6468" s="1" t="str">
        <f>HYPERLINK("http://stackoverflow.com/users/8490948", "Leon")</f>
        <v>Leon</v>
      </c>
      <c r="D6468" t="s">
        <v>357</v>
      </c>
      <c r="E6468">
        <v>11</v>
      </c>
    </row>
    <row r="6469" spans="1:5" x14ac:dyDescent="0.25">
      <c r="A6469">
        <v>6468</v>
      </c>
      <c r="B6469">
        <v>4950276</v>
      </c>
      <c r="C6469" s="1" t="str">
        <f>HYPERLINK("http://stackoverflow.com/users/4950276", "nick")</f>
        <v>nick</v>
      </c>
      <c r="D6469" t="s">
        <v>5</v>
      </c>
      <c r="E6469">
        <v>11</v>
      </c>
    </row>
    <row r="6470" spans="1:5" x14ac:dyDescent="0.25">
      <c r="A6470">
        <v>6469</v>
      </c>
      <c r="B6470">
        <v>8490676</v>
      </c>
      <c r="C6470" s="1" t="str">
        <f>HYPERLINK("http://stackoverflow.com/users/8490676", "arraybuffer")</f>
        <v>arraybuffer</v>
      </c>
      <c r="D6470" t="s">
        <v>7</v>
      </c>
      <c r="E6470">
        <v>11</v>
      </c>
    </row>
    <row r="6471" spans="1:5" x14ac:dyDescent="0.25">
      <c r="A6471">
        <v>6470</v>
      </c>
      <c r="B6471">
        <v>3148032</v>
      </c>
      <c r="C6471" s="1" t="str">
        <f>HYPERLINK("http://stackoverflow.com/users/3148032", "rararabbit")</f>
        <v>rararabbit</v>
      </c>
      <c r="D6471" t="s">
        <v>4</v>
      </c>
      <c r="E6471">
        <v>11</v>
      </c>
    </row>
    <row r="6472" spans="1:5" x14ac:dyDescent="0.25">
      <c r="A6472">
        <v>6471</v>
      </c>
      <c r="B6472">
        <v>1125169</v>
      </c>
      <c r="C6472" s="1" t="str">
        <f>HYPERLINK("http://stackoverflow.com/users/1125169", "Aaron Zheng")</f>
        <v>Aaron Zheng</v>
      </c>
      <c r="D6472" t="s">
        <v>21</v>
      </c>
      <c r="E6472">
        <v>11</v>
      </c>
    </row>
    <row r="6473" spans="1:5" x14ac:dyDescent="0.25">
      <c r="A6473">
        <v>6472</v>
      </c>
      <c r="B6473">
        <v>6737423</v>
      </c>
      <c r="C6473" s="1" t="str">
        <f>HYPERLINK("http://stackoverflow.com/users/6737423", "leesper")</f>
        <v>leesper</v>
      </c>
      <c r="D6473" t="s">
        <v>275</v>
      </c>
      <c r="E6473">
        <v>11</v>
      </c>
    </row>
    <row r="6474" spans="1:5" x14ac:dyDescent="0.25">
      <c r="A6474">
        <v>6473</v>
      </c>
      <c r="B6474">
        <v>1225702</v>
      </c>
      <c r="C6474" s="1" t="str">
        <f>HYPERLINK("http://stackoverflow.com/users/1225702", "wyvern")</f>
        <v>wyvern</v>
      </c>
      <c r="D6474" t="s">
        <v>17</v>
      </c>
      <c r="E6474">
        <v>11</v>
      </c>
    </row>
    <row r="6475" spans="1:5" x14ac:dyDescent="0.25">
      <c r="A6475">
        <v>6474</v>
      </c>
      <c r="B6475">
        <v>1232208</v>
      </c>
      <c r="C6475" s="1" t="str">
        <f>HYPERLINK("http://stackoverflow.com/users/1232208", "Lafido")</f>
        <v>Lafido</v>
      </c>
      <c r="D6475" t="s">
        <v>12</v>
      </c>
      <c r="E6475">
        <v>11</v>
      </c>
    </row>
    <row r="6476" spans="1:5" x14ac:dyDescent="0.25">
      <c r="A6476">
        <v>6475</v>
      </c>
      <c r="B6476">
        <v>4981174</v>
      </c>
      <c r="C6476" s="1" t="str">
        <f>HYPERLINK("http://stackoverflow.com/users/4981174", "jevirs")</f>
        <v>jevirs</v>
      </c>
      <c r="D6476" t="s">
        <v>12</v>
      </c>
      <c r="E6476">
        <v>11</v>
      </c>
    </row>
    <row r="6477" spans="1:5" x14ac:dyDescent="0.25">
      <c r="A6477">
        <v>6476</v>
      </c>
      <c r="B6477">
        <v>1495548</v>
      </c>
      <c r="C6477" s="1" t="str">
        <f>HYPERLINK("http://stackoverflow.com/users/1495548", "CFC4N")</f>
        <v>CFC4N</v>
      </c>
      <c r="D6477" t="s">
        <v>4</v>
      </c>
      <c r="E6477">
        <v>11</v>
      </c>
    </row>
    <row r="6478" spans="1:5" x14ac:dyDescent="0.25">
      <c r="A6478">
        <v>6477</v>
      </c>
      <c r="B6478">
        <v>8716183</v>
      </c>
      <c r="C6478" s="1" t="str">
        <f>HYPERLINK("http://stackoverflow.com/users/8716183", "sfdwfwewef")</f>
        <v>sfdwfwewef</v>
      </c>
      <c r="D6478" t="s">
        <v>358</v>
      </c>
      <c r="E6478">
        <v>11</v>
      </c>
    </row>
    <row r="6479" spans="1:5" x14ac:dyDescent="0.25">
      <c r="A6479">
        <v>6478</v>
      </c>
      <c r="B6479">
        <v>3234411</v>
      </c>
      <c r="C6479" s="1" t="str">
        <f>HYPERLINK("http://stackoverflow.com/users/3234411", "Tommy")</f>
        <v>Tommy</v>
      </c>
      <c r="D6479" t="s">
        <v>37</v>
      </c>
      <c r="E6479">
        <v>11</v>
      </c>
    </row>
    <row r="6480" spans="1:5" x14ac:dyDescent="0.25">
      <c r="A6480">
        <v>6479</v>
      </c>
      <c r="B6480">
        <v>8596113</v>
      </c>
      <c r="C6480" s="1" t="str">
        <f>HYPERLINK("http://stackoverflow.com/users/8596113", "Ming_9527")</f>
        <v>Ming_9527</v>
      </c>
      <c r="D6480" t="s">
        <v>33</v>
      </c>
      <c r="E6480">
        <v>11</v>
      </c>
    </row>
    <row r="6481" spans="1:5" x14ac:dyDescent="0.25">
      <c r="A6481">
        <v>6480</v>
      </c>
      <c r="B6481">
        <v>1393471</v>
      </c>
      <c r="C6481" s="1" t="str">
        <f>HYPERLINK("http://stackoverflow.com/users/1393471", "TonyMao")</f>
        <v>TonyMao</v>
      </c>
      <c r="D6481" t="s">
        <v>4</v>
      </c>
      <c r="E6481">
        <v>11</v>
      </c>
    </row>
    <row r="6482" spans="1:5" x14ac:dyDescent="0.25">
      <c r="A6482">
        <v>6481</v>
      </c>
      <c r="B6482">
        <v>10436285</v>
      </c>
      <c r="C6482" s="1" t="str">
        <f>HYPERLINK("http://stackoverflow.com/users/10436285", "Wen MingCai")</f>
        <v>Wen MingCai</v>
      </c>
      <c r="D6482" t="s">
        <v>55</v>
      </c>
      <c r="E6482">
        <v>11</v>
      </c>
    </row>
    <row r="6483" spans="1:5" x14ac:dyDescent="0.25">
      <c r="A6483">
        <v>6482</v>
      </c>
      <c r="B6483">
        <v>6813668</v>
      </c>
      <c r="C6483" s="1" t="str">
        <f>HYPERLINK("http://stackoverflow.com/users/6813668", "Bo.hai")</f>
        <v>Bo.hai</v>
      </c>
      <c r="D6483" t="s">
        <v>16</v>
      </c>
      <c r="E6483">
        <v>11</v>
      </c>
    </row>
    <row r="6484" spans="1:5" x14ac:dyDescent="0.25">
      <c r="A6484">
        <v>6483</v>
      </c>
      <c r="B6484">
        <v>1389798</v>
      </c>
      <c r="C6484" s="1" t="str">
        <f>HYPERLINK("http://stackoverflow.com/users/1389798", "Strongxu")</f>
        <v>Strongxu</v>
      </c>
      <c r="D6484" t="s">
        <v>7</v>
      </c>
      <c r="E6484">
        <v>11</v>
      </c>
    </row>
    <row r="6485" spans="1:5" x14ac:dyDescent="0.25">
      <c r="A6485">
        <v>6484</v>
      </c>
      <c r="B6485">
        <v>3588614</v>
      </c>
      <c r="C6485" s="1" t="str">
        <f>HYPERLINK("http://stackoverflow.com/users/3588614", "WendellWu")</f>
        <v>WendellWu</v>
      </c>
      <c r="D6485" t="s">
        <v>22</v>
      </c>
      <c r="E6485">
        <v>11</v>
      </c>
    </row>
    <row r="6486" spans="1:5" x14ac:dyDescent="0.25">
      <c r="A6486">
        <v>6485</v>
      </c>
      <c r="B6486">
        <v>5432787</v>
      </c>
      <c r="C6486" s="1" t="str">
        <f>HYPERLINK("http://stackoverflow.com/users/5432787", "husky")</f>
        <v>husky</v>
      </c>
      <c r="D6486" t="s">
        <v>5</v>
      </c>
      <c r="E6486">
        <v>11</v>
      </c>
    </row>
    <row r="6487" spans="1:5" x14ac:dyDescent="0.25">
      <c r="A6487">
        <v>6486</v>
      </c>
      <c r="B6487">
        <v>3517088</v>
      </c>
      <c r="C6487" s="1" t="str">
        <f>HYPERLINK("http://stackoverflow.com/users/3517088", "fatihkaradag")</f>
        <v>fatihkaradag</v>
      </c>
      <c r="D6487" t="s">
        <v>4</v>
      </c>
      <c r="E6487">
        <v>11</v>
      </c>
    </row>
    <row r="6488" spans="1:5" x14ac:dyDescent="0.25">
      <c r="A6488">
        <v>6487</v>
      </c>
      <c r="B6488">
        <v>5327556</v>
      </c>
      <c r="C6488" s="1" t="str">
        <f>HYPERLINK("http://stackoverflow.com/users/5327556", "Shawn 736")</f>
        <v>Shawn 736</v>
      </c>
      <c r="D6488" t="s">
        <v>5</v>
      </c>
      <c r="E6488">
        <v>11</v>
      </c>
    </row>
    <row r="6489" spans="1:5" x14ac:dyDescent="0.25">
      <c r="A6489">
        <v>6488</v>
      </c>
      <c r="B6489">
        <v>1670846</v>
      </c>
      <c r="C6489" s="1" t="str">
        <f>HYPERLINK("http://stackoverflow.com/users/1670846", "Loki Xie")</f>
        <v>Loki Xie</v>
      </c>
      <c r="D6489" t="s">
        <v>4</v>
      </c>
      <c r="E6489">
        <v>11</v>
      </c>
    </row>
    <row r="6490" spans="1:5" x14ac:dyDescent="0.25">
      <c r="A6490">
        <v>6489</v>
      </c>
      <c r="B6490">
        <v>1725526</v>
      </c>
      <c r="C6490" s="1" t="str">
        <f>HYPERLINK("http://stackoverflow.com/users/1725526", "zhao yao")</f>
        <v>zhao yao</v>
      </c>
      <c r="D6490" t="s">
        <v>5</v>
      </c>
      <c r="E6490">
        <v>11</v>
      </c>
    </row>
    <row r="6491" spans="1:5" x14ac:dyDescent="0.25">
      <c r="A6491">
        <v>6490</v>
      </c>
      <c r="B6491">
        <v>1726363</v>
      </c>
      <c r="C6491" s="1" t="str">
        <f>HYPERLINK("http://stackoverflow.com/users/1726363", "BottleLiu")</f>
        <v>BottleLiu</v>
      </c>
      <c r="D6491" t="s">
        <v>5</v>
      </c>
      <c r="E6491">
        <v>11</v>
      </c>
    </row>
    <row r="6492" spans="1:5" x14ac:dyDescent="0.25">
      <c r="A6492">
        <v>6491</v>
      </c>
      <c r="B6492">
        <v>9064771</v>
      </c>
      <c r="C6492" s="1" t="str">
        <f>HYPERLINK("http://stackoverflow.com/users/9064771", "苏高军")</f>
        <v>苏高军</v>
      </c>
      <c r="D6492" t="s">
        <v>7</v>
      </c>
      <c r="E6492">
        <v>11</v>
      </c>
    </row>
    <row r="6493" spans="1:5" x14ac:dyDescent="0.25">
      <c r="A6493">
        <v>6492</v>
      </c>
      <c r="B6493">
        <v>1859069</v>
      </c>
      <c r="C6493" s="1" t="str">
        <f>HYPERLINK("http://stackoverflow.com/users/1859069", "sshic")</f>
        <v>sshic</v>
      </c>
      <c r="D6493" t="s">
        <v>12</v>
      </c>
      <c r="E6493">
        <v>11</v>
      </c>
    </row>
    <row r="6494" spans="1:5" x14ac:dyDescent="0.25">
      <c r="A6494">
        <v>6493</v>
      </c>
      <c r="B6494">
        <v>7255584</v>
      </c>
      <c r="C6494" s="1" t="str">
        <f>HYPERLINK("http://stackoverflow.com/users/7255584", "Grayson Liu")</f>
        <v>Grayson Liu</v>
      </c>
      <c r="D6494" t="s">
        <v>5</v>
      </c>
      <c r="E6494">
        <v>11</v>
      </c>
    </row>
    <row r="6495" spans="1:5" x14ac:dyDescent="0.25">
      <c r="A6495">
        <v>6494</v>
      </c>
      <c r="B6495">
        <v>3763084</v>
      </c>
      <c r="C6495" s="1" t="str">
        <f>HYPERLINK("http://stackoverflow.com/users/3763084", "liuct")</f>
        <v>liuct</v>
      </c>
      <c r="D6495" t="s">
        <v>5</v>
      </c>
      <c r="E6495">
        <v>11</v>
      </c>
    </row>
    <row r="6496" spans="1:5" x14ac:dyDescent="0.25">
      <c r="A6496">
        <v>6495</v>
      </c>
      <c r="B6496">
        <v>1965346</v>
      </c>
      <c r="C6496" s="1" t="str">
        <f>HYPERLINK("http://stackoverflow.com/users/1965346", "ruichao")</f>
        <v>ruichao</v>
      </c>
      <c r="D6496" t="s">
        <v>4</v>
      </c>
      <c r="E6496">
        <v>11</v>
      </c>
    </row>
    <row r="6497" spans="1:5" x14ac:dyDescent="0.25">
      <c r="A6497">
        <v>6496</v>
      </c>
      <c r="B6497">
        <v>1941980</v>
      </c>
      <c r="C6497" s="1" t="str">
        <f>HYPERLINK("http://stackoverflow.com/users/1941980", "maemual")</f>
        <v>maemual</v>
      </c>
      <c r="D6497" t="s">
        <v>37</v>
      </c>
      <c r="E6497">
        <v>11</v>
      </c>
    </row>
    <row r="6498" spans="1:5" x14ac:dyDescent="0.25">
      <c r="A6498">
        <v>6497</v>
      </c>
      <c r="B6498">
        <v>7282447</v>
      </c>
      <c r="C6498" s="1" t="str">
        <f>HYPERLINK("http://stackoverflow.com/users/7282447", "Zurex")</f>
        <v>Zurex</v>
      </c>
      <c r="D6498" t="s">
        <v>12</v>
      </c>
      <c r="E6498">
        <v>11</v>
      </c>
    </row>
    <row r="6499" spans="1:5" x14ac:dyDescent="0.25">
      <c r="A6499">
        <v>6498</v>
      </c>
      <c r="B6499">
        <v>5540905</v>
      </c>
      <c r="C6499" s="1" t="str">
        <f>HYPERLINK("http://stackoverflow.com/users/5540905", "Mr Black")</f>
        <v>Mr Black</v>
      </c>
      <c r="D6499" t="s">
        <v>7</v>
      </c>
      <c r="E6499">
        <v>11</v>
      </c>
    </row>
    <row r="6500" spans="1:5" x14ac:dyDescent="0.25">
      <c r="A6500">
        <v>6499</v>
      </c>
      <c r="B6500">
        <v>2368245</v>
      </c>
      <c r="C6500" s="1" t="str">
        <f>HYPERLINK("http://stackoverflow.com/users/2368245", "noslopforever")</f>
        <v>noslopforever</v>
      </c>
      <c r="D6500" t="s">
        <v>5</v>
      </c>
      <c r="E6500">
        <v>11</v>
      </c>
    </row>
    <row r="6501" spans="1:5" x14ac:dyDescent="0.25">
      <c r="A6501">
        <v>6500</v>
      </c>
      <c r="B6501">
        <v>9552530</v>
      </c>
      <c r="C6501" s="1" t="str">
        <f>HYPERLINK("http://stackoverflow.com/users/9552530", "Hu Shengwei")</f>
        <v>Hu Shengwei</v>
      </c>
      <c r="D6501" t="s">
        <v>15</v>
      </c>
      <c r="E6501">
        <v>11</v>
      </c>
    </row>
    <row r="6502" spans="1:5" x14ac:dyDescent="0.25">
      <c r="A6502">
        <v>6501</v>
      </c>
      <c r="B6502">
        <v>4073268</v>
      </c>
      <c r="C6502" s="1" t="str">
        <f>HYPERLINK("http://stackoverflow.com/users/4073268", "FyhSky")</f>
        <v>FyhSky</v>
      </c>
      <c r="D6502" t="s">
        <v>4</v>
      </c>
      <c r="E6502">
        <v>11</v>
      </c>
    </row>
    <row r="6503" spans="1:5" x14ac:dyDescent="0.25">
      <c r="A6503">
        <v>6502</v>
      </c>
      <c r="B6503">
        <v>2318915</v>
      </c>
      <c r="C6503" s="1" t="str">
        <f>HYPERLINK("http://stackoverflow.com/users/2318915", "tinytub")</f>
        <v>tinytub</v>
      </c>
      <c r="D6503" t="s">
        <v>5</v>
      </c>
      <c r="E6503">
        <v>11</v>
      </c>
    </row>
    <row r="6504" spans="1:5" x14ac:dyDescent="0.25">
      <c r="A6504">
        <v>6503</v>
      </c>
      <c r="B6504">
        <v>2308738</v>
      </c>
      <c r="C6504" s="1" t="str">
        <f>HYPERLINK("http://stackoverflow.com/users/2308738", "budong")</f>
        <v>budong</v>
      </c>
      <c r="D6504" t="s">
        <v>5</v>
      </c>
      <c r="E6504">
        <v>11</v>
      </c>
    </row>
    <row r="6505" spans="1:5" x14ac:dyDescent="0.25">
      <c r="A6505">
        <v>6504</v>
      </c>
      <c r="B6505">
        <v>5768933</v>
      </c>
      <c r="C6505" s="1" t="str">
        <f>HYPERLINK("http://stackoverflow.com/users/5768933", "Huaiyuan")</f>
        <v>Huaiyuan</v>
      </c>
      <c r="D6505" t="s">
        <v>5</v>
      </c>
      <c r="E6505">
        <v>11</v>
      </c>
    </row>
    <row r="6506" spans="1:5" x14ac:dyDescent="0.25">
      <c r="A6506">
        <v>6505</v>
      </c>
      <c r="B6506">
        <v>3996236</v>
      </c>
      <c r="C6506" s="1" t="str">
        <f>HYPERLINK("http://stackoverflow.com/users/3996236", "Lirian Su")</f>
        <v>Lirian Su</v>
      </c>
      <c r="D6506" t="s">
        <v>4</v>
      </c>
      <c r="E6506">
        <v>11</v>
      </c>
    </row>
    <row r="6507" spans="1:5" x14ac:dyDescent="0.25">
      <c r="A6507">
        <v>6506</v>
      </c>
      <c r="B6507">
        <v>7560678</v>
      </c>
      <c r="C6507" s="1" t="str">
        <f>HYPERLINK("http://stackoverflow.com/users/7560678", "frankchang1990")</f>
        <v>frankchang1990</v>
      </c>
      <c r="D6507" t="s">
        <v>4</v>
      </c>
      <c r="E6507">
        <v>11</v>
      </c>
    </row>
    <row r="6508" spans="1:5" x14ac:dyDescent="0.25">
      <c r="A6508">
        <v>6507</v>
      </c>
      <c r="B6508">
        <v>7532595</v>
      </c>
      <c r="C6508" s="1" t="str">
        <f>HYPERLINK("http://stackoverflow.com/users/7532595", "Lvmc")</f>
        <v>Lvmc</v>
      </c>
      <c r="D6508" t="s">
        <v>4</v>
      </c>
      <c r="E6508">
        <v>11</v>
      </c>
    </row>
    <row r="6509" spans="1:5" x14ac:dyDescent="0.25">
      <c r="A6509">
        <v>6508</v>
      </c>
      <c r="B6509">
        <v>5785271</v>
      </c>
      <c r="C6509" s="1" t="str">
        <f>HYPERLINK("http://stackoverflow.com/users/5785271", "Abby Lin")</f>
        <v>Abby Lin</v>
      </c>
      <c r="D6509" t="s">
        <v>5</v>
      </c>
      <c r="E6509">
        <v>11</v>
      </c>
    </row>
    <row r="6510" spans="1:5" x14ac:dyDescent="0.25">
      <c r="A6510">
        <v>6509</v>
      </c>
      <c r="B6510">
        <v>3863284</v>
      </c>
      <c r="C6510" s="1" t="str">
        <f>HYPERLINK("http://stackoverflow.com/users/3863284", "Jerrick")</f>
        <v>Jerrick</v>
      </c>
      <c r="D6510" t="s">
        <v>5</v>
      </c>
      <c r="E6510">
        <v>11</v>
      </c>
    </row>
    <row r="6511" spans="1:5" x14ac:dyDescent="0.25">
      <c r="A6511">
        <v>6510</v>
      </c>
      <c r="B6511">
        <v>3848215</v>
      </c>
      <c r="C6511" s="1" t="str">
        <f>HYPERLINK("http://stackoverflow.com/users/3848215", "Block Cheng")</f>
        <v>Block Cheng</v>
      </c>
      <c r="D6511" t="s">
        <v>5</v>
      </c>
      <c r="E6511">
        <v>11</v>
      </c>
    </row>
    <row r="6512" spans="1:5" x14ac:dyDescent="0.25">
      <c r="A6512">
        <v>6511</v>
      </c>
      <c r="B6512">
        <v>3795980</v>
      </c>
      <c r="C6512" s="1" t="str">
        <f>HYPERLINK("http://stackoverflow.com/users/3795980", "Ehara He")</f>
        <v>Ehara He</v>
      </c>
      <c r="D6512" t="s">
        <v>17</v>
      </c>
      <c r="E6512">
        <v>11</v>
      </c>
    </row>
    <row r="6513" spans="1:5" x14ac:dyDescent="0.25">
      <c r="A6513">
        <v>6512</v>
      </c>
      <c r="B6513">
        <v>2166492</v>
      </c>
      <c r="C6513" s="1" t="str">
        <f>HYPERLINK("http://stackoverflow.com/users/2166492", "Neal Huang")</f>
        <v>Neal Huang</v>
      </c>
      <c r="D6513" t="s">
        <v>37</v>
      </c>
      <c r="E6513">
        <v>11</v>
      </c>
    </row>
    <row r="6514" spans="1:5" x14ac:dyDescent="0.25">
      <c r="A6514">
        <v>6513</v>
      </c>
      <c r="B6514">
        <v>3868029</v>
      </c>
      <c r="C6514" s="1" t="str">
        <f>HYPERLINK("http://stackoverflow.com/users/3868029", "Roger")</f>
        <v>Roger</v>
      </c>
      <c r="D6514" t="s">
        <v>16</v>
      </c>
      <c r="E6514">
        <v>11</v>
      </c>
    </row>
    <row r="6515" spans="1:5" x14ac:dyDescent="0.25">
      <c r="A6515">
        <v>6514</v>
      </c>
      <c r="B6515">
        <v>5667464</v>
      </c>
      <c r="C6515" s="1" t="str">
        <f>HYPERLINK("http://stackoverflow.com/users/5667464", "Catherine")</f>
        <v>Catherine</v>
      </c>
      <c r="D6515" t="s">
        <v>5</v>
      </c>
      <c r="E6515">
        <v>11</v>
      </c>
    </row>
    <row r="6516" spans="1:5" x14ac:dyDescent="0.25">
      <c r="A6516">
        <v>6515</v>
      </c>
      <c r="B6516">
        <v>4177197</v>
      </c>
      <c r="C6516" s="1" t="str">
        <f>HYPERLINK("http://stackoverflow.com/users/4177197", "Skye ying")</f>
        <v>Skye ying</v>
      </c>
      <c r="D6516" t="s">
        <v>12</v>
      </c>
      <c r="E6516">
        <v>11</v>
      </c>
    </row>
    <row r="6517" spans="1:5" x14ac:dyDescent="0.25">
      <c r="A6517">
        <v>6516</v>
      </c>
      <c r="B6517">
        <v>5986595</v>
      </c>
      <c r="C6517" s="1" t="str">
        <f>HYPERLINK("http://stackoverflow.com/users/5986595", "Frank Wang")</f>
        <v>Frank Wang</v>
      </c>
      <c r="D6517" t="s">
        <v>4</v>
      </c>
      <c r="E6517">
        <v>11</v>
      </c>
    </row>
    <row r="6518" spans="1:5" x14ac:dyDescent="0.25">
      <c r="A6518">
        <v>6517</v>
      </c>
      <c r="B6518">
        <v>2375431</v>
      </c>
      <c r="C6518" s="1" t="str">
        <f>HYPERLINK("http://stackoverflow.com/users/2375431", "y.z")</f>
        <v>y.z</v>
      </c>
      <c r="D6518" t="s">
        <v>4</v>
      </c>
      <c r="E6518">
        <v>11</v>
      </c>
    </row>
    <row r="6519" spans="1:5" x14ac:dyDescent="0.25">
      <c r="A6519">
        <v>6518</v>
      </c>
      <c r="B6519">
        <v>2394506</v>
      </c>
      <c r="C6519" s="1" t="str">
        <f>HYPERLINK("http://stackoverflow.com/users/2394506", "Skyler")</f>
        <v>Skyler</v>
      </c>
      <c r="D6519" t="s">
        <v>21</v>
      </c>
      <c r="E6519">
        <v>11</v>
      </c>
    </row>
    <row r="6520" spans="1:5" x14ac:dyDescent="0.25">
      <c r="A6520">
        <v>6519</v>
      </c>
      <c r="B6520">
        <v>7641599</v>
      </c>
      <c r="C6520" s="1" t="str">
        <f>HYPERLINK("http://stackoverflow.com/users/7641599", "user7641599")</f>
        <v>user7641599</v>
      </c>
      <c r="D6520" t="s">
        <v>28</v>
      </c>
      <c r="E6520">
        <v>11</v>
      </c>
    </row>
    <row r="6521" spans="1:5" x14ac:dyDescent="0.25">
      <c r="A6521">
        <v>6520</v>
      </c>
      <c r="B6521">
        <v>1516428</v>
      </c>
      <c r="C6521" s="1" t="str">
        <f>HYPERLINK("http://stackoverflow.com/users/1516428", "Brady Chu")</f>
        <v>Brady Chu</v>
      </c>
      <c r="D6521" t="s">
        <v>4</v>
      </c>
      <c r="E6521">
        <v>11</v>
      </c>
    </row>
    <row r="6522" spans="1:5" x14ac:dyDescent="0.25">
      <c r="A6522">
        <v>6521</v>
      </c>
      <c r="B6522">
        <v>8770382</v>
      </c>
      <c r="C6522" s="1" t="str">
        <f>HYPERLINK("http://stackoverflow.com/users/8770382", "ke jin")</f>
        <v>ke jin</v>
      </c>
      <c r="D6522" t="s">
        <v>16</v>
      </c>
      <c r="E6522">
        <v>11</v>
      </c>
    </row>
    <row r="6523" spans="1:5" x14ac:dyDescent="0.25">
      <c r="A6523">
        <v>6522</v>
      </c>
      <c r="B6523">
        <v>3418094</v>
      </c>
      <c r="C6523" s="1" t="str">
        <f>HYPERLINK("http://stackoverflow.com/users/3418094", "Xiao Wang")</f>
        <v>Xiao Wang</v>
      </c>
      <c r="D6523" t="s">
        <v>135</v>
      </c>
      <c r="E6523">
        <v>11</v>
      </c>
    </row>
    <row r="6524" spans="1:5" x14ac:dyDescent="0.25">
      <c r="A6524">
        <v>6523</v>
      </c>
      <c r="B6524">
        <v>5231496</v>
      </c>
      <c r="C6524" s="1" t="str">
        <f>HYPERLINK("http://stackoverflow.com/users/5231496", "mzer0")</f>
        <v>mzer0</v>
      </c>
      <c r="D6524" t="s">
        <v>130</v>
      </c>
      <c r="E6524">
        <v>11</v>
      </c>
    </row>
    <row r="6525" spans="1:5" x14ac:dyDescent="0.25">
      <c r="A6525">
        <v>6524</v>
      </c>
      <c r="B6525">
        <v>1580899</v>
      </c>
      <c r="C6525" s="1" t="str">
        <f>HYPERLINK("http://stackoverflow.com/users/1580899", "Jimco")</f>
        <v>Jimco</v>
      </c>
      <c r="D6525" t="s">
        <v>5</v>
      </c>
      <c r="E6525">
        <v>11</v>
      </c>
    </row>
    <row r="6526" spans="1:5" x14ac:dyDescent="0.25">
      <c r="A6526">
        <v>6525</v>
      </c>
      <c r="B6526">
        <v>1610151</v>
      </c>
      <c r="C6526" s="1" t="str">
        <f>HYPERLINK("http://stackoverflow.com/users/1610151", "heitaoa")</f>
        <v>heitaoa</v>
      </c>
      <c r="D6526" t="s">
        <v>4</v>
      </c>
      <c r="E6526">
        <v>11</v>
      </c>
    </row>
    <row r="6527" spans="1:5" x14ac:dyDescent="0.25">
      <c r="A6527">
        <v>6526</v>
      </c>
      <c r="B6527">
        <v>5150306</v>
      </c>
      <c r="C6527" s="1" t="str">
        <f>HYPERLINK("http://stackoverflow.com/users/5150306", "Huang Kun")</f>
        <v>Huang Kun</v>
      </c>
      <c r="D6527" t="s">
        <v>4</v>
      </c>
      <c r="E6527">
        <v>11</v>
      </c>
    </row>
    <row r="6528" spans="1:5" x14ac:dyDescent="0.25">
      <c r="A6528">
        <v>6527</v>
      </c>
      <c r="B6528">
        <v>5150367</v>
      </c>
      <c r="C6528" s="1" t="str">
        <f>HYPERLINK("http://stackoverflow.com/users/5150367", "Zhenxiao Fu")</f>
        <v>Zhenxiao Fu</v>
      </c>
      <c r="D6528" t="s">
        <v>359</v>
      </c>
      <c r="E6528">
        <v>11</v>
      </c>
    </row>
    <row r="6529" spans="1:5" x14ac:dyDescent="0.25">
      <c r="A6529">
        <v>6528</v>
      </c>
      <c r="B6529">
        <v>3317453</v>
      </c>
      <c r="C6529" s="1" t="str">
        <f>HYPERLINK("http://stackoverflow.com/users/3317453", "KevinHM")</f>
        <v>KevinHM</v>
      </c>
      <c r="D6529" t="s">
        <v>17</v>
      </c>
      <c r="E6529">
        <v>11</v>
      </c>
    </row>
    <row r="6530" spans="1:5" x14ac:dyDescent="0.25">
      <c r="A6530">
        <v>6529</v>
      </c>
      <c r="B6530">
        <v>3330684</v>
      </c>
      <c r="C6530" s="1" t="str">
        <f>HYPERLINK("http://stackoverflow.com/users/3330684", "Stupid Dog")</f>
        <v>Stupid Dog</v>
      </c>
      <c r="D6530" t="s">
        <v>4</v>
      </c>
      <c r="E6530">
        <v>11</v>
      </c>
    </row>
    <row r="6531" spans="1:5" x14ac:dyDescent="0.25">
      <c r="A6531">
        <v>6530</v>
      </c>
      <c r="B6531">
        <v>3278805</v>
      </c>
      <c r="C6531" s="1" t="str">
        <f>HYPERLINK("http://stackoverflow.com/users/3278805", "JiaXun")</f>
        <v>JiaXun</v>
      </c>
      <c r="D6531" t="s">
        <v>5</v>
      </c>
      <c r="E6531">
        <v>11</v>
      </c>
    </row>
    <row r="6532" spans="1:5" x14ac:dyDescent="0.25">
      <c r="A6532">
        <v>6531</v>
      </c>
      <c r="B6532">
        <v>5118828</v>
      </c>
      <c r="C6532" s="1" t="str">
        <f>HYPERLINK("http://stackoverflow.com/users/5118828", "wanyang cao")</f>
        <v>wanyang cao</v>
      </c>
      <c r="D6532" t="s">
        <v>4</v>
      </c>
      <c r="E6532">
        <v>11</v>
      </c>
    </row>
    <row r="6533" spans="1:5" x14ac:dyDescent="0.25">
      <c r="A6533">
        <v>6532</v>
      </c>
      <c r="B6533">
        <v>1338962</v>
      </c>
      <c r="C6533" s="1" t="str">
        <f>HYPERLINK("http://stackoverflow.com/users/1338962", "meShare2011")</f>
        <v>meShare2011</v>
      </c>
      <c r="D6533" t="s">
        <v>8</v>
      </c>
      <c r="E6533">
        <v>11</v>
      </c>
    </row>
    <row r="6534" spans="1:5" x14ac:dyDescent="0.25">
      <c r="A6534">
        <v>6533</v>
      </c>
      <c r="B6534">
        <v>5061158</v>
      </c>
      <c r="C6534" s="1" t="str">
        <f>HYPERLINK("http://stackoverflow.com/users/5061158", "Shi")</f>
        <v>Shi</v>
      </c>
      <c r="D6534" t="s">
        <v>17</v>
      </c>
      <c r="E6534">
        <v>11</v>
      </c>
    </row>
    <row r="6535" spans="1:5" x14ac:dyDescent="0.25">
      <c r="A6535">
        <v>6534</v>
      </c>
      <c r="B6535">
        <v>1400086</v>
      </c>
      <c r="C6535" s="1" t="str">
        <f>HYPERLINK("http://stackoverflow.com/users/1400086", "jzhai")</f>
        <v>jzhai</v>
      </c>
      <c r="D6535" t="s">
        <v>5</v>
      </c>
      <c r="E6535">
        <v>11</v>
      </c>
    </row>
    <row r="6536" spans="1:5" x14ac:dyDescent="0.25">
      <c r="A6536">
        <v>6535</v>
      </c>
      <c r="B6536">
        <v>8637809</v>
      </c>
      <c r="C6536" s="1" t="str">
        <f>HYPERLINK("http://stackoverflow.com/users/8637809", "Yicen Tian")</f>
        <v>Yicen Tian</v>
      </c>
      <c r="D6536" t="s">
        <v>28</v>
      </c>
      <c r="E6536">
        <v>11</v>
      </c>
    </row>
    <row r="6537" spans="1:5" x14ac:dyDescent="0.25">
      <c r="A6537">
        <v>6536</v>
      </c>
      <c r="B6537">
        <v>1360673</v>
      </c>
      <c r="C6537" s="1" t="str">
        <f>HYPERLINK("http://stackoverflow.com/users/1360673", "Frank")</f>
        <v>Frank</v>
      </c>
      <c r="D6537" t="s">
        <v>12</v>
      </c>
      <c r="E6537">
        <v>11</v>
      </c>
    </row>
    <row r="6538" spans="1:5" x14ac:dyDescent="0.25">
      <c r="A6538">
        <v>6537</v>
      </c>
      <c r="B6538">
        <v>1251586</v>
      </c>
      <c r="C6538" s="1" t="str">
        <f>HYPERLINK("http://stackoverflow.com/users/1251586", "Sun Pengfei")</f>
        <v>Sun Pengfei</v>
      </c>
      <c r="D6538" t="s">
        <v>5</v>
      </c>
      <c r="E6538">
        <v>11</v>
      </c>
    </row>
    <row r="6539" spans="1:5" x14ac:dyDescent="0.25">
      <c r="A6539">
        <v>6538</v>
      </c>
      <c r="B6539">
        <v>5001419</v>
      </c>
      <c r="C6539" s="1" t="str">
        <f>HYPERLINK("http://stackoverflow.com/users/5001419", "Zhi Zhu")</f>
        <v>Zhi Zhu</v>
      </c>
      <c r="D6539" t="s">
        <v>52</v>
      </c>
      <c r="E6539">
        <v>11</v>
      </c>
    </row>
    <row r="6540" spans="1:5" x14ac:dyDescent="0.25">
      <c r="A6540">
        <v>6539</v>
      </c>
      <c r="B6540">
        <v>8550820</v>
      </c>
      <c r="C6540" s="1" t="str">
        <f>HYPERLINK("http://stackoverflow.com/users/8550820", "Shuangfei Yin")</f>
        <v>Shuangfei Yin</v>
      </c>
      <c r="D6540" t="s">
        <v>5</v>
      </c>
      <c r="E6540">
        <v>11</v>
      </c>
    </row>
    <row r="6541" spans="1:5" x14ac:dyDescent="0.25">
      <c r="A6541">
        <v>6540</v>
      </c>
      <c r="B6541">
        <v>1244740</v>
      </c>
      <c r="C6541" s="1" t="str">
        <f>HYPERLINK("http://stackoverflow.com/users/1244740", "vitrum")</f>
        <v>vitrum</v>
      </c>
      <c r="D6541" t="s">
        <v>4</v>
      </c>
      <c r="E6541">
        <v>11</v>
      </c>
    </row>
    <row r="6542" spans="1:5" x14ac:dyDescent="0.25">
      <c r="A6542">
        <v>6541</v>
      </c>
      <c r="B6542">
        <v>3145432</v>
      </c>
      <c r="C6542" s="1" t="str">
        <f>HYPERLINK("http://stackoverflow.com/users/3145432", "ElvisZhu")</f>
        <v>ElvisZhu</v>
      </c>
      <c r="D6542" t="s">
        <v>4</v>
      </c>
      <c r="E6542">
        <v>11</v>
      </c>
    </row>
    <row r="6543" spans="1:5" x14ac:dyDescent="0.25">
      <c r="A6543">
        <v>6542</v>
      </c>
      <c r="B6543">
        <v>3093970</v>
      </c>
      <c r="C6543" s="1" t="str">
        <f>HYPERLINK("http://stackoverflow.com/users/3093970", "fan36")</f>
        <v>fan36</v>
      </c>
      <c r="D6543" t="s">
        <v>5</v>
      </c>
      <c r="E6543">
        <v>11</v>
      </c>
    </row>
    <row r="6544" spans="1:5" x14ac:dyDescent="0.25">
      <c r="A6544">
        <v>6543</v>
      </c>
      <c r="B6544">
        <v>3121562</v>
      </c>
      <c r="C6544" s="1" t="str">
        <f>HYPERLINK("http://stackoverflow.com/users/3121562", "Welton")</f>
        <v>Welton</v>
      </c>
      <c r="D6544" t="s">
        <v>5</v>
      </c>
      <c r="E6544">
        <v>11</v>
      </c>
    </row>
    <row r="6545" spans="1:5" x14ac:dyDescent="0.25">
      <c r="A6545">
        <v>6544</v>
      </c>
      <c r="B6545">
        <v>6527019</v>
      </c>
      <c r="C6545" s="1" t="str">
        <f>HYPERLINK("http://stackoverflow.com/users/6527019", "JhonSteve")</f>
        <v>JhonSteve</v>
      </c>
      <c r="D6545" t="s">
        <v>115</v>
      </c>
      <c r="E6545">
        <v>11</v>
      </c>
    </row>
    <row r="6546" spans="1:5" x14ac:dyDescent="0.25">
      <c r="A6546">
        <v>6545</v>
      </c>
      <c r="B6546">
        <v>969222</v>
      </c>
      <c r="C6546" s="1" t="str">
        <f>HYPERLINK("http://stackoverflow.com/users/969222", "Thomas Wong")</f>
        <v>Thomas Wong</v>
      </c>
      <c r="D6546" t="s">
        <v>4</v>
      </c>
      <c r="E6546">
        <v>11</v>
      </c>
    </row>
    <row r="6547" spans="1:5" x14ac:dyDescent="0.25">
      <c r="A6547">
        <v>6546</v>
      </c>
      <c r="B6547">
        <v>1102090</v>
      </c>
      <c r="C6547" s="1" t="str">
        <f>HYPERLINK("http://stackoverflow.com/users/1102090", "freefcw")</f>
        <v>freefcw</v>
      </c>
      <c r="D6547" t="s">
        <v>8</v>
      </c>
      <c r="E6547">
        <v>11</v>
      </c>
    </row>
    <row r="6548" spans="1:5" x14ac:dyDescent="0.25">
      <c r="A6548">
        <v>6547</v>
      </c>
      <c r="B6548">
        <v>8408919</v>
      </c>
      <c r="C6548" s="1" t="str">
        <f>HYPERLINK("http://stackoverflow.com/users/8408919", "lxj616")</f>
        <v>lxj616</v>
      </c>
      <c r="D6548" t="s">
        <v>5</v>
      </c>
      <c r="E6548">
        <v>11</v>
      </c>
    </row>
    <row r="6549" spans="1:5" x14ac:dyDescent="0.25">
      <c r="A6549">
        <v>6548</v>
      </c>
      <c r="B6549">
        <v>4454342</v>
      </c>
      <c r="C6549" s="1" t="str">
        <f>HYPERLINK("http://stackoverflow.com/users/4454342", "MiTan")</f>
        <v>MiTan</v>
      </c>
      <c r="D6549" t="s">
        <v>5</v>
      </c>
      <c r="E6549">
        <v>11</v>
      </c>
    </row>
    <row r="6550" spans="1:5" x14ac:dyDescent="0.25">
      <c r="A6550">
        <v>6549</v>
      </c>
      <c r="B6550">
        <v>7962885</v>
      </c>
      <c r="C6550" s="1" t="str">
        <f>HYPERLINK("http://stackoverflow.com/users/7962885", "JasonF")</f>
        <v>JasonF</v>
      </c>
      <c r="D6550" t="s">
        <v>7</v>
      </c>
      <c r="E6550">
        <v>11</v>
      </c>
    </row>
    <row r="6551" spans="1:5" x14ac:dyDescent="0.25">
      <c r="A6551">
        <v>6550</v>
      </c>
      <c r="B6551">
        <v>292829</v>
      </c>
      <c r="C6551" s="1" t="str">
        <f>HYPERLINK("http://stackoverflow.com/users/292829", "Chun")</f>
        <v>Chun</v>
      </c>
      <c r="D6551" t="s">
        <v>5</v>
      </c>
      <c r="E6551">
        <v>11</v>
      </c>
    </row>
    <row r="6552" spans="1:5" x14ac:dyDescent="0.25">
      <c r="A6552">
        <v>6551</v>
      </c>
      <c r="B6552">
        <v>301340</v>
      </c>
      <c r="C6552" s="1" t="str">
        <f>HYPERLINK("http://stackoverflow.com/users/301340", "lloydsheng")</f>
        <v>lloydsheng</v>
      </c>
      <c r="D6552" t="s">
        <v>4</v>
      </c>
      <c r="E6552">
        <v>11</v>
      </c>
    </row>
    <row r="6553" spans="1:5" x14ac:dyDescent="0.25">
      <c r="A6553">
        <v>6552</v>
      </c>
      <c r="B6553">
        <v>9739069</v>
      </c>
      <c r="C6553" s="1" t="str">
        <f>HYPERLINK("http://stackoverflow.com/users/9739069", "Zhuojing Xie")</f>
        <v>Zhuojing Xie</v>
      </c>
      <c r="D6553" t="s">
        <v>242</v>
      </c>
      <c r="E6553">
        <v>11</v>
      </c>
    </row>
    <row r="6554" spans="1:5" x14ac:dyDescent="0.25">
      <c r="A6554">
        <v>6553</v>
      </c>
      <c r="B6554">
        <v>2563666</v>
      </c>
      <c r="C6554" s="1" t="str">
        <f>HYPERLINK("http://stackoverflow.com/users/2563666", "heeroluo")</f>
        <v>heeroluo</v>
      </c>
      <c r="D6554" t="s">
        <v>21</v>
      </c>
      <c r="E6554">
        <v>11</v>
      </c>
    </row>
    <row r="6555" spans="1:5" x14ac:dyDescent="0.25">
      <c r="A6555">
        <v>6554</v>
      </c>
      <c r="B6555">
        <v>2636983</v>
      </c>
      <c r="C6555" s="1" t="str">
        <f>HYPERLINK("http://stackoverflow.com/users/2636983", "panhantao")</f>
        <v>panhantao</v>
      </c>
      <c r="D6555" t="s">
        <v>21</v>
      </c>
      <c r="E6555">
        <v>11</v>
      </c>
    </row>
    <row r="6556" spans="1:5" x14ac:dyDescent="0.25">
      <c r="A6556">
        <v>6555</v>
      </c>
      <c r="B6556">
        <v>411815</v>
      </c>
      <c r="C6556" s="1" t="str">
        <f>HYPERLINK("http://stackoverflow.com/users/411815", "alexander.cer")</f>
        <v>alexander.cer</v>
      </c>
      <c r="D6556" t="s">
        <v>4</v>
      </c>
      <c r="E6556">
        <v>11</v>
      </c>
    </row>
    <row r="6557" spans="1:5" x14ac:dyDescent="0.25">
      <c r="A6557">
        <v>6556</v>
      </c>
      <c r="B6557">
        <v>6198794</v>
      </c>
      <c r="C6557" s="1" t="str">
        <f>HYPERLINK("http://stackoverflow.com/users/6198794", "krew")</f>
        <v>krew</v>
      </c>
      <c r="D6557" t="s">
        <v>7</v>
      </c>
      <c r="E6557">
        <v>11</v>
      </c>
    </row>
    <row r="6558" spans="1:5" x14ac:dyDescent="0.25">
      <c r="A6558">
        <v>6557</v>
      </c>
      <c r="B6558">
        <v>358215</v>
      </c>
      <c r="C6558" s="1" t="str">
        <f>HYPERLINK("http://stackoverflow.com/users/358215", "xoyo")</f>
        <v>xoyo</v>
      </c>
      <c r="D6558" t="s">
        <v>4</v>
      </c>
      <c r="E6558">
        <v>11</v>
      </c>
    </row>
    <row r="6559" spans="1:5" x14ac:dyDescent="0.25">
      <c r="A6559">
        <v>6558</v>
      </c>
      <c r="B6559">
        <v>2632469</v>
      </c>
      <c r="C6559" s="1" t="str">
        <f>HYPERLINK("http://stackoverflow.com/users/2632469", "Patient Zero")</f>
        <v>Patient Zero</v>
      </c>
      <c r="D6559" t="s">
        <v>360</v>
      </c>
      <c r="E6559">
        <v>11</v>
      </c>
    </row>
    <row r="6560" spans="1:5" x14ac:dyDescent="0.25">
      <c r="A6560">
        <v>6559</v>
      </c>
      <c r="B6560">
        <v>6088551</v>
      </c>
      <c r="C6560" s="1" t="str">
        <f>HYPERLINK("http://stackoverflow.com/users/6088551", "boileryao")</f>
        <v>boileryao</v>
      </c>
      <c r="D6560" t="s">
        <v>131</v>
      </c>
      <c r="E6560">
        <v>11</v>
      </c>
    </row>
    <row r="6561" spans="1:5" x14ac:dyDescent="0.25">
      <c r="A6561">
        <v>6560</v>
      </c>
      <c r="B6561">
        <v>221077</v>
      </c>
      <c r="C6561" s="1" t="str">
        <f>HYPERLINK("http://stackoverflow.com/users/221077", "rtxu")</f>
        <v>rtxu</v>
      </c>
      <c r="D6561" t="s">
        <v>5</v>
      </c>
      <c r="E6561">
        <v>11</v>
      </c>
    </row>
    <row r="6562" spans="1:5" x14ac:dyDescent="0.25">
      <c r="A6562">
        <v>6561</v>
      </c>
      <c r="B6562">
        <v>6057387</v>
      </c>
      <c r="C6562" s="1" t="str">
        <f>HYPERLINK("http://stackoverflow.com/users/6057387", "Decong Liu")</f>
        <v>Decong Liu</v>
      </c>
      <c r="D6562" t="s">
        <v>13</v>
      </c>
      <c r="E6562">
        <v>11</v>
      </c>
    </row>
    <row r="6563" spans="1:5" x14ac:dyDescent="0.25">
      <c r="A6563">
        <v>6562</v>
      </c>
      <c r="B6563">
        <v>6379686</v>
      </c>
      <c r="C6563" s="1" t="str">
        <f>HYPERLINK("http://stackoverflow.com/users/6379686", "Weiyao Xue")</f>
        <v>Weiyao Xue</v>
      </c>
      <c r="D6563" t="s">
        <v>5</v>
      </c>
      <c r="E6563">
        <v>11</v>
      </c>
    </row>
    <row r="6564" spans="1:5" x14ac:dyDescent="0.25">
      <c r="A6564">
        <v>6563</v>
      </c>
      <c r="B6564">
        <v>4694825</v>
      </c>
      <c r="C6564" s="1" t="str">
        <f>HYPERLINK("http://stackoverflow.com/users/4694825", "Rocko")</f>
        <v>Rocko</v>
      </c>
      <c r="D6564" t="s">
        <v>7</v>
      </c>
      <c r="E6564">
        <v>11</v>
      </c>
    </row>
    <row r="6565" spans="1:5" x14ac:dyDescent="0.25">
      <c r="A6565">
        <v>6564</v>
      </c>
      <c r="B6565">
        <v>765377</v>
      </c>
      <c r="C6565" s="1" t="str">
        <f>HYPERLINK("http://stackoverflow.com/users/765377", "flex")</f>
        <v>flex</v>
      </c>
      <c r="D6565" t="s">
        <v>5</v>
      </c>
      <c r="E6565">
        <v>11</v>
      </c>
    </row>
    <row r="6566" spans="1:5" x14ac:dyDescent="0.25">
      <c r="A6566">
        <v>6565</v>
      </c>
      <c r="B6566">
        <v>10073795</v>
      </c>
      <c r="C6566" s="1" t="str">
        <f>HYPERLINK("http://stackoverflow.com/users/10073795", "Steward SD")</f>
        <v>Steward SD</v>
      </c>
      <c r="D6566" t="s">
        <v>12</v>
      </c>
      <c r="E6566">
        <v>11</v>
      </c>
    </row>
    <row r="6567" spans="1:5" x14ac:dyDescent="0.25">
      <c r="A6567">
        <v>6566</v>
      </c>
      <c r="B6567">
        <v>792845</v>
      </c>
      <c r="C6567" s="1" t="str">
        <f>HYPERLINK("http://stackoverflow.com/users/792845", "Yuliang")</f>
        <v>Yuliang</v>
      </c>
      <c r="D6567" t="s">
        <v>5</v>
      </c>
      <c r="E6567">
        <v>11</v>
      </c>
    </row>
    <row r="6568" spans="1:5" x14ac:dyDescent="0.25">
      <c r="A6568">
        <v>6567</v>
      </c>
      <c r="B6568">
        <v>2926626</v>
      </c>
      <c r="C6568" s="1" t="str">
        <f>HYPERLINK("http://stackoverflow.com/users/2926626", "Yuanjie Wang")</f>
        <v>Yuanjie Wang</v>
      </c>
      <c r="D6568" t="s">
        <v>4</v>
      </c>
      <c r="E6568">
        <v>11</v>
      </c>
    </row>
    <row r="6569" spans="1:5" x14ac:dyDescent="0.25">
      <c r="A6569">
        <v>6568</v>
      </c>
      <c r="B6569">
        <v>6338887</v>
      </c>
      <c r="C6569" s="1" t="str">
        <f>HYPERLINK("http://stackoverflow.com/users/6338887", "Hao Li")</f>
        <v>Hao Li</v>
      </c>
      <c r="D6569" t="s">
        <v>4</v>
      </c>
      <c r="E6569">
        <v>11</v>
      </c>
    </row>
    <row r="6570" spans="1:5" x14ac:dyDescent="0.25">
      <c r="A6570">
        <v>6569</v>
      </c>
      <c r="B6570">
        <v>2732892</v>
      </c>
      <c r="C6570" s="1" t="str">
        <f>HYPERLINK("http://stackoverflow.com/users/2732892", "Zapp")</f>
        <v>Zapp</v>
      </c>
      <c r="D6570" t="s">
        <v>361</v>
      </c>
      <c r="E6570">
        <v>11</v>
      </c>
    </row>
    <row r="6571" spans="1:5" x14ac:dyDescent="0.25">
      <c r="A6571">
        <v>6570</v>
      </c>
      <c r="B6571">
        <v>8063393</v>
      </c>
      <c r="C6571" s="1" t="str">
        <f>HYPERLINK("http://stackoverflow.com/users/8063393", "Sam")</f>
        <v>Sam</v>
      </c>
      <c r="D6571" t="s">
        <v>5</v>
      </c>
      <c r="E6571">
        <v>11</v>
      </c>
    </row>
    <row r="6572" spans="1:5" x14ac:dyDescent="0.25">
      <c r="A6572">
        <v>6571</v>
      </c>
      <c r="B6572">
        <v>535809</v>
      </c>
      <c r="C6572" s="1" t="str">
        <f>HYPERLINK("http://stackoverflow.com/users/535809", "shenzhen_freeaftersix")</f>
        <v>shenzhen_freeaftersix</v>
      </c>
      <c r="D6572" t="s">
        <v>362</v>
      </c>
      <c r="E6572">
        <v>11</v>
      </c>
    </row>
    <row r="6573" spans="1:5" x14ac:dyDescent="0.25">
      <c r="A6573">
        <v>6572</v>
      </c>
      <c r="B6573">
        <v>2716565</v>
      </c>
      <c r="C6573" s="1" t="str">
        <f>HYPERLINK("http://stackoverflow.com/users/2716565", "Bieber_zh_cn")</f>
        <v>Bieber_zh_cn</v>
      </c>
      <c r="D6573" t="s">
        <v>4</v>
      </c>
      <c r="E6573">
        <v>11</v>
      </c>
    </row>
    <row r="6574" spans="1:5" x14ac:dyDescent="0.25">
      <c r="A6574">
        <v>6573</v>
      </c>
      <c r="B6574">
        <v>1290109</v>
      </c>
      <c r="C6574" s="1" t="str">
        <f>HYPERLINK("http://stackoverflow.com/users/1290109", "raymond")</f>
        <v>raymond</v>
      </c>
      <c r="D6574" t="s">
        <v>54</v>
      </c>
      <c r="E6574">
        <v>11</v>
      </c>
    </row>
    <row r="6575" spans="1:5" x14ac:dyDescent="0.25">
      <c r="A6575">
        <v>6574</v>
      </c>
      <c r="B6575">
        <v>10371252</v>
      </c>
      <c r="C6575" s="1" t="str">
        <f>HYPERLINK("http://stackoverflow.com/users/10371252", "Minghao")</f>
        <v>Minghao</v>
      </c>
      <c r="D6575" t="s">
        <v>5</v>
      </c>
      <c r="E6575">
        <v>11</v>
      </c>
    </row>
    <row r="6576" spans="1:5" x14ac:dyDescent="0.25">
      <c r="A6576">
        <v>6575</v>
      </c>
      <c r="B6576">
        <v>1280402</v>
      </c>
      <c r="C6576" s="1" t="str">
        <f>HYPERLINK("http://stackoverflow.com/users/1280402", "Daniel zhao")</f>
        <v>Daniel zhao</v>
      </c>
      <c r="D6576" t="s">
        <v>5</v>
      </c>
      <c r="E6576">
        <v>11</v>
      </c>
    </row>
    <row r="6577" spans="1:5" x14ac:dyDescent="0.25">
      <c r="A6577">
        <v>6576</v>
      </c>
      <c r="B6577">
        <v>3185202</v>
      </c>
      <c r="C6577" s="1" t="str">
        <f>HYPERLINK("http://stackoverflow.com/users/3185202", "yong")</f>
        <v>yong</v>
      </c>
      <c r="D6577" t="s">
        <v>5</v>
      </c>
      <c r="E6577">
        <v>11</v>
      </c>
    </row>
    <row r="6578" spans="1:5" x14ac:dyDescent="0.25">
      <c r="A6578">
        <v>6577</v>
      </c>
      <c r="B6578">
        <v>1275290</v>
      </c>
      <c r="C6578" s="1" t="str">
        <f>HYPERLINK("http://stackoverflow.com/users/1275290", "yandong")</f>
        <v>yandong</v>
      </c>
      <c r="D6578" t="s">
        <v>6</v>
      </c>
      <c r="E6578">
        <v>11</v>
      </c>
    </row>
    <row r="6579" spans="1:5" x14ac:dyDescent="0.25">
      <c r="A6579">
        <v>6578</v>
      </c>
      <c r="B6579">
        <v>1343309</v>
      </c>
      <c r="C6579" s="1" t="str">
        <f>HYPERLINK("http://stackoverflow.com/users/1343309", "Tanlet")</f>
        <v>Tanlet</v>
      </c>
      <c r="D6579" t="s">
        <v>17</v>
      </c>
      <c r="E6579">
        <v>11</v>
      </c>
    </row>
    <row r="6580" spans="1:5" x14ac:dyDescent="0.25">
      <c r="A6580">
        <v>6579</v>
      </c>
      <c r="B6580">
        <v>5013356</v>
      </c>
      <c r="C6580" s="1" t="str">
        <f>HYPERLINK("http://stackoverflow.com/users/5013356", "march")</f>
        <v>march</v>
      </c>
      <c r="D6580" t="s">
        <v>5</v>
      </c>
      <c r="E6580">
        <v>11</v>
      </c>
    </row>
    <row r="6581" spans="1:5" x14ac:dyDescent="0.25">
      <c r="A6581">
        <v>6580</v>
      </c>
      <c r="B6581">
        <v>1235758</v>
      </c>
      <c r="C6581" s="1" t="str">
        <f>HYPERLINK("http://stackoverflow.com/users/1235758", "Rubin Wan")</f>
        <v>Rubin Wan</v>
      </c>
      <c r="D6581" t="s">
        <v>21</v>
      </c>
      <c r="E6581">
        <v>11</v>
      </c>
    </row>
    <row r="6582" spans="1:5" x14ac:dyDescent="0.25">
      <c r="A6582">
        <v>6581</v>
      </c>
      <c r="B6582">
        <v>6694812</v>
      </c>
      <c r="C6582" s="1" t="str">
        <f>HYPERLINK("http://stackoverflow.com/users/6694812", "Alex")</f>
        <v>Alex</v>
      </c>
      <c r="D6582" t="s">
        <v>5</v>
      </c>
      <c r="E6582">
        <v>11</v>
      </c>
    </row>
    <row r="6583" spans="1:5" x14ac:dyDescent="0.25">
      <c r="A6583">
        <v>6582</v>
      </c>
      <c r="B6583">
        <v>1208408</v>
      </c>
      <c r="C6583" s="1" t="str">
        <f>HYPERLINK("http://stackoverflow.com/users/1208408", "Chanble")</f>
        <v>Chanble</v>
      </c>
      <c r="D6583" t="s">
        <v>63</v>
      </c>
      <c r="E6583">
        <v>11</v>
      </c>
    </row>
    <row r="6584" spans="1:5" x14ac:dyDescent="0.25">
      <c r="A6584">
        <v>6583</v>
      </c>
      <c r="B6584">
        <v>3134656</v>
      </c>
      <c r="C6584" s="1" t="str">
        <f>HYPERLINK("http://stackoverflow.com/users/3134656", "moses")</f>
        <v>moses</v>
      </c>
      <c r="D6584" t="s">
        <v>5</v>
      </c>
      <c r="E6584">
        <v>11</v>
      </c>
    </row>
    <row r="6585" spans="1:5" x14ac:dyDescent="0.25">
      <c r="A6585">
        <v>6584</v>
      </c>
      <c r="B6585">
        <v>1181739</v>
      </c>
      <c r="C6585" s="1" t="str">
        <f>HYPERLINK("http://stackoverflow.com/users/1181739", "kam zhang")</f>
        <v>kam zhang</v>
      </c>
      <c r="D6585" t="s">
        <v>129</v>
      </c>
      <c r="E6585">
        <v>11</v>
      </c>
    </row>
    <row r="6586" spans="1:5" x14ac:dyDescent="0.25">
      <c r="A6586">
        <v>6585</v>
      </c>
      <c r="B6586">
        <v>1182605</v>
      </c>
      <c r="C6586" s="1" t="str">
        <f>HYPERLINK("http://stackoverflow.com/users/1182605", "Barry")</f>
        <v>Barry</v>
      </c>
      <c r="D6586" t="s">
        <v>4</v>
      </c>
      <c r="E6586">
        <v>11</v>
      </c>
    </row>
    <row r="6587" spans="1:5" x14ac:dyDescent="0.25">
      <c r="A6587">
        <v>6586</v>
      </c>
      <c r="B6587">
        <v>8497771</v>
      </c>
      <c r="C6587" s="1" t="str">
        <f>HYPERLINK("http://stackoverflow.com/users/8497771", "Yuchen Liu")</f>
        <v>Yuchen Liu</v>
      </c>
      <c r="D6587" t="s">
        <v>4</v>
      </c>
      <c r="E6587">
        <v>11</v>
      </c>
    </row>
    <row r="6588" spans="1:5" x14ac:dyDescent="0.25">
      <c r="A6588">
        <v>6587</v>
      </c>
      <c r="B6588">
        <v>1105363</v>
      </c>
      <c r="C6588" s="1" t="str">
        <f>HYPERLINK("http://stackoverflow.com/users/1105363", "Yi Jingang")</f>
        <v>Yi Jingang</v>
      </c>
      <c r="D6588" t="s">
        <v>4</v>
      </c>
      <c r="E6588">
        <v>11</v>
      </c>
    </row>
    <row r="6589" spans="1:5" x14ac:dyDescent="0.25">
      <c r="A6589">
        <v>6588</v>
      </c>
      <c r="B6589">
        <v>4877730</v>
      </c>
      <c r="C6589" s="1" t="str">
        <f>HYPERLINK("http://stackoverflow.com/users/4877730", "Honglonglong")</f>
        <v>Honglonglong</v>
      </c>
      <c r="D6589" t="s">
        <v>54</v>
      </c>
      <c r="E6589">
        <v>11</v>
      </c>
    </row>
    <row r="6590" spans="1:5" x14ac:dyDescent="0.25">
      <c r="A6590">
        <v>6589</v>
      </c>
      <c r="B6590">
        <v>1142786</v>
      </c>
      <c r="C6590" s="1" t="str">
        <f>HYPERLINK("http://stackoverflow.com/users/1142786", "hotnwwp")</f>
        <v>hotnwwp</v>
      </c>
      <c r="D6590" t="s">
        <v>5</v>
      </c>
      <c r="E6590">
        <v>11</v>
      </c>
    </row>
    <row r="6591" spans="1:5" x14ac:dyDescent="0.25">
      <c r="A6591">
        <v>6590</v>
      </c>
      <c r="B6591">
        <v>1138073</v>
      </c>
      <c r="C6591" s="1" t="str">
        <f>HYPERLINK("http://stackoverflow.com/users/1138073", "t__c___")</f>
        <v>t__c___</v>
      </c>
      <c r="D6591" t="s">
        <v>21</v>
      </c>
      <c r="E6591">
        <v>11</v>
      </c>
    </row>
    <row r="6592" spans="1:5" x14ac:dyDescent="0.25">
      <c r="A6592">
        <v>6591</v>
      </c>
      <c r="B6592">
        <v>4831337</v>
      </c>
      <c r="C6592" s="1" t="str">
        <f>HYPERLINK("http://stackoverflow.com/users/4831337", "GH1995")</f>
        <v>GH1995</v>
      </c>
      <c r="D6592" t="s">
        <v>5</v>
      </c>
      <c r="E6592">
        <v>11</v>
      </c>
    </row>
    <row r="6593" spans="1:5" x14ac:dyDescent="0.25">
      <c r="A6593">
        <v>6592</v>
      </c>
      <c r="B6593">
        <v>2997126</v>
      </c>
      <c r="C6593" s="1" t="str">
        <f>HYPERLINK("http://stackoverflow.com/users/2997126", "YellowTree")</f>
        <v>YellowTree</v>
      </c>
      <c r="D6593" t="s">
        <v>7</v>
      </c>
      <c r="E6593">
        <v>11</v>
      </c>
    </row>
    <row r="6594" spans="1:5" x14ac:dyDescent="0.25">
      <c r="A6594">
        <v>6593</v>
      </c>
      <c r="B6594">
        <v>3048034</v>
      </c>
      <c r="C6594" s="1" t="str">
        <f>HYPERLINK("http://stackoverflow.com/users/3048034", "Lin")</f>
        <v>Lin</v>
      </c>
      <c r="D6594" t="s">
        <v>5</v>
      </c>
      <c r="E6594">
        <v>11</v>
      </c>
    </row>
    <row r="6595" spans="1:5" x14ac:dyDescent="0.25">
      <c r="A6595">
        <v>6594</v>
      </c>
      <c r="B6595">
        <v>1029950</v>
      </c>
      <c r="C6595" s="1" t="str">
        <f>HYPERLINK("http://stackoverflow.com/users/1029950", "SimpleSu")</f>
        <v>SimpleSu</v>
      </c>
      <c r="D6595" t="s">
        <v>17</v>
      </c>
      <c r="E6595">
        <v>11</v>
      </c>
    </row>
    <row r="6596" spans="1:5" x14ac:dyDescent="0.25">
      <c r="A6596">
        <v>6595</v>
      </c>
      <c r="B6596">
        <v>4849466</v>
      </c>
      <c r="C6596" s="1" t="str">
        <f>HYPERLINK("http://stackoverflow.com/users/4849466", "OverLook")</f>
        <v>OverLook</v>
      </c>
      <c r="D6596" t="s">
        <v>193</v>
      </c>
      <c r="E6596">
        <v>11</v>
      </c>
    </row>
    <row r="6597" spans="1:5" x14ac:dyDescent="0.25">
      <c r="A6597">
        <v>6596</v>
      </c>
      <c r="B6597">
        <v>3034695</v>
      </c>
      <c r="C6597" s="1" t="str">
        <f>HYPERLINK("http://stackoverflow.com/users/3034695", "Kyle")</f>
        <v>Kyle</v>
      </c>
      <c r="D6597" t="s">
        <v>17</v>
      </c>
      <c r="E6597">
        <v>11</v>
      </c>
    </row>
    <row r="6598" spans="1:5" x14ac:dyDescent="0.25">
      <c r="A6598">
        <v>6597</v>
      </c>
      <c r="B6598">
        <v>7094140</v>
      </c>
      <c r="C6598" s="1" t="str">
        <f>HYPERLINK("http://stackoverflow.com/users/7094140", "Yi Ming")</f>
        <v>Yi Ming</v>
      </c>
      <c r="D6598" t="s">
        <v>74</v>
      </c>
      <c r="E6598">
        <v>11</v>
      </c>
    </row>
    <row r="6599" spans="1:5" x14ac:dyDescent="0.25">
      <c r="A6599">
        <v>6598</v>
      </c>
      <c r="B6599">
        <v>5311566</v>
      </c>
      <c r="C6599" s="1" t="str">
        <f>HYPERLINK("http://stackoverflow.com/users/5311566", "Mao Chunguang")</f>
        <v>Mao Chunguang</v>
      </c>
      <c r="D6599" t="s">
        <v>5</v>
      </c>
      <c r="E6599">
        <v>11</v>
      </c>
    </row>
    <row r="6600" spans="1:5" x14ac:dyDescent="0.25">
      <c r="A6600">
        <v>6599</v>
      </c>
      <c r="B6600">
        <v>5229820</v>
      </c>
      <c r="C6600" s="1" t="str">
        <f>HYPERLINK("http://stackoverflow.com/users/5229820", "Willie Zou")</f>
        <v>Willie Zou</v>
      </c>
      <c r="D6600" t="s">
        <v>5</v>
      </c>
      <c r="E6600">
        <v>11</v>
      </c>
    </row>
    <row r="6601" spans="1:5" x14ac:dyDescent="0.25">
      <c r="A6601">
        <v>6600</v>
      </c>
      <c r="B6601">
        <v>10603597</v>
      </c>
      <c r="C6601" s="1" t="str">
        <f>HYPERLINK("http://stackoverflow.com/users/10603597", "halle")</f>
        <v>halle</v>
      </c>
      <c r="D6601" t="s">
        <v>5</v>
      </c>
      <c r="E6601">
        <v>11</v>
      </c>
    </row>
    <row r="6602" spans="1:5" x14ac:dyDescent="0.25">
      <c r="A6602">
        <v>6601</v>
      </c>
      <c r="B6602">
        <v>3464280</v>
      </c>
      <c r="C6602" s="1" t="str">
        <f>HYPERLINK("http://stackoverflow.com/users/3464280", "David X. Lau")</f>
        <v>David X. Lau</v>
      </c>
      <c r="D6602" t="s">
        <v>25</v>
      </c>
      <c r="E6602">
        <v>11</v>
      </c>
    </row>
    <row r="6603" spans="1:5" x14ac:dyDescent="0.25">
      <c r="A6603">
        <v>6602</v>
      </c>
      <c r="B6603">
        <v>5075962</v>
      </c>
      <c r="C6603" s="1" t="str">
        <f>HYPERLINK("http://stackoverflow.com/users/5075962", "Gang Mu")</f>
        <v>Gang Mu</v>
      </c>
      <c r="D6603" t="s">
        <v>5</v>
      </c>
      <c r="E6603">
        <v>11</v>
      </c>
    </row>
    <row r="6604" spans="1:5" x14ac:dyDescent="0.25">
      <c r="A6604">
        <v>6603</v>
      </c>
      <c r="B6604">
        <v>1402627</v>
      </c>
      <c r="C6604" s="1" t="str">
        <f>HYPERLINK("http://stackoverflow.com/users/1402627", "wolf")</f>
        <v>wolf</v>
      </c>
      <c r="D6604" t="s">
        <v>5</v>
      </c>
      <c r="E6604">
        <v>11</v>
      </c>
    </row>
    <row r="6605" spans="1:5" x14ac:dyDescent="0.25">
      <c r="A6605">
        <v>6604</v>
      </c>
      <c r="B6605">
        <v>8607929</v>
      </c>
      <c r="C6605" s="1" t="str">
        <f>HYPERLINK("http://stackoverflow.com/users/8607929", "yakunsun")</f>
        <v>yakunsun</v>
      </c>
      <c r="D6605" t="s">
        <v>19</v>
      </c>
      <c r="E6605">
        <v>11</v>
      </c>
    </row>
    <row r="6606" spans="1:5" x14ac:dyDescent="0.25">
      <c r="A6606">
        <v>6605</v>
      </c>
      <c r="B6606">
        <v>1412128</v>
      </c>
      <c r="C6606" s="1" t="str">
        <f>HYPERLINK("http://stackoverflow.com/users/1412128", "Lin Li")</f>
        <v>Lin Li</v>
      </c>
      <c r="D6606" t="s">
        <v>57</v>
      </c>
      <c r="E6606">
        <v>11</v>
      </c>
    </row>
    <row r="6607" spans="1:5" x14ac:dyDescent="0.25">
      <c r="A6607">
        <v>6606</v>
      </c>
      <c r="B6607">
        <v>1417061</v>
      </c>
      <c r="C6607" s="1" t="str">
        <f>HYPERLINK("http://stackoverflow.com/users/1417061", "xdstack")</f>
        <v>xdstack</v>
      </c>
      <c r="D6607" t="s">
        <v>5</v>
      </c>
      <c r="E6607">
        <v>11</v>
      </c>
    </row>
    <row r="6608" spans="1:5" x14ac:dyDescent="0.25">
      <c r="A6608">
        <v>6607</v>
      </c>
      <c r="B6608">
        <v>1416569</v>
      </c>
      <c r="C6608" s="1" t="str">
        <f>HYPERLINK("http://stackoverflow.com/users/1416569", "Yuan Xulei")</f>
        <v>Yuan Xulei</v>
      </c>
      <c r="D6608" t="s">
        <v>5</v>
      </c>
      <c r="E6608">
        <v>11</v>
      </c>
    </row>
    <row r="6609" spans="1:5" x14ac:dyDescent="0.25">
      <c r="A6609">
        <v>6608</v>
      </c>
      <c r="B6609">
        <v>6848248</v>
      </c>
      <c r="C6609" s="1" t="str">
        <f>HYPERLINK("http://stackoverflow.com/users/6848248", "Chris.Zhou")</f>
        <v>Chris.Zhou</v>
      </c>
      <c r="D6609" t="s">
        <v>4</v>
      </c>
      <c r="E6609">
        <v>11</v>
      </c>
    </row>
    <row r="6610" spans="1:5" x14ac:dyDescent="0.25">
      <c r="A6610">
        <v>6609</v>
      </c>
      <c r="B6610">
        <v>6862649</v>
      </c>
      <c r="C6610" s="1" t="str">
        <f>HYPERLINK("http://stackoverflow.com/users/6862649", "Sam")</f>
        <v>Sam</v>
      </c>
      <c r="D6610" t="s">
        <v>4</v>
      </c>
      <c r="E6610">
        <v>11</v>
      </c>
    </row>
    <row r="6611" spans="1:5" x14ac:dyDescent="0.25">
      <c r="A6611">
        <v>6610</v>
      </c>
      <c r="B6611">
        <v>1462828</v>
      </c>
      <c r="C6611" s="1" t="str">
        <f>HYPERLINK("http://stackoverflow.com/users/1462828", "TaviaHong")</f>
        <v>TaviaHong</v>
      </c>
      <c r="D6611" t="s">
        <v>38</v>
      </c>
      <c r="E6611">
        <v>11</v>
      </c>
    </row>
    <row r="6612" spans="1:5" x14ac:dyDescent="0.25">
      <c r="A6612">
        <v>6611</v>
      </c>
      <c r="B6612">
        <v>3335729</v>
      </c>
      <c r="C6612" s="1" t="str">
        <f>HYPERLINK("http://stackoverflow.com/users/3335729", "Magine")</f>
        <v>Magine</v>
      </c>
      <c r="D6612" t="s">
        <v>5</v>
      </c>
      <c r="E6612">
        <v>11</v>
      </c>
    </row>
    <row r="6613" spans="1:5" x14ac:dyDescent="0.25">
      <c r="A6613">
        <v>6612</v>
      </c>
      <c r="B6613">
        <v>5151267</v>
      </c>
      <c r="C6613" s="1" t="str">
        <f>HYPERLINK("http://stackoverflow.com/users/5151267", "WXGBridgeQ")</f>
        <v>WXGBridgeQ</v>
      </c>
      <c r="D6613" t="s">
        <v>4</v>
      </c>
      <c r="E6613">
        <v>11</v>
      </c>
    </row>
    <row r="6614" spans="1:5" x14ac:dyDescent="0.25">
      <c r="A6614">
        <v>6613</v>
      </c>
      <c r="B6614">
        <v>5191860</v>
      </c>
      <c r="C6614" s="1" t="str">
        <f>HYPERLINK("http://stackoverflow.com/users/5191860", "coredump")</f>
        <v>coredump</v>
      </c>
      <c r="D6614" t="s">
        <v>363</v>
      </c>
      <c r="E6614">
        <v>11</v>
      </c>
    </row>
    <row r="6615" spans="1:5" x14ac:dyDescent="0.25">
      <c r="A6615">
        <v>6614</v>
      </c>
      <c r="B6615">
        <v>8102333</v>
      </c>
      <c r="C6615" s="1" t="str">
        <f>HYPERLINK("http://stackoverflow.com/users/8102333", "ZYSzys")</f>
        <v>ZYSzys</v>
      </c>
      <c r="D6615" t="s">
        <v>108</v>
      </c>
      <c r="E6615">
        <v>11</v>
      </c>
    </row>
    <row r="6616" spans="1:5" x14ac:dyDescent="0.25">
      <c r="A6616">
        <v>6615</v>
      </c>
      <c r="B6616">
        <v>8072986</v>
      </c>
      <c r="C6616" s="1" t="str">
        <f>HYPERLINK("http://stackoverflow.com/users/8072986", "Jeff Leung")</f>
        <v>Jeff Leung</v>
      </c>
      <c r="D6616" t="s">
        <v>5</v>
      </c>
      <c r="E6616">
        <v>11</v>
      </c>
    </row>
    <row r="6617" spans="1:5" x14ac:dyDescent="0.25">
      <c r="A6617">
        <v>6616</v>
      </c>
      <c r="B6617">
        <v>6288404</v>
      </c>
      <c r="C6617" s="1" t="str">
        <f>HYPERLINK("http://stackoverflow.com/users/6288404", "Wanping Zhang")</f>
        <v>Wanping Zhang</v>
      </c>
      <c r="D6617" t="s">
        <v>364</v>
      </c>
      <c r="E6617">
        <v>11</v>
      </c>
    </row>
    <row r="6618" spans="1:5" x14ac:dyDescent="0.25">
      <c r="A6618">
        <v>6617</v>
      </c>
      <c r="B6618">
        <v>6288533</v>
      </c>
      <c r="C6618" s="1" t="str">
        <f>HYPERLINK("http://stackoverflow.com/users/6288533", "Colin Han")</f>
        <v>Colin Han</v>
      </c>
      <c r="D6618" t="s">
        <v>131</v>
      </c>
      <c r="E6618">
        <v>11</v>
      </c>
    </row>
    <row r="6619" spans="1:5" x14ac:dyDescent="0.25">
      <c r="A6619">
        <v>6618</v>
      </c>
      <c r="B6619">
        <v>6288539</v>
      </c>
      <c r="C6619" s="1" t="str">
        <f>HYPERLINK("http://stackoverflow.com/users/6288539", "iliul")</f>
        <v>iliul</v>
      </c>
      <c r="D6619" t="s">
        <v>5</v>
      </c>
      <c r="E6619">
        <v>11</v>
      </c>
    </row>
    <row r="6620" spans="1:5" x14ac:dyDescent="0.25">
      <c r="A6620">
        <v>6619</v>
      </c>
      <c r="B6620">
        <v>707413</v>
      </c>
      <c r="C6620" s="1" t="str">
        <f>HYPERLINK("http://stackoverflow.com/users/707413", "Feng YANG")</f>
        <v>Feng YANG</v>
      </c>
      <c r="D6620" t="s">
        <v>5</v>
      </c>
      <c r="E6620">
        <v>11</v>
      </c>
    </row>
    <row r="6621" spans="1:5" x14ac:dyDescent="0.25">
      <c r="A6621">
        <v>6620</v>
      </c>
      <c r="B6621">
        <v>2822101</v>
      </c>
      <c r="C6621" s="1" t="str">
        <f>HYPERLINK("http://stackoverflow.com/users/2822101", "陈昱安")</f>
        <v>陈昱安</v>
      </c>
      <c r="D6621" t="s">
        <v>4</v>
      </c>
      <c r="E6621">
        <v>11</v>
      </c>
    </row>
    <row r="6622" spans="1:5" x14ac:dyDescent="0.25">
      <c r="A6622">
        <v>6621</v>
      </c>
      <c r="B6622">
        <v>4625902</v>
      </c>
      <c r="C6622" s="1" t="str">
        <f>HYPERLINK("http://stackoverflow.com/users/4625902", "zzhxlyc")</f>
        <v>zzhxlyc</v>
      </c>
      <c r="D6622" t="s">
        <v>12</v>
      </c>
      <c r="E6622">
        <v>11</v>
      </c>
    </row>
    <row r="6623" spans="1:5" x14ac:dyDescent="0.25">
      <c r="A6623">
        <v>6622</v>
      </c>
      <c r="B6623">
        <v>626212</v>
      </c>
      <c r="C6623" s="1" t="str">
        <f>HYPERLINK("http://stackoverflow.com/users/626212", "Jinliang")</f>
        <v>Jinliang</v>
      </c>
      <c r="D6623" t="s">
        <v>5</v>
      </c>
      <c r="E6623">
        <v>11</v>
      </c>
    </row>
    <row r="6624" spans="1:5" x14ac:dyDescent="0.25">
      <c r="A6624">
        <v>6623</v>
      </c>
      <c r="B6624">
        <v>4617605</v>
      </c>
      <c r="C6624" s="1" t="str">
        <f>HYPERLINK("http://stackoverflow.com/users/4617605", "GeneralAndroid")</f>
        <v>GeneralAndroid</v>
      </c>
      <c r="D6624" t="s">
        <v>4</v>
      </c>
      <c r="E6624">
        <v>11</v>
      </c>
    </row>
    <row r="6625" spans="1:5" x14ac:dyDescent="0.25">
      <c r="A6625">
        <v>6624</v>
      </c>
      <c r="B6625">
        <v>2877460</v>
      </c>
      <c r="C6625" s="1" t="str">
        <f>HYPERLINK("http://stackoverflow.com/users/2877460", "lookinghong")</f>
        <v>lookinghong</v>
      </c>
      <c r="D6625" t="s">
        <v>4</v>
      </c>
      <c r="E6625">
        <v>11</v>
      </c>
    </row>
    <row r="6626" spans="1:5" x14ac:dyDescent="0.25">
      <c r="A6626">
        <v>6625</v>
      </c>
      <c r="B6626">
        <v>2880884</v>
      </c>
      <c r="C6626" s="1" t="str">
        <f>HYPERLINK("http://stackoverflow.com/users/2880884", "Leo Xu")</f>
        <v>Leo Xu</v>
      </c>
      <c r="D6626" t="s">
        <v>12</v>
      </c>
      <c r="E6626">
        <v>11</v>
      </c>
    </row>
    <row r="6627" spans="1:5" x14ac:dyDescent="0.25">
      <c r="A6627">
        <v>6626</v>
      </c>
      <c r="B6627">
        <v>8263747</v>
      </c>
      <c r="C6627" s="1" t="str">
        <f>HYPERLINK("http://stackoverflow.com/users/8263747", "LangZhai")</f>
        <v>LangZhai</v>
      </c>
      <c r="D6627" t="s">
        <v>22</v>
      </c>
      <c r="E6627">
        <v>11</v>
      </c>
    </row>
    <row r="6628" spans="1:5" x14ac:dyDescent="0.25">
      <c r="A6628">
        <v>6627</v>
      </c>
      <c r="B6628">
        <v>2977660</v>
      </c>
      <c r="C6628" s="1" t="str">
        <f>HYPERLINK("http://stackoverflow.com/users/2977660", "zencodex")</f>
        <v>zencodex</v>
      </c>
      <c r="D6628" t="s">
        <v>5</v>
      </c>
      <c r="E6628">
        <v>11</v>
      </c>
    </row>
    <row r="6629" spans="1:5" x14ac:dyDescent="0.25">
      <c r="A6629">
        <v>6628</v>
      </c>
      <c r="B6629">
        <v>917623</v>
      </c>
      <c r="C6629" s="1" t="str">
        <f>HYPERLINK("http://stackoverflow.com/users/917623", "Yihui han")</f>
        <v>Yihui han</v>
      </c>
      <c r="D6629" t="s">
        <v>4</v>
      </c>
      <c r="E6629">
        <v>11</v>
      </c>
    </row>
    <row r="6630" spans="1:5" x14ac:dyDescent="0.25">
      <c r="A6630">
        <v>6629</v>
      </c>
      <c r="B6630">
        <v>894476</v>
      </c>
      <c r="C6630" s="1" t="str">
        <f>HYPERLINK("http://stackoverflow.com/users/894476", "Ice")</f>
        <v>Ice</v>
      </c>
      <c r="D6630" t="s">
        <v>5</v>
      </c>
      <c r="E6630">
        <v>11</v>
      </c>
    </row>
    <row r="6631" spans="1:5" x14ac:dyDescent="0.25">
      <c r="A6631">
        <v>6630</v>
      </c>
      <c r="B6631">
        <v>896097</v>
      </c>
      <c r="C6631" s="1" t="str">
        <f>HYPERLINK("http://stackoverflow.com/users/896097", "Liu Yongtai")</f>
        <v>Liu Yongtai</v>
      </c>
      <c r="D6631" t="s">
        <v>56</v>
      </c>
      <c r="E6631">
        <v>11</v>
      </c>
    </row>
    <row r="6632" spans="1:5" x14ac:dyDescent="0.25">
      <c r="A6632">
        <v>6631</v>
      </c>
      <c r="B6632">
        <v>4772718</v>
      </c>
      <c r="C6632" s="1" t="str">
        <f>HYPERLINK("http://stackoverflow.com/users/4772718", "jason xie")</f>
        <v>jason xie</v>
      </c>
      <c r="D6632" t="s">
        <v>4</v>
      </c>
      <c r="E6632">
        <v>11</v>
      </c>
    </row>
    <row r="6633" spans="1:5" x14ac:dyDescent="0.25">
      <c r="A6633">
        <v>6632</v>
      </c>
      <c r="B6633">
        <v>840214</v>
      </c>
      <c r="C6633" s="1" t="str">
        <f>HYPERLINK("http://stackoverflow.com/users/840214", "yangkunlun")</f>
        <v>yangkunlun</v>
      </c>
      <c r="D6633" t="s">
        <v>5</v>
      </c>
      <c r="E6633">
        <v>11</v>
      </c>
    </row>
    <row r="6634" spans="1:5" x14ac:dyDescent="0.25">
      <c r="A6634">
        <v>6633</v>
      </c>
      <c r="B6634">
        <v>2927551</v>
      </c>
      <c r="C6634" s="1" t="str">
        <f>HYPERLINK("http://stackoverflow.com/users/2927551", "yuffy")</f>
        <v>yuffy</v>
      </c>
      <c r="D6634" t="s">
        <v>4</v>
      </c>
      <c r="E6634">
        <v>11</v>
      </c>
    </row>
    <row r="6635" spans="1:5" x14ac:dyDescent="0.25">
      <c r="A6635">
        <v>6634</v>
      </c>
      <c r="B6635">
        <v>2924491</v>
      </c>
      <c r="C6635" s="1" t="str">
        <f>HYPERLINK("http://stackoverflow.com/users/2924491", "markduan")</f>
        <v>markduan</v>
      </c>
      <c r="D6635" t="s">
        <v>56</v>
      </c>
      <c r="E6635">
        <v>11</v>
      </c>
    </row>
    <row r="6636" spans="1:5" x14ac:dyDescent="0.25">
      <c r="A6636">
        <v>6635</v>
      </c>
      <c r="B6636">
        <v>2926906</v>
      </c>
      <c r="C6636" s="1" t="str">
        <f>HYPERLINK("http://stackoverflow.com/users/2926906", "user2926906")</f>
        <v>user2926906</v>
      </c>
      <c r="D6636" t="s">
        <v>4</v>
      </c>
      <c r="E6636">
        <v>11</v>
      </c>
    </row>
    <row r="6637" spans="1:5" x14ac:dyDescent="0.25">
      <c r="A6637">
        <v>6636</v>
      </c>
      <c r="B6637">
        <v>6114647</v>
      </c>
      <c r="C6637" s="1" t="str">
        <f>HYPERLINK("http://stackoverflow.com/users/6114647", "Joshua Hoo")</f>
        <v>Joshua Hoo</v>
      </c>
      <c r="D6637" t="s">
        <v>4</v>
      </c>
      <c r="E6637">
        <v>11</v>
      </c>
    </row>
    <row r="6638" spans="1:5" x14ac:dyDescent="0.25">
      <c r="A6638">
        <v>6637</v>
      </c>
      <c r="B6638">
        <v>9689577</v>
      </c>
      <c r="C6638" s="1" t="str">
        <f>HYPERLINK("http://stackoverflow.com/users/9689577", "Lu Lu")</f>
        <v>Lu Lu</v>
      </c>
      <c r="D6638" t="s">
        <v>25</v>
      </c>
      <c r="E6638">
        <v>11</v>
      </c>
    </row>
    <row r="6639" spans="1:5" x14ac:dyDescent="0.25">
      <c r="A6639">
        <v>6638</v>
      </c>
      <c r="B6639">
        <v>2434849</v>
      </c>
      <c r="C6639" s="1" t="str">
        <f>HYPERLINK("http://stackoverflow.com/users/2434849", "zxbin2000")</f>
        <v>zxbin2000</v>
      </c>
      <c r="D6639" t="s">
        <v>5</v>
      </c>
      <c r="E6639">
        <v>11</v>
      </c>
    </row>
    <row r="6640" spans="1:5" x14ac:dyDescent="0.25">
      <c r="A6640">
        <v>6639</v>
      </c>
      <c r="B6640">
        <v>2438864</v>
      </c>
      <c r="C6640" s="1" t="str">
        <f>HYPERLINK("http://stackoverflow.com/users/2438864", "Neeo MENG")</f>
        <v>Neeo MENG</v>
      </c>
      <c r="D6640" t="s">
        <v>4</v>
      </c>
      <c r="E6640">
        <v>11</v>
      </c>
    </row>
    <row r="6641" spans="1:5" x14ac:dyDescent="0.25">
      <c r="A6641">
        <v>6640</v>
      </c>
      <c r="B6641">
        <v>6071769</v>
      </c>
      <c r="C6641" s="1" t="str">
        <f>HYPERLINK("http://stackoverflow.com/users/6071769", "lex")</f>
        <v>lex</v>
      </c>
      <c r="D6641" t="s">
        <v>4</v>
      </c>
      <c r="E6641">
        <v>11</v>
      </c>
    </row>
    <row r="6642" spans="1:5" x14ac:dyDescent="0.25">
      <c r="A6642">
        <v>6641</v>
      </c>
      <c r="B6642">
        <v>163334</v>
      </c>
      <c r="C6642" s="1" t="str">
        <f>HYPERLINK("http://stackoverflow.com/users/163334", "Leo")</f>
        <v>Leo</v>
      </c>
      <c r="D6642" t="s">
        <v>4</v>
      </c>
      <c r="E6642">
        <v>11</v>
      </c>
    </row>
    <row r="6643" spans="1:5" x14ac:dyDescent="0.25">
      <c r="A6643">
        <v>6642</v>
      </c>
      <c r="B6643">
        <v>9668329</v>
      </c>
      <c r="C6643" s="1" t="str">
        <f>HYPERLINK("http://stackoverflow.com/users/9668329", "Ning Zhang")</f>
        <v>Ning Zhang</v>
      </c>
      <c r="D6643" t="s">
        <v>55</v>
      </c>
      <c r="E6643">
        <v>11</v>
      </c>
    </row>
    <row r="6644" spans="1:5" x14ac:dyDescent="0.25">
      <c r="A6644">
        <v>6643</v>
      </c>
      <c r="B6644">
        <v>4514154</v>
      </c>
      <c r="C6644" s="1" t="str">
        <f>HYPERLINK("http://stackoverflow.com/users/4514154", "Tiger-tail")</f>
        <v>Tiger-tail</v>
      </c>
      <c r="D6644" t="s">
        <v>76</v>
      </c>
      <c r="E6644">
        <v>11</v>
      </c>
    </row>
    <row r="6645" spans="1:5" x14ac:dyDescent="0.25">
      <c r="A6645">
        <v>6644</v>
      </c>
      <c r="B6645">
        <v>443149</v>
      </c>
      <c r="C6645" s="1" t="str">
        <f>HYPERLINK("http://stackoverflow.com/users/443149", "James Wu")</f>
        <v>James Wu</v>
      </c>
      <c r="D6645" t="s">
        <v>4</v>
      </c>
      <c r="E6645">
        <v>11</v>
      </c>
    </row>
    <row r="6646" spans="1:5" x14ac:dyDescent="0.25">
      <c r="A6646">
        <v>6645</v>
      </c>
      <c r="B6646">
        <v>428093</v>
      </c>
      <c r="C6646" s="1" t="str">
        <f>HYPERLINK("http://stackoverflow.com/users/428093", "drdr.xp")</f>
        <v>drdr.xp</v>
      </c>
      <c r="D6646" t="s">
        <v>5</v>
      </c>
      <c r="E6646">
        <v>11</v>
      </c>
    </row>
    <row r="6647" spans="1:5" x14ac:dyDescent="0.25">
      <c r="A6647">
        <v>6646</v>
      </c>
      <c r="B6647">
        <v>6254500</v>
      </c>
      <c r="C6647" s="1" t="str">
        <f>HYPERLINK("http://stackoverflow.com/users/6254500", "saboloh")</f>
        <v>saboloh</v>
      </c>
      <c r="D6647" t="s">
        <v>4</v>
      </c>
      <c r="E6647">
        <v>11</v>
      </c>
    </row>
    <row r="6648" spans="1:5" x14ac:dyDescent="0.25">
      <c r="A6648">
        <v>6647</v>
      </c>
      <c r="B6648">
        <v>9798666</v>
      </c>
      <c r="C6648" s="1" t="str">
        <f>HYPERLINK("http://stackoverflow.com/users/9798666", "wkm")</f>
        <v>wkm</v>
      </c>
      <c r="D6648" t="s">
        <v>5</v>
      </c>
      <c r="E6648">
        <v>11</v>
      </c>
    </row>
    <row r="6649" spans="1:5" x14ac:dyDescent="0.25">
      <c r="A6649">
        <v>6648</v>
      </c>
      <c r="B6649">
        <v>6192971</v>
      </c>
      <c r="C6649" s="1" t="str">
        <f>HYPERLINK("http://stackoverflow.com/users/6192971", "hyacz")</f>
        <v>hyacz</v>
      </c>
      <c r="D6649" t="s">
        <v>52</v>
      </c>
      <c r="E6649">
        <v>11</v>
      </c>
    </row>
    <row r="6650" spans="1:5" x14ac:dyDescent="0.25">
      <c r="A6650">
        <v>6649</v>
      </c>
      <c r="B6650">
        <v>342291</v>
      </c>
      <c r="C6650" s="1" t="str">
        <f>HYPERLINK("http://stackoverflow.com/users/342291", "seerhut")</f>
        <v>seerhut</v>
      </c>
      <c r="D6650" t="s">
        <v>5</v>
      </c>
      <c r="E6650">
        <v>11</v>
      </c>
    </row>
    <row r="6651" spans="1:5" x14ac:dyDescent="0.25">
      <c r="A6651">
        <v>6650</v>
      </c>
      <c r="B6651">
        <v>7952002</v>
      </c>
      <c r="C6651" s="1" t="str">
        <f>HYPERLINK("http://stackoverflow.com/users/7952002", "Changxin Cheng")</f>
        <v>Changxin Cheng</v>
      </c>
      <c r="D6651" t="s">
        <v>5</v>
      </c>
      <c r="E6651">
        <v>11</v>
      </c>
    </row>
    <row r="6652" spans="1:5" x14ac:dyDescent="0.25">
      <c r="A6652">
        <v>6651</v>
      </c>
      <c r="B6652">
        <v>323556</v>
      </c>
      <c r="C6652" s="1" t="str">
        <f>HYPERLINK("http://stackoverflow.com/users/323556", "Hozaka")</f>
        <v>Hozaka</v>
      </c>
      <c r="D6652" t="s">
        <v>4</v>
      </c>
      <c r="E6652">
        <v>11</v>
      </c>
    </row>
    <row r="6653" spans="1:5" x14ac:dyDescent="0.25">
      <c r="A6653">
        <v>6652</v>
      </c>
      <c r="B6653">
        <v>2575082</v>
      </c>
      <c r="C6653" s="1" t="str">
        <f>HYPERLINK("http://stackoverflow.com/users/2575082", "Seven")</f>
        <v>Seven</v>
      </c>
      <c r="D6653" t="s">
        <v>17</v>
      </c>
      <c r="E6653">
        <v>11</v>
      </c>
    </row>
    <row r="6654" spans="1:5" x14ac:dyDescent="0.25">
      <c r="A6654">
        <v>6653</v>
      </c>
      <c r="B6654">
        <v>1989230</v>
      </c>
      <c r="C6654" s="1" t="str">
        <f>HYPERLINK("http://stackoverflow.com/users/1989230", "Ken M. Hwang")</f>
        <v>Ken M. Hwang</v>
      </c>
      <c r="D6654" t="s">
        <v>21</v>
      </c>
      <c r="E6654">
        <v>11</v>
      </c>
    </row>
    <row r="6655" spans="1:5" x14ac:dyDescent="0.25">
      <c r="A6655">
        <v>6654</v>
      </c>
      <c r="B6655">
        <v>1999594</v>
      </c>
      <c r="C6655" s="1" t="str">
        <f>HYPERLINK("http://stackoverflow.com/users/1999594", "彭 伟")</f>
        <v>彭 伟</v>
      </c>
      <c r="D6655" t="s">
        <v>4</v>
      </c>
      <c r="E6655">
        <v>11</v>
      </c>
    </row>
    <row r="6656" spans="1:5" x14ac:dyDescent="0.25">
      <c r="A6656">
        <v>6655</v>
      </c>
      <c r="B6656">
        <v>9202343</v>
      </c>
      <c r="C6656" s="1" t="str">
        <f>HYPERLINK("http://stackoverflow.com/users/9202343", "l111")</f>
        <v>l111</v>
      </c>
      <c r="D6656" t="s">
        <v>310</v>
      </c>
      <c r="E6656">
        <v>11</v>
      </c>
    </row>
    <row r="6657" spans="1:5" x14ac:dyDescent="0.25">
      <c r="A6657">
        <v>6656</v>
      </c>
      <c r="B6657">
        <v>5496829</v>
      </c>
      <c r="C6657" s="1" t="str">
        <f>HYPERLINK("http://stackoverflow.com/users/5496829", "gzliuqingyun")</f>
        <v>gzliuqingyun</v>
      </c>
      <c r="D6657" t="s">
        <v>25</v>
      </c>
      <c r="E6657">
        <v>11</v>
      </c>
    </row>
    <row r="6658" spans="1:5" x14ac:dyDescent="0.25">
      <c r="A6658">
        <v>6657</v>
      </c>
      <c r="B6658">
        <v>1909147</v>
      </c>
      <c r="C6658" s="1" t="str">
        <f>HYPERLINK("http://stackoverflow.com/users/1909147", "wtlucky")</f>
        <v>wtlucky</v>
      </c>
      <c r="D6658" t="s">
        <v>5</v>
      </c>
      <c r="E6658">
        <v>11</v>
      </c>
    </row>
    <row r="6659" spans="1:5" x14ac:dyDescent="0.25">
      <c r="A6659">
        <v>6658</v>
      </c>
      <c r="B6659">
        <v>5506815</v>
      </c>
      <c r="C6659" s="1" t="str">
        <f>HYPERLINK("http://stackoverflow.com/users/5506815", "ruike")</f>
        <v>ruike</v>
      </c>
      <c r="D6659" t="s">
        <v>12</v>
      </c>
      <c r="E6659">
        <v>11</v>
      </c>
    </row>
    <row r="6660" spans="1:5" x14ac:dyDescent="0.25">
      <c r="A6660">
        <v>6659</v>
      </c>
      <c r="B6660">
        <v>1917941</v>
      </c>
      <c r="C6660" s="1" t="str">
        <f>HYPERLINK("http://stackoverflow.com/users/1917941", "Yang.Song")</f>
        <v>Yang.Song</v>
      </c>
      <c r="D6660" t="s">
        <v>5</v>
      </c>
      <c r="E6660">
        <v>11</v>
      </c>
    </row>
    <row r="6661" spans="1:5" x14ac:dyDescent="0.25">
      <c r="A6661">
        <v>6660</v>
      </c>
      <c r="B6661">
        <v>1918140</v>
      </c>
      <c r="C6661" s="1" t="str">
        <f>HYPERLINK("http://stackoverflow.com/users/1918140", "Dalin Chen")</f>
        <v>Dalin Chen</v>
      </c>
      <c r="D6661" t="s">
        <v>4</v>
      </c>
      <c r="E6661">
        <v>11</v>
      </c>
    </row>
    <row r="6662" spans="1:5" x14ac:dyDescent="0.25">
      <c r="A6662">
        <v>6661</v>
      </c>
      <c r="B6662">
        <v>3811147</v>
      </c>
      <c r="C6662" s="1" t="str">
        <f>HYPERLINK("http://stackoverflow.com/users/3811147", "david")</f>
        <v>david</v>
      </c>
      <c r="D6662" t="s">
        <v>4</v>
      </c>
      <c r="E6662">
        <v>11</v>
      </c>
    </row>
    <row r="6663" spans="1:5" x14ac:dyDescent="0.25">
      <c r="A6663">
        <v>6662</v>
      </c>
      <c r="B6663">
        <v>7337135</v>
      </c>
      <c r="C6663" s="1" t="str">
        <f>HYPERLINK("http://stackoverflow.com/users/7337135", "Riddick Zhang")</f>
        <v>Riddick Zhang</v>
      </c>
      <c r="D6663" t="s">
        <v>118</v>
      </c>
      <c r="E6663">
        <v>11</v>
      </c>
    </row>
    <row r="6664" spans="1:5" x14ac:dyDescent="0.25">
      <c r="A6664">
        <v>6663</v>
      </c>
      <c r="B6664">
        <v>3849539</v>
      </c>
      <c r="C6664" s="1" t="str">
        <f>HYPERLINK("http://stackoverflow.com/users/3849539", "x86_64")</f>
        <v>x86_64</v>
      </c>
      <c r="D6664" t="s">
        <v>4</v>
      </c>
      <c r="E6664">
        <v>11</v>
      </c>
    </row>
    <row r="6665" spans="1:5" x14ac:dyDescent="0.25">
      <c r="A6665">
        <v>6664</v>
      </c>
      <c r="B6665">
        <v>7375518</v>
      </c>
      <c r="C6665" s="1" t="str">
        <f>HYPERLINK("http://stackoverflow.com/users/7375518", "congzhaoyang")</f>
        <v>congzhaoyang</v>
      </c>
      <c r="D6665" t="s">
        <v>4</v>
      </c>
      <c r="E6665">
        <v>11</v>
      </c>
    </row>
    <row r="6666" spans="1:5" x14ac:dyDescent="0.25">
      <c r="A6666">
        <v>6665</v>
      </c>
      <c r="B6666">
        <v>5653826</v>
      </c>
      <c r="C6666" s="1" t="str">
        <f>HYPERLINK("http://stackoverflow.com/users/5653826", "leeeaaa")</f>
        <v>leeeaaa</v>
      </c>
      <c r="D6666" t="s">
        <v>4</v>
      </c>
      <c r="E6666">
        <v>11</v>
      </c>
    </row>
    <row r="6667" spans="1:5" x14ac:dyDescent="0.25">
      <c r="A6667">
        <v>6666</v>
      </c>
      <c r="B6667">
        <v>5637665</v>
      </c>
      <c r="C6667" s="1" t="str">
        <f>HYPERLINK("http://stackoverflow.com/users/5637665", "owen.choi")</f>
        <v>owen.choi</v>
      </c>
      <c r="D6667" t="s">
        <v>25</v>
      </c>
      <c r="E6667">
        <v>11</v>
      </c>
    </row>
    <row r="6668" spans="1:5" x14ac:dyDescent="0.25">
      <c r="A6668">
        <v>6667</v>
      </c>
      <c r="B6668">
        <v>5449975</v>
      </c>
      <c r="C6668" s="1" t="str">
        <f>HYPERLINK("http://stackoverflow.com/users/5449975", "Zheming Z")</f>
        <v>Zheming Z</v>
      </c>
      <c r="D6668" t="s">
        <v>5</v>
      </c>
      <c r="E6668">
        <v>11</v>
      </c>
    </row>
    <row r="6669" spans="1:5" x14ac:dyDescent="0.25">
      <c r="A6669">
        <v>6668</v>
      </c>
      <c r="B6669">
        <v>1840637</v>
      </c>
      <c r="C6669" s="1" t="str">
        <f>HYPERLINK("http://stackoverflow.com/users/1840637", "Tiscs")</f>
        <v>Tiscs</v>
      </c>
      <c r="D6669" t="s">
        <v>5</v>
      </c>
      <c r="E6669">
        <v>11</v>
      </c>
    </row>
    <row r="6670" spans="1:5" x14ac:dyDescent="0.25">
      <c r="A6670">
        <v>6669</v>
      </c>
      <c r="B6670">
        <v>3689897</v>
      </c>
      <c r="C6670" s="1" t="str">
        <f>HYPERLINK("http://stackoverflow.com/users/3689897", "TYPCN")</f>
        <v>TYPCN</v>
      </c>
      <c r="D6670" t="s">
        <v>17</v>
      </c>
      <c r="E6670">
        <v>11</v>
      </c>
    </row>
    <row r="6671" spans="1:5" x14ac:dyDescent="0.25">
      <c r="A6671">
        <v>6670</v>
      </c>
      <c r="B6671">
        <v>10828148</v>
      </c>
      <c r="C6671" s="1" t="str">
        <f>HYPERLINK("http://stackoverflow.com/users/10828148", "iluvex")</f>
        <v>iluvex</v>
      </c>
      <c r="D6671" t="s">
        <v>5</v>
      </c>
      <c r="E6671">
        <v>11</v>
      </c>
    </row>
    <row r="6672" spans="1:5" x14ac:dyDescent="0.25">
      <c r="A6672">
        <v>6671</v>
      </c>
      <c r="B6672">
        <v>5358962</v>
      </c>
      <c r="C6672" s="1" t="str">
        <f>HYPERLINK("http://stackoverflow.com/users/5358962", "Osmond Ye")</f>
        <v>Osmond Ye</v>
      </c>
      <c r="D6672" t="s">
        <v>16</v>
      </c>
      <c r="E6672">
        <v>11</v>
      </c>
    </row>
    <row r="6673" spans="1:5" x14ac:dyDescent="0.25">
      <c r="A6673">
        <v>6672</v>
      </c>
      <c r="B6673">
        <v>1764120</v>
      </c>
      <c r="C6673" s="1" t="str">
        <f>HYPERLINK("http://stackoverflow.com/users/1764120", "Peter Wang")</f>
        <v>Peter Wang</v>
      </c>
      <c r="D6673" t="s">
        <v>4</v>
      </c>
      <c r="E6673">
        <v>11</v>
      </c>
    </row>
    <row r="6674" spans="1:5" x14ac:dyDescent="0.25">
      <c r="A6674">
        <v>6673</v>
      </c>
      <c r="B6674">
        <v>7130304</v>
      </c>
      <c r="C6674" s="1" t="str">
        <f>HYPERLINK("http://stackoverflow.com/users/7130304", "yuedong")</f>
        <v>yuedong</v>
      </c>
      <c r="D6674" t="s">
        <v>62</v>
      </c>
      <c r="E6674">
        <v>11</v>
      </c>
    </row>
    <row r="6675" spans="1:5" x14ac:dyDescent="0.25">
      <c r="A6675">
        <v>6674</v>
      </c>
      <c r="B6675">
        <v>1752609</v>
      </c>
      <c r="C6675" s="1" t="str">
        <f>HYPERLINK("http://stackoverflow.com/users/1752609", "Peng Gao")</f>
        <v>Peng Gao</v>
      </c>
      <c r="D6675" t="s">
        <v>4</v>
      </c>
      <c r="E6675">
        <v>11</v>
      </c>
    </row>
    <row r="6676" spans="1:5" x14ac:dyDescent="0.25">
      <c r="A6676">
        <v>6675</v>
      </c>
      <c r="B6676">
        <v>2184883</v>
      </c>
      <c r="C6676" s="1" t="str">
        <f>HYPERLINK("http://stackoverflow.com/users/2184883", "bocai")</f>
        <v>bocai</v>
      </c>
      <c r="D6676" t="s">
        <v>12</v>
      </c>
      <c r="E6676">
        <v>11</v>
      </c>
    </row>
    <row r="6677" spans="1:5" x14ac:dyDescent="0.25">
      <c r="A6677">
        <v>6676</v>
      </c>
      <c r="B6677">
        <v>9423237</v>
      </c>
      <c r="C6677" s="1" t="str">
        <f>HYPERLINK("http://stackoverflow.com/users/9423237", "billy chen")</f>
        <v>billy chen</v>
      </c>
      <c r="D6677" t="s">
        <v>7</v>
      </c>
      <c r="E6677">
        <v>11</v>
      </c>
    </row>
    <row r="6678" spans="1:5" x14ac:dyDescent="0.25">
      <c r="A6678">
        <v>6677</v>
      </c>
      <c r="B6678">
        <v>5756083</v>
      </c>
      <c r="C6678" s="1" t="str">
        <f>HYPERLINK("http://stackoverflow.com/users/5756083", "LiYang")</f>
        <v>LiYang</v>
      </c>
      <c r="D6678" t="s">
        <v>5</v>
      </c>
      <c r="E6678">
        <v>11</v>
      </c>
    </row>
    <row r="6679" spans="1:5" x14ac:dyDescent="0.25">
      <c r="A6679">
        <v>6678</v>
      </c>
      <c r="B6679">
        <v>5783262</v>
      </c>
      <c r="C6679" s="1" t="str">
        <f>HYPERLINK("http://stackoverflow.com/users/5783262", "Avatar Zhang")</f>
        <v>Avatar Zhang</v>
      </c>
      <c r="D6679" t="s">
        <v>4</v>
      </c>
      <c r="E6679">
        <v>11</v>
      </c>
    </row>
    <row r="6680" spans="1:5" x14ac:dyDescent="0.25">
      <c r="A6680">
        <v>6679</v>
      </c>
      <c r="B6680">
        <v>7540711</v>
      </c>
      <c r="C6680" s="1" t="str">
        <f>HYPERLINK("http://stackoverflow.com/users/7540711", "yayi")</f>
        <v>yayi</v>
      </c>
      <c r="D6680" t="s">
        <v>57</v>
      </c>
      <c r="E6680">
        <v>11</v>
      </c>
    </row>
    <row r="6681" spans="1:5" x14ac:dyDescent="0.25">
      <c r="A6681">
        <v>6680</v>
      </c>
      <c r="B6681">
        <v>3886111</v>
      </c>
      <c r="C6681" s="1" t="str">
        <f>HYPERLINK("http://stackoverflow.com/users/3886111", "Castle")</f>
        <v>Castle</v>
      </c>
      <c r="D6681" t="s">
        <v>5</v>
      </c>
      <c r="E6681">
        <v>11</v>
      </c>
    </row>
    <row r="6682" spans="1:5" x14ac:dyDescent="0.25">
      <c r="A6682">
        <v>6681</v>
      </c>
      <c r="B6682">
        <v>2110139</v>
      </c>
      <c r="C6682" s="1" t="str">
        <f>HYPERLINK("http://stackoverflow.com/users/2110139", "captmjc")</f>
        <v>captmjc</v>
      </c>
      <c r="D6682" t="s">
        <v>4</v>
      </c>
      <c r="E6682">
        <v>11</v>
      </c>
    </row>
    <row r="6683" spans="1:5" x14ac:dyDescent="0.25">
      <c r="A6683">
        <v>6682</v>
      </c>
      <c r="B6683">
        <v>9341890</v>
      </c>
      <c r="C6683" s="1" t="str">
        <f>HYPERLINK("http://stackoverflow.com/users/9341890", "Allen")</f>
        <v>Allen</v>
      </c>
      <c r="D6683" t="s">
        <v>5</v>
      </c>
      <c r="E6683">
        <v>11</v>
      </c>
    </row>
    <row r="6684" spans="1:5" x14ac:dyDescent="0.25">
      <c r="A6684">
        <v>6683</v>
      </c>
      <c r="B6684">
        <v>7698685</v>
      </c>
      <c r="C6684" s="1" t="str">
        <f>HYPERLINK("http://stackoverflow.com/users/7698685", "SenixCoder")</f>
        <v>SenixCoder</v>
      </c>
      <c r="D6684" t="s">
        <v>43</v>
      </c>
      <c r="E6684">
        <v>11</v>
      </c>
    </row>
    <row r="6685" spans="1:5" x14ac:dyDescent="0.25">
      <c r="A6685">
        <v>6684</v>
      </c>
      <c r="B6685">
        <v>6016028</v>
      </c>
      <c r="C6685" s="1" t="str">
        <f>HYPERLINK("http://stackoverflow.com/users/6016028", "user6016028_day")</f>
        <v>user6016028_day</v>
      </c>
      <c r="D6685" t="s">
        <v>4</v>
      </c>
      <c r="E6685">
        <v>11</v>
      </c>
    </row>
    <row r="6686" spans="1:5" x14ac:dyDescent="0.25">
      <c r="A6686">
        <v>6685</v>
      </c>
      <c r="B6686">
        <v>5938461</v>
      </c>
      <c r="C6686" s="1" t="str">
        <f>HYPERLINK("http://stackoverflow.com/users/5938461", "Robin He")</f>
        <v>Robin He</v>
      </c>
      <c r="D6686" t="s">
        <v>7</v>
      </c>
      <c r="E6686">
        <v>11</v>
      </c>
    </row>
    <row r="6687" spans="1:5" x14ac:dyDescent="0.25">
      <c r="A6687">
        <v>6686</v>
      </c>
      <c r="B6687">
        <v>7644655</v>
      </c>
      <c r="C6687" s="1" t="str">
        <f>HYPERLINK("http://stackoverflow.com/users/7644655", "oscarriddle")</f>
        <v>oscarriddle</v>
      </c>
      <c r="D6687" t="s">
        <v>5</v>
      </c>
      <c r="E6687">
        <v>11</v>
      </c>
    </row>
    <row r="6688" spans="1:5" x14ac:dyDescent="0.25">
      <c r="A6688">
        <v>6687</v>
      </c>
      <c r="B6688">
        <v>7644666</v>
      </c>
      <c r="C6688" s="1" t="str">
        <f>HYPERLINK("http://stackoverflow.com/users/7644666", "Petrus Tang")</f>
        <v>Petrus Tang</v>
      </c>
      <c r="D6688" t="s">
        <v>4</v>
      </c>
      <c r="E6688">
        <v>11</v>
      </c>
    </row>
    <row r="6689" spans="1:5" x14ac:dyDescent="0.25">
      <c r="A6689">
        <v>6688</v>
      </c>
      <c r="B6689">
        <v>2365214</v>
      </c>
      <c r="C6689" s="1" t="str">
        <f>HYPERLINK("http://stackoverflow.com/users/2365214", "youclavier")</f>
        <v>youclavier</v>
      </c>
      <c r="D6689" t="s">
        <v>7</v>
      </c>
      <c r="E6689">
        <v>11</v>
      </c>
    </row>
    <row r="6690" spans="1:5" x14ac:dyDescent="0.25">
      <c r="A6690">
        <v>6689</v>
      </c>
      <c r="B6690">
        <v>2482049</v>
      </c>
      <c r="C6690" s="1" t="str">
        <f>HYPERLINK("http://stackoverflow.com/users/2482049", "Edward G.")</f>
        <v>Edward G.</v>
      </c>
      <c r="D6690" t="s">
        <v>293</v>
      </c>
      <c r="E6690">
        <v>10</v>
      </c>
    </row>
    <row r="6691" spans="1:5" x14ac:dyDescent="0.25">
      <c r="A6691">
        <v>6690</v>
      </c>
      <c r="B6691">
        <v>2978164</v>
      </c>
      <c r="C6691" s="1" t="str">
        <f>HYPERLINK("http://stackoverflow.com/users/2978164", "wilsonlee")</f>
        <v>wilsonlee</v>
      </c>
      <c r="D6691" t="s">
        <v>12</v>
      </c>
      <c r="E6691">
        <v>10</v>
      </c>
    </row>
    <row r="6692" spans="1:5" x14ac:dyDescent="0.25">
      <c r="A6692">
        <v>6691</v>
      </c>
      <c r="B6692">
        <v>3025050</v>
      </c>
      <c r="C6692" s="1" t="str">
        <f>HYPERLINK("http://stackoverflow.com/users/3025050", "liyang")</f>
        <v>liyang</v>
      </c>
      <c r="D6692" t="s">
        <v>7</v>
      </c>
      <c r="E6692">
        <v>10</v>
      </c>
    </row>
    <row r="6693" spans="1:5" x14ac:dyDescent="0.25">
      <c r="A6693">
        <v>6692</v>
      </c>
      <c r="B6693">
        <v>3016535</v>
      </c>
      <c r="C6693" s="1" t="str">
        <f>HYPERLINK("http://stackoverflow.com/users/3016535", "user3016535")</f>
        <v>user3016535</v>
      </c>
      <c r="D6693" t="s">
        <v>90</v>
      </c>
      <c r="E6693">
        <v>10</v>
      </c>
    </row>
    <row r="6694" spans="1:5" x14ac:dyDescent="0.25">
      <c r="A6694">
        <v>6693</v>
      </c>
      <c r="B6694">
        <v>575870</v>
      </c>
      <c r="C6694" s="1" t="str">
        <f>HYPERLINK("http://stackoverflow.com/users/575870", "RocZhang")</f>
        <v>RocZhang</v>
      </c>
      <c r="D6694" t="s">
        <v>4</v>
      </c>
      <c r="E6694">
        <v>10</v>
      </c>
    </row>
    <row r="6695" spans="1:5" x14ac:dyDescent="0.25">
      <c r="A6695">
        <v>6694</v>
      </c>
      <c r="B6695">
        <v>2778070</v>
      </c>
      <c r="C6695" s="1" t="str">
        <f>HYPERLINK("http://stackoverflow.com/users/2778070", "Ardit Dine")</f>
        <v>Ardit Dine</v>
      </c>
      <c r="D6695" t="s">
        <v>5</v>
      </c>
      <c r="E6695">
        <v>10</v>
      </c>
    </row>
    <row r="6696" spans="1:5" x14ac:dyDescent="0.25">
      <c r="A6696">
        <v>6695</v>
      </c>
      <c r="B6696">
        <v>2926630</v>
      </c>
      <c r="C6696" s="1" t="str">
        <f>HYPERLINK("http://stackoverflow.com/users/2926630", "jfw10973")</f>
        <v>jfw10973</v>
      </c>
      <c r="D6696" t="s">
        <v>16</v>
      </c>
      <c r="E6696">
        <v>10</v>
      </c>
    </row>
    <row r="6697" spans="1:5" x14ac:dyDescent="0.25">
      <c r="A6697">
        <v>6696</v>
      </c>
      <c r="B6697">
        <v>4728959</v>
      </c>
      <c r="C6697" s="1" t="str">
        <f>HYPERLINK("http://stackoverflow.com/users/4728959", "David Chen")</f>
        <v>David Chen</v>
      </c>
      <c r="D6697" t="s">
        <v>5</v>
      </c>
      <c r="E6697">
        <v>10</v>
      </c>
    </row>
    <row r="6698" spans="1:5" x14ac:dyDescent="0.25">
      <c r="A6698">
        <v>6697</v>
      </c>
      <c r="B6698">
        <v>699702</v>
      </c>
      <c r="C6698" s="1" t="str">
        <f>HYPERLINK("http://stackoverflow.com/users/699702", "Wingle")</f>
        <v>Wingle</v>
      </c>
      <c r="D6698" t="s">
        <v>4</v>
      </c>
      <c r="E6698">
        <v>10</v>
      </c>
    </row>
    <row r="6699" spans="1:5" x14ac:dyDescent="0.25">
      <c r="A6699">
        <v>6698</v>
      </c>
      <c r="B6699">
        <v>6638682</v>
      </c>
      <c r="C6699" s="1" t="str">
        <f>HYPERLINK("http://stackoverflow.com/users/6638682", "ZeroOnet")</f>
        <v>ZeroOnet</v>
      </c>
      <c r="D6699" t="s">
        <v>55</v>
      </c>
      <c r="E6699">
        <v>10</v>
      </c>
    </row>
    <row r="6700" spans="1:5" x14ac:dyDescent="0.25">
      <c r="A6700">
        <v>6699</v>
      </c>
      <c r="B6700">
        <v>10363090</v>
      </c>
      <c r="C6700" s="1" t="str">
        <f>HYPERLINK("http://stackoverflow.com/users/10363090", "Pi Z")</f>
        <v>Pi Z</v>
      </c>
      <c r="D6700" t="s">
        <v>4</v>
      </c>
      <c r="E6700">
        <v>10</v>
      </c>
    </row>
    <row r="6701" spans="1:5" x14ac:dyDescent="0.25">
      <c r="A6701">
        <v>6700</v>
      </c>
      <c r="B6701">
        <v>1581820</v>
      </c>
      <c r="C6701" s="1" t="str">
        <f>HYPERLINK("http://stackoverflow.com/users/1581820", "YueZheng")</f>
        <v>YueZheng</v>
      </c>
      <c r="D6701" t="s">
        <v>5</v>
      </c>
      <c r="E6701">
        <v>10</v>
      </c>
    </row>
    <row r="6702" spans="1:5" x14ac:dyDescent="0.25">
      <c r="A6702">
        <v>6701</v>
      </c>
      <c r="B6702">
        <v>1597147</v>
      </c>
      <c r="C6702" s="1" t="str">
        <f>HYPERLINK("http://stackoverflow.com/users/1597147", "DonkeyRider")</f>
        <v>DonkeyRider</v>
      </c>
      <c r="D6702" t="s">
        <v>59</v>
      </c>
      <c r="E6702">
        <v>10</v>
      </c>
    </row>
    <row r="6703" spans="1:5" x14ac:dyDescent="0.25">
      <c r="A6703">
        <v>6702</v>
      </c>
      <c r="B6703">
        <v>3595180</v>
      </c>
      <c r="C6703" s="1" t="str">
        <f>HYPERLINK("http://stackoverflow.com/users/3595180", "Tk_75963")</f>
        <v>Tk_75963</v>
      </c>
      <c r="D6703" t="s">
        <v>53</v>
      </c>
      <c r="E6703">
        <v>10</v>
      </c>
    </row>
    <row r="6704" spans="1:5" x14ac:dyDescent="0.25">
      <c r="A6704">
        <v>6703</v>
      </c>
      <c r="B6704">
        <v>540854</v>
      </c>
      <c r="C6704" s="1" t="str">
        <f>HYPERLINK("http://stackoverflow.com/users/540854", "Ender")</f>
        <v>Ender</v>
      </c>
      <c r="D6704" t="s">
        <v>365</v>
      </c>
      <c r="E6704">
        <v>10</v>
      </c>
    </row>
    <row r="6705" spans="1:5" x14ac:dyDescent="0.25">
      <c r="A6705">
        <v>6704</v>
      </c>
      <c r="B6705">
        <v>382434</v>
      </c>
      <c r="C6705" s="1" t="str">
        <f>HYPERLINK("http://stackoverflow.com/users/382434", "Justin")</f>
        <v>Justin</v>
      </c>
      <c r="D6705" t="s">
        <v>4</v>
      </c>
      <c r="E6705">
        <v>10</v>
      </c>
    </row>
    <row r="6706" spans="1:5" x14ac:dyDescent="0.25">
      <c r="A6706">
        <v>6705</v>
      </c>
      <c r="B6706">
        <v>9151412</v>
      </c>
      <c r="C6706" s="1" t="str">
        <f>HYPERLINK("http://stackoverflow.com/users/9151412", "黄小羽")</f>
        <v>黄小羽</v>
      </c>
      <c r="D6706" t="s">
        <v>118</v>
      </c>
      <c r="E6706">
        <v>10</v>
      </c>
    </row>
    <row r="6707" spans="1:5" x14ac:dyDescent="0.25">
      <c r="A6707">
        <v>6706</v>
      </c>
      <c r="B6707">
        <v>7741795</v>
      </c>
      <c r="C6707" s="1" t="str">
        <f>HYPERLINK("http://stackoverflow.com/users/7741795", "Rnthking")</f>
        <v>Rnthking</v>
      </c>
      <c r="D6707" t="s">
        <v>28</v>
      </c>
      <c r="E6707">
        <v>10</v>
      </c>
    </row>
    <row r="6708" spans="1:5" x14ac:dyDescent="0.25">
      <c r="A6708">
        <v>6707</v>
      </c>
      <c r="B6708">
        <v>2034985</v>
      </c>
      <c r="C6708" s="1" t="str">
        <f>HYPERLINK("http://stackoverflow.com/users/2034985", "LingFeng Ai")</f>
        <v>LingFeng Ai</v>
      </c>
      <c r="D6708" t="s">
        <v>37</v>
      </c>
      <c r="E6708">
        <v>10</v>
      </c>
    </row>
    <row r="6709" spans="1:5" x14ac:dyDescent="0.25">
      <c r="A6709">
        <v>6708</v>
      </c>
      <c r="B6709">
        <v>1968610</v>
      </c>
      <c r="C6709" s="1" t="str">
        <f>HYPERLINK("http://stackoverflow.com/users/1968610", "starandtina")</f>
        <v>starandtina</v>
      </c>
      <c r="D6709" t="s">
        <v>4</v>
      </c>
      <c r="E6709">
        <v>10</v>
      </c>
    </row>
    <row r="6710" spans="1:5" x14ac:dyDescent="0.25">
      <c r="A6710">
        <v>6709</v>
      </c>
      <c r="B6710">
        <v>8590141</v>
      </c>
      <c r="C6710" s="1" t="str">
        <f>HYPERLINK("http://stackoverflow.com/users/8590141", "shen xieyin")</f>
        <v>shen xieyin</v>
      </c>
      <c r="D6710" t="s">
        <v>4</v>
      </c>
      <c r="E6710">
        <v>10</v>
      </c>
    </row>
    <row r="6711" spans="1:5" x14ac:dyDescent="0.25">
      <c r="A6711">
        <v>6710</v>
      </c>
      <c r="B6711">
        <v>8594973</v>
      </c>
      <c r="C6711" s="1" t="str">
        <f>HYPERLINK("http://stackoverflow.com/users/8594973", "jack long")</f>
        <v>jack long</v>
      </c>
      <c r="D6711" t="s">
        <v>5</v>
      </c>
      <c r="E6711">
        <v>10</v>
      </c>
    </row>
    <row r="6712" spans="1:5" x14ac:dyDescent="0.25">
      <c r="A6712">
        <v>6711</v>
      </c>
      <c r="B6712">
        <v>9096597</v>
      </c>
      <c r="C6712" s="1" t="str">
        <f>HYPERLINK("http://stackoverflow.com/users/9096597", "Anlin Li")</f>
        <v>Anlin Li</v>
      </c>
      <c r="D6712" t="s">
        <v>242</v>
      </c>
      <c r="E6712">
        <v>10</v>
      </c>
    </row>
    <row r="6713" spans="1:5" x14ac:dyDescent="0.25">
      <c r="A6713">
        <v>6712</v>
      </c>
      <c r="B6713">
        <v>1659397</v>
      </c>
      <c r="C6713" s="1" t="str">
        <f>HYPERLINK("http://stackoverflow.com/users/1659397", "James")</f>
        <v>James</v>
      </c>
      <c r="D6713" t="s">
        <v>29</v>
      </c>
      <c r="E6713">
        <v>10</v>
      </c>
    </row>
    <row r="6714" spans="1:5" x14ac:dyDescent="0.25">
      <c r="A6714">
        <v>6713</v>
      </c>
      <c r="B6714">
        <v>692834</v>
      </c>
      <c r="C6714" s="1" t="str">
        <f>HYPERLINK("http://stackoverflow.com/users/692834", "René Lux")</f>
        <v>René Lux</v>
      </c>
      <c r="D6714" t="s">
        <v>5</v>
      </c>
      <c r="E6714">
        <v>10</v>
      </c>
    </row>
    <row r="6715" spans="1:5" x14ac:dyDescent="0.25">
      <c r="A6715">
        <v>6714</v>
      </c>
      <c r="B6715">
        <v>4311451</v>
      </c>
      <c r="C6715" s="1" t="str">
        <f>HYPERLINK("http://stackoverflow.com/users/4311451", "jocund")</f>
        <v>jocund</v>
      </c>
      <c r="D6715" t="s">
        <v>12</v>
      </c>
      <c r="E6715">
        <v>10</v>
      </c>
    </row>
    <row r="6716" spans="1:5" x14ac:dyDescent="0.25">
      <c r="A6716">
        <v>6715</v>
      </c>
      <c r="B6716">
        <v>2945462</v>
      </c>
      <c r="C6716" s="1" t="str">
        <f>HYPERLINK("http://stackoverflow.com/users/2945462", "Feng Weidong")</f>
        <v>Feng Weidong</v>
      </c>
      <c r="D6716" t="s">
        <v>55</v>
      </c>
      <c r="E6716">
        <v>10</v>
      </c>
    </row>
    <row r="6717" spans="1:5" x14ac:dyDescent="0.25">
      <c r="A6717">
        <v>6716</v>
      </c>
      <c r="B6717">
        <v>3060646</v>
      </c>
      <c r="C6717" s="1" t="str">
        <f>HYPERLINK("http://stackoverflow.com/users/3060646", "Henry Lee")</f>
        <v>Henry Lee</v>
      </c>
      <c r="D6717" t="s">
        <v>21</v>
      </c>
      <c r="E6717">
        <v>10</v>
      </c>
    </row>
    <row r="6718" spans="1:5" x14ac:dyDescent="0.25">
      <c r="A6718">
        <v>6717</v>
      </c>
      <c r="B6718">
        <v>5611453</v>
      </c>
      <c r="C6718" s="1" t="str">
        <f>HYPERLINK("http://stackoverflow.com/users/5611453", "Ethan")</f>
        <v>Ethan</v>
      </c>
      <c r="D6718" t="s">
        <v>5</v>
      </c>
      <c r="E6718">
        <v>10</v>
      </c>
    </row>
    <row r="6719" spans="1:5" x14ac:dyDescent="0.25">
      <c r="A6719">
        <v>6718</v>
      </c>
      <c r="B6719">
        <v>5074186</v>
      </c>
      <c r="C6719" s="1" t="str">
        <f>HYPERLINK("http://stackoverflow.com/users/5074186", "Pencil_Case")</f>
        <v>Pencil_Case</v>
      </c>
      <c r="D6719" t="s">
        <v>90</v>
      </c>
      <c r="E6719">
        <v>10</v>
      </c>
    </row>
    <row r="6720" spans="1:5" x14ac:dyDescent="0.25">
      <c r="A6720">
        <v>6719</v>
      </c>
      <c r="B6720">
        <v>1599802</v>
      </c>
      <c r="C6720" s="1" t="str">
        <f>HYPERLINK("http://stackoverflow.com/users/1599802", "Jinnan")</f>
        <v>Jinnan</v>
      </c>
      <c r="D6720" t="s">
        <v>5</v>
      </c>
      <c r="E6720">
        <v>10</v>
      </c>
    </row>
    <row r="6721" spans="1:5" x14ac:dyDescent="0.25">
      <c r="A6721">
        <v>6720</v>
      </c>
      <c r="B6721">
        <v>2601745</v>
      </c>
      <c r="C6721" s="1" t="str">
        <f>HYPERLINK("http://stackoverflow.com/users/2601745", "Minix Li")</f>
        <v>Minix Li</v>
      </c>
      <c r="D6721" t="s">
        <v>4</v>
      </c>
      <c r="E6721">
        <v>10</v>
      </c>
    </row>
    <row r="6722" spans="1:5" x14ac:dyDescent="0.25">
      <c r="A6722">
        <v>6721</v>
      </c>
      <c r="B6722">
        <v>4374905</v>
      </c>
      <c r="C6722" s="1" t="str">
        <f>HYPERLINK("http://stackoverflow.com/users/4374905", "Beterhans")</f>
        <v>Beterhans</v>
      </c>
      <c r="D6722" t="s">
        <v>4</v>
      </c>
      <c r="E6722">
        <v>10</v>
      </c>
    </row>
    <row r="6723" spans="1:5" x14ac:dyDescent="0.25">
      <c r="A6723">
        <v>6722</v>
      </c>
      <c r="B6723">
        <v>7134409</v>
      </c>
      <c r="C6723" s="1" t="str">
        <f>HYPERLINK("http://stackoverflow.com/users/7134409", "Yifeng")</f>
        <v>Yifeng</v>
      </c>
      <c r="D6723" t="s">
        <v>28</v>
      </c>
      <c r="E6723">
        <v>10</v>
      </c>
    </row>
    <row r="6724" spans="1:5" x14ac:dyDescent="0.25">
      <c r="A6724">
        <v>6723</v>
      </c>
      <c r="B6724">
        <v>2006756</v>
      </c>
      <c r="C6724" s="1" t="str">
        <f>HYPERLINK("http://stackoverflow.com/users/2006756", "TangGuoHe")</f>
        <v>TangGuoHe</v>
      </c>
      <c r="D6724" t="s">
        <v>5</v>
      </c>
      <c r="E6724">
        <v>10</v>
      </c>
    </row>
    <row r="6725" spans="1:5" x14ac:dyDescent="0.25">
      <c r="A6725">
        <v>6724</v>
      </c>
      <c r="B6725">
        <v>5575745</v>
      </c>
      <c r="C6725" s="1" t="str">
        <f>HYPERLINK("http://stackoverflow.com/users/5575745", "Jinchenyuan")</f>
        <v>Jinchenyuan</v>
      </c>
      <c r="D6725" t="s">
        <v>5</v>
      </c>
      <c r="E6725">
        <v>10</v>
      </c>
    </row>
    <row r="6726" spans="1:5" x14ac:dyDescent="0.25">
      <c r="A6726">
        <v>6725</v>
      </c>
      <c r="B6726">
        <v>8342904</v>
      </c>
      <c r="C6726" s="1" t="str">
        <f>HYPERLINK("http://stackoverflow.com/users/8342904", "seanchann zhou")</f>
        <v>seanchann zhou</v>
      </c>
      <c r="D6726" t="s">
        <v>5</v>
      </c>
      <c r="E6726">
        <v>10</v>
      </c>
    </row>
    <row r="6727" spans="1:5" x14ac:dyDescent="0.25">
      <c r="A6727">
        <v>6726</v>
      </c>
      <c r="B6727">
        <v>3555546</v>
      </c>
      <c r="C6727" s="1" t="str">
        <f>HYPERLINK("http://stackoverflow.com/users/3555546", "Vincent Shen")</f>
        <v>Vincent Shen</v>
      </c>
      <c r="D6727" t="s">
        <v>4</v>
      </c>
      <c r="E6727">
        <v>10</v>
      </c>
    </row>
    <row r="6728" spans="1:5" x14ac:dyDescent="0.25">
      <c r="A6728">
        <v>6727</v>
      </c>
      <c r="B6728">
        <v>1625900</v>
      </c>
      <c r="C6728" s="1" t="str">
        <f>HYPERLINK("http://stackoverflow.com/users/1625900", "Adam Wen")</f>
        <v>Adam Wen</v>
      </c>
      <c r="D6728" t="s">
        <v>6</v>
      </c>
      <c r="E6728">
        <v>10</v>
      </c>
    </row>
    <row r="6729" spans="1:5" x14ac:dyDescent="0.25">
      <c r="A6729">
        <v>6728</v>
      </c>
      <c r="B6729">
        <v>6847087</v>
      </c>
      <c r="C6729" s="1" t="str">
        <f>HYPERLINK("http://stackoverflow.com/users/6847087", "song")</f>
        <v>song</v>
      </c>
      <c r="D6729" t="s">
        <v>366</v>
      </c>
      <c r="E6729">
        <v>10</v>
      </c>
    </row>
    <row r="6730" spans="1:5" x14ac:dyDescent="0.25">
      <c r="A6730">
        <v>6729</v>
      </c>
      <c r="B6730">
        <v>5173216</v>
      </c>
      <c r="C6730" s="1" t="str">
        <f>HYPERLINK("http://stackoverflow.com/users/5173216", "Henry")</f>
        <v>Henry</v>
      </c>
      <c r="D6730" t="s">
        <v>5</v>
      </c>
      <c r="E6730">
        <v>10</v>
      </c>
    </row>
    <row r="6731" spans="1:5" x14ac:dyDescent="0.25">
      <c r="A6731">
        <v>6730</v>
      </c>
      <c r="B6731">
        <v>8749719</v>
      </c>
      <c r="C6731" s="1" t="str">
        <f>HYPERLINK("http://stackoverflow.com/users/8749719", "J Crosby")</f>
        <v>J Crosby</v>
      </c>
      <c r="D6731" t="s">
        <v>54</v>
      </c>
      <c r="E6731">
        <v>10</v>
      </c>
    </row>
    <row r="6732" spans="1:5" x14ac:dyDescent="0.25">
      <c r="A6732">
        <v>6731</v>
      </c>
      <c r="B6732">
        <v>6941059</v>
      </c>
      <c r="C6732" s="1" t="str">
        <f>HYPERLINK("http://stackoverflow.com/users/6941059", "Kim Chee")</f>
        <v>Kim Chee</v>
      </c>
      <c r="D6732" t="s">
        <v>4</v>
      </c>
      <c r="E6732">
        <v>9</v>
      </c>
    </row>
    <row r="6733" spans="1:5" x14ac:dyDescent="0.25">
      <c r="A6733">
        <v>6732</v>
      </c>
      <c r="B6733">
        <v>1688302</v>
      </c>
      <c r="C6733" s="1" t="str">
        <f>HYPERLINK("http://stackoverflow.com/users/1688302", "Maimantun")</f>
        <v>Maimantun</v>
      </c>
      <c r="D6733" t="s">
        <v>5</v>
      </c>
      <c r="E6733">
        <v>9</v>
      </c>
    </row>
    <row r="6734" spans="1:5" x14ac:dyDescent="0.25">
      <c r="A6734">
        <v>6733</v>
      </c>
      <c r="B6734">
        <v>983698</v>
      </c>
      <c r="C6734" s="1" t="str">
        <f>HYPERLINK("http://stackoverflow.com/users/983698", "kuka")</f>
        <v>kuka</v>
      </c>
      <c r="D6734" t="s">
        <v>4</v>
      </c>
      <c r="E6734">
        <v>9</v>
      </c>
    </row>
    <row r="6735" spans="1:5" x14ac:dyDescent="0.25">
      <c r="A6735">
        <v>6734</v>
      </c>
      <c r="B6735">
        <v>6116393</v>
      </c>
      <c r="C6735" s="1" t="str">
        <f>HYPERLINK("http://stackoverflow.com/users/6116393", "Vuchan")</f>
        <v>Vuchan</v>
      </c>
      <c r="D6735" t="s">
        <v>28</v>
      </c>
      <c r="E6735">
        <v>9</v>
      </c>
    </row>
    <row r="6736" spans="1:5" x14ac:dyDescent="0.25">
      <c r="A6736">
        <v>6735</v>
      </c>
      <c r="B6736">
        <v>6098195</v>
      </c>
      <c r="C6736" s="1" t="str">
        <f>HYPERLINK("http://stackoverflow.com/users/6098195", "Linsama")</f>
        <v>Linsama</v>
      </c>
      <c r="D6736" t="s">
        <v>5</v>
      </c>
      <c r="E6736">
        <v>9</v>
      </c>
    </row>
    <row r="6737" spans="1:5" x14ac:dyDescent="0.25">
      <c r="A6737">
        <v>6736</v>
      </c>
      <c r="B6737">
        <v>7945549</v>
      </c>
      <c r="C6737" s="1" t="str">
        <f>HYPERLINK("http://stackoverflow.com/users/7945549", "Z.Liu")</f>
        <v>Z.Liu</v>
      </c>
      <c r="D6737" t="s">
        <v>5</v>
      </c>
      <c r="E6737">
        <v>9</v>
      </c>
    </row>
    <row r="6738" spans="1:5" x14ac:dyDescent="0.25">
      <c r="A6738">
        <v>6737</v>
      </c>
      <c r="B6738">
        <v>9745131</v>
      </c>
      <c r="C6738" s="1" t="str">
        <f>HYPERLINK("http://stackoverflow.com/users/9745131", "Nico.Wang")</f>
        <v>Nico.Wang</v>
      </c>
      <c r="D6738" t="s">
        <v>5</v>
      </c>
      <c r="E6738">
        <v>9</v>
      </c>
    </row>
    <row r="6739" spans="1:5" x14ac:dyDescent="0.25">
      <c r="A6739">
        <v>6738</v>
      </c>
      <c r="B6739">
        <v>9745195</v>
      </c>
      <c r="C6739" s="1" t="str">
        <f>HYPERLINK("http://stackoverflow.com/users/9745195", "Shahrear Mahmud")</f>
        <v>Shahrear Mahmud</v>
      </c>
      <c r="D6739" t="s">
        <v>7</v>
      </c>
      <c r="E6739">
        <v>9</v>
      </c>
    </row>
    <row r="6740" spans="1:5" x14ac:dyDescent="0.25">
      <c r="A6740">
        <v>6739</v>
      </c>
      <c r="B6740">
        <v>6353747</v>
      </c>
      <c r="C6740" s="1" t="str">
        <f>HYPERLINK("http://stackoverflow.com/users/6353747", "Xander.Wang")</f>
        <v>Xander.Wang</v>
      </c>
      <c r="D6740" t="s">
        <v>4</v>
      </c>
      <c r="E6740">
        <v>9</v>
      </c>
    </row>
    <row r="6741" spans="1:5" x14ac:dyDescent="0.25">
      <c r="A6741">
        <v>6740</v>
      </c>
      <c r="B6741">
        <v>8130550</v>
      </c>
      <c r="C6741" s="1" t="str">
        <f>HYPERLINK("http://stackoverflow.com/users/8130550", "damonxu")</f>
        <v>damonxu</v>
      </c>
      <c r="D6741" t="s">
        <v>4</v>
      </c>
      <c r="E6741">
        <v>9</v>
      </c>
    </row>
    <row r="6742" spans="1:5" x14ac:dyDescent="0.25">
      <c r="A6742">
        <v>6741</v>
      </c>
      <c r="B6742">
        <v>7328336</v>
      </c>
      <c r="C6742" s="1" t="str">
        <f>HYPERLINK("http://stackoverflow.com/users/7328336", "Jack Wang")</f>
        <v>Jack Wang</v>
      </c>
      <c r="D6742" t="s">
        <v>367</v>
      </c>
      <c r="E6742">
        <v>9</v>
      </c>
    </row>
    <row r="6743" spans="1:5" x14ac:dyDescent="0.25">
      <c r="A6743">
        <v>6742</v>
      </c>
      <c r="B6743">
        <v>7309097</v>
      </c>
      <c r="C6743" s="1" t="str">
        <f>HYPERLINK("http://stackoverflow.com/users/7309097", "Eric Gong")</f>
        <v>Eric Gong</v>
      </c>
      <c r="D6743" t="s">
        <v>5</v>
      </c>
      <c r="E6743">
        <v>9</v>
      </c>
    </row>
    <row r="6744" spans="1:5" x14ac:dyDescent="0.25">
      <c r="A6744">
        <v>6743</v>
      </c>
      <c r="B6744">
        <v>2294051</v>
      </c>
      <c r="C6744" s="1" t="str">
        <f>HYPERLINK("http://stackoverflow.com/users/2294051", "jack.zhang")</f>
        <v>jack.zhang</v>
      </c>
      <c r="D6744" t="s">
        <v>368</v>
      </c>
      <c r="E6744">
        <v>9</v>
      </c>
    </row>
    <row r="6745" spans="1:5" x14ac:dyDescent="0.25">
      <c r="A6745">
        <v>6744</v>
      </c>
      <c r="B6745">
        <v>7608422</v>
      </c>
      <c r="C6745" s="1" t="str">
        <f>HYPERLINK("http://stackoverflow.com/users/7608422", "OceanSummer")</f>
        <v>OceanSummer</v>
      </c>
      <c r="D6745" t="s">
        <v>4</v>
      </c>
      <c r="E6745">
        <v>9</v>
      </c>
    </row>
    <row r="6746" spans="1:5" x14ac:dyDescent="0.25">
      <c r="A6746">
        <v>6745</v>
      </c>
      <c r="B6746">
        <v>6064410</v>
      </c>
      <c r="C6746" s="1" t="str">
        <f>HYPERLINK("http://stackoverflow.com/users/6064410", "Bill")</f>
        <v>Bill</v>
      </c>
      <c r="D6746" t="s">
        <v>55</v>
      </c>
      <c r="E6746">
        <v>9</v>
      </c>
    </row>
    <row r="6747" spans="1:5" x14ac:dyDescent="0.25">
      <c r="A6747">
        <v>6746</v>
      </c>
      <c r="B6747">
        <v>2499821</v>
      </c>
      <c r="C6747" s="1" t="str">
        <f>HYPERLINK("http://stackoverflow.com/users/2499821", "aidyliuliu")</f>
        <v>aidyliuliu</v>
      </c>
      <c r="D6747" t="s">
        <v>4</v>
      </c>
      <c r="E6747">
        <v>9</v>
      </c>
    </row>
    <row r="6748" spans="1:5" x14ac:dyDescent="0.25">
      <c r="A6748">
        <v>6747</v>
      </c>
      <c r="B6748">
        <v>9993402</v>
      </c>
      <c r="C6748" s="1" t="str">
        <f>HYPERLINK("http://stackoverflow.com/users/9993402", "Don Shu")</f>
        <v>Don Shu</v>
      </c>
      <c r="D6748" t="s">
        <v>5</v>
      </c>
      <c r="E6748">
        <v>9</v>
      </c>
    </row>
    <row r="6749" spans="1:5" x14ac:dyDescent="0.25">
      <c r="A6749">
        <v>6748</v>
      </c>
      <c r="B6749">
        <v>650868</v>
      </c>
      <c r="C6749" s="1" t="str">
        <f>HYPERLINK("http://stackoverflow.com/users/650868", "Bingo")</f>
        <v>Bingo</v>
      </c>
      <c r="D6749" t="s">
        <v>5</v>
      </c>
      <c r="E6749">
        <v>9</v>
      </c>
    </row>
    <row r="6750" spans="1:5" x14ac:dyDescent="0.25">
      <c r="A6750">
        <v>6749</v>
      </c>
      <c r="B6750">
        <v>8639307</v>
      </c>
      <c r="C6750" s="1" t="str">
        <f>HYPERLINK("http://stackoverflow.com/users/8639307", "Steven Song")</f>
        <v>Steven Song</v>
      </c>
      <c r="D6750" t="s">
        <v>8</v>
      </c>
      <c r="E6750">
        <v>9</v>
      </c>
    </row>
    <row r="6751" spans="1:5" x14ac:dyDescent="0.25">
      <c r="A6751">
        <v>6750</v>
      </c>
      <c r="B6751">
        <v>1508120</v>
      </c>
      <c r="C6751" s="1" t="str">
        <f>HYPERLINK("http://stackoverflow.com/users/1508120", "Sid Zhang")</f>
        <v>Sid Zhang</v>
      </c>
      <c r="D6751" t="s">
        <v>12</v>
      </c>
      <c r="E6751">
        <v>9</v>
      </c>
    </row>
    <row r="6752" spans="1:5" x14ac:dyDescent="0.25">
      <c r="A6752">
        <v>6751</v>
      </c>
      <c r="B6752">
        <v>7334012</v>
      </c>
      <c r="C6752" s="1" t="str">
        <f>HYPERLINK("http://stackoverflow.com/users/7334012", "Leah210")</f>
        <v>Leah210</v>
      </c>
      <c r="D6752" t="s">
        <v>25</v>
      </c>
      <c r="E6752">
        <v>9</v>
      </c>
    </row>
    <row r="6753" spans="1:5" x14ac:dyDescent="0.25">
      <c r="A6753">
        <v>6752</v>
      </c>
      <c r="B6753">
        <v>4301977</v>
      </c>
      <c r="C6753" s="1" t="str">
        <f>HYPERLINK("http://stackoverflow.com/users/4301977", "Belem Zhang")</f>
        <v>Belem Zhang</v>
      </c>
      <c r="D6753" t="s">
        <v>4</v>
      </c>
      <c r="E6753">
        <v>9</v>
      </c>
    </row>
    <row r="6754" spans="1:5" x14ac:dyDescent="0.25">
      <c r="A6754">
        <v>6753</v>
      </c>
      <c r="B6754">
        <v>4065707</v>
      </c>
      <c r="C6754" s="1" t="str">
        <f>HYPERLINK("http://stackoverflow.com/users/4065707", "Johns")</f>
        <v>Johns</v>
      </c>
      <c r="D6754" t="s">
        <v>4</v>
      </c>
      <c r="E6754">
        <v>9</v>
      </c>
    </row>
    <row r="6755" spans="1:5" x14ac:dyDescent="0.25">
      <c r="A6755">
        <v>6754</v>
      </c>
      <c r="B6755">
        <v>6555154</v>
      </c>
      <c r="C6755" s="1" t="str">
        <f>HYPERLINK("http://stackoverflow.com/users/6555154", "Zhang Qun")</f>
        <v>Zhang Qun</v>
      </c>
      <c r="D6755" t="s">
        <v>4</v>
      </c>
      <c r="E6755">
        <v>9</v>
      </c>
    </row>
    <row r="6756" spans="1:5" x14ac:dyDescent="0.25">
      <c r="A6756">
        <v>6755</v>
      </c>
      <c r="B6756">
        <v>6517061</v>
      </c>
      <c r="C6756" s="1" t="str">
        <f>HYPERLINK("http://stackoverflow.com/users/6517061", "molly")</f>
        <v>molly</v>
      </c>
      <c r="D6756" t="s">
        <v>4</v>
      </c>
      <c r="E6756">
        <v>9</v>
      </c>
    </row>
    <row r="6757" spans="1:5" x14ac:dyDescent="0.25">
      <c r="A6757">
        <v>6756</v>
      </c>
      <c r="B6757">
        <v>4719136</v>
      </c>
      <c r="C6757" s="1" t="str">
        <f>HYPERLINK("http://stackoverflow.com/users/4719136", "Chaopeng Zhang")</f>
        <v>Chaopeng Zhang</v>
      </c>
      <c r="D6757" t="s">
        <v>369</v>
      </c>
      <c r="E6757">
        <v>9</v>
      </c>
    </row>
    <row r="6758" spans="1:5" x14ac:dyDescent="0.25">
      <c r="A6758">
        <v>6757</v>
      </c>
      <c r="B6758">
        <v>6161486</v>
      </c>
      <c r="C6758" s="1" t="str">
        <f>HYPERLINK("http://stackoverflow.com/users/6161486", "Morningxxx")</f>
        <v>Morningxxx</v>
      </c>
      <c r="D6758" t="s">
        <v>4</v>
      </c>
      <c r="E6758">
        <v>9</v>
      </c>
    </row>
    <row r="6759" spans="1:5" x14ac:dyDescent="0.25">
      <c r="A6759">
        <v>6758</v>
      </c>
      <c r="B6759">
        <v>475495</v>
      </c>
      <c r="C6759" s="1" t="str">
        <f>HYPERLINK("http://stackoverflow.com/users/475495", "Jinyuan")</f>
        <v>Jinyuan</v>
      </c>
      <c r="D6759" t="s">
        <v>4</v>
      </c>
      <c r="E6759">
        <v>9</v>
      </c>
    </row>
    <row r="6760" spans="1:5" x14ac:dyDescent="0.25">
      <c r="A6760">
        <v>6759</v>
      </c>
      <c r="B6760">
        <v>8117177</v>
      </c>
      <c r="C6760" s="1" t="str">
        <f>HYPERLINK("http://stackoverflow.com/users/8117177", "Nick.Rhan")</f>
        <v>Nick.Rhan</v>
      </c>
      <c r="D6760" t="s">
        <v>7</v>
      </c>
      <c r="E6760">
        <v>9</v>
      </c>
    </row>
    <row r="6761" spans="1:5" x14ac:dyDescent="0.25">
      <c r="A6761">
        <v>6760</v>
      </c>
      <c r="B6761">
        <v>5305432</v>
      </c>
      <c r="C6761" s="1" t="str">
        <f>HYPERLINK("http://stackoverflow.com/users/5305432", "HelloBird")</f>
        <v>HelloBird</v>
      </c>
      <c r="D6761" t="s">
        <v>28</v>
      </c>
      <c r="E6761">
        <v>9</v>
      </c>
    </row>
    <row r="6762" spans="1:5" x14ac:dyDescent="0.25">
      <c r="A6762">
        <v>6761</v>
      </c>
      <c r="B6762">
        <v>5332352</v>
      </c>
      <c r="C6762" s="1" t="str">
        <f>HYPERLINK("http://stackoverflow.com/users/5332352", "Derrick Guan")</f>
        <v>Derrick Guan</v>
      </c>
      <c r="D6762" t="s">
        <v>25</v>
      </c>
      <c r="E6762">
        <v>9</v>
      </c>
    </row>
    <row r="6763" spans="1:5" x14ac:dyDescent="0.25">
      <c r="A6763">
        <v>6762</v>
      </c>
      <c r="B6763">
        <v>3579961</v>
      </c>
      <c r="C6763" s="1" t="str">
        <f>HYPERLINK("http://stackoverflow.com/users/3579961", "caesun")</f>
        <v>caesun</v>
      </c>
      <c r="D6763" t="s">
        <v>4</v>
      </c>
      <c r="E6763">
        <v>9</v>
      </c>
    </row>
    <row r="6764" spans="1:5" x14ac:dyDescent="0.25">
      <c r="A6764">
        <v>6763</v>
      </c>
      <c r="B6764">
        <v>1982799</v>
      </c>
      <c r="C6764" s="1" t="str">
        <f>HYPERLINK("http://stackoverflow.com/users/1982799", "microease")</f>
        <v>microease</v>
      </c>
      <c r="D6764" t="s">
        <v>8</v>
      </c>
      <c r="E6764">
        <v>9</v>
      </c>
    </row>
    <row r="6765" spans="1:5" x14ac:dyDescent="0.25">
      <c r="A6765">
        <v>6764</v>
      </c>
      <c r="B6765">
        <v>3960077</v>
      </c>
      <c r="C6765" s="1" t="str">
        <f>HYPERLINK("http://stackoverflow.com/users/3960077", "pureHXY_Frank")</f>
        <v>pureHXY_Frank</v>
      </c>
      <c r="D6765" t="s">
        <v>5</v>
      </c>
      <c r="E6765">
        <v>9</v>
      </c>
    </row>
    <row r="6766" spans="1:5" x14ac:dyDescent="0.25">
      <c r="A6766">
        <v>6765</v>
      </c>
      <c r="B6766">
        <v>2372519</v>
      </c>
      <c r="C6766" s="1" t="str">
        <f>HYPERLINK("http://stackoverflow.com/users/2372519", "LyricSong")</f>
        <v>LyricSong</v>
      </c>
      <c r="D6766" t="s">
        <v>28</v>
      </c>
      <c r="E6766">
        <v>9</v>
      </c>
    </row>
    <row r="6767" spans="1:5" x14ac:dyDescent="0.25">
      <c r="A6767">
        <v>6766</v>
      </c>
      <c r="B6767">
        <v>7719129</v>
      </c>
      <c r="C6767" s="1" t="str">
        <f>HYPERLINK("http://stackoverflow.com/users/7719129", "J.Butter")</f>
        <v>J.Butter</v>
      </c>
      <c r="D6767" t="s">
        <v>52</v>
      </c>
      <c r="E6767">
        <v>9</v>
      </c>
    </row>
    <row r="6768" spans="1:5" x14ac:dyDescent="0.25">
      <c r="A6768">
        <v>6767</v>
      </c>
      <c r="B6768">
        <v>5978145</v>
      </c>
      <c r="C6768" s="1" t="str">
        <f>HYPERLINK("http://stackoverflow.com/users/5978145", "leohotfn")</f>
        <v>leohotfn</v>
      </c>
      <c r="D6768" t="s">
        <v>25</v>
      </c>
      <c r="E6768">
        <v>9</v>
      </c>
    </row>
    <row r="6769" spans="1:5" x14ac:dyDescent="0.25">
      <c r="A6769">
        <v>6768</v>
      </c>
      <c r="B6769">
        <v>4180303</v>
      </c>
      <c r="C6769" s="1" t="str">
        <f>HYPERLINK("http://stackoverflow.com/users/4180303", "vinnie feng")</f>
        <v>vinnie feng</v>
      </c>
      <c r="D6769" t="s">
        <v>91</v>
      </c>
      <c r="E6769">
        <v>9</v>
      </c>
    </row>
    <row r="6770" spans="1:5" x14ac:dyDescent="0.25">
      <c r="A6770">
        <v>6769</v>
      </c>
      <c r="B6770">
        <v>1963885</v>
      </c>
      <c r="C6770" s="1" t="str">
        <f>HYPERLINK("http://stackoverflow.com/users/1963885", "Novem")</f>
        <v>Novem</v>
      </c>
      <c r="D6770" t="s">
        <v>5</v>
      </c>
      <c r="E6770">
        <v>9</v>
      </c>
    </row>
    <row r="6771" spans="1:5" x14ac:dyDescent="0.25">
      <c r="A6771">
        <v>6770</v>
      </c>
      <c r="B6771">
        <v>5629116</v>
      </c>
      <c r="C6771" s="1" t="str">
        <f>HYPERLINK("http://stackoverflow.com/users/5629116", "Xingxin Pei")</f>
        <v>Xingxin Pei</v>
      </c>
      <c r="D6771" t="s">
        <v>17</v>
      </c>
      <c r="E6771">
        <v>9</v>
      </c>
    </row>
    <row r="6772" spans="1:5" x14ac:dyDescent="0.25">
      <c r="A6772">
        <v>6771</v>
      </c>
      <c r="B6772">
        <v>5658609</v>
      </c>
      <c r="C6772" s="1" t="str">
        <f>HYPERLINK("http://stackoverflow.com/users/5658609", "Andy")</f>
        <v>Andy</v>
      </c>
      <c r="D6772" t="s">
        <v>5</v>
      </c>
      <c r="E6772">
        <v>9</v>
      </c>
    </row>
    <row r="6773" spans="1:5" x14ac:dyDescent="0.25">
      <c r="A6773">
        <v>6772</v>
      </c>
      <c r="B6773">
        <v>2131901</v>
      </c>
      <c r="C6773" s="1" t="str">
        <f>HYPERLINK("http://stackoverflow.com/users/2131901", "archer")</f>
        <v>archer</v>
      </c>
      <c r="D6773" t="s">
        <v>4</v>
      </c>
      <c r="E6773">
        <v>9</v>
      </c>
    </row>
    <row r="6774" spans="1:5" x14ac:dyDescent="0.25">
      <c r="A6774">
        <v>6773</v>
      </c>
      <c r="B6774">
        <v>5787370</v>
      </c>
      <c r="C6774" s="1" t="str">
        <f>HYPERLINK("http://stackoverflow.com/users/5787370", "MathKiller")</f>
        <v>MathKiller</v>
      </c>
      <c r="D6774" t="s">
        <v>22</v>
      </c>
      <c r="E6774">
        <v>9</v>
      </c>
    </row>
    <row r="6775" spans="1:5" x14ac:dyDescent="0.25">
      <c r="A6775">
        <v>6774</v>
      </c>
      <c r="B6775">
        <v>6198041</v>
      </c>
      <c r="C6775" s="1" t="str">
        <f>HYPERLINK("http://stackoverflow.com/users/6198041", "fengxsong")</f>
        <v>fengxsong</v>
      </c>
      <c r="D6775" t="s">
        <v>25</v>
      </c>
      <c r="E6775">
        <v>9</v>
      </c>
    </row>
    <row r="6776" spans="1:5" x14ac:dyDescent="0.25">
      <c r="A6776">
        <v>6775</v>
      </c>
      <c r="B6776">
        <v>6170558</v>
      </c>
      <c r="C6776" s="1" t="str">
        <f>HYPERLINK("http://stackoverflow.com/users/6170558", "Eric Chang")</f>
        <v>Eric Chang</v>
      </c>
      <c r="D6776" t="s">
        <v>5</v>
      </c>
      <c r="E6776">
        <v>9</v>
      </c>
    </row>
    <row r="6777" spans="1:5" x14ac:dyDescent="0.25">
      <c r="A6777">
        <v>6776</v>
      </c>
      <c r="B6777">
        <v>10200695</v>
      </c>
      <c r="C6777" s="1" t="str">
        <f>HYPERLINK("http://stackoverflow.com/users/10200695", "Char")</f>
        <v>Char</v>
      </c>
      <c r="D6777" t="s">
        <v>5</v>
      </c>
      <c r="E6777">
        <v>9</v>
      </c>
    </row>
    <row r="6778" spans="1:5" x14ac:dyDescent="0.25">
      <c r="A6778">
        <v>6777</v>
      </c>
      <c r="B6778">
        <v>1115407</v>
      </c>
      <c r="C6778" s="1" t="str">
        <f>HYPERLINK("http://stackoverflow.com/users/1115407", "numbbuaa")</f>
        <v>numbbuaa</v>
      </c>
      <c r="D6778" t="s">
        <v>5</v>
      </c>
      <c r="E6778">
        <v>9</v>
      </c>
    </row>
    <row r="6779" spans="1:5" x14ac:dyDescent="0.25">
      <c r="A6779">
        <v>6778</v>
      </c>
      <c r="B6779">
        <v>3086537</v>
      </c>
      <c r="C6779" s="1" t="str">
        <f>HYPERLINK("http://stackoverflow.com/users/3086537", "SadieYu")</f>
        <v>SadieYu</v>
      </c>
      <c r="D6779" t="s">
        <v>5</v>
      </c>
      <c r="E6779">
        <v>9</v>
      </c>
    </row>
    <row r="6780" spans="1:5" x14ac:dyDescent="0.25">
      <c r="A6780">
        <v>6779</v>
      </c>
      <c r="B6780">
        <v>6755164</v>
      </c>
      <c r="C6780" s="1" t="str">
        <f>HYPERLINK("http://stackoverflow.com/users/6755164", "qydq")</f>
        <v>qydq</v>
      </c>
      <c r="D6780" t="s">
        <v>370</v>
      </c>
      <c r="E6780">
        <v>9</v>
      </c>
    </row>
    <row r="6781" spans="1:5" x14ac:dyDescent="0.25">
      <c r="A6781">
        <v>6780</v>
      </c>
      <c r="B6781">
        <v>6637494</v>
      </c>
      <c r="C6781" s="1" t="str">
        <f>HYPERLINK("http://stackoverflow.com/users/6637494", "Femchengdu")</f>
        <v>Femchengdu</v>
      </c>
      <c r="D6781" t="s">
        <v>28</v>
      </c>
      <c r="E6781">
        <v>9</v>
      </c>
    </row>
    <row r="6782" spans="1:5" x14ac:dyDescent="0.25">
      <c r="A6782">
        <v>6781</v>
      </c>
      <c r="B6782">
        <v>5421639</v>
      </c>
      <c r="C6782" s="1" t="str">
        <f>HYPERLINK("http://stackoverflow.com/users/5421639", "j.min")</f>
        <v>j.min</v>
      </c>
      <c r="D6782" t="s">
        <v>4</v>
      </c>
      <c r="E6782">
        <v>9</v>
      </c>
    </row>
    <row r="6783" spans="1:5" x14ac:dyDescent="0.25">
      <c r="A6783">
        <v>6782</v>
      </c>
      <c r="B6783">
        <v>5371374</v>
      </c>
      <c r="C6783" s="1" t="str">
        <f>HYPERLINK("http://stackoverflow.com/users/5371374", "mr.chen")</f>
        <v>mr.chen</v>
      </c>
      <c r="D6783" t="s">
        <v>5</v>
      </c>
      <c r="E6783">
        <v>9</v>
      </c>
    </row>
    <row r="6784" spans="1:5" x14ac:dyDescent="0.25">
      <c r="A6784">
        <v>6783</v>
      </c>
      <c r="B6784">
        <v>8951465</v>
      </c>
      <c r="C6784" s="1" t="str">
        <f>HYPERLINK("http://stackoverflow.com/users/8951465", "maojun")</f>
        <v>maojun</v>
      </c>
      <c r="D6784" t="s">
        <v>4</v>
      </c>
      <c r="E6784">
        <v>9</v>
      </c>
    </row>
    <row r="6785" spans="1:5" x14ac:dyDescent="0.25">
      <c r="A6785">
        <v>6784</v>
      </c>
      <c r="B6785">
        <v>1699618</v>
      </c>
      <c r="C6785" s="1" t="str">
        <f>HYPERLINK("http://stackoverflow.com/users/1699618", "tian")</f>
        <v>tian</v>
      </c>
      <c r="D6785" t="s">
        <v>5</v>
      </c>
      <c r="E6785">
        <v>9</v>
      </c>
    </row>
    <row r="6786" spans="1:5" x14ac:dyDescent="0.25">
      <c r="A6786">
        <v>6785</v>
      </c>
      <c r="B6786">
        <v>5663629</v>
      </c>
      <c r="C6786" s="1" t="str">
        <f>HYPERLINK("http://stackoverflow.com/users/5663629", "super.ling")</f>
        <v>super.ling</v>
      </c>
      <c r="D6786" t="s">
        <v>21</v>
      </c>
      <c r="E6786">
        <v>9</v>
      </c>
    </row>
    <row r="6787" spans="1:5" x14ac:dyDescent="0.25">
      <c r="A6787">
        <v>6786</v>
      </c>
      <c r="B6787">
        <v>7476653</v>
      </c>
      <c r="C6787" s="1" t="str">
        <f>HYPERLINK("http://stackoverflow.com/users/7476653", "user7476653")</f>
        <v>user7476653</v>
      </c>
      <c r="D6787" t="s">
        <v>4</v>
      </c>
      <c r="E6787">
        <v>9</v>
      </c>
    </row>
    <row r="6788" spans="1:5" x14ac:dyDescent="0.25">
      <c r="A6788">
        <v>6787</v>
      </c>
      <c r="B6788">
        <v>2338634</v>
      </c>
      <c r="C6788" s="1" t="str">
        <f>HYPERLINK("http://stackoverflow.com/users/2338634", "Murphy")</f>
        <v>Murphy</v>
      </c>
      <c r="D6788" t="s">
        <v>8</v>
      </c>
      <c r="E6788">
        <v>9</v>
      </c>
    </row>
    <row r="6789" spans="1:5" x14ac:dyDescent="0.25">
      <c r="A6789">
        <v>6788</v>
      </c>
      <c r="B6789">
        <v>2982372</v>
      </c>
      <c r="C6789" s="1" t="str">
        <f>HYPERLINK("http://stackoverflow.com/users/2982372", "Claret")</f>
        <v>Claret</v>
      </c>
      <c r="D6789" t="s">
        <v>371</v>
      </c>
      <c r="E6789">
        <v>9</v>
      </c>
    </row>
    <row r="6790" spans="1:5" x14ac:dyDescent="0.25">
      <c r="A6790">
        <v>6789</v>
      </c>
      <c r="B6790">
        <v>672249</v>
      </c>
      <c r="C6790" s="1" t="str">
        <f>HYPERLINK("http://stackoverflow.com/users/672249", "guoxiaoyong")</f>
        <v>guoxiaoyong</v>
      </c>
      <c r="D6790" t="s">
        <v>362</v>
      </c>
      <c r="E6790">
        <v>9</v>
      </c>
    </row>
    <row r="6791" spans="1:5" x14ac:dyDescent="0.25">
      <c r="A6791">
        <v>6790</v>
      </c>
      <c r="B6791">
        <v>10069847</v>
      </c>
      <c r="C6791" s="1" t="str">
        <f>HYPERLINK("http://stackoverflow.com/users/10069847", "mengLV LI")</f>
        <v>mengLV LI</v>
      </c>
      <c r="D6791" t="s">
        <v>57</v>
      </c>
      <c r="E6791">
        <v>9</v>
      </c>
    </row>
    <row r="6792" spans="1:5" x14ac:dyDescent="0.25">
      <c r="A6792">
        <v>6791</v>
      </c>
      <c r="B6792">
        <v>904491</v>
      </c>
      <c r="C6792" s="1" t="str">
        <f>HYPERLINK("http://stackoverflow.com/users/904491", "spyder")</f>
        <v>spyder</v>
      </c>
      <c r="D6792" t="s">
        <v>8</v>
      </c>
      <c r="E6792">
        <v>9</v>
      </c>
    </row>
    <row r="6793" spans="1:5" x14ac:dyDescent="0.25">
      <c r="A6793">
        <v>6792</v>
      </c>
      <c r="B6793">
        <v>2692193</v>
      </c>
      <c r="C6793" s="1" t="str">
        <f>HYPERLINK("http://stackoverflow.com/users/2692193", "Stonexin")</f>
        <v>Stonexin</v>
      </c>
      <c r="D6793" t="s">
        <v>4</v>
      </c>
      <c r="E6793">
        <v>9</v>
      </c>
    </row>
    <row r="6794" spans="1:5" x14ac:dyDescent="0.25">
      <c r="A6794">
        <v>6793</v>
      </c>
      <c r="B6794">
        <v>9610397</v>
      </c>
      <c r="C6794" s="1" t="str">
        <f>HYPERLINK("http://stackoverflow.com/users/9610397", "Vicking")</f>
        <v>Vicking</v>
      </c>
      <c r="D6794" t="s">
        <v>4</v>
      </c>
      <c r="E6794">
        <v>9</v>
      </c>
    </row>
    <row r="6795" spans="1:5" x14ac:dyDescent="0.25">
      <c r="A6795">
        <v>6794</v>
      </c>
      <c r="B6795">
        <v>6198251</v>
      </c>
      <c r="C6795" s="1" t="str">
        <f>HYPERLINK("http://stackoverflow.com/users/6198251", "TristaLee")</f>
        <v>TristaLee</v>
      </c>
      <c r="D6795" t="s">
        <v>5</v>
      </c>
      <c r="E6795">
        <v>9</v>
      </c>
    </row>
    <row r="6796" spans="1:5" x14ac:dyDescent="0.25">
      <c r="A6796">
        <v>6795</v>
      </c>
      <c r="B6796">
        <v>2673247</v>
      </c>
      <c r="C6796" s="1" t="str">
        <f>HYPERLINK("http://stackoverflow.com/users/2673247", "wikistar")</f>
        <v>wikistar</v>
      </c>
      <c r="D6796" t="s">
        <v>135</v>
      </c>
      <c r="E6796">
        <v>9</v>
      </c>
    </row>
    <row r="6797" spans="1:5" x14ac:dyDescent="0.25">
      <c r="A6797">
        <v>6796</v>
      </c>
      <c r="B6797">
        <v>3047973</v>
      </c>
      <c r="C6797" s="1" t="str">
        <f>HYPERLINK("http://stackoverflow.com/users/3047973", "cayden")</f>
        <v>cayden</v>
      </c>
      <c r="D6797" t="s">
        <v>5</v>
      </c>
      <c r="E6797">
        <v>9</v>
      </c>
    </row>
    <row r="6798" spans="1:5" x14ac:dyDescent="0.25">
      <c r="A6798">
        <v>6797</v>
      </c>
      <c r="B6798">
        <v>1046780</v>
      </c>
      <c r="C6798" s="1" t="str">
        <f>HYPERLINK("http://stackoverflow.com/users/1046780", "Big Bang")</f>
        <v>Big Bang</v>
      </c>
      <c r="D6798" t="s">
        <v>5</v>
      </c>
      <c r="E6798">
        <v>9</v>
      </c>
    </row>
    <row r="6799" spans="1:5" x14ac:dyDescent="0.25">
      <c r="A6799">
        <v>6798</v>
      </c>
      <c r="B6799">
        <v>1137779</v>
      </c>
      <c r="C6799" s="1" t="str">
        <f>HYPERLINK("http://stackoverflow.com/users/1137779", "JiaoChangyun")</f>
        <v>JiaoChangyun</v>
      </c>
      <c r="D6799" t="s">
        <v>372</v>
      </c>
      <c r="E6799">
        <v>9</v>
      </c>
    </row>
    <row r="6800" spans="1:5" x14ac:dyDescent="0.25">
      <c r="A6800">
        <v>6799</v>
      </c>
      <c r="B6800">
        <v>5082897</v>
      </c>
      <c r="C6800" s="1" t="str">
        <f>HYPERLINK("http://stackoverflow.com/users/5082897", "Lusfold")</f>
        <v>Lusfold</v>
      </c>
      <c r="D6800" t="s">
        <v>8</v>
      </c>
      <c r="E6800">
        <v>9</v>
      </c>
    </row>
    <row r="6801" spans="1:5" x14ac:dyDescent="0.25">
      <c r="A6801">
        <v>6800</v>
      </c>
      <c r="B6801">
        <v>5311623</v>
      </c>
      <c r="C6801" s="1" t="str">
        <f>HYPERLINK("http://stackoverflow.com/users/5311623", "gehan")</f>
        <v>gehan</v>
      </c>
      <c r="D6801" t="s">
        <v>4</v>
      </c>
      <c r="E6801">
        <v>9</v>
      </c>
    </row>
    <row r="6802" spans="1:5" x14ac:dyDescent="0.25">
      <c r="A6802">
        <v>6801</v>
      </c>
      <c r="B6802">
        <v>6069213</v>
      </c>
      <c r="C6802" s="1" t="str">
        <f>HYPERLINK("http://stackoverflow.com/users/6069213", "Beckon")</f>
        <v>Beckon</v>
      </c>
      <c r="D6802" t="s">
        <v>4</v>
      </c>
      <c r="E6802">
        <v>9</v>
      </c>
    </row>
    <row r="6803" spans="1:5" x14ac:dyDescent="0.25">
      <c r="A6803">
        <v>6802</v>
      </c>
      <c r="B6803">
        <v>2533707</v>
      </c>
      <c r="C6803" s="1" t="str">
        <f>HYPERLINK("http://stackoverflow.com/users/2533707", "shahuwang")</f>
        <v>shahuwang</v>
      </c>
      <c r="D6803" t="s">
        <v>21</v>
      </c>
      <c r="E6803">
        <v>9</v>
      </c>
    </row>
    <row r="6804" spans="1:5" x14ac:dyDescent="0.25">
      <c r="A6804">
        <v>6803</v>
      </c>
      <c r="B6804">
        <v>9762836</v>
      </c>
      <c r="C6804" s="1" t="str">
        <f>HYPERLINK("http://stackoverflow.com/users/9762836", "Muhammad Ahsan")</f>
        <v>Muhammad Ahsan</v>
      </c>
      <c r="D6804" t="s">
        <v>5</v>
      </c>
      <c r="E6804">
        <v>9</v>
      </c>
    </row>
    <row r="6805" spans="1:5" x14ac:dyDescent="0.25">
      <c r="A6805">
        <v>6804</v>
      </c>
      <c r="B6805">
        <v>3685956</v>
      </c>
      <c r="C6805" s="1" t="str">
        <f>HYPERLINK("http://stackoverflow.com/users/3685956", "Long")</f>
        <v>Long</v>
      </c>
      <c r="D6805" t="s">
        <v>4</v>
      </c>
      <c r="E6805">
        <v>9</v>
      </c>
    </row>
    <row r="6806" spans="1:5" x14ac:dyDescent="0.25">
      <c r="A6806">
        <v>6805</v>
      </c>
      <c r="B6806">
        <v>1849083</v>
      </c>
      <c r="C6806" s="1" t="str">
        <f>HYPERLINK("http://stackoverflow.com/users/1849083", "Bluestone")</f>
        <v>Bluestone</v>
      </c>
      <c r="D6806" t="s">
        <v>373</v>
      </c>
      <c r="E6806">
        <v>9</v>
      </c>
    </row>
    <row r="6807" spans="1:5" x14ac:dyDescent="0.25">
      <c r="A6807">
        <v>6806</v>
      </c>
      <c r="B6807">
        <v>10905442</v>
      </c>
      <c r="C6807" s="1" t="str">
        <f>HYPERLINK("http://stackoverflow.com/users/10905442", "Daxialuo")</f>
        <v>Daxialuo</v>
      </c>
      <c r="D6807" t="s">
        <v>4</v>
      </c>
      <c r="E6807">
        <v>8</v>
      </c>
    </row>
    <row r="6808" spans="1:5" x14ac:dyDescent="0.25">
      <c r="A6808">
        <v>6807</v>
      </c>
      <c r="B6808">
        <v>9101800</v>
      </c>
      <c r="C6808" s="1" t="str">
        <f>HYPERLINK("http://stackoverflow.com/users/9101800", "Y. Ping")</f>
        <v>Y. Ping</v>
      </c>
      <c r="D6808" t="s">
        <v>52</v>
      </c>
      <c r="E6808">
        <v>8</v>
      </c>
    </row>
    <row r="6809" spans="1:5" x14ac:dyDescent="0.25">
      <c r="A6809">
        <v>6808</v>
      </c>
      <c r="B6809">
        <v>8970918</v>
      </c>
      <c r="C6809" s="1" t="str">
        <f>HYPERLINK("http://stackoverflow.com/users/8970918", "Xiaolong Zhou")</f>
        <v>Xiaolong Zhou</v>
      </c>
      <c r="D6809" t="s">
        <v>4</v>
      </c>
      <c r="E6809">
        <v>8</v>
      </c>
    </row>
    <row r="6810" spans="1:5" x14ac:dyDescent="0.25">
      <c r="A6810">
        <v>6809</v>
      </c>
      <c r="B6810">
        <v>7097671</v>
      </c>
      <c r="C6810" s="1" t="str">
        <f>HYPERLINK("http://stackoverflow.com/users/7097671", "changzhz")</f>
        <v>changzhz</v>
      </c>
      <c r="D6810" t="s">
        <v>5</v>
      </c>
      <c r="E6810">
        <v>8</v>
      </c>
    </row>
    <row r="6811" spans="1:5" x14ac:dyDescent="0.25">
      <c r="A6811">
        <v>6810</v>
      </c>
      <c r="B6811">
        <v>5402133</v>
      </c>
      <c r="C6811" s="1" t="str">
        <f>HYPERLINK("http://stackoverflow.com/users/5402133", "Corrado")</f>
        <v>Corrado</v>
      </c>
      <c r="D6811" t="s">
        <v>287</v>
      </c>
      <c r="E6811">
        <v>8</v>
      </c>
    </row>
    <row r="6812" spans="1:5" x14ac:dyDescent="0.25">
      <c r="A6812">
        <v>6811</v>
      </c>
      <c r="B6812">
        <v>5614253</v>
      </c>
      <c r="C6812" s="1" t="str">
        <f>HYPERLINK("http://stackoverflow.com/users/5614253", "PM.Z")</f>
        <v>PM.Z</v>
      </c>
      <c r="D6812" t="s">
        <v>3</v>
      </c>
      <c r="E6812">
        <v>8</v>
      </c>
    </row>
    <row r="6813" spans="1:5" x14ac:dyDescent="0.25">
      <c r="A6813">
        <v>6812</v>
      </c>
      <c r="B6813">
        <v>2002877</v>
      </c>
      <c r="C6813" s="1" t="str">
        <f>HYPERLINK("http://stackoverflow.com/users/2002877", "wangzhendong")</f>
        <v>wangzhendong</v>
      </c>
      <c r="D6813" t="s">
        <v>17</v>
      </c>
      <c r="E6813">
        <v>8</v>
      </c>
    </row>
    <row r="6814" spans="1:5" x14ac:dyDescent="0.25">
      <c r="A6814">
        <v>6813</v>
      </c>
      <c r="B6814">
        <v>7337581</v>
      </c>
      <c r="C6814" s="1" t="str">
        <f>HYPERLINK("http://stackoverflow.com/users/7337581", "郭日天")</f>
        <v>郭日天</v>
      </c>
      <c r="D6814" t="s">
        <v>5</v>
      </c>
      <c r="E6814">
        <v>8</v>
      </c>
    </row>
    <row r="6815" spans="1:5" x14ac:dyDescent="0.25">
      <c r="A6815">
        <v>6814</v>
      </c>
      <c r="B6815">
        <v>5496610</v>
      </c>
      <c r="C6815" s="1" t="str">
        <f>HYPERLINK("http://stackoverflow.com/users/5496610", "Conan06")</f>
        <v>Conan06</v>
      </c>
      <c r="D6815" t="s">
        <v>5</v>
      </c>
      <c r="E6815">
        <v>8</v>
      </c>
    </row>
    <row r="6816" spans="1:5" x14ac:dyDescent="0.25">
      <c r="A6816">
        <v>6815</v>
      </c>
      <c r="B6816">
        <v>5849992</v>
      </c>
      <c r="C6816" s="1" t="str">
        <f>HYPERLINK("http://stackoverflow.com/users/5849992", "Howard Zheng")</f>
        <v>Howard Zheng</v>
      </c>
      <c r="D6816" t="s">
        <v>10</v>
      </c>
      <c r="E6816">
        <v>8</v>
      </c>
    </row>
    <row r="6817" spans="1:5" x14ac:dyDescent="0.25">
      <c r="A6817">
        <v>6816</v>
      </c>
      <c r="B6817">
        <v>2330245</v>
      </c>
      <c r="C6817" s="1" t="str">
        <f>HYPERLINK("http://stackoverflow.com/users/2330245", "Kjartan Sigurdsson")</f>
        <v>Kjartan Sigurdsson</v>
      </c>
      <c r="D6817" t="s">
        <v>4</v>
      </c>
      <c r="E6817">
        <v>8</v>
      </c>
    </row>
    <row r="6818" spans="1:5" x14ac:dyDescent="0.25">
      <c r="A6818">
        <v>6817</v>
      </c>
      <c r="B6818">
        <v>5684819</v>
      </c>
      <c r="C6818" s="1" t="str">
        <f>HYPERLINK("http://stackoverflow.com/users/5684819", "adwerrd")</f>
        <v>adwerrd</v>
      </c>
      <c r="D6818" t="s">
        <v>5</v>
      </c>
      <c r="E6818">
        <v>8</v>
      </c>
    </row>
    <row r="6819" spans="1:5" x14ac:dyDescent="0.25">
      <c r="A6819">
        <v>6818</v>
      </c>
      <c r="B6819">
        <v>2142477</v>
      </c>
      <c r="C6819" s="1" t="str">
        <f>HYPERLINK("http://stackoverflow.com/users/2142477", "Wade Cong")</f>
        <v>Wade Cong</v>
      </c>
      <c r="D6819" t="s">
        <v>4</v>
      </c>
      <c r="E6819">
        <v>8</v>
      </c>
    </row>
    <row r="6820" spans="1:5" x14ac:dyDescent="0.25">
      <c r="A6820">
        <v>6819</v>
      </c>
      <c r="B6820">
        <v>3865930</v>
      </c>
      <c r="C6820" s="1" t="str">
        <f>HYPERLINK("http://stackoverflow.com/users/3865930", "Jenny_Chen")</f>
        <v>Jenny_Chen</v>
      </c>
      <c r="D6820" t="s">
        <v>4</v>
      </c>
      <c r="E6820">
        <v>8</v>
      </c>
    </row>
    <row r="6821" spans="1:5" x14ac:dyDescent="0.25">
      <c r="A6821">
        <v>6820</v>
      </c>
      <c r="B6821">
        <v>5782962</v>
      </c>
      <c r="C6821" s="1" t="str">
        <f>HYPERLINK("http://stackoverflow.com/users/5782962", "Yong")</f>
        <v>Yong</v>
      </c>
      <c r="D6821" t="s">
        <v>5</v>
      </c>
      <c r="E6821">
        <v>8</v>
      </c>
    </row>
    <row r="6822" spans="1:5" x14ac:dyDescent="0.25">
      <c r="A6822">
        <v>6821</v>
      </c>
      <c r="B6822">
        <v>7519210</v>
      </c>
      <c r="C6822" s="1" t="str">
        <f>HYPERLINK("http://stackoverflow.com/users/7519210", "Anush")</f>
        <v>Anush</v>
      </c>
      <c r="D6822" t="s">
        <v>4</v>
      </c>
      <c r="E6822">
        <v>8</v>
      </c>
    </row>
    <row r="6823" spans="1:5" x14ac:dyDescent="0.25">
      <c r="A6823">
        <v>6822</v>
      </c>
      <c r="B6823">
        <v>9736673</v>
      </c>
      <c r="C6823" s="1" t="str">
        <f>HYPERLINK("http://stackoverflow.com/users/9736673", "zq Liu")</f>
        <v>zq Liu</v>
      </c>
      <c r="D6823" t="s">
        <v>5</v>
      </c>
      <c r="E6823">
        <v>8</v>
      </c>
    </row>
    <row r="6824" spans="1:5" x14ac:dyDescent="0.25">
      <c r="A6824">
        <v>6823</v>
      </c>
      <c r="B6824">
        <v>443113</v>
      </c>
      <c r="C6824" s="1" t="str">
        <f>HYPERLINK("http://stackoverflow.com/users/443113", "eddielu")</f>
        <v>eddielu</v>
      </c>
      <c r="D6824" t="s">
        <v>4</v>
      </c>
      <c r="E6824">
        <v>8</v>
      </c>
    </row>
    <row r="6825" spans="1:5" x14ac:dyDescent="0.25">
      <c r="A6825">
        <v>6824</v>
      </c>
      <c r="B6825">
        <v>2549846</v>
      </c>
      <c r="C6825" s="1" t="str">
        <f>HYPERLINK("http://stackoverflow.com/users/2549846", "user2549846")</f>
        <v>user2549846</v>
      </c>
      <c r="D6825" t="s">
        <v>4</v>
      </c>
      <c r="E6825">
        <v>8</v>
      </c>
    </row>
    <row r="6826" spans="1:5" x14ac:dyDescent="0.25">
      <c r="A6826">
        <v>6825</v>
      </c>
      <c r="B6826">
        <v>6085269</v>
      </c>
      <c r="C6826" s="1" t="str">
        <f>HYPERLINK("http://stackoverflow.com/users/6085269", "Winkey Wong")</f>
        <v>Winkey Wong</v>
      </c>
      <c r="D6826" t="s">
        <v>374</v>
      </c>
      <c r="E6826">
        <v>8</v>
      </c>
    </row>
    <row r="6827" spans="1:5" x14ac:dyDescent="0.25">
      <c r="A6827">
        <v>6826</v>
      </c>
      <c r="B6827">
        <v>54850</v>
      </c>
      <c r="C6827" s="1" t="str">
        <f>HYPERLINK("http://stackoverflow.com/users/54850", "Gracepig ")</f>
        <v xml:space="preserve">Gracepig </v>
      </c>
      <c r="D6827" t="s">
        <v>5</v>
      </c>
      <c r="E6827">
        <v>8</v>
      </c>
    </row>
    <row r="6828" spans="1:5" x14ac:dyDescent="0.25">
      <c r="A6828">
        <v>6827</v>
      </c>
      <c r="B6828">
        <v>840011</v>
      </c>
      <c r="C6828" s="1" t="str">
        <f>HYPERLINK("http://stackoverflow.com/users/840011", "Stone")</f>
        <v>Stone</v>
      </c>
      <c r="D6828" t="s">
        <v>5</v>
      </c>
      <c r="E6828">
        <v>8</v>
      </c>
    </row>
    <row r="6829" spans="1:5" x14ac:dyDescent="0.25">
      <c r="A6829">
        <v>6828</v>
      </c>
      <c r="B6829">
        <v>2731612</v>
      </c>
      <c r="C6829" s="1" t="str">
        <f>HYPERLINK("http://stackoverflow.com/users/2731612", "jasonxia")</f>
        <v>jasonxia</v>
      </c>
      <c r="D6829" t="s">
        <v>5</v>
      </c>
      <c r="E6829">
        <v>8</v>
      </c>
    </row>
    <row r="6830" spans="1:5" x14ac:dyDescent="0.25">
      <c r="A6830">
        <v>6829</v>
      </c>
      <c r="B6830">
        <v>1647767</v>
      </c>
      <c r="C6830" s="1" t="str">
        <f>HYPERLINK("http://stackoverflow.com/users/1647767", "xiaomo")</f>
        <v>xiaomo</v>
      </c>
      <c r="D6830" t="s">
        <v>59</v>
      </c>
      <c r="E6830">
        <v>8</v>
      </c>
    </row>
    <row r="6831" spans="1:5" x14ac:dyDescent="0.25">
      <c r="A6831">
        <v>6830</v>
      </c>
      <c r="B6831">
        <v>1629706</v>
      </c>
      <c r="C6831" s="1" t="str">
        <f>HYPERLINK("http://stackoverflow.com/users/1629706", "Songva")</f>
        <v>Songva</v>
      </c>
      <c r="D6831" t="s">
        <v>54</v>
      </c>
      <c r="E6831">
        <v>8</v>
      </c>
    </row>
    <row r="6832" spans="1:5" x14ac:dyDescent="0.25">
      <c r="A6832">
        <v>6831</v>
      </c>
      <c r="B6832">
        <v>1608236</v>
      </c>
      <c r="C6832" s="1" t="str">
        <f>HYPERLINK("http://stackoverflow.com/users/1608236", "JasonChen")</f>
        <v>JasonChen</v>
      </c>
      <c r="D6832" t="s">
        <v>17</v>
      </c>
      <c r="E6832">
        <v>8</v>
      </c>
    </row>
    <row r="6833" spans="1:5" x14ac:dyDescent="0.25">
      <c r="A6833">
        <v>6832</v>
      </c>
      <c r="B6833">
        <v>10501936</v>
      </c>
      <c r="C6833" s="1" t="str">
        <f>HYPERLINK("http://stackoverflow.com/users/10501936", "Js Du")</f>
        <v>Js Du</v>
      </c>
      <c r="D6833" t="s">
        <v>25</v>
      </c>
      <c r="E6833">
        <v>8</v>
      </c>
    </row>
    <row r="6834" spans="1:5" x14ac:dyDescent="0.25">
      <c r="A6834">
        <v>6833</v>
      </c>
      <c r="B6834">
        <v>4881306</v>
      </c>
      <c r="C6834" s="1" t="str">
        <f>HYPERLINK("http://stackoverflow.com/users/4881306", "Weijian Zhao")</f>
        <v>Weijian Zhao</v>
      </c>
      <c r="D6834" t="s">
        <v>21</v>
      </c>
      <c r="E6834">
        <v>8</v>
      </c>
    </row>
    <row r="6835" spans="1:5" x14ac:dyDescent="0.25">
      <c r="A6835">
        <v>6834</v>
      </c>
      <c r="B6835">
        <v>8388282</v>
      </c>
      <c r="C6835" s="1" t="str">
        <f>HYPERLINK("http://stackoverflow.com/users/8388282", "Raynor Li")</f>
        <v>Raynor Li</v>
      </c>
      <c r="D6835" t="s">
        <v>55</v>
      </c>
      <c r="E6835">
        <v>8</v>
      </c>
    </row>
    <row r="6836" spans="1:5" x14ac:dyDescent="0.25">
      <c r="A6836">
        <v>6835</v>
      </c>
      <c r="B6836">
        <v>1196587</v>
      </c>
      <c r="C6836" s="1" t="str">
        <f>HYPERLINK("http://stackoverflow.com/users/1196587", "Leo_vim")</f>
        <v>Leo_vim</v>
      </c>
      <c r="D6836" t="s">
        <v>8</v>
      </c>
      <c r="E6836">
        <v>8</v>
      </c>
    </row>
    <row r="6837" spans="1:5" x14ac:dyDescent="0.25">
      <c r="A6837">
        <v>6836</v>
      </c>
      <c r="B6837">
        <v>3164308</v>
      </c>
      <c r="C6837" s="1" t="str">
        <f>HYPERLINK("http://stackoverflow.com/users/3164308", "Jueheng Xie")</f>
        <v>Jueheng Xie</v>
      </c>
      <c r="D6837" t="s">
        <v>41</v>
      </c>
      <c r="E6837">
        <v>8</v>
      </c>
    </row>
    <row r="6838" spans="1:5" x14ac:dyDescent="0.25">
      <c r="A6838">
        <v>6837</v>
      </c>
      <c r="B6838">
        <v>3175846</v>
      </c>
      <c r="C6838" s="1" t="str">
        <f>HYPERLINK("http://stackoverflow.com/users/3175846", "Harris")</f>
        <v>Harris</v>
      </c>
      <c r="D6838" t="s">
        <v>297</v>
      </c>
      <c r="E6838">
        <v>8</v>
      </c>
    </row>
    <row r="6839" spans="1:5" x14ac:dyDescent="0.25">
      <c r="A6839">
        <v>6838</v>
      </c>
      <c r="B6839">
        <v>10357862</v>
      </c>
      <c r="C6839" s="1" t="str">
        <f>HYPERLINK("http://stackoverflow.com/users/10357862", "rpli")</f>
        <v>rpli</v>
      </c>
      <c r="D6839" t="s">
        <v>5</v>
      </c>
      <c r="E6839">
        <v>8</v>
      </c>
    </row>
    <row r="6840" spans="1:5" x14ac:dyDescent="0.25">
      <c r="A6840">
        <v>6839</v>
      </c>
      <c r="B6840">
        <v>3205024</v>
      </c>
      <c r="C6840" s="1" t="str">
        <f>HYPERLINK("http://stackoverflow.com/users/3205024", "BHawK")</f>
        <v>BHawK</v>
      </c>
      <c r="D6840" t="s">
        <v>4</v>
      </c>
      <c r="E6840">
        <v>8</v>
      </c>
    </row>
    <row r="6841" spans="1:5" x14ac:dyDescent="0.25">
      <c r="A6841">
        <v>6840</v>
      </c>
      <c r="B6841">
        <v>10388747</v>
      </c>
      <c r="C6841" s="1" t="str">
        <f>HYPERLINK("http://stackoverflow.com/users/10388747", "Vasquez")</f>
        <v>Vasquez</v>
      </c>
      <c r="D6841" t="s">
        <v>74</v>
      </c>
      <c r="E6841">
        <v>8</v>
      </c>
    </row>
    <row r="6842" spans="1:5" x14ac:dyDescent="0.25">
      <c r="A6842">
        <v>6841</v>
      </c>
      <c r="B6842">
        <v>6225462</v>
      </c>
      <c r="C6842" s="1" t="str">
        <f>HYPERLINK("http://stackoverflow.com/users/6225462", "bluelullaby")</f>
        <v>bluelullaby</v>
      </c>
      <c r="D6842" t="s">
        <v>57</v>
      </c>
      <c r="E6842">
        <v>8</v>
      </c>
    </row>
    <row r="6843" spans="1:5" x14ac:dyDescent="0.25">
      <c r="A6843">
        <v>6842</v>
      </c>
      <c r="B6843">
        <v>2647922</v>
      </c>
      <c r="C6843" s="1" t="str">
        <f>HYPERLINK("http://stackoverflow.com/users/2647922", "user372021841")</f>
        <v>user372021841</v>
      </c>
      <c r="D6843" t="s">
        <v>5</v>
      </c>
      <c r="E6843">
        <v>8</v>
      </c>
    </row>
    <row r="6844" spans="1:5" x14ac:dyDescent="0.25">
      <c r="A6844">
        <v>6843</v>
      </c>
      <c r="B6844">
        <v>7989429</v>
      </c>
      <c r="C6844" s="1" t="str">
        <f>HYPERLINK("http://stackoverflow.com/users/7989429", "Matt Andrew")</f>
        <v>Matt Andrew</v>
      </c>
      <c r="D6844" t="s">
        <v>16</v>
      </c>
      <c r="E6844">
        <v>8</v>
      </c>
    </row>
    <row r="6845" spans="1:5" x14ac:dyDescent="0.25">
      <c r="A6845">
        <v>6844</v>
      </c>
      <c r="B6845">
        <v>7978471</v>
      </c>
      <c r="C6845" s="1" t="str">
        <f>HYPERLINK("http://stackoverflow.com/users/7978471", "Allen Anker")</f>
        <v>Allen Anker</v>
      </c>
      <c r="D6845" t="s">
        <v>28</v>
      </c>
      <c r="E6845">
        <v>8</v>
      </c>
    </row>
    <row r="6846" spans="1:5" x14ac:dyDescent="0.25">
      <c r="A6846">
        <v>6845</v>
      </c>
      <c r="B6846">
        <v>285925</v>
      </c>
      <c r="C6846" s="1" t="str">
        <f>HYPERLINK("http://stackoverflow.com/users/285925", "xgluxv")</f>
        <v>xgluxv</v>
      </c>
      <c r="D6846" t="s">
        <v>4</v>
      </c>
      <c r="E6846">
        <v>8</v>
      </c>
    </row>
    <row r="6847" spans="1:5" x14ac:dyDescent="0.25">
      <c r="A6847">
        <v>6846</v>
      </c>
      <c r="B6847">
        <v>4305714</v>
      </c>
      <c r="C6847" s="1" t="str">
        <f>HYPERLINK("http://stackoverflow.com/users/4305714", "storm.alpha")</f>
        <v>storm.alpha</v>
      </c>
      <c r="D6847" t="s">
        <v>375</v>
      </c>
      <c r="E6847">
        <v>8</v>
      </c>
    </row>
    <row r="6848" spans="1:5" x14ac:dyDescent="0.25">
      <c r="A6848">
        <v>6847</v>
      </c>
      <c r="B6848">
        <v>7833677</v>
      </c>
      <c r="C6848" s="1" t="str">
        <f>HYPERLINK("http://stackoverflow.com/users/7833677", "webguybit")</f>
        <v>webguybit</v>
      </c>
      <c r="D6848" t="s">
        <v>5</v>
      </c>
      <c r="E6848">
        <v>8</v>
      </c>
    </row>
    <row r="6849" spans="1:5" x14ac:dyDescent="0.25">
      <c r="A6849">
        <v>6848</v>
      </c>
      <c r="B6849">
        <v>6086017</v>
      </c>
      <c r="C6849" s="1" t="str">
        <f>HYPERLINK("http://stackoverflow.com/users/6086017", "Kylin")</f>
        <v>Kylin</v>
      </c>
      <c r="D6849" t="s">
        <v>19</v>
      </c>
      <c r="E6849">
        <v>8</v>
      </c>
    </row>
    <row r="6850" spans="1:5" x14ac:dyDescent="0.25">
      <c r="A6850">
        <v>6849</v>
      </c>
      <c r="B6850">
        <v>7857902</v>
      </c>
      <c r="C6850" s="1" t="str">
        <f>HYPERLINK("http://stackoverflow.com/users/7857902", "Ali Alhajji")</f>
        <v>Ali Alhajji</v>
      </c>
      <c r="D6850" t="s">
        <v>5</v>
      </c>
      <c r="E6850">
        <v>8</v>
      </c>
    </row>
    <row r="6851" spans="1:5" x14ac:dyDescent="0.25">
      <c r="A6851">
        <v>6850</v>
      </c>
      <c r="B6851">
        <v>6086431</v>
      </c>
      <c r="C6851" s="1" t="str">
        <f>HYPERLINK("http://stackoverflow.com/users/6086431", "林泓寬")</f>
        <v>林泓寬</v>
      </c>
      <c r="D6851" t="s">
        <v>184</v>
      </c>
      <c r="E6851">
        <v>8</v>
      </c>
    </row>
    <row r="6852" spans="1:5" x14ac:dyDescent="0.25">
      <c r="A6852">
        <v>6851</v>
      </c>
      <c r="B6852">
        <v>450181</v>
      </c>
      <c r="C6852" s="1" t="str">
        <f>HYPERLINK("http://stackoverflow.com/users/450181", "TokkyLiu")</f>
        <v>TokkyLiu</v>
      </c>
      <c r="D6852" t="s">
        <v>62</v>
      </c>
      <c r="E6852">
        <v>8</v>
      </c>
    </row>
    <row r="6853" spans="1:5" x14ac:dyDescent="0.25">
      <c r="A6853">
        <v>6852</v>
      </c>
      <c r="B6853">
        <v>8058547</v>
      </c>
      <c r="C6853" s="1" t="str">
        <f>HYPERLINK("http://stackoverflow.com/users/8058547", "York")</f>
        <v>York</v>
      </c>
      <c r="D6853" t="s">
        <v>5</v>
      </c>
      <c r="E6853">
        <v>8</v>
      </c>
    </row>
    <row r="6854" spans="1:5" x14ac:dyDescent="0.25">
      <c r="A6854">
        <v>6853</v>
      </c>
      <c r="B6854">
        <v>9917611</v>
      </c>
      <c r="C6854" s="1" t="str">
        <f>HYPERLINK("http://stackoverflow.com/users/9917611", "Andice")</f>
        <v>Andice</v>
      </c>
      <c r="D6854" t="s">
        <v>25</v>
      </c>
      <c r="E6854">
        <v>8</v>
      </c>
    </row>
    <row r="6855" spans="1:5" x14ac:dyDescent="0.25">
      <c r="A6855">
        <v>6854</v>
      </c>
      <c r="B6855">
        <v>535959</v>
      </c>
      <c r="C6855" s="1" t="str">
        <f>HYPERLINK("http://stackoverflow.com/users/535959", "Bob Xu")</f>
        <v>Bob Xu</v>
      </c>
      <c r="D6855" t="s">
        <v>5</v>
      </c>
      <c r="E6855">
        <v>8</v>
      </c>
    </row>
    <row r="6856" spans="1:5" x14ac:dyDescent="0.25">
      <c r="A6856">
        <v>6855</v>
      </c>
      <c r="B6856">
        <v>8262955</v>
      </c>
      <c r="C6856" s="1" t="str">
        <f>HYPERLINK("http://stackoverflow.com/users/8262955", "suhas")</f>
        <v>suhas</v>
      </c>
      <c r="D6856" t="s">
        <v>4</v>
      </c>
      <c r="E6856">
        <v>8</v>
      </c>
    </row>
    <row r="6857" spans="1:5" x14ac:dyDescent="0.25">
      <c r="A6857">
        <v>6856</v>
      </c>
      <c r="B6857">
        <v>8168933</v>
      </c>
      <c r="C6857" s="1" t="str">
        <f>HYPERLINK("http://stackoverflow.com/users/8168933", "Sandokan")</f>
        <v>Sandokan</v>
      </c>
      <c r="D6857" t="s">
        <v>74</v>
      </c>
      <c r="E6857">
        <v>8</v>
      </c>
    </row>
    <row r="6858" spans="1:5" x14ac:dyDescent="0.25">
      <c r="A6858">
        <v>6857</v>
      </c>
      <c r="B6858">
        <v>6541800</v>
      </c>
      <c r="C6858" s="1" t="str">
        <f>HYPERLINK("http://stackoverflow.com/users/6541800", "Yuehao Wang")</f>
        <v>Yuehao Wang</v>
      </c>
      <c r="D6858" t="s">
        <v>28</v>
      </c>
      <c r="E6858">
        <v>8</v>
      </c>
    </row>
    <row r="6859" spans="1:5" x14ac:dyDescent="0.25">
      <c r="A6859">
        <v>6858</v>
      </c>
      <c r="B6859">
        <v>6575802</v>
      </c>
      <c r="C6859" s="1" t="str">
        <f>HYPERLINK("http://stackoverflow.com/users/6575802", "mike652638")</f>
        <v>mike652638</v>
      </c>
      <c r="D6859" t="s">
        <v>376</v>
      </c>
      <c r="E6859">
        <v>8</v>
      </c>
    </row>
    <row r="6860" spans="1:5" x14ac:dyDescent="0.25">
      <c r="A6860">
        <v>6859</v>
      </c>
      <c r="B6860">
        <v>4890238</v>
      </c>
      <c r="C6860" s="1" t="str">
        <f>HYPERLINK("http://stackoverflow.com/users/4890238", "Qian")</f>
        <v>Qian</v>
      </c>
      <c r="D6860" t="s">
        <v>5</v>
      </c>
      <c r="E6860">
        <v>8</v>
      </c>
    </row>
    <row r="6861" spans="1:5" x14ac:dyDescent="0.25">
      <c r="A6861">
        <v>6860</v>
      </c>
      <c r="B6861">
        <v>8426102</v>
      </c>
      <c r="C6861" s="1" t="str">
        <f>HYPERLINK("http://stackoverflow.com/users/8426102", "budaxo")</f>
        <v>budaxo</v>
      </c>
      <c r="D6861" t="s">
        <v>5</v>
      </c>
      <c r="E6861">
        <v>8</v>
      </c>
    </row>
    <row r="6862" spans="1:5" x14ac:dyDescent="0.25">
      <c r="A6862">
        <v>6861</v>
      </c>
      <c r="B6862">
        <v>1294473</v>
      </c>
      <c r="C6862" s="1" t="str">
        <f>HYPERLINK("http://stackoverflow.com/users/1294473", "liang_ecmkit")</f>
        <v>liang_ecmkit</v>
      </c>
      <c r="D6862" t="s">
        <v>4</v>
      </c>
      <c r="E6862">
        <v>8</v>
      </c>
    </row>
    <row r="6863" spans="1:5" x14ac:dyDescent="0.25">
      <c r="A6863">
        <v>6862</v>
      </c>
      <c r="B6863">
        <v>1287250</v>
      </c>
      <c r="C6863" s="1" t="str">
        <f>HYPERLINK("http://stackoverflow.com/users/1287250", "Tomcat")</f>
        <v>Tomcat</v>
      </c>
      <c r="D6863" t="s">
        <v>5</v>
      </c>
      <c r="E6863">
        <v>8</v>
      </c>
    </row>
    <row r="6864" spans="1:5" x14ac:dyDescent="0.25">
      <c r="A6864">
        <v>6863</v>
      </c>
      <c r="B6864">
        <v>10267978</v>
      </c>
      <c r="C6864" s="1" t="str">
        <f>HYPERLINK("http://stackoverflow.com/users/10267978", "Oliver Liu")</f>
        <v>Oliver Liu</v>
      </c>
      <c r="D6864" t="s">
        <v>184</v>
      </c>
      <c r="E6864">
        <v>8</v>
      </c>
    </row>
    <row r="6865" spans="1:5" x14ac:dyDescent="0.25">
      <c r="A6865">
        <v>6864</v>
      </c>
      <c r="B6865">
        <v>3106154</v>
      </c>
      <c r="C6865" s="1" t="str">
        <f>HYPERLINK("http://stackoverflow.com/users/3106154", "Tom")</f>
        <v>Tom</v>
      </c>
      <c r="D6865" t="s">
        <v>24</v>
      </c>
      <c r="E6865">
        <v>8</v>
      </c>
    </row>
    <row r="6866" spans="1:5" x14ac:dyDescent="0.25">
      <c r="A6866">
        <v>6865</v>
      </c>
      <c r="B6866">
        <v>1155306</v>
      </c>
      <c r="C6866" s="1" t="str">
        <f>HYPERLINK("http://stackoverflow.com/users/1155306", "fatbigbright")</f>
        <v>fatbigbright</v>
      </c>
      <c r="D6866" t="s">
        <v>57</v>
      </c>
      <c r="E6866">
        <v>8</v>
      </c>
    </row>
    <row r="6867" spans="1:5" x14ac:dyDescent="0.25">
      <c r="A6867">
        <v>6866</v>
      </c>
      <c r="B6867">
        <v>1153977</v>
      </c>
      <c r="C6867" s="1" t="str">
        <f>HYPERLINK("http://stackoverflow.com/users/1153977", "willwen")</f>
        <v>willwen</v>
      </c>
      <c r="D6867" t="s">
        <v>293</v>
      </c>
      <c r="E6867">
        <v>8</v>
      </c>
    </row>
    <row r="6868" spans="1:5" x14ac:dyDescent="0.25">
      <c r="A6868">
        <v>6867</v>
      </c>
      <c r="B6868">
        <v>8818326</v>
      </c>
      <c r="C6868" s="1" t="str">
        <f>HYPERLINK("http://stackoverflow.com/users/8818326", "Zhaowei Zhong")</f>
        <v>Zhaowei Zhong</v>
      </c>
      <c r="D6868" t="s">
        <v>17</v>
      </c>
      <c r="E6868">
        <v>8</v>
      </c>
    </row>
    <row r="6869" spans="1:5" x14ac:dyDescent="0.25">
      <c r="A6869">
        <v>6868</v>
      </c>
      <c r="B6869">
        <v>1581094</v>
      </c>
      <c r="C6869" s="1" t="str">
        <f>HYPERLINK("http://stackoverflow.com/users/1581094", "mike")</f>
        <v>mike</v>
      </c>
      <c r="D6869" t="s">
        <v>4</v>
      </c>
      <c r="E6869">
        <v>8</v>
      </c>
    </row>
    <row r="6870" spans="1:5" x14ac:dyDescent="0.25">
      <c r="A6870">
        <v>6869</v>
      </c>
      <c r="B6870">
        <v>3469796</v>
      </c>
      <c r="C6870" s="1" t="str">
        <f>HYPERLINK("http://stackoverflow.com/users/3469796", "Colin29")</f>
        <v>Colin29</v>
      </c>
      <c r="D6870" t="s">
        <v>35</v>
      </c>
      <c r="E6870">
        <v>8</v>
      </c>
    </row>
    <row r="6871" spans="1:5" x14ac:dyDescent="0.25">
      <c r="A6871">
        <v>6870</v>
      </c>
      <c r="B6871">
        <v>8781968</v>
      </c>
      <c r="C6871" s="1" t="str">
        <f>HYPERLINK("http://stackoverflow.com/users/8781968", "Faith")</f>
        <v>Faith</v>
      </c>
      <c r="D6871" t="s">
        <v>4</v>
      </c>
      <c r="E6871">
        <v>8</v>
      </c>
    </row>
    <row r="6872" spans="1:5" x14ac:dyDescent="0.25">
      <c r="A6872">
        <v>6871</v>
      </c>
      <c r="B6872">
        <v>1516380</v>
      </c>
      <c r="C6872" s="1" t="str">
        <f>HYPERLINK("http://stackoverflow.com/users/1516380", "user1516380")</f>
        <v>user1516380</v>
      </c>
      <c r="D6872" t="s">
        <v>4</v>
      </c>
      <c r="E6872">
        <v>8</v>
      </c>
    </row>
    <row r="6873" spans="1:5" x14ac:dyDescent="0.25">
      <c r="A6873">
        <v>6872</v>
      </c>
      <c r="B6873">
        <v>3242965</v>
      </c>
      <c r="C6873" s="1" t="str">
        <f>HYPERLINK("http://stackoverflow.com/users/3242965", "why_math")</f>
        <v>why_math</v>
      </c>
      <c r="D6873" t="s">
        <v>377</v>
      </c>
      <c r="E6873">
        <v>8</v>
      </c>
    </row>
    <row r="6874" spans="1:5" x14ac:dyDescent="0.25">
      <c r="A6874">
        <v>6873</v>
      </c>
      <c r="B6874">
        <v>8686431</v>
      </c>
      <c r="C6874" s="1" t="str">
        <f>HYPERLINK("http://stackoverflow.com/users/8686431", "Moon")</f>
        <v>Moon</v>
      </c>
      <c r="D6874" t="s">
        <v>378</v>
      </c>
      <c r="E6874">
        <v>8</v>
      </c>
    </row>
    <row r="6875" spans="1:5" x14ac:dyDescent="0.25">
      <c r="A6875">
        <v>6874</v>
      </c>
      <c r="B6875">
        <v>5122641</v>
      </c>
      <c r="C6875" s="1" t="str">
        <f>HYPERLINK("http://stackoverflow.com/users/5122641", "FatMouse")</f>
        <v>FatMouse</v>
      </c>
      <c r="D6875" t="s">
        <v>5</v>
      </c>
      <c r="E6875">
        <v>8</v>
      </c>
    </row>
    <row r="6876" spans="1:5" x14ac:dyDescent="0.25">
      <c r="A6876">
        <v>6875</v>
      </c>
      <c r="B6876">
        <v>1470837</v>
      </c>
      <c r="C6876" s="1" t="str">
        <f>HYPERLINK("http://stackoverflow.com/users/1470837", "iOrange")</f>
        <v>iOrange</v>
      </c>
      <c r="D6876" t="s">
        <v>21</v>
      </c>
      <c r="E6876">
        <v>8</v>
      </c>
    </row>
    <row r="6877" spans="1:5" x14ac:dyDescent="0.25">
      <c r="A6877">
        <v>6876</v>
      </c>
      <c r="B6877">
        <v>3985321</v>
      </c>
      <c r="C6877" s="1" t="str">
        <f>HYPERLINK("http://stackoverflow.com/users/3985321", "Zhuo")</f>
        <v>Zhuo</v>
      </c>
      <c r="D6877" t="s">
        <v>54</v>
      </c>
      <c r="E6877">
        <v>8</v>
      </c>
    </row>
    <row r="6878" spans="1:5" x14ac:dyDescent="0.25">
      <c r="A6878">
        <v>6877</v>
      </c>
      <c r="B6878">
        <v>5723229</v>
      </c>
      <c r="C6878" s="1" t="str">
        <f>HYPERLINK("http://stackoverflow.com/users/5723229", "SunshineHu")</f>
        <v>SunshineHu</v>
      </c>
      <c r="D6878" t="s">
        <v>12</v>
      </c>
      <c r="E6878">
        <v>8</v>
      </c>
    </row>
    <row r="6879" spans="1:5" x14ac:dyDescent="0.25">
      <c r="A6879">
        <v>6878</v>
      </c>
      <c r="B6879">
        <v>7445054</v>
      </c>
      <c r="C6879" s="1" t="str">
        <f>HYPERLINK("http://stackoverflow.com/users/7445054", "wuYin")</f>
        <v>wuYin</v>
      </c>
      <c r="D6879" t="s">
        <v>5</v>
      </c>
      <c r="E6879">
        <v>8</v>
      </c>
    </row>
    <row r="6880" spans="1:5" x14ac:dyDescent="0.25">
      <c r="A6880">
        <v>6879</v>
      </c>
      <c r="B6880">
        <v>9226545</v>
      </c>
      <c r="C6880" s="1" t="str">
        <f>HYPERLINK("http://stackoverflow.com/users/9226545", "Yangjia Huang")</f>
        <v>Yangjia Huang</v>
      </c>
      <c r="D6880" t="s">
        <v>25</v>
      </c>
      <c r="E6880">
        <v>8</v>
      </c>
    </row>
    <row r="6881" spans="1:5" x14ac:dyDescent="0.25">
      <c r="A6881">
        <v>6880</v>
      </c>
      <c r="B6881">
        <v>5628241</v>
      </c>
      <c r="C6881" s="1" t="str">
        <f>HYPERLINK("http://stackoverflow.com/users/5628241", "zhangfeng32")</f>
        <v>zhangfeng32</v>
      </c>
      <c r="D6881" t="s">
        <v>37</v>
      </c>
      <c r="E6881">
        <v>8</v>
      </c>
    </row>
    <row r="6882" spans="1:5" x14ac:dyDescent="0.25">
      <c r="A6882">
        <v>6881</v>
      </c>
      <c r="B6882">
        <v>5620002</v>
      </c>
      <c r="C6882" s="1" t="str">
        <f>HYPERLINK("http://stackoverflow.com/users/5620002", "mickey sha")</f>
        <v>mickey sha</v>
      </c>
      <c r="D6882" t="s">
        <v>37</v>
      </c>
      <c r="E6882">
        <v>8</v>
      </c>
    </row>
    <row r="6883" spans="1:5" x14ac:dyDescent="0.25">
      <c r="A6883">
        <v>6882</v>
      </c>
      <c r="B6883">
        <v>8942489</v>
      </c>
      <c r="C6883" s="1" t="str">
        <f>HYPERLINK("http://stackoverflow.com/users/8942489", "PengYang")</f>
        <v>PengYang</v>
      </c>
      <c r="D6883" t="s">
        <v>5</v>
      </c>
      <c r="E6883">
        <v>8</v>
      </c>
    </row>
    <row r="6884" spans="1:5" x14ac:dyDescent="0.25">
      <c r="A6884">
        <v>6883</v>
      </c>
      <c r="B6884">
        <v>9046573</v>
      </c>
      <c r="C6884" s="1" t="str">
        <f>HYPERLINK("http://stackoverflow.com/users/9046573", "Stanley")</f>
        <v>Stanley</v>
      </c>
      <c r="D6884" t="s">
        <v>4</v>
      </c>
      <c r="E6884">
        <v>8</v>
      </c>
    </row>
    <row r="6885" spans="1:5" x14ac:dyDescent="0.25">
      <c r="A6885">
        <v>6884</v>
      </c>
      <c r="B6885">
        <v>10809088</v>
      </c>
      <c r="C6885" s="1" t="str">
        <f>HYPERLINK("http://stackoverflow.com/users/10809088", "zyj")</f>
        <v>zyj</v>
      </c>
      <c r="D6885" t="s">
        <v>4</v>
      </c>
      <c r="E6885">
        <v>8</v>
      </c>
    </row>
    <row r="6886" spans="1:5" x14ac:dyDescent="0.25">
      <c r="A6886">
        <v>6885</v>
      </c>
      <c r="B6886">
        <v>2009986</v>
      </c>
      <c r="C6886" s="1" t="str">
        <f>HYPERLINK("http://stackoverflow.com/users/2009986", "ShaoQing")</f>
        <v>ShaoQing</v>
      </c>
      <c r="D6886" t="s">
        <v>5</v>
      </c>
      <c r="E6886">
        <v>8</v>
      </c>
    </row>
    <row r="6887" spans="1:5" x14ac:dyDescent="0.25">
      <c r="A6887">
        <v>6886</v>
      </c>
      <c r="B6887">
        <v>2010514</v>
      </c>
      <c r="C6887" s="1" t="str">
        <f>HYPERLINK("http://stackoverflow.com/users/2010514", "chenko515")</f>
        <v>chenko515</v>
      </c>
      <c r="D6887" t="s">
        <v>4</v>
      </c>
      <c r="E6887">
        <v>8</v>
      </c>
    </row>
    <row r="6888" spans="1:5" x14ac:dyDescent="0.25">
      <c r="A6888">
        <v>6887</v>
      </c>
      <c r="B6888">
        <v>7671109</v>
      </c>
      <c r="C6888" s="1" t="str">
        <f>HYPERLINK("http://stackoverflow.com/users/7671109", "Tony J Duan")</f>
        <v>Tony J Duan</v>
      </c>
      <c r="D6888" t="s">
        <v>7</v>
      </c>
      <c r="E6888">
        <v>8</v>
      </c>
    </row>
    <row r="6889" spans="1:5" x14ac:dyDescent="0.25">
      <c r="A6889">
        <v>6888</v>
      </c>
      <c r="B6889">
        <v>7730002</v>
      </c>
      <c r="C6889" s="1" t="str">
        <f>HYPERLINK("http://stackoverflow.com/users/7730002", "Guang Zheng")</f>
        <v>Guang Zheng</v>
      </c>
      <c r="D6889" t="s">
        <v>367</v>
      </c>
      <c r="E6889">
        <v>8</v>
      </c>
    </row>
    <row r="6890" spans="1:5" x14ac:dyDescent="0.25">
      <c r="A6890">
        <v>6889</v>
      </c>
      <c r="B6890">
        <v>4225266</v>
      </c>
      <c r="C6890" s="1" t="str">
        <f>HYPERLINK("http://stackoverflow.com/users/4225266", "SummerXY")</f>
        <v>SummerXY</v>
      </c>
      <c r="D6890" t="s">
        <v>4</v>
      </c>
      <c r="E6890">
        <v>8</v>
      </c>
    </row>
    <row r="6891" spans="1:5" x14ac:dyDescent="0.25">
      <c r="A6891">
        <v>6890</v>
      </c>
      <c r="B6891">
        <v>6699438</v>
      </c>
      <c r="C6891" s="1" t="str">
        <f>HYPERLINK("http://stackoverflow.com/users/6699438", "Liup")</f>
        <v>Liup</v>
      </c>
      <c r="D6891" t="s">
        <v>5</v>
      </c>
      <c r="E6891">
        <v>8</v>
      </c>
    </row>
    <row r="6892" spans="1:5" x14ac:dyDescent="0.25">
      <c r="A6892">
        <v>6891</v>
      </c>
      <c r="B6892">
        <v>3338521</v>
      </c>
      <c r="C6892" s="1" t="str">
        <f>HYPERLINK("http://stackoverflow.com/users/3338521", "ShanNing")</f>
        <v>ShanNing</v>
      </c>
      <c r="D6892" t="s">
        <v>75</v>
      </c>
      <c r="E6892">
        <v>8</v>
      </c>
    </row>
    <row r="6893" spans="1:5" x14ac:dyDescent="0.25">
      <c r="A6893">
        <v>6892</v>
      </c>
      <c r="B6893">
        <v>1516968</v>
      </c>
      <c r="C6893" s="1" t="str">
        <f>HYPERLINK("http://stackoverflow.com/users/1516968", "DanielDing")</f>
        <v>DanielDing</v>
      </c>
      <c r="D6893" t="s">
        <v>12</v>
      </c>
      <c r="E6893">
        <v>8</v>
      </c>
    </row>
    <row r="6894" spans="1:5" x14ac:dyDescent="0.25">
      <c r="A6894">
        <v>6893</v>
      </c>
      <c r="B6894">
        <v>7037293</v>
      </c>
      <c r="C6894" s="1" t="str">
        <f>HYPERLINK("http://stackoverflow.com/users/7037293", "maisui童鞋")</f>
        <v>maisui童鞋</v>
      </c>
      <c r="D6894" t="s">
        <v>8</v>
      </c>
      <c r="E6894">
        <v>8</v>
      </c>
    </row>
    <row r="6895" spans="1:5" x14ac:dyDescent="0.25">
      <c r="A6895">
        <v>6894</v>
      </c>
      <c r="B6895">
        <v>10841629</v>
      </c>
      <c r="C6895" s="1" t="str">
        <f>HYPERLINK("http://stackoverflow.com/users/10841629", "Shelton Suen")</f>
        <v>Shelton Suen</v>
      </c>
      <c r="D6895" t="s">
        <v>28</v>
      </c>
      <c r="E6895">
        <v>8</v>
      </c>
    </row>
    <row r="6896" spans="1:5" x14ac:dyDescent="0.25">
      <c r="A6896">
        <v>6895</v>
      </c>
      <c r="B6896">
        <v>10867346</v>
      </c>
      <c r="C6896" s="1" t="str">
        <f>HYPERLINK("http://stackoverflow.com/users/10867346", "Dar Inoki Darren")</f>
        <v>Dar Inoki Darren</v>
      </c>
      <c r="D6896" t="s">
        <v>5</v>
      </c>
      <c r="E6896">
        <v>8</v>
      </c>
    </row>
    <row r="6897" spans="1:5" x14ac:dyDescent="0.25">
      <c r="A6897">
        <v>6896</v>
      </c>
      <c r="B6897">
        <v>5391898</v>
      </c>
      <c r="C6897" s="1" t="str">
        <f>HYPERLINK("http://stackoverflow.com/users/5391898", "Disciple_D")</f>
        <v>Disciple_D</v>
      </c>
      <c r="D6897" t="s">
        <v>4</v>
      </c>
      <c r="E6897">
        <v>8</v>
      </c>
    </row>
    <row r="6898" spans="1:5" x14ac:dyDescent="0.25">
      <c r="A6898">
        <v>6897</v>
      </c>
      <c r="B6898">
        <v>1738324</v>
      </c>
      <c r="C6898" s="1" t="str">
        <f>HYPERLINK("http://stackoverflow.com/users/1738324", "notting")</f>
        <v>notting</v>
      </c>
      <c r="D6898" t="s">
        <v>37</v>
      </c>
      <c r="E6898">
        <v>8</v>
      </c>
    </row>
    <row r="6899" spans="1:5" x14ac:dyDescent="0.25">
      <c r="A6899">
        <v>6898</v>
      </c>
      <c r="B6899">
        <v>8449840</v>
      </c>
      <c r="C6899" s="1" t="str">
        <f>HYPERLINK("http://stackoverflow.com/users/8449840", "cabanapi")</f>
        <v>cabanapi</v>
      </c>
      <c r="D6899" t="s">
        <v>11</v>
      </c>
      <c r="E6899">
        <v>8</v>
      </c>
    </row>
    <row r="6900" spans="1:5" x14ac:dyDescent="0.25">
      <c r="A6900">
        <v>6899</v>
      </c>
      <c r="B6900">
        <v>3051162</v>
      </c>
      <c r="C6900" s="1" t="str">
        <f>HYPERLINK("http://stackoverflow.com/users/3051162", "Jasmin")</f>
        <v>Jasmin</v>
      </c>
      <c r="D6900" t="s">
        <v>17</v>
      </c>
      <c r="E6900">
        <v>8</v>
      </c>
    </row>
    <row r="6901" spans="1:5" x14ac:dyDescent="0.25">
      <c r="A6901">
        <v>6900</v>
      </c>
      <c r="B6901">
        <v>1068814</v>
      </c>
      <c r="C6901" s="1" t="str">
        <f>HYPERLINK("http://stackoverflow.com/users/1068814", "Bob")</f>
        <v>Bob</v>
      </c>
      <c r="D6901" t="s">
        <v>5</v>
      </c>
      <c r="E6901">
        <v>8</v>
      </c>
    </row>
    <row r="6902" spans="1:5" x14ac:dyDescent="0.25">
      <c r="A6902">
        <v>6901</v>
      </c>
      <c r="B6902">
        <v>4806421</v>
      </c>
      <c r="C6902" s="1" t="str">
        <f>HYPERLINK("http://stackoverflow.com/users/4806421", "stack_yd")</f>
        <v>stack_yd</v>
      </c>
      <c r="D6902" t="s">
        <v>21</v>
      </c>
      <c r="E6902">
        <v>8</v>
      </c>
    </row>
    <row r="6903" spans="1:5" x14ac:dyDescent="0.25">
      <c r="A6903">
        <v>6902</v>
      </c>
      <c r="B6903">
        <v>907429</v>
      </c>
      <c r="C6903" s="1" t="str">
        <f>HYPERLINK("http://stackoverflow.com/users/907429", "Andy Jiang")</f>
        <v>Andy Jiang</v>
      </c>
      <c r="D6903" t="s">
        <v>5</v>
      </c>
      <c r="E6903">
        <v>8</v>
      </c>
    </row>
    <row r="6904" spans="1:5" x14ac:dyDescent="0.25">
      <c r="A6904">
        <v>6903</v>
      </c>
      <c r="B6904">
        <v>6075022</v>
      </c>
      <c r="C6904" s="1" t="str">
        <f>HYPERLINK("http://stackoverflow.com/users/6075022", "lovexiaov")</f>
        <v>lovexiaov</v>
      </c>
      <c r="D6904" t="s">
        <v>5</v>
      </c>
      <c r="E6904">
        <v>8</v>
      </c>
    </row>
    <row r="6905" spans="1:5" x14ac:dyDescent="0.25">
      <c r="A6905">
        <v>6904</v>
      </c>
      <c r="B6905">
        <v>7874510</v>
      </c>
      <c r="C6905" s="1" t="str">
        <f>HYPERLINK("http://stackoverflow.com/users/7874510", "GatoradeLover123")</f>
        <v>GatoradeLover123</v>
      </c>
      <c r="D6905" t="s">
        <v>4</v>
      </c>
      <c r="E6905">
        <v>8</v>
      </c>
    </row>
    <row r="6906" spans="1:5" x14ac:dyDescent="0.25">
      <c r="A6906">
        <v>6905</v>
      </c>
      <c r="B6906">
        <v>8076400</v>
      </c>
      <c r="C6906" s="1" t="str">
        <f>HYPERLINK("http://stackoverflow.com/users/8076400", "SumYungGuy")</f>
        <v>SumYungGuy</v>
      </c>
      <c r="D6906" t="s">
        <v>4</v>
      </c>
      <c r="E6906">
        <v>8</v>
      </c>
    </row>
    <row r="6907" spans="1:5" x14ac:dyDescent="0.25">
      <c r="A6907">
        <v>6906</v>
      </c>
      <c r="B6907">
        <v>4006541</v>
      </c>
      <c r="C6907" s="1" t="str">
        <f>HYPERLINK("http://stackoverflow.com/users/4006541", "lidehua")</f>
        <v>lidehua</v>
      </c>
      <c r="D6907" t="s">
        <v>4</v>
      </c>
      <c r="E6907">
        <v>8</v>
      </c>
    </row>
    <row r="6908" spans="1:5" x14ac:dyDescent="0.25">
      <c r="A6908">
        <v>6907</v>
      </c>
      <c r="B6908">
        <v>2065337</v>
      </c>
      <c r="C6908" s="1" t="str">
        <f>HYPERLINK("http://stackoverflow.com/users/2065337", "Handle Huang")</f>
        <v>Handle Huang</v>
      </c>
      <c r="D6908" t="s">
        <v>4</v>
      </c>
      <c r="E6908">
        <v>8</v>
      </c>
    </row>
    <row r="6909" spans="1:5" x14ac:dyDescent="0.25">
      <c r="A6909">
        <v>6908</v>
      </c>
      <c r="B6909">
        <v>2082189</v>
      </c>
      <c r="C6909" s="1" t="str">
        <f>HYPERLINK("http://stackoverflow.com/users/2082189", "user2082189")</f>
        <v>user2082189</v>
      </c>
      <c r="D6909" t="s">
        <v>11</v>
      </c>
      <c r="E6909">
        <v>8</v>
      </c>
    </row>
    <row r="6910" spans="1:5" x14ac:dyDescent="0.25">
      <c r="A6910">
        <v>6909</v>
      </c>
      <c r="B6910">
        <v>5547073</v>
      </c>
      <c r="C6910" s="1" t="str">
        <f>HYPERLINK("http://stackoverflow.com/users/5547073", "Thomas Tian")</f>
        <v>Thomas Tian</v>
      </c>
      <c r="D6910" t="s">
        <v>5</v>
      </c>
      <c r="E6910">
        <v>8</v>
      </c>
    </row>
    <row r="6911" spans="1:5" x14ac:dyDescent="0.25">
      <c r="A6911">
        <v>6910</v>
      </c>
      <c r="B6911">
        <v>7749753</v>
      </c>
      <c r="C6911" s="1" t="str">
        <f>HYPERLINK("http://stackoverflow.com/users/7749753", "Roho")</f>
        <v>Roho</v>
      </c>
      <c r="D6911" t="s">
        <v>25</v>
      </c>
      <c r="E6911">
        <v>8</v>
      </c>
    </row>
    <row r="6912" spans="1:5" x14ac:dyDescent="0.25">
      <c r="A6912">
        <v>6911</v>
      </c>
      <c r="B6912">
        <v>5893992</v>
      </c>
      <c r="C6912" s="1" t="str">
        <f>HYPERLINK("http://stackoverflow.com/users/5893992", "Vincent")</f>
        <v>Vincent</v>
      </c>
      <c r="D6912" t="s">
        <v>90</v>
      </c>
      <c r="E6912">
        <v>8</v>
      </c>
    </row>
    <row r="6913" spans="1:5" x14ac:dyDescent="0.25">
      <c r="A6913">
        <v>6912</v>
      </c>
      <c r="B6913">
        <v>9478471</v>
      </c>
      <c r="C6913" s="1" t="str">
        <f>HYPERLINK("http://stackoverflow.com/users/9478471", "wuchuheng")</f>
        <v>wuchuheng</v>
      </c>
      <c r="D6913" t="s">
        <v>7</v>
      </c>
      <c r="E6913">
        <v>8</v>
      </c>
    </row>
    <row r="6914" spans="1:5" x14ac:dyDescent="0.25">
      <c r="A6914">
        <v>6913</v>
      </c>
      <c r="B6914">
        <v>2363145</v>
      </c>
      <c r="C6914" s="1" t="str">
        <f>HYPERLINK("http://stackoverflow.com/users/2363145", "Deisvn")</f>
        <v>Deisvn</v>
      </c>
      <c r="D6914" t="s">
        <v>15</v>
      </c>
      <c r="E6914">
        <v>8</v>
      </c>
    </row>
    <row r="6915" spans="1:5" x14ac:dyDescent="0.25">
      <c r="A6915">
        <v>6914</v>
      </c>
      <c r="B6915">
        <v>7689125</v>
      </c>
      <c r="C6915" s="1" t="str">
        <f>HYPERLINK("http://stackoverflow.com/users/7689125", "Wilde")</f>
        <v>Wilde</v>
      </c>
      <c r="D6915" t="s">
        <v>12</v>
      </c>
      <c r="E6915">
        <v>8</v>
      </c>
    </row>
    <row r="6916" spans="1:5" x14ac:dyDescent="0.25">
      <c r="A6916">
        <v>6915</v>
      </c>
      <c r="B6916">
        <v>4176150</v>
      </c>
      <c r="C6916" s="1" t="str">
        <f>HYPERLINK("http://stackoverflow.com/users/4176150", "big_rainer")</f>
        <v>big_rainer</v>
      </c>
      <c r="D6916" t="s">
        <v>243</v>
      </c>
      <c r="E6916">
        <v>8</v>
      </c>
    </row>
    <row r="6917" spans="1:5" x14ac:dyDescent="0.25">
      <c r="A6917">
        <v>6916</v>
      </c>
      <c r="B6917">
        <v>7628235</v>
      </c>
      <c r="C6917" s="1" t="str">
        <f>HYPERLINK("http://stackoverflow.com/users/7628235", "Mia Lee")</f>
        <v>Mia Lee</v>
      </c>
      <c r="D6917" t="s">
        <v>5</v>
      </c>
      <c r="E6917">
        <v>8</v>
      </c>
    </row>
    <row r="6918" spans="1:5" x14ac:dyDescent="0.25">
      <c r="A6918">
        <v>6917</v>
      </c>
      <c r="B6918">
        <v>9450206</v>
      </c>
      <c r="C6918" s="1" t="str">
        <f>HYPERLINK("http://stackoverflow.com/users/9450206", "Handsome Char")</f>
        <v>Handsome Char</v>
      </c>
      <c r="D6918" t="s">
        <v>33</v>
      </c>
      <c r="E6918">
        <v>8</v>
      </c>
    </row>
    <row r="6919" spans="1:5" x14ac:dyDescent="0.25">
      <c r="A6919">
        <v>6918</v>
      </c>
      <c r="B6919">
        <v>9287955</v>
      </c>
      <c r="C6919" s="1" t="str">
        <f>HYPERLINK("http://stackoverflow.com/users/9287955", "Ke Ding")</f>
        <v>Ke Ding</v>
      </c>
      <c r="D6919" t="s">
        <v>16</v>
      </c>
      <c r="E6919">
        <v>8</v>
      </c>
    </row>
    <row r="6920" spans="1:5" x14ac:dyDescent="0.25">
      <c r="A6920">
        <v>6919</v>
      </c>
      <c r="B6920">
        <v>9279864</v>
      </c>
      <c r="C6920" s="1" t="str">
        <f>HYPERLINK("http://stackoverflow.com/users/9279864", "武一鸣")</f>
        <v>武一鸣</v>
      </c>
      <c r="D6920" t="s">
        <v>52</v>
      </c>
      <c r="E6920">
        <v>8</v>
      </c>
    </row>
    <row r="6921" spans="1:5" x14ac:dyDescent="0.25">
      <c r="A6921">
        <v>6920</v>
      </c>
      <c r="B6921">
        <v>3778155</v>
      </c>
      <c r="C6921" s="1" t="str">
        <f>HYPERLINK("http://stackoverflow.com/users/3778155", "terrason")</f>
        <v>terrason</v>
      </c>
      <c r="D6921" t="s">
        <v>118</v>
      </c>
      <c r="E6921">
        <v>8</v>
      </c>
    </row>
    <row r="6922" spans="1:5" x14ac:dyDescent="0.25">
      <c r="A6922">
        <v>6921</v>
      </c>
      <c r="B6922">
        <v>3716041</v>
      </c>
      <c r="C6922" s="1" t="str">
        <f>HYPERLINK("http://stackoverflow.com/users/3716041", "wamaker")</f>
        <v>wamaker</v>
      </c>
      <c r="D6922" t="s">
        <v>16</v>
      </c>
      <c r="E6922">
        <v>8</v>
      </c>
    </row>
    <row r="6923" spans="1:5" x14ac:dyDescent="0.25">
      <c r="A6923">
        <v>6922</v>
      </c>
      <c r="B6923">
        <v>8965538</v>
      </c>
      <c r="C6923" s="1" t="str">
        <f>HYPERLINK("http://stackoverflow.com/users/8965538", "yuhan")</f>
        <v>yuhan</v>
      </c>
      <c r="D6923" t="s">
        <v>52</v>
      </c>
      <c r="E6923">
        <v>8</v>
      </c>
    </row>
    <row r="6924" spans="1:5" x14ac:dyDescent="0.25">
      <c r="A6924">
        <v>6923</v>
      </c>
      <c r="B6924">
        <v>3583641</v>
      </c>
      <c r="C6924" s="1" t="str">
        <f>HYPERLINK("http://stackoverflow.com/users/3583641", "Andrew Guo")</f>
        <v>Andrew Guo</v>
      </c>
      <c r="D6924" t="s">
        <v>22</v>
      </c>
      <c r="E6924">
        <v>8</v>
      </c>
    </row>
    <row r="6925" spans="1:5" x14ac:dyDescent="0.25">
      <c r="A6925">
        <v>6924</v>
      </c>
      <c r="B6925">
        <v>1790736</v>
      </c>
      <c r="C6925" s="1" t="str">
        <f>HYPERLINK("http://stackoverflow.com/users/1790736", "user1790736")</f>
        <v>user1790736</v>
      </c>
      <c r="D6925" t="s">
        <v>5</v>
      </c>
      <c r="E6925">
        <v>8</v>
      </c>
    </row>
    <row r="6926" spans="1:5" x14ac:dyDescent="0.25">
      <c r="A6926">
        <v>6925</v>
      </c>
      <c r="B6926">
        <v>8574168</v>
      </c>
      <c r="C6926" s="1" t="str">
        <f>HYPERLINK("http://stackoverflow.com/users/8574168", "Jerry Lee")</f>
        <v>Jerry Lee</v>
      </c>
      <c r="D6926" t="s">
        <v>28</v>
      </c>
      <c r="E6926">
        <v>8</v>
      </c>
    </row>
    <row r="6927" spans="1:5" x14ac:dyDescent="0.25">
      <c r="A6927">
        <v>6926</v>
      </c>
      <c r="B6927">
        <v>1292286</v>
      </c>
      <c r="C6927" s="1" t="str">
        <f>HYPERLINK("http://stackoverflow.com/users/1292286", "Liu Yongtai")</f>
        <v>Liu Yongtai</v>
      </c>
      <c r="D6927" t="s">
        <v>56</v>
      </c>
      <c r="E6927">
        <v>8</v>
      </c>
    </row>
    <row r="6928" spans="1:5" x14ac:dyDescent="0.25">
      <c r="A6928">
        <v>6927</v>
      </c>
      <c r="B6928">
        <v>10277949</v>
      </c>
      <c r="C6928" s="1" t="str">
        <f>HYPERLINK("http://stackoverflow.com/users/10277949", "isaf")</f>
        <v>isaf</v>
      </c>
      <c r="D6928" t="s">
        <v>379</v>
      </c>
      <c r="E6928">
        <v>8</v>
      </c>
    </row>
    <row r="6929" spans="1:5" x14ac:dyDescent="0.25">
      <c r="A6929">
        <v>6928</v>
      </c>
      <c r="B6929">
        <v>6693555</v>
      </c>
      <c r="C6929" s="1" t="str">
        <f>HYPERLINK("http://stackoverflow.com/users/6693555", "Rennes Usher")</f>
        <v>Rennes Usher</v>
      </c>
      <c r="D6929" t="s">
        <v>5</v>
      </c>
      <c r="E6929">
        <v>8</v>
      </c>
    </row>
    <row r="6930" spans="1:5" x14ac:dyDescent="0.25">
      <c r="A6930">
        <v>6929</v>
      </c>
      <c r="B6930">
        <v>8718978</v>
      </c>
      <c r="C6930" s="1" t="str">
        <f>HYPERLINK("http://stackoverflow.com/users/8718978", "L.Benrong")</f>
        <v>L.Benrong</v>
      </c>
      <c r="D6930" t="s">
        <v>320</v>
      </c>
      <c r="E6930">
        <v>8</v>
      </c>
    </row>
    <row r="6931" spans="1:5" x14ac:dyDescent="0.25">
      <c r="A6931">
        <v>6930</v>
      </c>
      <c r="B6931">
        <v>3343498</v>
      </c>
      <c r="C6931" s="1" t="str">
        <f>HYPERLINK("http://stackoverflow.com/users/3343498", "21gram")</f>
        <v>21gram</v>
      </c>
      <c r="D6931" t="s">
        <v>5</v>
      </c>
      <c r="E6931">
        <v>8</v>
      </c>
    </row>
    <row r="6932" spans="1:5" x14ac:dyDescent="0.25">
      <c r="A6932">
        <v>6931</v>
      </c>
      <c r="B6932">
        <v>10561613</v>
      </c>
      <c r="C6932" s="1" t="str">
        <f>HYPERLINK("http://stackoverflow.com/users/10561613", "Gang Deng")</f>
        <v>Gang Deng</v>
      </c>
      <c r="D6932" t="s">
        <v>4</v>
      </c>
      <c r="E6932">
        <v>8</v>
      </c>
    </row>
    <row r="6933" spans="1:5" x14ac:dyDescent="0.25">
      <c r="A6933">
        <v>6932</v>
      </c>
      <c r="B6933">
        <v>1404752</v>
      </c>
      <c r="C6933" s="1" t="str">
        <f>HYPERLINK("http://stackoverflow.com/users/1404752", "ken.chen")</f>
        <v>ken.chen</v>
      </c>
      <c r="D6933" t="s">
        <v>5</v>
      </c>
      <c r="E6933">
        <v>8</v>
      </c>
    </row>
    <row r="6934" spans="1:5" x14ac:dyDescent="0.25">
      <c r="A6934">
        <v>6933</v>
      </c>
      <c r="B6934">
        <v>6838035</v>
      </c>
      <c r="C6934" s="1" t="str">
        <f>HYPERLINK("http://stackoverflow.com/users/6838035", "Han Liang")</f>
        <v>Han Liang</v>
      </c>
      <c r="D6934" t="s">
        <v>4</v>
      </c>
      <c r="E6934">
        <v>8</v>
      </c>
    </row>
    <row r="6935" spans="1:5" x14ac:dyDescent="0.25">
      <c r="A6935">
        <v>6934</v>
      </c>
      <c r="B6935">
        <v>469899</v>
      </c>
      <c r="C6935" s="1" t="str">
        <f>HYPERLINK("http://stackoverflow.com/users/469899", "nancyping")</f>
        <v>nancyping</v>
      </c>
      <c r="D6935" t="s">
        <v>135</v>
      </c>
      <c r="E6935">
        <v>8</v>
      </c>
    </row>
    <row r="6936" spans="1:5" x14ac:dyDescent="0.25">
      <c r="A6936">
        <v>6935</v>
      </c>
      <c r="B6936">
        <v>6264306</v>
      </c>
      <c r="C6936" s="1" t="str">
        <f>HYPERLINK("http://stackoverflow.com/users/6264306", "DaliangBaby")</f>
        <v>DaliangBaby</v>
      </c>
      <c r="D6936" t="s">
        <v>25</v>
      </c>
      <c r="E6936">
        <v>8</v>
      </c>
    </row>
    <row r="6937" spans="1:5" x14ac:dyDescent="0.25">
      <c r="A6937">
        <v>6936</v>
      </c>
      <c r="B6937">
        <v>4722635</v>
      </c>
      <c r="C6937" s="1" t="str">
        <f>HYPERLINK("http://stackoverflow.com/users/4722635", "zeromaro")</f>
        <v>zeromaro</v>
      </c>
      <c r="D6937" t="s">
        <v>4</v>
      </c>
      <c r="E6937">
        <v>8</v>
      </c>
    </row>
    <row r="6938" spans="1:5" x14ac:dyDescent="0.25">
      <c r="A6938">
        <v>6937</v>
      </c>
      <c r="B6938">
        <v>762162</v>
      </c>
      <c r="C6938" s="1" t="str">
        <f>HYPERLINK("http://stackoverflow.com/users/762162", "Patrick")</f>
        <v>Patrick</v>
      </c>
      <c r="D6938" t="s">
        <v>17</v>
      </c>
      <c r="E6938">
        <v>8</v>
      </c>
    </row>
    <row r="6939" spans="1:5" x14ac:dyDescent="0.25">
      <c r="A6939">
        <v>6938</v>
      </c>
      <c r="B6939">
        <v>2978266</v>
      </c>
      <c r="C6939" s="1" t="str">
        <f>HYPERLINK("http://stackoverflow.com/users/2978266", "L.M. Lei")</f>
        <v>L.M. Lei</v>
      </c>
      <c r="D6939" t="s">
        <v>54</v>
      </c>
      <c r="E6939">
        <v>8</v>
      </c>
    </row>
    <row r="6940" spans="1:5" x14ac:dyDescent="0.25">
      <c r="A6940">
        <v>6939</v>
      </c>
      <c r="B6940">
        <v>3035359</v>
      </c>
      <c r="C6940" s="1" t="str">
        <f>HYPERLINK("http://stackoverflow.com/users/3035359", "sherlockliu")</f>
        <v>sherlockliu</v>
      </c>
      <c r="D6940" t="s">
        <v>7</v>
      </c>
      <c r="E6940">
        <v>8</v>
      </c>
    </row>
    <row r="6941" spans="1:5" x14ac:dyDescent="0.25">
      <c r="A6941">
        <v>6940</v>
      </c>
      <c r="B6941">
        <v>4875589</v>
      </c>
      <c r="C6941" s="1" t="str">
        <f>HYPERLINK("http://stackoverflow.com/users/4875589", "two-seven")</f>
        <v>two-seven</v>
      </c>
      <c r="D6941" t="s">
        <v>5</v>
      </c>
      <c r="E6941">
        <v>8</v>
      </c>
    </row>
    <row r="6942" spans="1:5" x14ac:dyDescent="0.25">
      <c r="A6942">
        <v>6941</v>
      </c>
      <c r="B6942">
        <v>4886885</v>
      </c>
      <c r="C6942" s="1" t="str">
        <f>HYPERLINK("http://stackoverflow.com/users/4886885", "Davide")</f>
        <v>Davide</v>
      </c>
      <c r="D6942" t="s">
        <v>25</v>
      </c>
      <c r="E6942">
        <v>8</v>
      </c>
    </row>
    <row r="6943" spans="1:5" x14ac:dyDescent="0.25">
      <c r="A6943">
        <v>6942</v>
      </c>
      <c r="B6943">
        <v>2231012</v>
      </c>
      <c r="C6943" s="1" t="str">
        <f>HYPERLINK("http://stackoverflow.com/users/2231012", "Frank")</f>
        <v>Frank</v>
      </c>
      <c r="D6943" t="s">
        <v>5</v>
      </c>
      <c r="E6943">
        <v>8</v>
      </c>
    </row>
    <row r="6944" spans="1:5" x14ac:dyDescent="0.25">
      <c r="A6944">
        <v>6943</v>
      </c>
      <c r="B6944">
        <v>7725494</v>
      </c>
      <c r="C6944" s="1" t="str">
        <f>HYPERLINK("http://stackoverflow.com/users/7725494", "Marco")</f>
        <v>Marco</v>
      </c>
      <c r="D6944" t="s">
        <v>193</v>
      </c>
      <c r="E6944">
        <v>8</v>
      </c>
    </row>
    <row r="6945" spans="1:5" x14ac:dyDescent="0.25">
      <c r="A6945">
        <v>6944</v>
      </c>
      <c r="B6945">
        <v>7772143</v>
      </c>
      <c r="C6945" s="1" t="str">
        <f>HYPERLINK("http://stackoverflow.com/users/7772143", "Kimi Chen")</f>
        <v>Kimi Chen</v>
      </c>
      <c r="D6945" t="s">
        <v>55</v>
      </c>
      <c r="E6945">
        <v>8</v>
      </c>
    </row>
    <row r="6946" spans="1:5" x14ac:dyDescent="0.25">
      <c r="A6946">
        <v>6945</v>
      </c>
      <c r="B6946">
        <v>3875944</v>
      </c>
      <c r="C6946" s="1" t="str">
        <f>HYPERLINK("http://stackoverflow.com/users/3875944", "LuciusMA")</f>
        <v>LuciusMA</v>
      </c>
      <c r="D6946" t="s">
        <v>6</v>
      </c>
      <c r="E6946">
        <v>8</v>
      </c>
    </row>
    <row r="6947" spans="1:5" x14ac:dyDescent="0.25">
      <c r="A6947">
        <v>6946</v>
      </c>
      <c r="B6947">
        <v>3882838</v>
      </c>
      <c r="C6947" s="1" t="str">
        <f>HYPERLINK("http://stackoverflow.com/users/3882838", "emh")</f>
        <v>emh</v>
      </c>
      <c r="D6947" t="s">
        <v>5</v>
      </c>
      <c r="E6947">
        <v>8</v>
      </c>
    </row>
    <row r="6948" spans="1:5" x14ac:dyDescent="0.25">
      <c r="A6948">
        <v>6947</v>
      </c>
      <c r="B6948">
        <v>3667314</v>
      </c>
      <c r="C6948" s="1" t="str">
        <f>HYPERLINK("http://stackoverflow.com/users/3667314", "Wade.Yi")</f>
        <v>Wade.Yi</v>
      </c>
      <c r="D6948" t="s">
        <v>79</v>
      </c>
      <c r="E6948">
        <v>8</v>
      </c>
    </row>
    <row r="6949" spans="1:5" x14ac:dyDescent="0.25">
      <c r="A6949">
        <v>6948</v>
      </c>
      <c r="B6949">
        <v>1861085</v>
      </c>
      <c r="C6949" s="1" t="str">
        <f>HYPERLINK("http://stackoverflow.com/users/1861085", "imeteora")</f>
        <v>imeteora</v>
      </c>
      <c r="D6949" t="s">
        <v>4</v>
      </c>
      <c r="E6949">
        <v>8</v>
      </c>
    </row>
    <row r="6950" spans="1:5" x14ac:dyDescent="0.25">
      <c r="A6950">
        <v>6949</v>
      </c>
      <c r="B6950">
        <v>1930952</v>
      </c>
      <c r="C6950" s="1" t="str">
        <f>HYPERLINK("http://stackoverflow.com/users/1930952", "kevin320")</f>
        <v>kevin320</v>
      </c>
      <c r="D6950" t="s">
        <v>4</v>
      </c>
      <c r="E6950">
        <v>8</v>
      </c>
    </row>
    <row r="6951" spans="1:5" x14ac:dyDescent="0.25">
      <c r="A6951">
        <v>6950</v>
      </c>
      <c r="B6951">
        <v>3445375</v>
      </c>
      <c r="C6951" s="1" t="str">
        <f>HYPERLINK("http://stackoverflow.com/users/3445375", "fuping peng")</f>
        <v>fuping peng</v>
      </c>
      <c r="D6951" t="s">
        <v>380</v>
      </c>
      <c r="E6951">
        <v>8</v>
      </c>
    </row>
    <row r="6952" spans="1:5" x14ac:dyDescent="0.25">
      <c r="A6952">
        <v>6951</v>
      </c>
      <c r="B6952">
        <v>1544751</v>
      </c>
      <c r="C6952" s="1" t="str">
        <f>HYPERLINK("http://stackoverflow.com/users/1544751", "WuJun")</f>
        <v>WuJun</v>
      </c>
      <c r="D6952" t="s">
        <v>5</v>
      </c>
      <c r="E6952">
        <v>8</v>
      </c>
    </row>
    <row r="6953" spans="1:5" x14ac:dyDescent="0.25">
      <c r="A6953">
        <v>6952</v>
      </c>
      <c r="B6953">
        <v>1705772</v>
      </c>
      <c r="C6953" s="1" t="str">
        <f>HYPERLINK("http://stackoverflow.com/users/1705772", "Cwind")</f>
        <v>Cwind</v>
      </c>
      <c r="D6953" t="s">
        <v>12</v>
      </c>
      <c r="E6953">
        <v>8</v>
      </c>
    </row>
    <row r="6954" spans="1:5" x14ac:dyDescent="0.25">
      <c r="A6954">
        <v>6953</v>
      </c>
      <c r="B6954">
        <v>1676367</v>
      </c>
      <c r="C6954" s="1" t="str">
        <f>HYPERLINK("http://stackoverflow.com/users/1676367", "Shi Chuan")</f>
        <v>Shi Chuan</v>
      </c>
      <c r="D6954" t="s">
        <v>37</v>
      </c>
      <c r="E6954">
        <v>8</v>
      </c>
    </row>
    <row r="6955" spans="1:5" x14ac:dyDescent="0.25">
      <c r="A6955">
        <v>6954</v>
      </c>
      <c r="B6955">
        <v>1691899</v>
      </c>
      <c r="C6955" s="1" t="str">
        <f>HYPERLINK("http://stackoverflow.com/users/1691899", "lim")</f>
        <v>lim</v>
      </c>
      <c r="D6955" t="s">
        <v>5</v>
      </c>
      <c r="E6955">
        <v>8</v>
      </c>
    </row>
    <row r="6956" spans="1:5" x14ac:dyDescent="0.25">
      <c r="A6956">
        <v>6955</v>
      </c>
      <c r="B6956">
        <v>1227423</v>
      </c>
      <c r="C6956" s="1" t="str">
        <f>HYPERLINK("http://stackoverflow.com/users/1227423", "Rocky")</f>
        <v>Rocky</v>
      </c>
      <c r="D6956" t="s">
        <v>21</v>
      </c>
      <c r="E6956">
        <v>8</v>
      </c>
    </row>
    <row r="6957" spans="1:5" x14ac:dyDescent="0.25">
      <c r="A6957">
        <v>6956</v>
      </c>
      <c r="B6957">
        <v>8386170</v>
      </c>
      <c r="C6957" s="1" t="str">
        <f>HYPERLINK("http://stackoverflow.com/users/8386170", "Robin Lan")</f>
        <v>Robin Lan</v>
      </c>
      <c r="D6957" t="s">
        <v>5</v>
      </c>
      <c r="E6957">
        <v>8</v>
      </c>
    </row>
    <row r="6958" spans="1:5" x14ac:dyDescent="0.25">
      <c r="A6958">
        <v>6957</v>
      </c>
      <c r="B6958">
        <v>8191821</v>
      </c>
      <c r="C6958" s="1" t="str">
        <f>HYPERLINK("http://stackoverflow.com/users/8191821", "Jim")</f>
        <v>Jim</v>
      </c>
      <c r="D6958" t="s">
        <v>5</v>
      </c>
      <c r="E6958">
        <v>8</v>
      </c>
    </row>
    <row r="6959" spans="1:5" x14ac:dyDescent="0.25">
      <c r="A6959">
        <v>6958</v>
      </c>
      <c r="B6959">
        <v>522057</v>
      </c>
      <c r="C6959" s="1" t="str">
        <f>HYPERLINK("http://stackoverflow.com/users/522057", "monffy")</f>
        <v>monffy</v>
      </c>
      <c r="D6959" t="s">
        <v>4</v>
      </c>
      <c r="E6959">
        <v>8</v>
      </c>
    </row>
    <row r="6960" spans="1:5" x14ac:dyDescent="0.25">
      <c r="A6960">
        <v>6959</v>
      </c>
      <c r="B6960">
        <v>2741430</v>
      </c>
      <c r="C6960" s="1" t="str">
        <f>HYPERLINK("http://stackoverflow.com/users/2741430", "9527")</f>
        <v>9527</v>
      </c>
      <c r="D6960" t="s">
        <v>21</v>
      </c>
      <c r="E6960">
        <v>8</v>
      </c>
    </row>
    <row r="6961" spans="1:5" x14ac:dyDescent="0.25">
      <c r="A6961">
        <v>6960</v>
      </c>
      <c r="B6961">
        <v>2741539</v>
      </c>
      <c r="C6961" s="1" t="str">
        <f>HYPERLINK("http://stackoverflow.com/users/2741539", "xiaowu")</f>
        <v>xiaowu</v>
      </c>
      <c r="D6961" t="s">
        <v>4</v>
      </c>
      <c r="E6961">
        <v>8</v>
      </c>
    </row>
    <row r="6962" spans="1:5" x14ac:dyDescent="0.25">
      <c r="A6962">
        <v>6961</v>
      </c>
      <c r="B6962">
        <v>8281054</v>
      </c>
      <c r="C6962" s="1" t="str">
        <f>HYPERLINK("http://stackoverflow.com/users/8281054", "cuofan")</f>
        <v>cuofan</v>
      </c>
      <c r="D6962" t="s">
        <v>52</v>
      </c>
      <c r="E6962">
        <v>8</v>
      </c>
    </row>
    <row r="6963" spans="1:5" x14ac:dyDescent="0.25">
      <c r="A6963">
        <v>6962</v>
      </c>
      <c r="B6963">
        <v>6476651</v>
      </c>
      <c r="C6963" s="1" t="str">
        <f>HYPERLINK("http://stackoverflow.com/users/6476651", "tsang lao")</f>
        <v>tsang lao</v>
      </c>
      <c r="D6963" t="s">
        <v>5</v>
      </c>
      <c r="E6963">
        <v>8</v>
      </c>
    </row>
    <row r="6964" spans="1:5" x14ac:dyDescent="0.25">
      <c r="A6964">
        <v>6963</v>
      </c>
      <c r="B6964">
        <v>4794744</v>
      </c>
      <c r="C6964" s="1" t="str">
        <f>HYPERLINK("http://stackoverflow.com/users/4794744", "Tung Cheng")</f>
        <v>Tung Cheng</v>
      </c>
      <c r="D6964" t="s">
        <v>6</v>
      </c>
      <c r="E6964">
        <v>8</v>
      </c>
    </row>
    <row r="6965" spans="1:5" x14ac:dyDescent="0.25">
      <c r="A6965">
        <v>6964</v>
      </c>
      <c r="B6965">
        <v>4364869</v>
      </c>
      <c r="C6965" s="1" t="str">
        <f>HYPERLINK("http://stackoverflow.com/users/4364869", "arzyu")</f>
        <v>arzyu</v>
      </c>
      <c r="D6965" t="s">
        <v>4</v>
      </c>
      <c r="E6965">
        <v>8</v>
      </c>
    </row>
    <row r="6966" spans="1:5" x14ac:dyDescent="0.25">
      <c r="A6966">
        <v>6965</v>
      </c>
      <c r="B6966">
        <v>2655041</v>
      </c>
      <c r="C6966" s="1" t="str">
        <f>HYPERLINK("http://stackoverflow.com/users/2655041", "lotushacker")</f>
        <v>lotushacker</v>
      </c>
      <c r="D6966" t="s">
        <v>4</v>
      </c>
      <c r="E6966">
        <v>8</v>
      </c>
    </row>
    <row r="6967" spans="1:5" x14ac:dyDescent="0.25">
      <c r="A6967">
        <v>6966</v>
      </c>
      <c r="B6967">
        <v>6233910</v>
      </c>
      <c r="C6967" s="1" t="str">
        <f>HYPERLINK("http://stackoverflow.com/users/6233910", "脸很小")</f>
        <v>脸很小</v>
      </c>
      <c r="D6967" t="s">
        <v>4</v>
      </c>
      <c r="E6967">
        <v>8</v>
      </c>
    </row>
    <row r="6968" spans="1:5" x14ac:dyDescent="0.25">
      <c r="A6968">
        <v>6967</v>
      </c>
      <c r="B6968">
        <v>7694862</v>
      </c>
      <c r="C6968" s="1" t="str">
        <f>HYPERLINK("http://stackoverflow.com/users/7694862", "Clay Zhu")</f>
        <v>Clay Zhu</v>
      </c>
      <c r="D6968" t="s">
        <v>16</v>
      </c>
      <c r="E6968">
        <v>8</v>
      </c>
    </row>
    <row r="6969" spans="1:5" x14ac:dyDescent="0.25">
      <c r="A6969">
        <v>6968</v>
      </c>
      <c r="B6969">
        <v>2229197</v>
      </c>
      <c r="C6969" s="1" t="str">
        <f>HYPERLINK("http://stackoverflow.com/users/2229197", "Hevake Lee")</f>
        <v>Hevake Lee</v>
      </c>
      <c r="D6969" t="s">
        <v>17</v>
      </c>
      <c r="E6969">
        <v>8</v>
      </c>
    </row>
    <row r="6970" spans="1:5" x14ac:dyDescent="0.25">
      <c r="A6970">
        <v>6969</v>
      </c>
      <c r="B6970">
        <v>5729222</v>
      </c>
      <c r="C6970" s="1" t="str">
        <f>HYPERLINK("http://stackoverflow.com/users/5729222", "RZdiversity")</f>
        <v>RZdiversity</v>
      </c>
      <c r="D6970" t="s">
        <v>4</v>
      </c>
      <c r="E6970">
        <v>8</v>
      </c>
    </row>
    <row r="6971" spans="1:5" x14ac:dyDescent="0.25">
      <c r="A6971">
        <v>6970</v>
      </c>
      <c r="B6971">
        <v>7294852</v>
      </c>
      <c r="C6971" s="1" t="str">
        <f>HYPERLINK("http://stackoverflow.com/users/7294852", "zpc")</f>
        <v>zpc</v>
      </c>
      <c r="D6971" t="s">
        <v>5</v>
      </c>
      <c r="E6971">
        <v>8</v>
      </c>
    </row>
    <row r="6972" spans="1:5" x14ac:dyDescent="0.25">
      <c r="A6972">
        <v>6971</v>
      </c>
      <c r="B6972">
        <v>7294885</v>
      </c>
      <c r="C6972" s="1" t="str">
        <f>HYPERLINK("http://stackoverflow.com/users/7294885", "Long")</f>
        <v>Long</v>
      </c>
      <c r="D6972" t="s">
        <v>74</v>
      </c>
      <c r="E6972">
        <v>8</v>
      </c>
    </row>
    <row r="6973" spans="1:5" x14ac:dyDescent="0.25">
      <c r="A6973">
        <v>6972</v>
      </c>
      <c r="B6973">
        <v>9218416</v>
      </c>
      <c r="C6973" s="1" t="str">
        <f>HYPERLINK("http://stackoverflow.com/users/9218416", "Wolf Zhou")</f>
        <v>Wolf Zhou</v>
      </c>
      <c r="D6973" t="s">
        <v>22</v>
      </c>
      <c r="E6973">
        <v>8</v>
      </c>
    </row>
    <row r="6974" spans="1:5" x14ac:dyDescent="0.25">
      <c r="A6974">
        <v>6973</v>
      </c>
      <c r="B6974">
        <v>5653493</v>
      </c>
      <c r="C6974" s="1" t="str">
        <f>HYPERLINK("http://stackoverflow.com/users/5653493", "Ding Wang")</f>
        <v>Ding Wang</v>
      </c>
      <c r="D6974" t="s">
        <v>7</v>
      </c>
      <c r="E6974">
        <v>8</v>
      </c>
    </row>
    <row r="6975" spans="1:5" x14ac:dyDescent="0.25">
      <c r="A6975">
        <v>6974</v>
      </c>
      <c r="B6975">
        <v>9278764</v>
      </c>
      <c r="C6975" s="1" t="str">
        <f>HYPERLINK("http://stackoverflow.com/users/9278764", "honeysyt")</f>
        <v>honeysyt</v>
      </c>
      <c r="D6975" t="s">
        <v>115</v>
      </c>
      <c r="E6975">
        <v>8</v>
      </c>
    </row>
    <row r="6976" spans="1:5" x14ac:dyDescent="0.25">
      <c r="A6976">
        <v>6975</v>
      </c>
      <c r="B6976">
        <v>7146058</v>
      </c>
      <c r="C6976" s="1" t="str">
        <f>HYPERLINK("http://stackoverflow.com/users/7146058", "Yao")</f>
        <v>Yao</v>
      </c>
      <c r="D6976" t="s">
        <v>25</v>
      </c>
      <c r="E6976">
        <v>8</v>
      </c>
    </row>
    <row r="6977" spans="1:5" x14ac:dyDescent="0.25">
      <c r="A6977">
        <v>6976</v>
      </c>
      <c r="B6977">
        <v>9079627</v>
      </c>
      <c r="C6977" s="1" t="str">
        <f>HYPERLINK("http://stackoverflow.com/users/9079627", "Nicolos")</f>
        <v>Nicolos</v>
      </c>
      <c r="D6977" t="s">
        <v>5</v>
      </c>
      <c r="E6977">
        <v>8</v>
      </c>
    </row>
    <row r="6978" spans="1:5" x14ac:dyDescent="0.25">
      <c r="A6978">
        <v>6977</v>
      </c>
      <c r="B6978">
        <v>1933725</v>
      </c>
      <c r="C6978" s="1" t="str">
        <f>HYPERLINK("http://stackoverflow.com/users/1933725", "Roger")</f>
        <v>Roger</v>
      </c>
      <c r="D6978" t="s">
        <v>4</v>
      </c>
      <c r="E6978">
        <v>8</v>
      </c>
    </row>
    <row r="6979" spans="1:5" x14ac:dyDescent="0.25">
      <c r="A6979">
        <v>6978</v>
      </c>
      <c r="B6979">
        <v>6309914</v>
      </c>
      <c r="C6979" s="1" t="str">
        <f>HYPERLINK("http://stackoverflow.com/users/6309914", "Napster Long")</f>
        <v>Napster Long</v>
      </c>
      <c r="D6979" t="s">
        <v>5</v>
      </c>
      <c r="E6979">
        <v>8</v>
      </c>
    </row>
    <row r="6980" spans="1:5" x14ac:dyDescent="0.25">
      <c r="A6980">
        <v>6979</v>
      </c>
      <c r="B6980">
        <v>797806</v>
      </c>
      <c r="C6980" s="1" t="str">
        <f>HYPERLINK("http://stackoverflow.com/users/797806", "Mike Ma")</f>
        <v>Mike Ma</v>
      </c>
      <c r="D6980" t="s">
        <v>381</v>
      </c>
      <c r="E6980">
        <v>8</v>
      </c>
    </row>
    <row r="6981" spans="1:5" x14ac:dyDescent="0.25">
      <c r="A6981">
        <v>6980</v>
      </c>
      <c r="B6981">
        <v>2827569</v>
      </c>
      <c r="C6981" s="1" t="str">
        <f>HYPERLINK("http://stackoverflow.com/users/2827569", "Edgarth")</f>
        <v>Edgarth</v>
      </c>
      <c r="D6981" t="s">
        <v>4</v>
      </c>
      <c r="E6981">
        <v>8</v>
      </c>
    </row>
    <row r="6982" spans="1:5" x14ac:dyDescent="0.25">
      <c r="A6982">
        <v>6981</v>
      </c>
      <c r="B6982">
        <v>6388973</v>
      </c>
      <c r="C6982" s="1" t="str">
        <f>HYPERLINK("http://stackoverflow.com/users/6388973", "frazer jin")</f>
        <v>frazer jin</v>
      </c>
      <c r="D6982" t="s">
        <v>16</v>
      </c>
      <c r="E6982">
        <v>8</v>
      </c>
    </row>
    <row r="6983" spans="1:5" x14ac:dyDescent="0.25">
      <c r="A6983">
        <v>6982</v>
      </c>
      <c r="B6983">
        <v>2967347</v>
      </c>
      <c r="C6983" s="1" t="str">
        <f>HYPERLINK("http://stackoverflow.com/users/2967347", "zhlicen")</f>
        <v>zhlicen</v>
      </c>
      <c r="D6983" t="s">
        <v>4</v>
      </c>
      <c r="E6983">
        <v>8</v>
      </c>
    </row>
    <row r="6984" spans="1:5" x14ac:dyDescent="0.25">
      <c r="A6984">
        <v>6983</v>
      </c>
      <c r="B6984">
        <v>259733</v>
      </c>
      <c r="C6984" s="1" t="str">
        <f>HYPERLINK("http://stackoverflow.com/users/259733", "yuanpeng")</f>
        <v>yuanpeng</v>
      </c>
      <c r="D6984" t="s">
        <v>5</v>
      </c>
      <c r="E6984">
        <v>8</v>
      </c>
    </row>
    <row r="6985" spans="1:5" x14ac:dyDescent="0.25">
      <c r="A6985">
        <v>6984</v>
      </c>
      <c r="B6985">
        <v>6156316</v>
      </c>
      <c r="C6985" s="1" t="str">
        <f>HYPERLINK("http://stackoverflow.com/users/6156316", "Qing")</f>
        <v>Qing</v>
      </c>
      <c r="D6985" t="s">
        <v>4</v>
      </c>
      <c r="E6985">
        <v>8</v>
      </c>
    </row>
    <row r="6986" spans="1:5" x14ac:dyDescent="0.25">
      <c r="A6986">
        <v>6985</v>
      </c>
      <c r="B6986">
        <v>9822745</v>
      </c>
      <c r="C6986" s="1" t="str">
        <f>HYPERLINK("http://stackoverflow.com/users/9822745", "Zhouxinyan")</f>
        <v>Zhouxinyan</v>
      </c>
      <c r="D6986" t="s">
        <v>4</v>
      </c>
      <c r="E6986">
        <v>8</v>
      </c>
    </row>
    <row r="6987" spans="1:5" x14ac:dyDescent="0.25">
      <c r="A6987">
        <v>6986</v>
      </c>
      <c r="B6987">
        <v>2493723</v>
      </c>
      <c r="C6987" s="1" t="str">
        <f>HYPERLINK("http://stackoverflow.com/users/2493723", "domingoz")</f>
        <v>domingoz</v>
      </c>
      <c r="D6987" t="s">
        <v>365</v>
      </c>
      <c r="E6987">
        <v>8</v>
      </c>
    </row>
    <row r="6988" spans="1:5" x14ac:dyDescent="0.25">
      <c r="A6988">
        <v>6987</v>
      </c>
      <c r="B6988">
        <v>4362136</v>
      </c>
      <c r="C6988" s="1" t="str">
        <f>HYPERLINK("http://stackoverflow.com/users/4362136", "Shanks")</f>
        <v>Shanks</v>
      </c>
      <c r="D6988" t="s">
        <v>7</v>
      </c>
      <c r="E6988">
        <v>8</v>
      </c>
    </row>
    <row r="6989" spans="1:5" x14ac:dyDescent="0.25">
      <c r="A6989">
        <v>6988</v>
      </c>
      <c r="B6989">
        <v>137187</v>
      </c>
      <c r="C6989" s="1" t="str">
        <f>HYPERLINK("http://stackoverflow.com/users/137187", "pianyao")</f>
        <v>pianyao</v>
      </c>
      <c r="D6989" t="s">
        <v>5</v>
      </c>
      <c r="E6989">
        <v>8</v>
      </c>
    </row>
    <row r="6990" spans="1:5" x14ac:dyDescent="0.25">
      <c r="A6990">
        <v>6989</v>
      </c>
      <c r="B6990">
        <v>7826018</v>
      </c>
      <c r="C6990" s="1" t="str">
        <f>HYPERLINK("http://stackoverflow.com/users/7826018", "Henry.Huang")</f>
        <v>Henry.Huang</v>
      </c>
      <c r="D6990" t="s">
        <v>4</v>
      </c>
      <c r="E6990">
        <v>8</v>
      </c>
    </row>
    <row r="6991" spans="1:5" x14ac:dyDescent="0.25">
      <c r="A6991">
        <v>6990</v>
      </c>
      <c r="B6991">
        <v>9617131</v>
      </c>
      <c r="C6991" s="1" t="str">
        <f>HYPERLINK("http://stackoverflow.com/users/9617131", "Yehor Lapko")</f>
        <v>Yehor Lapko</v>
      </c>
      <c r="D6991" t="s">
        <v>5</v>
      </c>
      <c r="E6991">
        <v>8</v>
      </c>
    </row>
    <row r="6992" spans="1:5" x14ac:dyDescent="0.25">
      <c r="A6992">
        <v>6991</v>
      </c>
      <c r="B6992">
        <v>2422328</v>
      </c>
      <c r="C6992" s="1" t="str">
        <f>HYPERLINK("http://stackoverflow.com/users/2422328", "ryecao")</f>
        <v>ryecao</v>
      </c>
      <c r="D6992" t="s">
        <v>12</v>
      </c>
      <c r="E6992">
        <v>8</v>
      </c>
    </row>
    <row r="6993" spans="1:5" x14ac:dyDescent="0.25">
      <c r="A6993">
        <v>6992</v>
      </c>
      <c r="B6993">
        <v>2530837</v>
      </c>
      <c r="C6993" s="1" t="str">
        <f>HYPERLINK("http://stackoverflow.com/users/2530837", "Evian Zhow")</f>
        <v>Evian Zhow</v>
      </c>
      <c r="D6993" t="s">
        <v>4</v>
      </c>
      <c r="E6993">
        <v>8</v>
      </c>
    </row>
    <row r="6994" spans="1:5" x14ac:dyDescent="0.25">
      <c r="A6994">
        <v>6993</v>
      </c>
      <c r="B6994">
        <v>8402887</v>
      </c>
      <c r="C6994" s="1" t="str">
        <f>HYPERLINK("http://stackoverflow.com/users/8402887", "ASHafizullah")</f>
        <v>ASHafizullah</v>
      </c>
      <c r="D6994" t="s">
        <v>10</v>
      </c>
      <c r="E6994">
        <v>8</v>
      </c>
    </row>
    <row r="6995" spans="1:5" x14ac:dyDescent="0.25">
      <c r="A6995">
        <v>6994</v>
      </c>
      <c r="B6995">
        <v>8414930</v>
      </c>
      <c r="C6995" s="1" t="str">
        <f>HYPERLINK("http://stackoverflow.com/users/8414930", "Jack")</f>
        <v>Jack</v>
      </c>
      <c r="D6995" t="s">
        <v>5</v>
      </c>
      <c r="E6995">
        <v>8</v>
      </c>
    </row>
    <row r="6996" spans="1:5" x14ac:dyDescent="0.25">
      <c r="A6996">
        <v>6995</v>
      </c>
      <c r="B6996">
        <v>3107263</v>
      </c>
      <c r="C6996" s="1" t="str">
        <f>HYPERLINK("http://stackoverflow.com/users/3107263", "Sleen")</f>
        <v>Sleen</v>
      </c>
      <c r="D6996" t="s">
        <v>78</v>
      </c>
      <c r="E6996">
        <v>8</v>
      </c>
    </row>
    <row r="6997" spans="1:5" x14ac:dyDescent="0.25">
      <c r="A6997">
        <v>6996</v>
      </c>
      <c r="B6997">
        <v>4935461</v>
      </c>
      <c r="C6997" s="1" t="str">
        <f>HYPERLINK("http://stackoverflow.com/users/4935461", "Mon Swag")</f>
        <v>Mon Swag</v>
      </c>
      <c r="D6997" t="s">
        <v>6</v>
      </c>
      <c r="E6997">
        <v>8</v>
      </c>
    </row>
    <row r="6998" spans="1:5" x14ac:dyDescent="0.25">
      <c r="A6998">
        <v>6997</v>
      </c>
      <c r="B6998">
        <v>5303527</v>
      </c>
      <c r="C6998" s="1" t="str">
        <f>HYPERLINK("http://stackoverflow.com/users/5303527", "Junjie Zhang")</f>
        <v>Junjie Zhang</v>
      </c>
      <c r="D6998" t="s">
        <v>4</v>
      </c>
      <c r="E6998">
        <v>8</v>
      </c>
    </row>
    <row r="6999" spans="1:5" x14ac:dyDescent="0.25">
      <c r="A6999">
        <v>6998</v>
      </c>
      <c r="B6999">
        <v>1345503</v>
      </c>
      <c r="C6999" s="1" t="str">
        <f>HYPERLINK("http://stackoverflow.com/users/1345503", "ZogYi")</f>
        <v>ZogYi</v>
      </c>
      <c r="D6999" t="s">
        <v>8</v>
      </c>
      <c r="E6999">
        <v>8</v>
      </c>
    </row>
    <row r="7000" spans="1:5" x14ac:dyDescent="0.25">
      <c r="A7000">
        <v>6999</v>
      </c>
      <c r="B7000">
        <v>5080719</v>
      </c>
      <c r="C7000" s="1" t="str">
        <f>HYPERLINK("http://stackoverflow.com/users/5080719", "SamsonWang")</f>
        <v>SamsonWang</v>
      </c>
      <c r="D7000" t="s">
        <v>5</v>
      </c>
      <c r="E7000">
        <v>8</v>
      </c>
    </row>
    <row r="7001" spans="1:5" x14ac:dyDescent="0.25">
      <c r="A7001">
        <v>7000</v>
      </c>
      <c r="B7001">
        <v>3484079</v>
      </c>
      <c r="C7001" s="1" t="str">
        <f>HYPERLINK("http://stackoverflow.com/users/3484079", "Stellar")</f>
        <v>Stellar</v>
      </c>
      <c r="D7001" t="s">
        <v>5</v>
      </c>
      <c r="E7001">
        <v>7</v>
      </c>
    </row>
    <row r="7002" spans="1:5" x14ac:dyDescent="0.25">
      <c r="A7002">
        <v>7001</v>
      </c>
      <c r="B7002">
        <v>8043103</v>
      </c>
      <c r="C7002" s="1" t="str">
        <f>HYPERLINK("http://stackoverflow.com/users/8043103", "WXYZ")</f>
        <v>WXYZ</v>
      </c>
      <c r="D7002" t="s">
        <v>4</v>
      </c>
      <c r="E7002">
        <v>7</v>
      </c>
    </row>
    <row r="7003" spans="1:5" x14ac:dyDescent="0.25">
      <c r="A7003">
        <v>7002</v>
      </c>
      <c r="B7003">
        <v>2264394</v>
      </c>
      <c r="C7003" s="1" t="str">
        <f>HYPERLINK("http://stackoverflow.com/users/2264394", "CooMark")</f>
        <v>CooMark</v>
      </c>
      <c r="D7003" t="s">
        <v>7</v>
      </c>
      <c r="E7003">
        <v>7</v>
      </c>
    </row>
    <row r="7004" spans="1:5" x14ac:dyDescent="0.25">
      <c r="A7004">
        <v>7003</v>
      </c>
      <c r="B7004">
        <v>4272850</v>
      </c>
      <c r="C7004" s="1" t="str">
        <f>HYPERLINK("http://stackoverflow.com/users/4272850", "Qian Yan")</f>
        <v>Qian Yan</v>
      </c>
      <c r="D7004" t="s">
        <v>5</v>
      </c>
      <c r="E7004">
        <v>7</v>
      </c>
    </row>
    <row r="7005" spans="1:5" x14ac:dyDescent="0.25">
      <c r="A7005">
        <v>7004</v>
      </c>
      <c r="B7005">
        <v>2659137</v>
      </c>
      <c r="C7005" s="1" t="str">
        <f>HYPERLINK("http://stackoverflow.com/users/2659137", "kai han")</f>
        <v>kai han</v>
      </c>
      <c r="D7005" t="s">
        <v>12</v>
      </c>
      <c r="E7005">
        <v>7</v>
      </c>
    </row>
    <row r="7006" spans="1:5" x14ac:dyDescent="0.25">
      <c r="A7006">
        <v>7005</v>
      </c>
      <c r="B7006">
        <v>4787904</v>
      </c>
      <c r="C7006" s="1" t="str">
        <f>HYPERLINK("http://stackoverflow.com/users/4787904", "moocher")</f>
        <v>moocher</v>
      </c>
      <c r="D7006" t="s">
        <v>4</v>
      </c>
      <c r="E7006">
        <v>7</v>
      </c>
    </row>
    <row r="7007" spans="1:5" x14ac:dyDescent="0.25">
      <c r="A7007">
        <v>7006</v>
      </c>
      <c r="B7007">
        <v>8140563</v>
      </c>
      <c r="C7007" s="1" t="str">
        <f>HYPERLINK("http://stackoverflow.com/users/8140563", "TRCYX")</f>
        <v>TRCYX</v>
      </c>
      <c r="D7007" t="s">
        <v>55</v>
      </c>
      <c r="E7007">
        <v>7</v>
      </c>
    </row>
    <row r="7008" spans="1:5" x14ac:dyDescent="0.25">
      <c r="A7008">
        <v>7007</v>
      </c>
      <c r="B7008">
        <v>5831990</v>
      </c>
      <c r="C7008" s="1" t="str">
        <f>HYPERLINK("http://stackoverflow.com/users/5831990", "dryyun")</f>
        <v>dryyun</v>
      </c>
      <c r="D7008" t="s">
        <v>16</v>
      </c>
      <c r="E7008">
        <v>7</v>
      </c>
    </row>
    <row r="7009" spans="1:5" x14ac:dyDescent="0.25">
      <c r="A7009">
        <v>7008</v>
      </c>
      <c r="B7009">
        <v>2160056</v>
      </c>
      <c r="C7009" s="1" t="str">
        <f>HYPERLINK("http://stackoverflow.com/users/2160056", "nicecafe")</f>
        <v>nicecafe</v>
      </c>
      <c r="D7009" t="s">
        <v>21</v>
      </c>
      <c r="E7009">
        <v>7</v>
      </c>
    </row>
    <row r="7010" spans="1:5" x14ac:dyDescent="0.25">
      <c r="A7010">
        <v>7009</v>
      </c>
      <c r="B7010">
        <v>8242933</v>
      </c>
      <c r="C7010" s="1" t="str">
        <f>HYPERLINK("http://stackoverflow.com/users/8242933", "Chris")</f>
        <v>Chris</v>
      </c>
      <c r="D7010" t="s">
        <v>5</v>
      </c>
      <c r="E7010">
        <v>7</v>
      </c>
    </row>
    <row r="7011" spans="1:5" x14ac:dyDescent="0.25">
      <c r="A7011">
        <v>7010</v>
      </c>
      <c r="B7011">
        <v>9478022</v>
      </c>
      <c r="C7011" s="1" t="str">
        <f>HYPERLINK("http://stackoverflow.com/users/9478022", "tOmMy")</f>
        <v>tOmMy</v>
      </c>
      <c r="D7011" t="s">
        <v>28</v>
      </c>
      <c r="E7011">
        <v>7</v>
      </c>
    </row>
    <row r="7012" spans="1:5" x14ac:dyDescent="0.25">
      <c r="A7012">
        <v>7011</v>
      </c>
      <c r="B7012">
        <v>5518104</v>
      </c>
      <c r="C7012" s="1" t="str">
        <f>HYPERLINK("http://stackoverflow.com/users/5518104", "xchunzhao")</f>
        <v>xchunzhao</v>
      </c>
      <c r="D7012" t="s">
        <v>4</v>
      </c>
      <c r="E7012">
        <v>7</v>
      </c>
    </row>
    <row r="7013" spans="1:5" x14ac:dyDescent="0.25">
      <c r="A7013">
        <v>7012</v>
      </c>
      <c r="B7013">
        <v>4631375</v>
      </c>
      <c r="C7013" s="1" t="str">
        <f>HYPERLINK("http://stackoverflow.com/users/4631375", "Ping.Chen")</f>
        <v>Ping.Chen</v>
      </c>
      <c r="D7013" t="s">
        <v>4</v>
      </c>
      <c r="E7013">
        <v>7</v>
      </c>
    </row>
    <row r="7014" spans="1:5" x14ac:dyDescent="0.25">
      <c r="A7014">
        <v>7013</v>
      </c>
      <c r="B7014">
        <v>1735219</v>
      </c>
      <c r="C7014" s="1" t="str">
        <f>HYPERLINK("http://stackoverflow.com/users/1735219", "Vince")</f>
        <v>Vince</v>
      </c>
      <c r="D7014" t="s">
        <v>38</v>
      </c>
      <c r="E7014">
        <v>7</v>
      </c>
    </row>
    <row r="7015" spans="1:5" x14ac:dyDescent="0.25">
      <c r="A7015">
        <v>7014</v>
      </c>
      <c r="B7015">
        <v>10317873</v>
      </c>
      <c r="C7015" s="1" t="str">
        <f>HYPERLINK("http://stackoverflow.com/users/10317873", "Fyn")</f>
        <v>Fyn</v>
      </c>
      <c r="D7015" t="s">
        <v>7</v>
      </c>
      <c r="E7015">
        <v>7</v>
      </c>
    </row>
    <row r="7016" spans="1:5" x14ac:dyDescent="0.25">
      <c r="A7016">
        <v>7015</v>
      </c>
      <c r="B7016">
        <v>5497184</v>
      </c>
      <c r="C7016" s="1" t="str">
        <f>HYPERLINK("http://stackoverflow.com/users/5497184", "Houfeng")</f>
        <v>Houfeng</v>
      </c>
      <c r="D7016" t="s">
        <v>5</v>
      </c>
      <c r="E7016">
        <v>7</v>
      </c>
    </row>
    <row r="7017" spans="1:5" x14ac:dyDescent="0.25">
      <c r="A7017">
        <v>7016</v>
      </c>
      <c r="B7017">
        <v>1989152</v>
      </c>
      <c r="C7017" s="1" t="str">
        <f>HYPERLINK("http://stackoverflow.com/users/1989152", "张元元")</f>
        <v>张元元</v>
      </c>
      <c r="D7017" t="s">
        <v>17</v>
      </c>
      <c r="E7017">
        <v>6</v>
      </c>
    </row>
    <row r="7018" spans="1:5" x14ac:dyDescent="0.25">
      <c r="A7018">
        <v>7017</v>
      </c>
      <c r="B7018">
        <v>5540727</v>
      </c>
      <c r="C7018" s="1" t="str">
        <f>HYPERLINK("http://stackoverflow.com/users/5540727", "Jeeffy")</f>
        <v>Jeeffy</v>
      </c>
      <c r="D7018" t="s">
        <v>4</v>
      </c>
      <c r="E7018">
        <v>6</v>
      </c>
    </row>
    <row r="7019" spans="1:5" x14ac:dyDescent="0.25">
      <c r="A7019">
        <v>7018</v>
      </c>
      <c r="B7019">
        <v>7289886</v>
      </c>
      <c r="C7019" s="1" t="str">
        <f>HYPERLINK("http://stackoverflow.com/users/7289886", "AlimMurat")</f>
        <v>AlimMurat</v>
      </c>
      <c r="D7019" t="s">
        <v>87</v>
      </c>
      <c r="E7019">
        <v>6</v>
      </c>
    </row>
    <row r="7020" spans="1:5" x14ac:dyDescent="0.25">
      <c r="A7020">
        <v>7019</v>
      </c>
      <c r="B7020">
        <v>11086747</v>
      </c>
      <c r="C7020" s="1" t="str">
        <f>HYPERLINK("http://stackoverflow.com/users/11086747", "Husky Dabber")</f>
        <v>Husky Dabber</v>
      </c>
      <c r="D7020" t="s">
        <v>5</v>
      </c>
      <c r="E7020">
        <v>6</v>
      </c>
    </row>
    <row r="7021" spans="1:5" x14ac:dyDescent="0.25">
      <c r="A7021">
        <v>7020</v>
      </c>
      <c r="B7021">
        <v>9025899</v>
      </c>
      <c r="C7021" s="1" t="str">
        <f>HYPERLINK("http://stackoverflow.com/users/9025899", "LAURA CHEN")</f>
        <v>LAURA CHEN</v>
      </c>
      <c r="D7021" t="s">
        <v>15</v>
      </c>
      <c r="E7021">
        <v>6</v>
      </c>
    </row>
    <row r="7022" spans="1:5" x14ac:dyDescent="0.25">
      <c r="A7022">
        <v>7021</v>
      </c>
      <c r="B7022">
        <v>8994965</v>
      </c>
      <c r="C7022" s="1" t="str">
        <f>HYPERLINK("http://stackoverflow.com/users/8994965", "Tim Hu")</f>
        <v>Tim Hu</v>
      </c>
      <c r="D7022" t="s">
        <v>4</v>
      </c>
      <c r="E7022">
        <v>6</v>
      </c>
    </row>
    <row r="7023" spans="1:5" x14ac:dyDescent="0.25">
      <c r="A7023">
        <v>7022</v>
      </c>
      <c r="B7023">
        <v>3682560</v>
      </c>
      <c r="C7023" s="1" t="str">
        <f>HYPERLINK("http://stackoverflow.com/users/3682560", "ushuz")</f>
        <v>ushuz</v>
      </c>
      <c r="D7023" t="s">
        <v>5</v>
      </c>
      <c r="E7023">
        <v>6</v>
      </c>
    </row>
    <row r="7024" spans="1:5" x14ac:dyDescent="0.25">
      <c r="A7024">
        <v>7023</v>
      </c>
      <c r="B7024">
        <v>1865007</v>
      </c>
      <c r="C7024" s="1" t="str">
        <f>HYPERLINK("http://stackoverflow.com/users/1865007", "vanessa")</f>
        <v>vanessa</v>
      </c>
      <c r="D7024" t="s">
        <v>5</v>
      </c>
      <c r="E7024">
        <v>6</v>
      </c>
    </row>
    <row r="7025" spans="1:5" x14ac:dyDescent="0.25">
      <c r="A7025">
        <v>7024</v>
      </c>
      <c r="B7025">
        <v>2269710</v>
      </c>
      <c r="C7025" s="1" t="str">
        <f>HYPERLINK("http://stackoverflow.com/users/2269710", "marian")</f>
        <v>marian</v>
      </c>
      <c r="D7025" t="s">
        <v>4</v>
      </c>
      <c r="E7025">
        <v>6</v>
      </c>
    </row>
    <row r="7026" spans="1:5" x14ac:dyDescent="0.25">
      <c r="A7026">
        <v>7025</v>
      </c>
      <c r="B7026">
        <v>2268968</v>
      </c>
      <c r="C7026" s="1" t="str">
        <f>HYPERLINK("http://stackoverflow.com/users/2268968", "yidao620c")</f>
        <v>yidao620c</v>
      </c>
      <c r="D7026" t="s">
        <v>21</v>
      </c>
      <c r="E7026">
        <v>6</v>
      </c>
    </row>
    <row r="7027" spans="1:5" x14ac:dyDescent="0.25">
      <c r="A7027">
        <v>7026</v>
      </c>
      <c r="B7027">
        <v>5755910</v>
      </c>
      <c r="C7027" s="1" t="str">
        <f>HYPERLINK("http://stackoverflow.com/users/5755910", "ABO")</f>
        <v>ABO</v>
      </c>
      <c r="D7027" t="s">
        <v>34</v>
      </c>
      <c r="E7027">
        <v>6</v>
      </c>
    </row>
    <row r="7028" spans="1:5" x14ac:dyDescent="0.25">
      <c r="A7028">
        <v>7027</v>
      </c>
      <c r="B7028">
        <v>2223710</v>
      </c>
      <c r="C7028" s="1" t="str">
        <f>HYPERLINK("http://stackoverflow.com/users/2223710", "James Zheng")</f>
        <v>James Zheng</v>
      </c>
      <c r="D7028" t="s">
        <v>120</v>
      </c>
      <c r="E7028">
        <v>6</v>
      </c>
    </row>
    <row r="7029" spans="1:5" x14ac:dyDescent="0.25">
      <c r="A7029">
        <v>7028</v>
      </c>
      <c r="B7029">
        <v>7482423</v>
      </c>
      <c r="C7029" s="1" t="str">
        <f>HYPERLINK("http://stackoverflow.com/users/7482423", "Roc")</f>
        <v>Roc</v>
      </c>
      <c r="D7029" t="s">
        <v>62</v>
      </c>
      <c r="E7029">
        <v>6</v>
      </c>
    </row>
    <row r="7030" spans="1:5" x14ac:dyDescent="0.25">
      <c r="A7030">
        <v>7029</v>
      </c>
      <c r="B7030">
        <v>7489143</v>
      </c>
      <c r="C7030" s="1" t="str">
        <f>HYPERLINK("http://stackoverflow.com/users/7489143", "qmhedging")</f>
        <v>qmhedging</v>
      </c>
      <c r="D7030" t="s">
        <v>4</v>
      </c>
      <c r="E7030">
        <v>6</v>
      </c>
    </row>
    <row r="7031" spans="1:5" x14ac:dyDescent="0.25">
      <c r="A7031">
        <v>7030</v>
      </c>
      <c r="B7031">
        <v>7438863</v>
      </c>
      <c r="C7031" s="1" t="str">
        <f>HYPERLINK("http://stackoverflow.com/users/7438863", "DarylPan")</f>
        <v>DarylPan</v>
      </c>
      <c r="D7031" t="s">
        <v>4</v>
      </c>
      <c r="E7031">
        <v>6</v>
      </c>
    </row>
    <row r="7032" spans="1:5" x14ac:dyDescent="0.25">
      <c r="A7032">
        <v>7031</v>
      </c>
      <c r="B7032">
        <v>2142327</v>
      </c>
      <c r="C7032" s="1" t="str">
        <f>HYPERLINK("http://stackoverflow.com/users/2142327", "Ruibin.Chow")</f>
        <v>Ruibin.Chow</v>
      </c>
      <c r="D7032" t="s">
        <v>21</v>
      </c>
      <c r="E7032">
        <v>6</v>
      </c>
    </row>
    <row r="7033" spans="1:5" x14ac:dyDescent="0.25">
      <c r="A7033">
        <v>7032</v>
      </c>
      <c r="B7033">
        <v>9356699</v>
      </c>
      <c r="C7033" s="1" t="str">
        <f>HYPERLINK("http://stackoverflow.com/users/9356699", "Rezwan hasan Antik")</f>
        <v>Rezwan hasan Antik</v>
      </c>
      <c r="D7033" t="s">
        <v>55</v>
      </c>
      <c r="E7033">
        <v>6</v>
      </c>
    </row>
    <row r="7034" spans="1:5" x14ac:dyDescent="0.25">
      <c r="A7034">
        <v>7033</v>
      </c>
      <c r="B7034">
        <v>3929421</v>
      </c>
      <c r="C7034" s="1" t="str">
        <f>HYPERLINK("http://stackoverflow.com/users/3929421", "Old Why")</f>
        <v>Old Why</v>
      </c>
      <c r="D7034" t="s">
        <v>17</v>
      </c>
      <c r="E7034">
        <v>6</v>
      </c>
    </row>
    <row r="7035" spans="1:5" x14ac:dyDescent="0.25">
      <c r="A7035">
        <v>7034</v>
      </c>
      <c r="B7035">
        <v>5709423</v>
      </c>
      <c r="C7035" s="1" t="str">
        <f>HYPERLINK("http://stackoverflow.com/users/5709423", "Coalabear")</f>
        <v>Coalabear</v>
      </c>
      <c r="D7035" t="s">
        <v>37</v>
      </c>
      <c r="E7035">
        <v>6</v>
      </c>
    </row>
    <row r="7036" spans="1:5" x14ac:dyDescent="0.25">
      <c r="A7036">
        <v>7035</v>
      </c>
      <c r="B7036">
        <v>7579803</v>
      </c>
      <c r="C7036" s="1" t="str">
        <f>HYPERLINK("http://stackoverflow.com/users/7579803", "Rphone")</f>
        <v>Rphone</v>
      </c>
      <c r="D7036" t="s">
        <v>328</v>
      </c>
      <c r="E7036">
        <v>6</v>
      </c>
    </row>
    <row r="7037" spans="1:5" x14ac:dyDescent="0.25">
      <c r="A7037">
        <v>7036</v>
      </c>
      <c r="B7037">
        <v>7627443</v>
      </c>
      <c r="C7037" s="1" t="str">
        <f>HYPERLINK("http://stackoverflow.com/users/7627443", "Leon Guo")</f>
        <v>Leon Guo</v>
      </c>
      <c r="D7037" t="s">
        <v>131</v>
      </c>
      <c r="E7037">
        <v>6</v>
      </c>
    </row>
    <row r="7038" spans="1:5" x14ac:dyDescent="0.25">
      <c r="A7038">
        <v>7037</v>
      </c>
      <c r="B7038">
        <v>9502610</v>
      </c>
      <c r="C7038" s="1" t="str">
        <f>HYPERLINK("http://stackoverflow.com/users/9502610", "Haiyan GU")</f>
        <v>Haiyan GU</v>
      </c>
      <c r="D7038" t="s">
        <v>5</v>
      </c>
      <c r="E7038">
        <v>6</v>
      </c>
    </row>
    <row r="7039" spans="1:5" x14ac:dyDescent="0.25">
      <c r="A7039">
        <v>7038</v>
      </c>
      <c r="B7039">
        <v>5928569</v>
      </c>
      <c r="C7039" s="1" t="str">
        <f>HYPERLINK("http://stackoverflow.com/users/5928569", "ITACHI")</f>
        <v>ITACHI</v>
      </c>
      <c r="D7039" t="s">
        <v>4</v>
      </c>
      <c r="E7039">
        <v>6</v>
      </c>
    </row>
    <row r="7040" spans="1:5" x14ac:dyDescent="0.25">
      <c r="A7040">
        <v>7039</v>
      </c>
      <c r="B7040">
        <v>5938030</v>
      </c>
      <c r="C7040" s="1" t="str">
        <f>HYPERLINK("http://stackoverflow.com/users/5938030", "mofei")</f>
        <v>mofei</v>
      </c>
      <c r="D7040" t="s">
        <v>4</v>
      </c>
      <c r="E7040">
        <v>6</v>
      </c>
    </row>
    <row r="7041" spans="1:5" x14ac:dyDescent="0.25">
      <c r="A7041">
        <v>7040</v>
      </c>
      <c r="B7041">
        <v>5944701</v>
      </c>
      <c r="C7041" s="1" t="str">
        <f>HYPERLINK("http://stackoverflow.com/users/5944701", "Alan Yang")</f>
        <v>Alan Yang</v>
      </c>
      <c r="D7041" t="s">
        <v>382</v>
      </c>
      <c r="E7041">
        <v>6</v>
      </c>
    </row>
    <row r="7042" spans="1:5" x14ac:dyDescent="0.25">
      <c r="A7042">
        <v>7041</v>
      </c>
      <c r="B7042">
        <v>1329545</v>
      </c>
      <c r="C7042" s="1" t="str">
        <f>HYPERLINK("http://stackoverflow.com/users/1329545", "zhongfugao")</f>
        <v>zhongfugao</v>
      </c>
      <c r="D7042" t="s">
        <v>4</v>
      </c>
      <c r="E7042">
        <v>6</v>
      </c>
    </row>
    <row r="7043" spans="1:5" x14ac:dyDescent="0.25">
      <c r="A7043">
        <v>7042</v>
      </c>
      <c r="B7043">
        <v>10396111</v>
      </c>
      <c r="C7043" s="1" t="str">
        <f>HYPERLINK("http://stackoverflow.com/users/10396111", "falin")</f>
        <v>falin</v>
      </c>
      <c r="D7043" t="s">
        <v>25</v>
      </c>
      <c r="E7043">
        <v>6</v>
      </c>
    </row>
    <row r="7044" spans="1:5" x14ac:dyDescent="0.25">
      <c r="A7044">
        <v>7043</v>
      </c>
      <c r="B7044">
        <v>4993491</v>
      </c>
      <c r="C7044" s="1" t="str">
        <f>HYPERLINK("http://stackoverflow.com/users/4993491", "dreamkidd")</f>
        <v>dreamkidd</v>
      </c>
      <c r="D7044" t="s">
        <v>5</v>
      </c>
      <c r="E7044">
        <v>6</v>
      </c>
    </row>
    <row r="7045" spans="1:5" x14ac:dyDescent="0.25">
      <c r="A7045">
        <v>7044</v>
      </c>
      <c r="B7045">
        <v>10318891</v>
      </c>
      <c r="C7045" s="1" t="str">
        <f>HYPERLINK("http://stackoverflow.com/users/10318891", "chauncong liu")</f>
        <v>chauncong liu</v>
      </c>
      <c r="D7045" t="s">
        <v>91</v>
      </c>
      <c r="E7045">
        <v>6</v>
      </c>
    </row>
    <row r="7046" spans="1:5" x14ac:dyDescent="0.25">
      <c r="A7046">
        <v>7045</v>
      </c>
      <c r="B7046">
        <v>4848995</v>
      </c>
      <c r="C7046" s="1" t="str">
        <f>HYPERLINK("http://stackoverflow.com/users/4848995", "tigercodes")</f>
        <v>tigercodes</v>
      </c>
      <c r="D7046" t="s">
        <v>25</v>
      </c>
      <c r="E7046">
        <v>6</v>
      </c>
    </row>
    <row r="7047" spans="1:5" x14ac:dyDescent="0.25">
      <c r="A7047">
        <v>7046</v>
      </c>
      <c r="B7047">
        <v>3021071</v>
      </c>
      <c r="C7047" s="1" t="str">
        <f>HYPERLINK("http://stackoverflow.com/users/3021071", "chaking")</f>
        <v>chaking</v>
      </c>
      <c r="D7047" t="s">
        <v>5</v>
      </c>
      <c r="E7047">
        <v>6</v>
      </c>
    </row>
    <row r="7048" spans="1:5" x14ac:dyDescent="0.25">
      <c r="A7048">
        <v>7047</v>
      </c>
      <c r="B7048">
        <v>6576538</v>
      </c>
      <c r="C7048" s="1" t="str">
        <f>HYPERLINK("http://stackoverflow.com/users/6576538", "Xingcheng")</f>
        <v>Xingcheng</v>
      </c>
      <c r="D7048" t="s">
        <v>383</v>
      </c>
      <c r="E7048">
        <v>6</v>
      </c>
    </row>
    <row r="7049" spans="1:5" x14ac:dyDescent="0.25">
      <c r="A7049">
        <v>7048</v>
      </c>
      <c r="B7049">
        <v>1031064</v>
      </c>
      <c r="C7049" s="1" t="str">
        <f>HYPERLINK("http://stackoverflow.com/users/1031064", "XiaoHao")</f>
        <v>XiaoHao</v>
      </c>
      <c r="D7049" t="s">
        <v>5</v>
      </c>
      <c r="E7049">
        <v>6</v>
      </c>
    </row>
    <row r="7050" spans="1:5" x14ac:dyDescent="0.25">
      <c r="A7050">
        <v>7049</v>
      </c>
      <c r="B7050">
        <v>8409231</v>
      </c>
      <c r="C7050" s="1" t="str">
        <f>HYPERLINK("http://stackoverflow.com/users/8409231", "tennyxu")</f>
        <v>tennyxu</v>
      </c>
      <c r="D7050" t="s">
        <v>7</v>
      </c>
      <c r="E7050">
        <v>6</v>
      </c>
    </row>
    <row r="7051" spans="1:5" x14ac:dyDescent="0.25">
      <c r="A7051">
        <v>7050</v>
      </c>
      <c r="B7051">
        <v>3048077</v>
      </c>
      <c r="C7051" s="1" t="str">
        <f>HYPERLINK("http://stackoverflow.com/users/3048077", "Aji Hao")</f>
        <v>Aji Hao</v>
      </c>
      <c r="D7051" t="s">
        <v>5</v>
      </c>
      <c r="E7051">
        <v>6</v>
      </c>
    </row>
    <row r="7052" spans="1:5" x14ac:dyDescent="0.25">
      <c r="A7052">
        <v>7051</v>
      </c>
      <c r="B7052">
        <v>8376404</v>
      </c>
      <c r="C7052" s="1" t="str">
        <f>HYPERLINK("http://stackoverflow.com/users/8376404", "Chen")</f>
        <v>Chen</v>
      </c>
      <c r="D7052" t="s">
        <v>131</v>
      </c>
      <c r="E7052">
        <v>6</v>
      </c>
    </row>
    <row r="7053" spans="1:5" x14ac:dyDescent="0.25">
      <c r="A7053">
        <v>7052</v>
      </c>
      <c r="B7053">
        <v>3000654</v>
      </c>
      <c r="C7053" s="1" t="str">
        <f>HYPERLINK("http://stackoverflow.com/users/3000654", "chairmanwow")</f>
        <v>chairmanwow</v>
      </c>
      <c r="D7053" t="s">
        <v>4</v>
      </c>
      <c r="E7053">
        <v>6</v>
      </c>
    </row>
    <row r="7054" spans="1:5" x14ac:dyDescent="0.25">
      <c r="A7054">
        <v>7053</v>
      </c>
      <c r="B7054">
        <v>3059644</v>
      </c>
      <c r="C7054" s="1" t="str">
        <f>HYPERLINK("http://stackoverflow.com/users/3059644", "PhiloFeng")</f>
        <v>PhiloFeng</v>
      </c>
      <c r="D7054" t="s">
        <v>5</v>
      </c>
      <c r="E7054">
        <v>6</v>
      </c>
    </row>
    <row r="7055" spans="1:5" x14ac:dyDescent="0.25">
      <c r="A7055">
        <v>7054</v>
      </c>
      <c r="B7055">
        <v>4902291</v>
      </c>
      <c r="C7055" s="1" t="str">
        <f>HYPERLINK("http://stackoverflow.com/users/4902291", "Lin")</f>
        <v>Lin</v>
      </c>
      <c r="D7055" t="s">
        <v>12</v>
      </c>
      <c r="E7055">
        <v>6</v>
      </c>
    </row>
    <row r="7056" spans="1:5" x14ac:dyDescent="0.25">
      <c r="A7056">
        <v>7055</v>
      </c>
      <c r="B7056">
        <v>1137872</v>
      </c>
      <c r="C7056" s="1" t="str">
        <f>HYPERLINK("http://stackoverflow.com/users/1137872", "Norris")</f>
        <v>Norris</v>
      </c>
      <c r="D7056" t="s">
        <v>5</v>
      </c>
      <c r="E7056">
        <v>6</v>
      </c>
    </row>
    <row r="7057" spans="1:5" x14ac:dyDescent="0.25">
      <c r="A7057">
        <v>7056</v>
      </c>
      <c r="B7057">
        <v>1143082</v>
      </c>
      <c r="C7057" s="1" t="str">
        <f>HYPERLINK("http://stackoverflow.com/users/1143082", "Jacky_xiao")</f>
        <v>Jacky_xiao</v>
      </c>
      <c r="D7057" t="s">
        <v>5</v>
      </c>
      <c r="E7057">
        <v>6</v>
      </c>
    </row>
    <row r="7058" spans="1:5" x14ac:dyDescent="0.25">
      <c r="A7058">
        <v>7057</v>
      </c>
      <c r="B7058">
        <v>6647602</v>
      </c>
      <c r="C7058" s="1" t="str">
        <f>HYPERLINK("http://stackoverflow.com/users/6647602", "renkang chen")</f>
        <v>renkang chen</v>
      </c>
      <c r="D7058" t="s">
        <v>7</v>
      </c>
      <c r="E7058">
        <v>6</v>
      </c>
    </row>
    <row r="7059" spans="1:5" x14ac:dyDescent="0.25">
      <c r="A7059">
        <v>7058</v>
      </c>
      <c r="B7059">
        <v>8473226</v>
      </c>
      <c r="C7059" s="1" t="str">
        <f>HYPERLINK("http://stackoverflow.com/users/8473226", "alexkuang")</f>
        <v>alexkuang</v>
      </c>
      <c r="D7059" t="s">
        <v>55</v>
      </c>
      <c r="E7059">
        <v>6</v>
      </c>
    </row>
    <row r="7060" spans="1:5" x14ac:dyDescent="0.25">
      <c r="A7060">
        <v>7059</v>
      </c>
      <c r="B7060">
        <v>1406127</v>
      </c>
      <c r="C7060" s="1" t="str">
        <f>HYPERLINK("http://stackoverflow.com/users/1406127", "David")</f>
        <v>David</v>
      </c>
      <c r="D7060" t="s">
        <v>4</v>
      </c>
      <c r="E7060">
        <v>6</v>
      </c>
    </row>
    <row r="7061" spans="1:5" x14ac:dyDescent="0.25">
      <c r="A7061">
        <v>7060</v>
      </c>
      <c r="B7061">
        <v>6786217</v>
      </c>
      <c r="C7061" s="1" t="str">
        <f>HYPERLINK("http://stackoverflow.com/users/6786217", "pfllo")</f>
        <v>pfllo</v>
      </c>
      <c r="D7061" t="s">
        <v>27</v>
      </c>
      <c r="E7061">
        <v>6</v>
      </c>
    </row>
    <row r="7062" spans="1:5" x14ac:dyDescent="0.25">
      <c r="A7062">
        <v>7061</v>
      </c>
      <c r="B7062">
        <v>5177204</v>
      </c>
      <c r="C7062" s="1" t="str">
        <f>HYPERLINK("http://stackoverflow.com/users/5177204", "jason wu")</f>
        <v>jason wu</v>
      </c>
      <c r="D7062" t="s">
        <v>5</v>
      </c>
      <c r="E7062">
        <v>6</v>
      </c>
    </row>
    <row r="7063" spans="1:5" x14ac:dyDescent="0.25">
      <c r="A7063">
        <v>7062</v>
      </c>
      <c r="B7063">
        <v>6898605</v>
      </c>
      <c r="C7063" s="1" t="str">
        <f>HYPERLINK("http://stackoverflow.com/users/6898605", "Boorn")</f>
        <v>Boorn</v>
      </c>
      <c r="D7063" t="s">
        <v>266</v>
      </c>
      <c r="E7063">
        <v>6</v>
      </c>
    </row>
    <row r="7064" spans="1:5" x14ac:dyDescent="0.25">
      <c r="A7064">
        <v>7063</v>
      </c>
      <c r="B7064">
        <v>10527125</v>
      </c>
      <c r="C7064" s="1" t="str">
        <f>HYPERLINK("http://stackoverflow.com/users/10527125", "user10527125")</f>
        <v>user10527125</v>
      </c>
      <c r="D7064" t="s">
        <v>5</v>
      </c>
      <c r="E7064">
        <v>6</v>
      </c>
    </row>
    <row r="7065" spans="1:5" x14ac:dyDescent="0.25">
      <c r="A7065">
        <v>7064</v>
      </c>
      <c r="B7065">
        <v>8730983</v>
      </c>
      <c r="C7065" s="1" t="str">
        <f>HYPERLINK("http://stackoverflow.com/users/8730983", "sammy00")</f>
        <v>sammy00</v>
      </c>
      <c r="D7065" t="s">
        <v>4</v>
      </c>
      <c r="E7065">
        <v>6</v>
      </c>
    </row>
    <row r="7066" spans="1:5" x14ac:dyDescent="0.25">
      <c r="A7066">
        <v>7065</v>
      </c>
      <c r="B7066">
        <v>5108521</v>
      </c>
      <c r="C7066" s="1" t="str">
        <f>HYPERLINK("http://stackoverflow.com/users/5108521", "Elkins")</f>
        <v>Elkins</v>
      </c>
      <c r="D7066" t="s">
        <v>5</v>
      </c>
      <c r="E7066">
        <v>6</v>
      </c>
    </row>
    <row r="7067" spans="1:5" x14ac:dyDescent="0.25">
      <c r="A7067">
        <v>7066</v>
      </c>
      <c r="B7067">
        <v>3436716</v>
      </c>
      <c r="C7067" s="1" t="str">
        <f>HYPERLINK("http://stackoverflow.com/users/3436716", "sharkliu")</f>
        <v>sharkliu</v>
      </c>
      <c r="D7067" t="s">
        <v>17</v>
      </c>
      <c r="E7067">
        <v>6</v>
      </c>
    </row>
    <row r="7068" spans="1:5" x14ac:dyDescent="0.25">
      <c r="A7068">
        <v>7067</v>
      </c>
      <c r="B7068">
        <v>1572994</v>
      </c>
      <c r="C7068" s="1" t="str">
        <f>HYPERLINK("http://stackoverflow.com/users/1572994", "Nicholas Ni")</f>
        <v>Nicholas Ni</v>
      </c>
      <c r="D7068" t="s">
        <v>43</v>
      </c>
      <c r="E7068">
        <v>6</v>
      </c>
    </row>
    <row r="7069" spans="1:5" x14ac:dyDescent="0.25">
      <c r="A7069">
        <v>7068</v>
      </c>
      <c r="B7069">
        <v>1648260</v>
      </c>
      <c r="C7069" s="1" t="str">
        <f>HYPERLINK("http://stackoverflow.com/users/1648260", "jared.liu")</f>
        <v>jared.liu</v>
      </c>
      <c r="D7069" t="s">
        <v>4</v>
      </c>
      <c r="E7069">
        <v>6</v>
      </c>
    </row>
    <row r="7070" spans="1:5" x14ac:dyDescent="0.25">
      <c r="A7070">
        <v>7069</v>
      </c>
      <c r="B7070">
        <v>10712372</v>
      </c>
      <c r="C7070" s="1" t="str">
        <f>HYPERLINK("http://stackoverflow.com/users/10712372", "Hardi Xu")</f>
        <v>Hardi Xu</v>
      </c>
      <c r="D7070" t="s">
        <v>187</v>
      </c>
      <c r="E7070">
        <v>6</v>
      </c>
    </row>
    <row r="7071" spans="1:5" x14ac:dyDescent="0.25">
      <c r="A7071">
        <v>7070</v>
      </c>
      <c r="B7071">
        <v>5315101</v>
      </c>
      <c r="C7071" s="1" t="str">
        <f>HYPERLINK("http://stackoverflow.com/users/5315101", "robert.chan")</f>
        <v>robert.chan</v>
      </c>
      <c r="D7071" t="s">
        <v>12</v>
      </c>
      <c r="E7071">
        <v>6</v>
      </c>
    </row>
    <row r="7072" spans="1:5" x14ac:dyDescent="0.25">
      <c r="A7072">
        <v>7071</v>
      </c>
      <c r="B7072">
        <v>8901777</v>
      </c>
      <c r="C7072" s="1" t="str">
        <f>HYPERLINK("http://stackoverflow.com/users/8901777", "Mr. Ji")</f>
        <v>Mr. Ji</v>
      </c>
      <c r="D7072" t="s">
        <v>4</v>
      </c>
      <c r="E7072">
        <v>6</v>
      </c>
    </row>
    <row r="7073" spans="1:5" x14ac:dyDescent="0.25">
      <c r="A7073">
        <v>7072</v>
      </c>
      <c r="B7073">
        <v>4554044</v>
      </c>
      <c r="C7073" s="1" t="str">
        <f>HYPERLINK("http://stackoverflow.com/users/4554044", "diedrop")</f>
        <v>diedrop</v>
      </c>
      <c r="D7073" t="s">
        <v>73</v>
      </c>
      <c r="E7073">
        <v>6</v>
      </c>
    </row>
    <row r="7074" spans="1:5" x14ac:dyDescent="0.25">
      <c r="A7074">
        <v>7073</v>
      </c>
      <c r="B7074">
        <v>6339747</v>
      </c>
      <c r="C7074" s="1" t="str">
        <f>HYPERLINK("http://stackoverflow.com/users/6339747", "Jiaqi Zheng")</f>
        <v>Jiaqi Zheng</v>
      </c>
      <c r="D7074" t="s">
        <v>131</v>
      </c>
      <c r="E7074">
        <v>6</v>
      </c>
    </row>
    <row r="7075" spans="1:5" x14ac:dyDescent="0.25">
      <c r="A7075">
        <v>7074</v>
      </c>
      <c r="B7075">
        <v>8268439</v>
      </c>
      <c r="C7075" s="1" t="str">
        <f>HYPERLINK("http://stackoverflow.com/users/8268439", "xcl")</f>
        <v>xcl</v>
      </c>
      <c r="D7075" t="s">
        <v>16</v>
      </c>
      <c r="E7075">
        <v>6</v>
      </c>
    </row>
    <row r="7076" spans="1:5" x14ac:dyDescent="0.25">
      <c r="A7076">
        <v>7075</v>
      </c>
      <c r="B7076">
        <v>833137</v>
      </c>
      <c r="C7076" s="1" t="str">
        <f>HYPERLINK("http://stackoverflow.com/users/833137", "zyzorro")</f>
        <v>zyzorro</v>
      </c>
      <c r="D7076" t="s">
        <v>5</v>
      </c>
      <c r="E7076">
        <v>6</v>
      </c>
    </row>
    <row r="7077" spans="1:5" x14ac:dyDescent="0.25">
      <c r="A7077">
        <v>7076</v>
      </c>
      <c r="B7077">
        <v>806464</v>
      </c>
      <c r="C7077" s="1" t="str">
        <f>HYPERLINK("http://stackoverflow.com/users/806464", "Jason")</f>
        <v>Jason</v>
      </c>
      <c r="D7077" t="s">
        <v>5</v>
      </c>
      <c r="E7077">
        <v>6</v>
      </c>
    </row>
    <row r="7078" spans="1:5" x14ac:dyDescent="0.25">
      <c r="A7078">
        <v>7077</v>
      </c>
      <c r="B7078">
        <v>8216156</v>
      </c>
      <c r="C7078" s="1" t="str">
        <f>HYPERLINK("http://stackoverflow.com/users/8216156", "Haizhou")</f>
        <v>Haizhou</v>
      </c>
      <c r="D7078" t="s">
        <v>12</v>
      </c>
      <c r="E7078">
        <v>6</v>
      </c>
    </row>
    <row r="7079" spans="1:5" x14ac:dyDescent="0.25">
      <c r="A7079">
        <v>7078</v>
      </c>
      <c r="B7079">
        <v>8328723</v>
      </c>
      <c r="C7079" s="1" t="str">
        <f>HYPERLINK("http://stackoverflow.com/users/8328723", "刘威威")</f>
        <v>刘威威</v>
      </c>
      <c r="D7079" t="s">
        <v>52</v>
      </c>
      <c r="E7079">
        <v>6</v>
      </c>
    </row>
    <row r="7080" spans="1:5" x14ac:dyDescent="0.25">
      <c r="A7080">
        <v>7079</v>
      </c>
      <c r="B7080">
        <v>6484613</v>
      </c>
      <c r="C7080" s="1" t="str">
        <f>HYPERLINK("http://stackoverflow.com/users/6484613", "RayEden")</f>
        <v>RayEden</v>
      </c>
      <c r="D7080" t="s">
        <v>16</v>
      </c>
      <c r="E7080">
        <v>6</v>
      </c>
    </row>
    <row r="7081" spans="1:5" x14ac:dyDescent="0.25">
      <c r="A7081">
        <v>7080</v>
      </c>
      <c r="B7081">
        <v>8281265</v>
      </c>
      <c r="C7081" s="1" t="str">
        <f>HYPERLINK("http://stackoverflow.com/users/8281265", "Lahahana")</f>
        <v>Lahahana</v>
      </c>
      <c r="D7081" t="s">
        <v>16</v>
      </c>
      <c r="E7081">
        <v>6</v>
      </c>
    </row>
    <row r="7082" spans="1:5" x14ac:dyDescent="0.25">
      <c r="A7082">
        <v>7081</v>
      </c>
      <c r="B7082">
        <v>6085102</v>
      </c>
      <c r="C7082" s="1" t="str">
        <f>HYPERLINK("http://stackoverflow.com/users/6085102", "jymthu")</f>
        <v>jymthu</v>
      </c>
      <c r="D7082" t="s">
        <v>176</v>
      </c>
      <c r="E7082">
        <v>6</v>
      </c>
    </row>
    <row r="7083" spans="1:5" x14ac:dyDescent="0.25">
      <c r="A7083">
        <v>7082</v>
      </c>
      <c r="B7083">
        <v>4409443</v>
      </c>
      <c r="C7083" s="1" t="str">
        <f>HYPERLINK("http://stackoverflow.com/users/4409443", "dantegg")</f>
        <v>dantegg</v>
      </c>
      <c r="D7083" t="s">
        <v>4</v>
      </c>
      <c r="E7083">
        <v>6</v>
      </c>
    </row>
    <row r="7084" spans="1:5" x14ac:dyDescent="0.25">
      <c r="A7084">
        <v>7083</v>
      </c>
      <c r="B7084">
        <v>6117575</v>
      </c>
      <c r="C7084" s="1" t="str">
        <f>HYPERLINK("http://stackoverflow.com/users/6117575", "kawaiiQ")</f>
        <v>kawaiiQ</v>
      </c>
      <c r="D7084" t="s">
        <v>384</v>
      </c>
      <c r="E7084">
        <v>6</v>
      </c>
    </row>
    <row r="7085" spans="1:5" x14ac:dyDescent="0.25">
      <c r="A7085">
        <v>7084</v>
      </c>
      <c r="B7085">
        <v>6107388</v>
      </c>
      <c r="C7085" s="1" t="str">
        <f>HYPERLINK("http://stackoverflow.com/users/6107388", "koory1st")</f>
        <v>koory1st</v>
      </c>
      <c r="D7085" t="s">
        <v>74</v>
      </c>
      <c r="E7085">
        <v>6</v>
      </c>
    </row>
    <row r="7086" spans="1:5" x14ac:dyDescent="0.25">
      <c r="A7086">
        <v>7085</v>
      </c>
      <c r="B7086">
        <v>6244718</v>
      </c>
      <c r="C7086" s="1" t="str">
        <f>HYPERLINK("http://stackoverflow.com/users/6244718", "dannz")</f>
        <v>dannz</v>
      </c>
      <c r="D7086" t="s">
        <v>385</v>
      </c>
      <c r="E7086">
        <v>6</v>
      </c>
    </row>
    <row r="7087" spans="1:5" x14ac:dyDescent="0.25">
      <c r="A7087">
        <v>7086</v>
      </c>
      <c r="B7087">
        <v>8023679</v>
      </c>
      <c r="C7087" s="1" t="str">
        <f>HYPERLINK("http://stackoverflow.com/users/8023679", "Huang Zheng")</f>
        <v>Huang Zheng</v>
      </c>
      <c r="D7087" t="s">
        <v>4</v>
      </c>
      <c r="E7087">
        <v>6</v>
      </c>
    </row>
    <row r="7088" spans="1:5" x14ac:dyDescent="0.25">
      <c r="A7088">
        <v>7087</v>
      </c>
      <c r="B7088">
        <v>4531496</v>
      </c>
      <c r="C7088" s="1" t="str">
        <f>HYPERLINK("http://stackoverflow.com/users/4531496", "Zahi Wei")</f>
        <v>Zahi Wei</v>
      </c>
      <c r="D7088" t="s">
        <v>4</v>
      </c>
      <c r="E7088">
        <v>6</v>
      </c>
    </row>
    <row r="7089" spans="1:5" x14ac:dyDescent="0.25">
      <c r="A7089">
        <v>7088</v>
      </c>
      <c r="B7089">
        <v>6218130</v>
      </c>
      <c r="C7089" s="1" t="str">
        <f>HYPERLINK("http://stackoverflow.com/users/6218130", "郭先生")</f>
        <v>郭先生</v>
      </c>
      <c r="D7089" t="s">
        <v>78</v>
      </c>
      <c r="E7089">
        <v>6</v>
      </c>
    </row>
    <row r="7090" spans="1:5" x14ac:dyDescent="0.25">
      <c r="A7090">
        <v>7089</v>
      </c>
      <c r="B7090">
        <v>2579016</v>
      </c>
      <c r="C7090" s="1" t="str">
        <f>HYPERLINK("http://stackoverflow.com/users/2579016", "dubuyunjie")</f>
        <v>dubuyunjie</v>
      </c>
      <c r="D7090" t="s">
        <v>22</v>
      </c>
      <c r="E7090">
        <v>6</v>
      </c>
    </row>
    <row r="7091" spans="1:5" x14ac:dyDescent="0.25">
      <c r="A7091">
        <v>7090</v>
      </c>
      <c r="B7091">
        <v>324118</v>
      </c>
      <c r="C7091" s="1" t="str">
        <f>HYPERLINK("http://stackoverflow.com/users/324118", "Daniel Shi")</f>
        <v>Daniel Shi</v>
      </c>
      <c r="D7091" t="s">
        <v>48</v>
      </c>
      <c r="E7091">
        <v>6</v>
      </c>
    </row>
    <row r="7092" spans="1:5" x14ac:dyDescent="0.25">
      <c r="A7092">
        <v>7091</v>
      </c>
      <c r="B7092">
        <v>2599840</v>
      </c>
      <c r="C7092" s="1" t="str">
        <f>HYPERLINK("http://stackoverflow.com/users/2599840", "user2599840")</f>
        <v>user2599840</v>
      </c>
      <c r="D7092" t="s">
        <v>5</v>
      </c>
      <c r="E7092">
        <v>6</v>
      </c>
    </row>
    <row r="7093" spans="1:5" x14ac:dyDescent="0.25">
      <c r="A7093">
        <v>7092</v>
      </c>
      <c r="B7093">
        <v>8562516</v>
      </c>
      <c r="C7093" s="1" t="str">
        <f>HYPERLINK("http://stackoverflow.com/users/8562516", "YJ Z")</f>
        <v>YJ Z</v>
      </c>
      <c r="D7093" t="s">
        <v>47</v>
      </c>
      <c r="E7093">
        <v>6</v>
      </c>
    </row>
    <row r="7094" spans="1:5" x14ac:dyDescent="0.25">
      <c r="A7094">
        <v>7093</v>
      </c>
      <c r="B7094">
        <v>3161930</v>
      </c>
      <c r="C7094" s="1" t="str">
        <f>HYPERLINK("http://stackoverflow.com/users/3161930", "Jan5")</f>
        <v>Jan5</v>
      </c>
      <c r="D7094" t="s">
        <v>38</v>
      </c>
      <c r="E7094">
        <v>6</v>
      </c>
    </row>
    <row r="7095" spans="1:5" x14ac:dyDescent="0.25">
      <c r="A7095">
        <v>7094</v>
      </c>
      <c r="B7095">
        <v>3161831</v>
      </c>
      <c r="C7095" s="1" t="str">
        <f>HYPERLINK("http://stackoverflow.com/users/3161831", "Young_Bioinfo")</f>
        <v>Young_Bioinfo</v>
      </c>
      <c r="D7095" t="s">
        <v>4</v>
      </c>
      <c r="E7095">
        <v>6</v>
      </c>
    </row>
    <row r="7096" spans="1:5" x14ac:dyDescent="0.25">
      <c r="A7096">
        <v>7095</v>
      </c>
      <c r="B7096">
        <v>1088070</v>
      </c>
      <c r="C7096" s="1" t="str">
        <f>HYPERLINK("http://stackoverflow.com/users/1088070", "YongYoung")</f>
        <v>YongYoung</v>
      </c>
      <c r="D7096" t="s">
        <v>5</v>
      </c>
      <c r="E7096">
        <v>6</v>
      </c>
    </row>
    <row r="7097" spans="1:5" x14ac:dyDescent="0.25">
      <c r="A7097">
        <v>7096</v>
      </c>
      <c r="B7097">
        <v>6593235</v>
      </c>
      <c r="C7097" s="1" t="str">
        <f>HYPERLINK("http://stackoverflow.com/users/6593235", "Matrix")</f>
        <v>Matrix</v>
      </c>
      <c r="D7097" t="s">
        <v>4</v>
      </c>
      <c r="E7097">
        <v>6</v>
      </c>
    </row>
    <row r="7098" spans="1:5" x14ac:dyDescent="0.25">
      <c r="A7098">
        <v>7097</v>
      </c>
      <c r="B7098">
        <v>3056156</v>
      </c>
      <c r="C7098" s="1" t="str">
        <f>HYPERLINK("http://stackoverflow.com/users/3056156", "lingyeying")</f>
        <v>lingyeying</v>
      </c>
      <c r="D7098" t="s">
        <v>12</v>
      </c>
      <c r="E7098">
        <v>6</v>
      </c>
    </row>
    <row r="7099" spans="1:5" x14ac:dyDescent="0.25">
      <c r="A7099">
        <v>7098</v>
      </c>
      <c r="B7099">
        <v>1033113</v>
      </c>
      <c r="C7099" s="1" t="str">
        <f>HYPERLINK("http://stackoverflow.com/users/1033113", "lingyunzhi12345")</f>
        <v>lingyunzhi12345</v>
      </c>
      <c r="D7099" t="s">
        <v>35</v>
      </c>
      <c r="E7099">
        <v>6</v>
      </c>
    </row>
    <row r="7100" spans="1:5" x14ac:dyDescent="0.25">
      <c r="A7100">
        <v>7099</v>
      </c>
      <c r="B7100">
        <v>3011422</v>
      </c>
      <c r="C7100" s="1" t="str">
        <f>HYPERLINK("http://stackoverflow.com/users/3011422", "Crazyisgift")</f>
        <v>Crazyisgift</v>
      </c>
      <c r="D7100" t="s">
        <v>386</v>
      </c>
      <c r="E7100">
        <v>6</v>
      </c>
    </row>
    <row r="7101" spans="1:5" x14ac:dyDescent="0.25">
      <c r="A7101">
        <v>7100</v>
      </c>
      <c r="B7101">
        <v>4818714</v>
      </c>
      <c r="C7101" s="1" t="str">
        <f>HYPERLINK("http://stackoverflow.com/users/4818714", "chao.song")</f>
        <v>chao.song</v>
      </c>
      <c r="D7101" t="s">
        <v>5</v>
      </c>
      <c r="E7101">
        <v>6</v>
      </c>
    </row>
    <row r="7102" spans="1:5" x14ac:dyDescent="0.25">
      <c r="A7102">
        <v>7101</v>
      </c>
      <c r="B7102">
        <v>2982401</v>
      </c>
      <c r="C7102" s="1" t="str">
        <f>HYPERLINK("http://stackoverflow.com/users/2982401", "Richard")</f>
        <v>Richard</v>
      </c>
      <c r="D7102" t="s">
        <v>4</v>
      </c>
      <c r="E7102">
        <v>6</v>
      </c>
    </row>
    <row r="7103" spans="1:5" x14ac:dyDescent="0.25">
      <c r="A7103">
        <v>7102</v>
      </c>
      <c r="B7103">
        <v>4803657</v>
      </c>
      <c r="C7103" s="1" t="str">
        <f>HYPERLINK("http://stackoverflow.com/users/4803657", "treetty")</f>
        <v>treetty</v>
      </c>
      <c r="D7103" t="s">
        <v>5</v>
      </c>
      <c r="E7103">
        <v>6</v>
      </c>
    </row>
    <row r="7104" spans="1:5" x14ac:dyDescent="0.25">
      <c r="A7104">
        <v>7103</v>
      </c>
      <c r="B7104">
        <v>5150332</v>
      </c>
      <c r="C7104" s="1" t="str">
        <f>HYPERLINK("http://stackoverflow.com/users/5150332", "llb")</f>
        <v>llb</v>
      </c>
      <c r="D7104" t="s">
        <v>5</v>
      </c>
      <c r="E7104">
        <v>6</v>
      </c>
    </row>
    <row r="7105" spans="1:5" x14ac:dyDescent="0.25">
      <c r="A7105">
        <v>7104</v>
      </c>
      <c r="B7105">
        <v>5154613</v>
      </c>
      <c r="C7105" s="1" t="str">
        <f>HYPERLINK("http://stackoverflow.com/users/5154613", "Dillon Ma")</f>
        <v>Dillon Ma</v>
      </c>
      <c r="D7105" t="s">
        <v>5</v>
      </c>
      <c r="E7105">
        <v>6</v>
      </c>
    </row>
    <row r="7106" spans="1:5" x14ac:dyDescent="0.25">
      <c r="A7106">
        <v>7105</v>
      </c>
      <c r="B7106">
        <v>6869780</v>
      </c>
      <c r="C7106" s="1" t="str">
        <f>HYPERLINK("http://stackoverflow.com/users/6869780", "hubeiyichangzy")</f>
        <v>hubeiyichangzy</v>
      </c>
      <c r="D7106" t="s">
        <v>5</v>
      </c>
      <c r="E7106">
        <v>6</v>
      </c>
    </row>
    <row r="7107" spans="1:5" x14ac:dyDescent="0.25">
      <c r="A7107">
        <v>7106</v>
      </c>
      <c r="B7107">
        <v>1471234</v>
      </c>
      <c r="C7107" s="1" t="str">
        <f>HYPERLINK("http://stackoverflow.com/users/1471234", "Kebin Liu")</f>
        <v>Kebin Liu</v>
      </c>
      <c r="D7107" t="s">
        <v>5</v>
      </c>
      <c r="E7107">
        <v>6</v>
      </c>
    </row>
    <row r="7108" spans="1:5" x14ac:dyDescent="0.25">
      <c r="A7108">
        <v>7107</v>
      </c>
      <c r="B7108">
        <v>1455580</v>
      </c>
      <c r="C7108" s="1" t="str">
        <f>HYPERLINK("http://stackoverflow.com/users/1455580", "ryan")</f>
        <v>ryan</v>
      </c>
      <c r="D7108" t="s">
        <v>36</v>
      </c>
      <c r="E7108">
        <v>6</v>
      </c>
    </row>
    <row r="7109" spans="1:5" x14ac:dyDescent="0.25">
      <c r="A7109">
        <v>7108</v>
      </c>
      <c r="B7109">
        <v>5118584</v>
      </c>
      <c r="C7109" s="1" t="str">
        <f>HYPERLINK("http://stackoverflow.com/users/5118584", "Ling")</f>
        <v>Ling</v>
      </c>
      <c r="D7109" t="s">
        <v>37</v>
      </c>
      <c r="E7109">
        <v>6</v>
      </c>
    </row>
    <row r="7110" spans="1:5" x14ac:dyDescent="0.25">
      <c r="A7110">
        <v>7109</v>
      </c>
      <c r="B7110">
        <v>5118474</v>
      </c>
      <c r="C7110" s="1" t="str">
        <f>HYPERLINK("http://stackoverflow.com/users/5118474", "Tony-Wei Feng")</f>
        <v>Tony-Wei Feng</v>
      </c>
      <c r="D7110" t="s">
        <v>4</v>
      </c>
      <c r="E7110">
        <v>6</v>
      </c>
    </row>
    <row r="7111" spans="1:5" x14ac:dyDescent="0.25">
      <c r="A7111">
        <v>7110</v>
      </c>
      <c r="B7111">
        <v>1376705</v>
      </c>
      <c r="C7111" s="1" t="str">
        <f>HYPERLINK("http://stackoverflow.com/users/1376705", "Jove Yu")</f>
        <v>Jove Yu</v>
      </c>
      <c r="D7111" t="s">
        <v>8</v>
      </c>
      <c r="E7111">
        <v>6</v>
      </c>
    </row>
    <row r="7112" spans="1:5" x14ac:dyDescent="0.25">
      <c r="A7112">
        <v>7111</v>
      </c>
      <c r="B7112">
        <v>1428007</v>
      </c>
      <c r="C7112" s="1" t="str">
        <f>HYPERLINK("http://stackoverflow.com/users/1428007", "avincross")</f>
        <v>avincross</v>
      </c>
      <c r="D7112" t="s">
        <v>12</v>
      </c>
      <c r="E7112">
        <v>6</v>
      </c>
    </row>
    <row r="7113" spans="1:5" x14ac:dyDescent="0.25">
      <c r="A7113">
        <v>7112</v>
      </c>
      <c r="B7113">
        <v>8673436</v>
      </c>
      <c r="C7113" s="1" t="str">
        <f>HYPERLINK("http://stackoverflow.com/users/8673436", "daicoolb")</f>
        <v>daicoolb</v>
      </c>
      <c r="D7113" t="s">
        <v>4</v>
      </c>
      <c r="E7113">
        <v>6</v>
      </c>
    </row>
    <row r="7114" spans="1:5" x14ac:dyDescent="0.25">
      <c r="A7114">
        <v>7113</v>
      </c>
      <c r="B7114">
        <v>10391239</v>
      </c>
      <c r="C7114" s="1" t="str">
        <f>HYPERLINK("http://stackoverflow.com/users/10391239", "sqiang.bi")</f>
        <v>sqiang.bi</v>
      </c>
      <c r="D7114" t="s">
        <v>5</v>
      </c>
      <c r="E7114">
        <v>6</v>
      </c>
    </row>
    <row r="7115" spans="1:5" x14ac:dyDescent="0.25">
      <c r="A7115">
        <v>7114</v>
      </c>
      <c r="B7115">
        <v>1318572</v>
      </c>
      <c r="C7115" s="1" t="str">
        <f>HYPERLINK("http://stackoverflow.com/users/1318572", "zxkletters")</f>
        <v>zxkletters</v>
      </c>
      <c r="D7115" t="s">
        <v>12</v>
      </c>
      <c r="E7115">
        <v>6</v>
      </c>
    </row>
    <row r="7116" spans="1:5" x14ac:dyDescent="0.25">
      <c r="A7116">
        <v>7115</v>
      </c>
      <c r="B7116">
        <v>3367468</v>
      </c>
      <c r="C7116" s="1" t="str">
        <f>HYPERLINK("http://stackoverflow.com/users/3367468", "jfunsir")</f>
        <v>jfunsir</v>
      </c>
      <c r="D7116" t="s">
        <v>8</v>
      </c>
      <c r="E7116">
        <v>6</v>
      </c>
    </row>
    <row r="7117" spans="1:5" x14ac:dyDescent="0.25">
      <c r="A7117">
        <v>7116</v>
      </c>
      <c r="B7117">
        <v>1516435</v>
      </c>
      <c r="C7117" s="1" t="str">
        <f>HYPERLINK("http://stackoverflow.com/users/1516435", "Wales Wu")</f>
        <v>Wales Wu</v>
      </c>
      <c r="D7117" t="s">
        <v>4</v>
      </c>
      <c r="E7117">
        <v>6</v>
      </c>
    </row>
    <row r="7118" spans="1:5" x14ac:dyDescent="0.25">
      <c r="A7118">
        <v>7117</v>
      </c>
      <c r="B7118">
        <v>1520582</v>
      </c>
      <c r="C7118" s="1" t="str">
        <f>HYPERLINK("http://stackoverflow.com/users/1520582", "Charles Wang")</f>
        <v>Charles Wang</v>
      </c>
      <c r="D7118" t="s">
        <v>12</v>
      </c>
      <c r="E7118">
        <v>6</v>
      </c>
    </row>
    <row r="7119" spans="1:5" x14ac:dyDescent="0.25">
      <c r="A7119">
        <v>7118</v>
      </c>
      <c r="B7119">
        <v>10672350</v>
      </c>
      <c r="C7119" s="1" t="str">
        <f>HYPERLINK("http://stackoverflow.com/users/10672350", "Sh4wnSu")</f>
        <v>Sh4wnSu</v>
      </c>
      <c r="D7119" t="s">
        <v>4</v>
      </c>
      <c r="E7119">
        <v>6</v>
      </c>
    </row>
    <row r="7120" spans="1:5" x14ac:dyDescent="0.25">
      <c r="A7120">
        <v>7119</v>
      </c>
      <c r="B7120">
        <v>1597692</v>
      </c>
      <c r="C7120" s="1" t="str">
        <f>HYPERLINK("http://stackoverflow.com/users/1597692", "user1597692")</f>
        <v>user1597692</v>
      </c>
      <c r="D7120" t="s">
        <v>17</v>
      </c>
      <c r="E7120">
        <v>6</v>
      </c>
    </row>
    <row r="7121" spans="1:5" x14ac:dyDescent="0.25">
      <c r="A7121">
        <v>7120</v>
      </c>
      <c r="B7121">
        <v>5234444</v>
      </c>
      <c r="C7121" s="1" t="str">
        <f>HYPERLINK("http://stackoverflow.com/users/5234444", "Nate Feng")</f>
        <v>Nate Feng</v>
      </c>
      <c r="D7121" t="s">
        <v>291</v>
      </c>
      <c r="E7121">
        <v>6</v>
      </c>
    </row>
    <row r="7122" spans="1:5" x14ac:dyDescent="0.25">
      <c r="A7122">
        <v>7121</v>
      </c>
      <c r="B7122">
        <v>792708</v>
      </c>
      <c r="C7122" s="1" t="str">
        <f>HYPERLINK("http://stackoverflow.com/users/792708", "ahui2823")</f>
        <v>ahui2823</v>
      </c>
      <c r="D7122" t="s">
        <v>4</v>
      </c>
      <c r="E7122">
        <v>6</v>
      </c>
    </row>
    <row r="7123" spans="1:5" x14ac:dyDescent="0.25">
      <c r="A7123">
        <v>7122</v>
      </c>
      <c r="B7123">
        <v>2926350</v>
      </c>
      <c r="C7123" s="1" t="str">
        <f>HYPERLINK("http://stackoverflow.com/users/2926350", "qisheng xu")</f>
        <v>qisheng xu</v>
      </c>
      <c r="D7123" t="s">
        <v>16</v>
      </c>
      <c r="E7123">
        <v>6</v>
      </c>
    </row>
    <row r="7124" spans="1:5" x14ac:dyDescent="0.25">
      <c r="A7124">
        <v>7123</v>
      </c>
      <c r="B7124">
        <v>918947</v>
      </c>
      <c r="C7124" s="1" t="str">
        <f>HYPERLINK("http://stackoverflow.com/users/918947", "Atlantis")</f>
        <v>Atlantis</v>
      </c>
      <c r="D7124" t="s">
        <v>5</v>
      </c>
      <c r="E7124">
        <v>6</v>
      </c>
    </row>
    <row r="7125" spans="1:5" x14ac:dyDescent="0.25">
      <c r="A7125">
        <v>7124</v>
      </c>
      <c r="B7125">
        <v>890838</v>
      </c>
      <c r="C7125" s="1" t="str">
        <f>HYPERLINK("http://stackoverflow.com/users/890838", "Yao Jin")</f>
        <v>Yao Jin</v>
      </c>
      <c r="D7125" t="s">
        <v>4</v>
      </c>
      <c r="E7125">
        <v>6</v>
      </c>
    </row>
    <row r="7126" spans="1:5" x14ac:dyDescent="0.25">
      <c r="A7126">
        <v>7125</v>
      </c>
      <c r="B7126">
        <v>6350696</v>
      </c>
      <c r="C7126" s="1" t="str">
        <f>HYPERLINK("http://stackoverflow.com/users/6350696", "weizhengxing")</f>
        <v>weizhengxing</v>
      </c>
      <c r="D7126" t="s">
        <v>74</v>
      </c>
      <c r="E7126">
        <v>6</v>
      </c>
    </row>
    <row r="7127" spans="1:5" x14ac:dyDescent="0.25">
      <c r="A7127">
        <v>7126</v>
      </c>
      <c r="B7127">
        <v>8147271</v>
      </c>
      <c r="C7127" s="1" t="str">
        <f>HYPERLINK("http://stackoverflow.com/users/8147271", "zhoujc")</f>
        <v>zhoujc</v>
      </c>
      <c r="D7127" t="s">
        <v>28</v>
      </c>
      <c r="E7127">
        <v>6</v>
      </c>
    </row>
    <row r="7128" spans="1:5" x14ac:dyDescent="0.25">
      <c r="A7128">
        <v>7127</v>
      </c>
      <c r="B7128">
        <v>4645686</v>
      </c>
      <c r="C7128" s="1" t="str">
        <f>HYPERLINK("http://stackoverflow.com/users/4645686", "Liqun Li")</f>
        <v>Liqun Li</v>
      </c>
      <c r="D7128" t="s">
        <v>5</v>
      </c>
      <c r="E7128">
        <v>6</v>
      </c>
    </row>
    <row r="7129" spans="1:5" x14ac:dyDescent="0.25">
      <c r="A7129">
        <v>7128</v>
      </c>
      <c r="B7129">
        <v>494161</v>
      </c>
      <c r="C7129" s="1" t="str">
        <f>HYPERLINK("http://stackoverflow.com/users/494161", "rastafary")</f>
        <v>rastafary</v>
      </c>
      <c r="D7129" t="s">
        <v>48</v>
      </c>
      <c r="E7129">
        <v>6</v>
      </c>
    </row>
    <row r="7130" spans="1:5" x14ac:dyDescent="0.25">
      <c r="A7130">
        <v>7129</v>
      </c>
      <c r="B7130">
        <v>6289493</v>
      </c>
      <c r="C7130" s="1" t="str">
        <f>HYPERLINK("http://stackoverflow.com/users/6289493", "wangjun")</f>
        <v>wangjun</v>
      </c>
      <c r="D7130" t="s">
        <v>4</v>
      </c>
      <c r="E7130">
        <v>6</v>
      </c>
    </row>
    <row r="7131" spans="1:5" x14ac:dyDescent="0.25">
      <c r="A7131">
        <v>7130</v>
      </c>
      <c r="B7131">
        <v>2724504</v>
      </c>
      <c r="C7131" s="1" t="str">
        <f>HYPERLINK("http://stackoverflow.com/users/2724504", "Blast Xiang")</f>
        <v>Blast Xiang</v>
      </c>
      <c r="D7131" t="s">
        <v>253</v>
      </c>
      <c r="E7131">
        <v>6</v>
      </c>
    </row>
    <row r="7132" spans="1:5" x14ac:dyDescent="0.25">
      <c r="A7132">
        <v>7131</v>
      </c>
      <c r="B7132">
        <v>438561</v>
      </c>
      <c r="C7132" s="1" t="str">
        <f>HYPERLINK("http://stackoverflow.com/users/438561", "szanlin")</f>
        <v>szanlin</v>
      </c>
      <c r="D7132" t="s">
        <v>4</v>
      </c>
      <c r="E7132">
        <v>6</v>
      </c>
    </row>
    <row r="7133" spans="1:5" x14ac:dyDescent="0.25">
      <c r="A7133">
        <v>7132</v>
      </c>
      <c r="B7133">
        <v>7887653</v>
      </c>
      <c r="C7133" s="1" t="str">
        <f>HYPERLINK("http://stackoverflow.com/users/7887653", "C.Jason")</f>
        <v>C.Jason</v>
      </c>
      <c r="D7133" t="s">
        <v>55</v>
      </c>
      <c r="E7133">
        <v>6</v>
      </c>
    </row>
    <row r="7134" spans="1:5" x14ac:dyDescent="0.25">
      <c r="A7134">
        <v>7133</v>
      </c>
      <c r="B7134">
        <v>2512038</v>
      </c>
      <c r="C7134" s="1" t="str">
        <f>HYPERLINK("http://stackoverflow.com/users/2512038", "Michael Du")</f>
        <v>Michael Du</v>
      </c>
      <c r="D7134" t="s">
        <v>5</v>
      </c>
      <c r="E7134">
        <v>6</v>
      </c>
    </row>
    <row r="7135" spans="1:5" x14ac:dyDescent="0.25">
      <c r="A7135">
        <v>7134</v>
      </c>
      <c r="B7135">
        <v>9636061</v>
      </c>
      <c r="C7135" s="1" t="str">
        <f>HYPERLINK("http://stackoverflow.com/users/9636061", "Pandas")</f>
        <v>Pandas</v>
      </c>
      <c r="D7135" t="s">
        <v>387</v>
      </c>
      <c r="E7135">
        <v>6</v>
      </c>
    </row>
    <row r="7136" spans="1:5" x14ac:dyDescent="0.25">
      <c r="A7136">
        <v>7135</v>
      </c>
      <c r="B7136">
        <v>2559225</v>
      </c>
      <c r="C7136" s="1" t="str">
        <f>HYPERLINK("http://stackoverflow.com/users/2559225", "lantao.jin")</f>
        <v>lantao.jin</v>
      </c>
      <c r="D7136" t="s">
        <v>4</v>
      </c>
      <c r="E7136">
        <v>6</v>
      </c>
    </row>
    <row r="7137" spans="1:5" x14ac:dyDescent="0.25">
      <c r="A7137">
        <v>7136</v>
      </c>
      <c r="B7137">
        <v>6137561</v>
      </c>
      <c r="C7137" s="1" t="str">
        <f>HYPERLINK("http://stackoverflow.com/users/6137561", "uestc_sp")</f>
        <v>uestc_sp</v>
      </c>
      <c r="D7137" t="s">
        <v>28</v>
      </c>
      <c r="E7137">
        <v>6</v>
      </c>
    </row>
    <row r="7138" spans="1:5" x14ac:dyDescent="0.25">
      <c r="A7138">
        <v>7137</v>
      </c>
      <c r="B7138">
        <v>319028</v>
      </c>
      <c r="C7138" s="1" t="str">
        <f>HYPERLINK("http://stackoverflow.com/users/319028", "ooooo825")</f>
        <v>ooooo825</v>
      </c>
      <c r="D7138" t="s">
        <v>5</v>
      </c>
      <c r="E7138">
        <v>6</v>
      </c>
    </row>
    <row r="7139" spans="1:5" x14ac:dyDescent="0.25">
      <c r="A7139">
        <v>7138</v>
      </c>
      <c r="B7139">
        <v>6180070</v>
      </c>
      <c r="C7139" s="1" t="str">
        <f>HYPERLINK("http://stackoverflow.com/users/6180070", "zheng")</f>
        <v>zheng</v>
      </c>
      <c r="D7139" t="s">
        <v>108</v>
      </c>
      <c r="E7139">
        <v>6</v>
      </c>
    </row>
    <row r="7140" spans="1:5" x14ac:dyDescent="0.25">
      <c r="A7140">
        <v>7139</v>
      </c>
      <c r="B7140">
        <v>352549</v>
      </c>
      <c r="C7140" s="1" t="str">
        <f>HYPERLINK("http://stackoverflow.com/users/352549", "prettynerd")</f>
        <v>prettynerd</v>
      </c>
      <c r="D7140" t="s">
        <v>35</v>
      </c>
      <c r="E7140">
        <v>6</v>
      </c>
    </row>
    <row r="7141" spans="1:5" x14ac:dyDescent="0.25">
      <c r="A7141">
        <v>7140</v>
      </c>
      <c r="B7141">
        <v>1726115</v>
      </c>
      <c r="C7141" s="1" t="str">
        <f>HYPERLINK("http://stackoverflow.com/users/1726115", "abyn")</f>
        <v>abyn</v>
      </c>
      <c r="D7141" t="s">
        <v>5</v>
      </c>
      <c r="E7141">
        <v>6</v>
      </c>
    </row>
    <row r="7142" spans="1:5" x14ac:dyDescent="0.25">
      <c r="A7142">
        <v>7141</v>
      </c>
      <c r="B7142">
        <v>1716453</v>
      </c>
      <c r="C7142" s="1" t="str">
        <f>HYPERLINK("http://stackoverflow.com/users/1716453", "wallee")</f>
        <v>wallee</v>
      </c>
      <c r="D7142" t="s">
        <v>37</v>
      </c>
      <c r="E7142">
        <v>6</v>
      </c>
    </row>
    <row r="7143" spans="1:5" x14ac:dyDescent="0.25">
      <c r="A7143">
        <v>7142</v>
      </c>
      <c r="B7143">
        <v>3517838</v>
      </c>
      <c r="C7143" s="1" t="str">
        <f>HYPERLINK("http://stackoverflow.com/users/3517838", "AlwaysWalk")</f>
        <v>AlwaysWalk</v>
      </c>
      <c r="D7143" t="s">
        <v>17</v>
      </c>
      <c r="E7143">
        <v>6</v>
      </c>
    </row>
    <row r="7144" spans="1:5" x14ac:dyDescent="0.25">
      <c r="A7144">
        <v>7143</v>
      </c>
      <c r="B7144">
        <v>7155679</v>
      </c>
      <c r="C7144" s="1" t="str">
        <f>HYPERLINK("http://stackoverflow.com/users/7155679", "W.wei")</f>
        <v>W.wei</v>
      </c>
      <c r="D7144" t="s">
        <v>186</v>
      </c>
      <c r="E7144">
        <v>6</v>
      </c>
    </row>
    <row r="7145" spans="1:5" x14ac:dyDescent="0.25">
      <c r="A7145">
        <v>7144</v>
      </c>
      <c r="B7145">
        <v>8986855</v>
      </c>
      <c r="C7145" s="1" t="str">
        <f>HYPERLINK("http://stackoverflow.com/users/8986855", "Xintong Han")</f>
        <v>Xintong Han</v>
      </c>
      <c r="D7145" t="s">
        <v>114</v>
      </c>
      <c r="E7145">
        <v>6</v>
      </c>
    </row>
    <row r="7146" spans="1:5" x14ac:dyDescent="0.25">
      <c r="A7146">
        <v>7145</v>
      </c>
      <c r="B7146">
        <v>1819708</v>
      </c>
      <c r="C7146" s="1" t="str">
        <f>HYPERLINK("http://stackoverflow.com/users/1819708", "koly li")</f>
        <v>koly li</v>
      </c>
      <c r="D7146" t="s">
        <v>28</v>
      </c>
      <c r="E7146">
        <v>6</v>
      </c>
    </row>
    <row r="7147" spans="1:5" x14ac:dyDescent="0.25">
      <c r="A7147">
        <v>7146</v>
      </c>
      <c r="B7147">
        <v>9055468</v>
      </c>
      <c r="C7147" s="1" t="str">
        <f>HYPERLINK("http://stackoverflow.com/users/9055468", "Sylvia")</f>
        <v>Sylvia</v>
      </c>
      <c r="D7147" t="s">
        <v>7</v>
      </c>
      <c r="E7147">
        <v>6</v>
      </c>
    </row>
    <row r="7148" spans="1:5" x14ac:dyDescent="0.25">
      <c r="A7148">
        <v>7147</v>
      </c>
      <c r="B7148">
        <v>10850666</v>
      </c>
      <c r="C7148" s="1" t="str">
        <f>HYPERLINK("http://stackoverflow.com/users/10850666", "Forest Yang")</f>
        <v>Forest Yang</v>
      </c>
      <c r="D7148" t="s">
        <v>5</v>
      </c>
      <c r="E7148">
        <v>6</v>
      </c>
    </row>
    <row r="7149" spans="1:5" x14ac:dyDescent="0.25">
      <c r="A7149">
        <v>7148</v>
      </c>
      <c r="B7149">
        <v>9205352</v>
      </c>
      <c r="C7149" s="1" t="str">
        <f>HYPERLINK("http://stackoverflow.com/users/9205352", "Race Li")</f>
        <v>Race Li</v>
      </c>
      <c r="D7149" t="s">
        <v>16</v>
      </c>
      <c r="E7149">
        <v>6</v>
      </c>
    </row>
    <row r="7150" spans="1:5" x14ac:dyDescent="0.25">
      <c r="A7150">
        <v>7149</v>
      </c>
      <c r="B7150">
        <v>1996415</v>
      </c>
      <c r="C7150" s="1" t="str">
        <f>HYPERLINK("http://stackoverflow.com/users/1996415", "zealoussnow")</f>
        <v>zealoussnow</v>
      </c>
      <c r="D7150" t="s">
        <v>5</v>
      </c>
      <c r="E7150">
        <v>6</v>
      </c>
    </row>
    <row r="7151" spans="1:5" x14ac:dyDescent="0.25">
      <c r="A7151">
        <v>7150</v>
      </c>
      <c r="B7151">
        <v>1986281</v>
      </c>
      <c r="C7151" s="1" t="str">
        <f>HYPERLINK("http://stackoverflow.com/users/1986281", "g.yeung")</f>
        <v>g.yeung</v>
      </c>
      <c r="D7151" t="s">
        <v>388</v>
      </c>
      <c r="E7151">
        <v>6</v>
      </c>
    </row>
    <row r="7152" spans="1:5" x14ac:dyDescent="0.25">
      <c r="A7152">
        <v>7151</v>
      </c>
      <c r="B7152">
        <v>7293709</v>
      </c>
      <c r="C7152" s="1" t="str">
        <f>HYPERLINK("http://stackoverflow.com/users/7293709", "Mondo")</f>
        <v>Mondo</v>
      </c>
      <c r="D7152" t="s">
        <v>389</v>
      </c>
      <c r="E7152">
        <v>6</v>
      </c>
    </row>
    <row r="7153" spans="1:5" x14ac:dyDescent="0.25">
      <c r="A7153">
        <v>7152</v>
      </c>
      <c r="B7153">
        <v>7252046</v>
      </c>
      <c r="C7153" s="1" t="str">
        <f>HYPERLINK("http://stackoverflow.com/users/7252046", "G_boy")</f>
        <v>G_boy</v>
      </c>
      <c r="D7153" t="s">
        <v>16</v>
      </c>
      <c r="E7153">
        <v>6</v>
      </c>
    </row>
    <row r="7154" spans="1:5" x14ac:dyDescent="0.25">
      <c r="A7154">
        <v>7153</v>
      </c>
      <c r="B7154">
        <v>3688342</v>
      </c>
      <c r="C7154" s="1" t="str">
        <f>HYPERLINK("http://stackoverflow.com/users/3688342", "John-Annual")</f>
        <v>John-Annual</v>
      </c>
      <c r="D7154" t="s">
        <v>5</v>
      </c>
      <c r="E7154">
        <v>6</v>
      </c>
    </row>
    <row r="7155" spans="1:5" x14ac:dyDescent="0.25">
      <c r="A7155">
        <v>7154</v>
      </c>
      <c r="B7155">
        <v>5500930</v>
      </c>
      <c r="C7155" s="1" t="str">
        <f>HYPERLINK("http://stackoverflow.com/users/5500930", "yangliang")</f>
        <v>yangliang</v>
      </c>
      <c r="D7155" t="s">
        <v>5</v>
      </c>
      <c r="E7155">
        <v>6</v>
      </c>
    </row>
    <row r="7156" spans="1:5" x14ac:dyDescent="0.25">
      <c r="A7156">
        <v>7155</v>
      </c>
      <c r="B7156">
        <v>5453029</v>
      </c>
      <c r="C7156" s="1" t="str">
        <f>HYPERLINK("http://stackoverflow.com/users/5453029", "CheStar")</f>
        <v>CheStar</v>
      </c>
      <c r="D7156" t="s">
        <v>390</v>
      </c>
      <c r="E7156">
        <v>6</v>
      </c>
    </row>
    <row r="7157" spans="1:5" x14ac:dyDescent="0.25">
      <c r="A7157">
        <v>7156</v>
      </c>
      <c r="B7157">
        <v>10881830</v>
      </c>
      <c r="C7157" s="1" t="str">
        <f>HYPERLINK("http://stackoverflow.com/users/10881830", "Zoeric")</f>
        <v>Zoeric</v>
      </c>
      <c r="D7157" t="s">
        <v>55</v>
      </c>
      <c r="E7157">
        <v>6</v>
      </c>
    </row>
    <row r="7158" spans="1:5" x14ac:dyDescent="0.25">
      <c r="A7158">
        <v>7157</v>
      </c>
      <c r="B7158">
        <v>5652626</v>
      </c>
      <c r="C7158" s="1" t="str">
        <f>HYPERLINK("http://stackoverflow.com/users/5652626", "Boris")</f>
        <v>Boris</v>
      </c>
      <c r="D7158" t="s">
        <v>55</v>
      </c>
      <c r="E7158">
        <v>6</v>
      </c>
    </row>
    <row r="7159" spans="1:5" x14ac:dyDescent="0.25">
      <c r="A7159">
        <v>7158</v>
      </c>
      <c r="B7159">
        <v>7395805</v>
      </c>
      <c r="C7159" s="1" t="str">
        <f>HYPERLINK("http://stackoverflow.com/users/7395805", "hongyuanjia")</f>
        <v>hongyuanjia</v>
      </c>
      <c r="D7159" t="s">
        <v>62</v>
      </c>
      <c r="E7159">
        <v>6</v>
      </c>
    </row>
    <row r="7160" spans="1:5" x14ac:dyDescent="0.25">
      <c r="A7160">
        <v>7159</v>
      </c>
      <c r="B7160">
        <v>3871864</v>
      </c>
      <c r="C7160" s="1" t="str">
        <f>HYPERLINK("http://stackoverflow.com/users/3871864", "LiBook")</f>
        <v>LiBook</v>
      </c>
      <c r="D7160" t="s">
        <v>5</v>
      </c>
      <c r="E7160">
        <v>6</v>
      </c>
    </row>
    <row r="7161" spans="1:5" x14ac:dyDescent="0.25">
      <c r="A7161">
        <v>7160</v>
      </c>
      <c r="B7161">
        <v>2032194</v>
      </c>
      <c r="C7161" s="1" t="str">
        <f>HYPERLINK("http://stackoverflow.com/users/2032194", "twocucao")</f>
        <v>twocucao</v>
      </c>
      <c r="D7161" t="s">
        <v>4</v>
      </c>
      <c r="E7161">
        <v>6</v>
      </c>
    </row>
    <row r="7162" spans="1:5" x14ac:dyDescent="0.25">
      <c r="A7162">
        <v>7161</v>
      </c>
      <c r="B7162">
        <v>2032520</v>
      </c>
      <c r="C7162" s="1" t="str">
        <f>HYPERLINK("http://stackoverflow.com/users/2032520", "johnnychen")</f>
        <v>johnnychen</v>
      </c>
      <c r="D7162" t="s">
        <v>16</v>
      </c>
      <c r="E7162">
        <v>6</v>
      </c>
    </row>
    <row r="7163" spans="1:5" x14ac:dyDescent="0.25">
      <c r="A7163">
        <v>7162</v>
      </c>
      <c r="B7163">
        <v>3815552</v>
      </c>
      <c r="C7163" s="1" t="str">
        <f>HYPERLINK("http://stackoverflow.com/users/3815552", "Skullpirate")</f>
        <v>Skullpirate</v>
      </c>
      <c r="D7163" t="s">
        <v>4</v>
      </c>
      <c r="E7163">
        <v>6</v>
      </c>
    </row>
    <row r="7164" spans="1:5" x14ac:dyDescent="0.25">
      <c r="A7164">
        <v>7163</v>
      </c>
      <c r="B7164">
        <v>7368776</v>
      </c>
      <c r="C7164" s="1" t="str">
        <f>HYPERLINK("http://stackoverflow.com/users/7368776", "王一航")</f>
        <v>王一航</v>
      </c>
      <c r="D7164" t="s">
        <v>19</v>
      </c>
      <c r="E7164">
        <v>6</v>
      </c>
    </row>
    <row r="7165" spans="1:5" x14ac:dyDescent="0.25">
      <c r="A7165">
        <v>7164</v>
      </c>
      <c r="B7165">
        <v>3879881</v>
      </c>
      <c r="C7165" s="1" t="str">
        <f>HYPERLINK("http://stackoverflow.com/users/3879881", "fan")</f>
        <v>fan</v>
      </c>
      <c r="D7165" t="s">
        <v>193</v>
      </c>
      <c r="E7165">
        <v>6</v>
      </c>
    </row>
    <row r="7166" spans="1:5" x14ac:dyDescent="0.25">
      <c r="A7166">
        <v>7165</v>
      </c>
      <c r="B7166">
        <v>2185822</v>
      </c>
      <c r="C7166" s="1" t="str">
        <f>HYPERLINK("http://stackoverflow.com/users/2185822", "Highth")</f>
        <v>Highth</v>
      </c>
      <c r="D7166" t="s">
        <v>5</v>
      </c>
      <c r="E7166">
        <v>6</v>
      </c>
    </row>
    <row r="7167" spans="1:5" x14ac:dyDescent="0.25">
      <c r="A7167">
        <v>7166</v>
      </c>
      <c r="B7167">
        <v>2226228</v>
      </c>
      <c r="C7167" s="1" t="str">
        <f>HYPERLINK("http://stackoverflow.com/users/2226228", "user2226228")</f>
        <v>user2226228</v>
      </c>
      <c r="D7167" t="s">
        <v>5</v>
      </c>
      <c r="E7167">
        <v>6</v>
      </c>
    </row>
    <row r="7168" spans="1:5" x14ac:dyDescent="0.25">
      <c r="A7168">
        <v>7167</v>
      </c>
      <c r="B7168">
        <v>2257366</v>
      </c>
      <c r="C7168" s="1" t="str">
        <f>HYPERLINK("http://stackoverflow.com/users/2257366", "TDoors")</f>
        <v>TDoors</v>
      </c>
      <c r="D7168" t="s">
        <v>5</v>
      </c>
      <c r="E7168">
        <v>6</v>
      </c>
    </row>
    <row r="7169" spans="1:5" x14ac:dyDescent="0.25">
      <c r="A7169">
        <v>7168</v>
      </c>
      <c r="B7169">
        <v>5852022</v>
      </c>
      <c r="C7169" s="1" t="str">
        <f>HYPERLINK("http://stackoverflow.com/users/5852022", "Mufei Li")</f>
        <v>Mufei Li</v>
      </c>
      <c r="D7169" t="s">
        <v>4</v>
      </c>
      <c r="E7169">
        <v>6</v>
      </c>
    </row>
    <row r="7170" spans="1:5" x14ac:dyDescent="0.25">
      <c r="A7170">
        <v>7169</v>
      </c>
      <c r="B7170">
        <v>5852158</v>
      </c>
      <c r="C7170" s="1" t="str">
        <f>HYPERLINK("http://stackoverflow.com/users/5852158", "Jiahang Li")</f>
        <v>Jiahang Li</v>
      </c>
      <c r="D7170" t="s">
        <v>52</v>
      </c>
      <c r="E7170">
        <v>6</v>
      </c>
    </row>
    <row r="7171" spans="1:5" x14ac:dyDescent="0.25">
      <c r="A7171">
        <v>7170</v>
      </c>
      <c r="B7171">
        <v>5834992</v>
      </c>
      <c r="C7171" s="1" t="str">
        <f>HYPERLINK("http://stackoverflow.com/users/5834992", "smoker")</f>
        <v>smoker</v>
      </c>
      <c r="D7171" t="s">
        <v>5</v>
      </c>
      <c r="E7171">
        <v>6</v>
      </c>
    </row>
    <row r="7172" spans="1:5" x14ac:dyDescent="0.25">
      <c r="A7172">
        <v>7171</v>
      </c>
      <c r="B7172">
        <v>2328257</v>
      </c>
      <c r="C7172" s="1" t="str">
        <f>HYPERLINK("http://stackoverflow.com/users/2328257", "Francis Li")</f>
        <v>Francis Li</v>
      </c>
      <c r="D7172" t="s">
        <v>4</v>
      </c>
      <c r="E7172">
        <v>6</v>
      </c>
    </row>
    <row r="7173" spans="1:5" x14ac:dyDescent="0.25">
      <c r="A7173">
        <v>7172</v>
      </c>
      <c r="B7173">
        <v>5977749</v>
      </c>
      <c r="C7173" s="1" t="str">
        <f>HYPERLINK("http://stackoverflow.com/users/5977749", "LeonDWong")</f>
        <v>LeonDWong</v>
      </c>
      <c r="D7173" t="s">
        <v>15</v>
      </c>
      <c r="E7173">
        <v>6</v>
      </c>
    </row>
    <row r="7174" spans="1:5" x14ac:dyDescent="0.25">
      <c r="A7174">
        <v>7173</v>
      </c>
      <c r="B7174">
        <v>7714195</v>
      </c>
      <c r="C7174" s="1" t="str">
        <f>HYPERLINK("http://stackoverflow.com/users/7714195", "xuwulin")</f>
        <v>xuwulin</v>
      </c>
      <c r="D7174" t="s">
        <v>28</v>
      </c>
      <c r="E7174">
        <v>6</v>
      </c>
    </row>
    <row r="7175" spans="1:5" x14ac:dyDescent="0.25">
      <c r="A7175">
        <v>7174</v>
      </c>
      <c r="B7175">
        <v>7670574</v>
      </c>
      <c r="C7175" s="1" t="str">
        <f>HYPERLINK("http://stackoverflow.com/users/7670574", "Russell Yu")</f>
        <v>Russell Yu</v>
      </c>
      <c r="D7175" t="s">
        <v>4</v>
      </c>
      <c r="E7175">
        <v>6</v>
      </c>
    </row>
    <row r="7176" spans="1:5" x14ac:dyDescent="0.25">
      <c r="A7176">
        <v>7175</v>
      </c>
      <c r="B7176">
        <v>2394463</v>
      </c>
      <c r="C7176" s="1" t="str">
        <f>HYPERLINK("http://stackoverflow.com/users/2394463", "gastrodia")</f>
        <v>gastrodia</v>
      </c>
      <c r="D7176" t="s">
        <v>5</v>
      </c>
      <c r="E7176">
        <v>6</v>
      </c>
    </row>
    <row r="7177" spans="1:5" x14ac:dyDescent="0.25">
      <c r="A7177">
        <v>7176</v>
      </c>
      <c r="B7177">
        <v>7620197</v>
      </c>
      <c r="C7177" s="1" t="str">
        <f>HYPERLINK("http://stackoverflow.com/users/7620197", "yajiang")</f>
        <v>yajiang</v>
      </c>
      <c r="D7177" t="s">
        <v>28</v>
      </c>
      <c r="E7177">
        <v>6</v>
      </c>
    </row>
    <row r="7178" spans="1:5" x14ac:dyDescent="0.25">
      <c r="A7178">
        <v>7177</v>
      </c>
      <c r="B7178">
        <v>2388441</v>
      </c>
      <c r="C7178" s="1" t="str">
        <f>HYPERLINK("http://stackoverflow.com/users/2388441", "kenny")</f>
        <v>kenny</v>
      </c>
      <c r="D7178" t="s">
        <v>4</v>
      </c>
      <c r="E7178">
        <v>6</v>
      </c>
    </row>
    <row r="7179" spans="1:5" x14ac:dyDescent="0.25">
      <c r="A7179">
        <v>7178</v>
      </c>
      <c r="B7179">
        <v>4233957</v>
      </c>
      <c r="C7179" s="1" t="str">
        <f>HYPERLINK("http://stackoverflow.com/users/4233957", "wangyumi")</f>
        <v>wangyumi</v>
      </c>
      <c r="D7179" t="s">
        <v>5</v>
      </c>
      <c r="E7179">
        <v>6</v>
      </c>
    </row>
    <row r="7180" spans="1:5" x14ac:dyDescent="0.25">
      <c r="A7180">
        <v>7179</v>
      </c>
      <c r="B7180">
        <v>4293809</v>
      </c>
      <c r="C7180" s="1" t="str">
        <f>HYPERLINK("http://stackoverflow.com/users/4293809", "wood")</f>
        <v>wood</v>
      </c>
      <c r="D7180" t="s">
        <v>5</v>
      </c>
      <c r="E7180">
        <v>6</v>
      </c>
    </row>
    <row r="7181" spans="1:5" x14ac:dyDescent="0.25">
      <c r="A7181">
        <v>7180</v>
      </c>
      <c r="B7181">
        <v>8143178</v>
      </c>
      <c r="C7181" s="1" t="str">
        <f>HYPERLINK("http://stackoverflow.com/users/8143178", "zhouwu huang")</f>
        <v>zhouwu huang</v>
      </c>
      <c r="D7181" t="s">
        <v>4</v>
      </c>
      <c r="E7181">
        <v>6</v>
      </c>
    </row>
    <row r="7182" spans="1:5" x14ac:dyDescent="0.25">
      <c r="A7182">
        <v>7181</v>
      </c>
      <c r="B7182">
        <v>8143236</v>
      </c>
      <c r="C7182" s="1" t="str">
        <f>HYPERLINK("http://stackoverflow.com/users/8143236", "Parsa Alamzadeh")</f>
        <v>Parsa Alamzadeh</v>
      </c>
      <c r="D7182" t="s">
        <v>16</v>
      </c>
      <c r="E7182">
        <v>6</v>
      </c>
    </row>
    <row r="7183" spans="1:5" x14ac:dyDescent="0.25">
      <c r="A7183">
        <v>7182</v>
      </c>
      <c r="B7183">
        <v>9965076</v>
      </c>
      <c r="C7183" s="1" t="str">
        <f>HYPERLINK("http://stackoverflow.com/users/9965076", "Y. Huang")</f>
        <v>Y. Huang</v>
      </c>
      <c r="D7183" t="s">
        <v>28</v>
      </c>
      <c r="E7183">
        <v>6</v>
      </c>
    </row>
    <row r="7184" spans="1:5" x14ac:dyDescent="0.25">
      <c r="A7184">
        <v>7183</v>
      </c>
      <c r="B7184">
        <v>2803681</v>
      </c>
      <c r="C7184" s="1" t="str">
        <f>HYPERLINK("http://stackoverflow.com/users/2803681", "cokecike")</f>
        <v>cokecike</v>
      </c>
      <c r="D7184" t="s">
        <v>5</v>
      </c>
      <c r="E7184">
        <v>6</v>
      </c>
    </row>
    <row r="7185" spans="1:5" x14ac:dyDescent="0.25">
      <c r="A7185">
        <v>7184</v>
      </c>
      <c r="B7185">
        <v>653075</v>
      </c>
      <c r="C7185" s="1" t="str">
        <f>HYPERLINK("http://stackoverflow.com/users/653075", "kevenqu")</f>
        <v>kevenqu</v>
      </c>
      <c r="D7185" t="s">
        <v>5</v>
      </c>
      <c r="E7185">
        <v>6</v>
      </c>
    </row>
    <row r="7186" spans="1:5" x14ac:dyDescent="0.25">
      <c r="A7186">
        <v>7185</v>
      </c>
      <c r="B7186">
        <v>653114</v>
      </c>
      <c r="C7186" s="1" t="str">
        <f>HYPERLINK("http://stackoverflow.com/users/653114", "Dummy Elephant")</f>
        <v>Dummy Elephant</v>
      </c>
      <c r="D7186" t="s">
        <v>4</v>
      </c>
      <c r="E7186">
        <v>6</v>
      </c>
    </row>
    <row r="7187" spans="1:5" x14ac:dyDescent="0.25">
      <c r="A7187">
        <v>7186</v>
      </c>
      <c r="B7187">
        <v>6370451</v>
      </c>
      <c r="C7187" s="1" t="str">
        <f>HYPERLINK("http://stackoverflow.com/users/6370451", "footmanff")</f>
        <v>footmanff</v>
      </c>
      <c r="D7187" t="s">
        <v>16</v>
      </c>
      <c r="E7187">
        <v>6</v>
      </c>
    </row>
    <row r="7188" spans="1:5" x14ac:dyDescent="0.25">
      <c r="A7188">
        <v>7187</v>
      </c>
      <c r="B7188">
        <v>8101926</v>
      </c>
      <c r="C7188" s="1" t="str">
        <f>HYPERLINK("http://stackoverflow.com/users/8101926", "Prabhash Jayasankha")</f>
        <v>Prabhash Jayasankha</v>
      </c>
      <c r="D7188" t="s">
        <v>391</v>
      </c>
      <c r="E7188">
        <v>6</v>
      </c>
    </row>
    <row r="7189" spans="1:5" x14ac:dyDescent="0.25">
      <c r="A7189">
        <v>7188</v>
      </c>
      <c r="B7189">
        <v>8037689</v>
      </c>
      <c r="C7189" s="1" t="str">
        <f>HYPERLINK("http://stackoverflow.com/users/8037689", "SungSingSong")</f>
        <v>SungSingSong</v>
      </c>
      <c r="D7189" t="s">
        <v>16</v>
      </c>
      <c r="E7189">
        <v>6</v>
      </c>
    </row>
    <row r="7190" spans="1:5" x14ac:dyDescent="0.25">
      <c r="A7190">
        <v>7189</v>
      </c>
      <c r="B7190">
        <v>6067519</v>
      </c>
      <c r="C7190" s="1" t="str">
        <f>HYPERLINK("http://stackoverflow.com/users/6067519", "mestic")</f>
        <v>mestic</v>
      </c>
      <c r="D7190" t="s">
        <v>4</v>
      </c>
      <c r="E7190">
        <v>6</v>
      </c>
    </row>
    <row r="7191" spans="1:5" x14ac:dyDescent="0.25">
      <c r="A7191">
        <v>7190</v>
      </c>
      <c r="B7191">
        <v>7796541</v>
      </c>
      <c r="C7191" s="1" t="str">
        <f>HYPERLINK("http://stackoverflow.com/users/7796541", "zhang wenjin")</f>
        <v>zhang wenjin</v>
      </c>
      <c r="D7191" t="s">
        <v>4</v>
      </c>
      <c r="E7191">
        <v>6</v>
      </c>
    </row>
    <row r="7192" spans="1:5" x14ac:dyDescent="0.25">
      <c r="A7192">
        <v>7191</v>
      </c>
      <c r="B7192">
        <v>2594362</v>
      </c>
      <c r="C7192" s="1" t="str">
        <f>HYPERLINK("http://stackoverflow.com/users/2594362", "Eric")</f>
        <v>Eric</v>
      </c>
      <c r="D7192" t="s">
        <v>4</v>
      </c>
      <c r="E7192">
        <v>6</v>
      </c>
    </row>
    <row r="7193" spans="1:5" x14ac:dyDescent="0.25">
      <c r="A7193">
        <v>7192</v>
      </c>
      <c r="B7193">
        <v>8293090</v>
      </c>
      <c r="C7193" s="1" t="str">
        <f>HYPERLINK("http://stackoverflow.com/users/8293090", "Reinhardt Gao")</f>
        <v>Reinhardt Gao</v>
      </c>
      <c r="D7193" t="s">
        <v>4</v>
      </c>
      <c r="E7193">
        <v>6</v>
      </c>
    </row>
    <row r="7194" spans="1:5" x14ac:dyDescent="0.25">
      <c r="A7194">
        <v>7193</v>
      </c>
      <c r="B7194">
        <v>8270118</v>
      </c>
      <c r="C7194" s="1" t="str">
        <f>HYPERLINK("http://stackoverflow.com/users/8270118", "Lee")</f>
        <v>Lee</v>
      </c>
      <c r="D7194" t="s">
        <v>4</v>
      </c>
      <c r="E7194">
        <v>6</v>
      </c>
    </row>
    <row r="7195" spans="1:5" x14ac:dyDescent="0.25">
      <c r="A7195">
        <v>7194</v>
      </c>
      <c r="B7195">
        <v>838381</v>
      </c>
      <c r="C7195" s="1" t="str">
        <f>HYPERLINK("http://stackoverflow.com/users/838381", "Xiaojie Fan")</f>
        <v>Xiaojie Fan</v>
      </c>
      <c r="D7195" t="s">
        <v>21</v>
      </c>
      <c r="E7195">
        <v>6</v>
      </c>
    </row>
    <row r="7196" spans="1:5" x14ac:dyDescent="0.25">
      <c r="A7196">
        <v>7195</v>
      </c>
      <c r="B7196">
        <v>855384</v>
      </c>
      <c r="C7196" s="1" t="str">
        <f>HYPERLINK("http://stackoverflow.com/users/855384", "cnlinkin")</f>
        <v>cnlinkin</v>
      </c>
      <c r="D7196" t="s">
        <v>12</v>
      </c>
      <c r="E7196">
        <v>6</v>
      </c>
    </row>
    <row r="7197" spans="1:5" x14ac:dyDescent="0.25">
      <c r="A7197">
        <v>7196</v>
      </c>
      <c r="B7197">
        <v>10008568</v>
      </c>
      <c r="C7197" s="1" t="str">
        <f>HYPERLINK("http://stackoverflow.com/users/10008568", "fanfan")</f>
        <v>fanfan</v>
      </c>
      <c r="D7197" t="s">
        <v>78</v>
      </c>
      <c r="E7197">
        <v>6</v>
      </c>
    </row>
    <row r="7198" spans="1:5" x14ac:dyDescent="0.25">
      <c r="A7198">
        <v>7197</v>
      </c>
      <c r="B7198">
        <v>4696410</v>
      </c>
      <c r="C7198" s="1" t="str">
        <f>HYPERLINK("http://stackoverflow.com/users/4696410", "xiaofeixiajay")</f>
        <v>xiaofeixiajay</v>
      </c>
      <c r="D7198" t="s">
        <v>5</v>
      </c>
      <c r="E7198">
        <v>6</v>
      </c>
    </row>
    <row r="7199" spans="1:5" x14ac:dyDescent="0.25">
      <c r="A7199">
        <v>7198</v>
      </c>
      <c r="B7199">
        <v>941969</v>
      </c>
      <c r="C7199" s="1" t="str">
        <f>HYPERLINK("http://stackoverflow.com/users/941969", "yishuihanxiao")</f>
        <v>yishuihanxiao</v>
      </c>
      <c r="D7199" t="s">
        <v>55</v>
      </c>
      <c r="E7199">
        <v>6</v>
      </c>
    </row>
    <row r="7200" spans="1:5" x14ac:dyDescent="0.25">
      <c r="A7200">
        <v>7199</v>
      </c>
      <c r="B7200">
        <v>10200861</v>
      </c>
      <c r="C7200" s="1" t="str">
        <f>HYPERLINK("http://stackoverflow.com/users/10200861", "Moon Y")</f>
        <v>Moon Y</v>
      </c>
      <c r="D7200" t="s">
        <v>28</v>
      </c>
      <c r="E7200">
        <v>6</v>
      </c>
    </row>
    <row r="7201" spans="1:5" x14ac:dyDescent="0.25">
      <c r="A7201">
        <v>7200</v>
      </c>
      <c r="B7201">
        <v>1034084</v>
      </c>
      <c r="C7201" s="1" t="str">
        <f>HYPERLINK("http://stackoverflow.com/users/1034084", "koven2049")</f>
        <v>koven2049</v>
      </c>
      <c r="D7201" t="s">
        <v>12</v>
      </c>
      <c r="E7201">
        <v>6</v>
      </c>
    </row>
    <row r="7202" spans="1:5" x14ac:dyDescent="0.25">
      <c r="A7202">
        <v>7201</v>
      </c>
      <c r="B7202">
        <v>987234</v>
      </c>
      <c r="C7202" s="1" t="str">
        <f>HYPERLINK("http://stackoverflow.com/users/987234", "zr_smalldog")</f>
        <v>zr_smalldog</v>
      </c>
      <c r="D7202" t="s">
        <v>4</v>
      </c>
      <c r="E7202">
        <v>6</v>
      </c>
    </row>
    <row r="7203" spans="1:5" x14ac:dyDescent="0.25">
      <c r="A7203">
        <v>7202</v>
      </c>
      <c r="B7203">
        <v>994910</v>
      </c>
      <c r="C7203" s="1" t="str">
        <f>HYPERLINK("http://stackoverflow.com/users/994910", "Vincent")</f>
        <v>Vincent</v>
      </c>
      <c r="D7203" t="s">
        <v>22</v>
      </c>
      <c r="E7203">
        <v>6</v>
      </c>
    </row>
    <row r="7204" spans="1:5" x14ac:dyDescent="0.25">
      <c r="A7204">
        <v>7203</v>
      </c>
      <c r="B7204">
        <v>8412035</v>
      </c>
      <c r="C7204" s="1" t="str">
        <f>HYPERLINK("http://stackoverflow.com/users/8412035", "frankwu")</f>
        <v>frankwu</v>
      </c>
      <c r="D7204" t="s">
        <v>43</v>
      </c>
      <c r="E7204">
        <v>6</v>
      </c>
    </row>
    <row r="7205" spans="1:5" x14ac:dyDescent="0.25">
      <c r="A7205">
        <v>7204</v>
      </c>
      <c r="B7205">
        <v>3045979</v>
      </c>
      <c r="C7205" s="1" t="str">
        <f>HYPERLINK("http://stackoverflow.com/users/3045979", "ChaoBo")</f>
        <v>ChaoBo</v>
      </c>
      <c r="D7205" t="s">
        <v>54</v>
      </c>
      <c r="E7205">
        <v>6</v>
      </c>
    </row>
    <row r="7206" spans="1:5" x14ac:dyDescent="0.25">
      <c r="A7206">
        <v>7205</v>
      </c>
      <c r="B7206">
        <v>4888201</v>
      </c>
      <c r="C7206" s="1" t="str">
        <f>HYPERLINK("http://stackoverflow.com/users/4888201", "Enrica")</f>
        <v>Enrica</v>
      </c>
      <c r="D7206" t="s">
        <v>4</v>
      </c>
      <c r="E7206">
        <v>6</v>
      </c>
    </row>
    <row r="7207" spans="1:5" x14ac:dyDescent="0.25">
      <c r="A7207">
        <v>7206</v>
      </c>
      <c r="B7207">
        <v>4888270</v>
      </c>
      <c r="C7207" s="1" t="str">
        <f>HYPERLINK("http://stackoverflow.com/users/4888270", "ZHRMoe")</f>
        <v>ZHRMoe</v>
      </c>
      <c r="D7207" t="s">
        <v>5</v>
      </c>
      <c r="E7207">
        <v>6</v>
      </c>
    </row>
    <row r="7208" spans="1:5" x14ac:dyDescent="0.25">
      <c r="A7208">
        <v>7207</v>
      </c>
      <c r="B7208">
        <v>1120797</v>
      </c>
      <c r="C7208" s="1" t="str">
        <f>HYPERLINK("http://stackoverflow.com/users/1120797", "Eric")</f>
        <v>Eric</v>
      </c>
      <c r="D7208" t="s">
        <v>5</v>
      </c>
      <c r="E7208">
        <v>6</v>
      </c>
    </row>
    <row r="7209" spans="1:5" x14ac:dyDescent="0.25">
      <c r="A7209">
        <v>7208</v>
      </c>
      <c r="B7209">
        <v>3089701</v>
      </c>
      <c r="C7209" s="1" t="str">
        <f>HYPERLINK("http://stackoverflow.com/users/3089701", "whidy")</f>
        <v>whidy</v>
      </c>
      <c r="D7209" t="s">
        <v>25</v>
      </c>
      <c r="E7209">
        <v>6</v>
      </c>
    </row>
    <row r="7210" spans="1:5" x14ac:dyDescent="0.25">
      <c r="A7210">
        <v>7209</v>
      </c>
      <c r="B7210">
        <v>10258886</v>
      </c>
      <c r="C7210" s="1" t="str">
        <f>HYPERLINK("http://stackoverflow.com/users/10258886", "zhang shengping")</f>
        <v>zhang shengping</v>
      </c>
      <c r="D7210" t="s">
        <v>5</v>
      </c>
      <c r="E7210">
        <v>6</v>
      </c>
    </row>
    <row r="7211" spans="1:5" x14ac:dyDescent="0.25">
      <c r="A7211">
        <v>7210</v>
      </c>
      <c r="B7211">
        <v>3551895</v>
      </c>
      <c r="C7211" s="1" t="str">
        <f>HYPERLINK("http://stackoverflow.com/users/3551895", "MrFckinawesome")</f>
        <v>MrFckinawesome</v>
      </c>
      <c r="D7211" t="s">
        <v>4</v>
      </c>
      <c r="E7211">
        <v>6</v>
      </c>
    </row>
    <row r="7212" spans="1:5" x14ac:dyDescent="0.25">
      <c r="A7212">
        <v>7211</v>
      </c>
      <c r="B7212">
        <v>7107542</v>
      </c>
      <c r="C7212" s="1" t="str">
        <f>HYPERLINK("http://stackoverflow.com/users/7107542", "xausky")</f>
        <v>xausky</v>
      </c>
      <c r="D7212" t="s">
        <v>4</v>
      </c>
      <c r="E7212">
        <v>6</v>
      </c>
    </row>
    <row r="7213" spans="1:5" x14ac:dyDescent="0.25">
      <c r="A7213">
        <v>7212</v>
      </c>
      <c r="B7213">
        <v>5372861</v>
      </c>
      <c r="C7213" s="1" t="str">
        <f>HYPERLINK("http://stackoverflow.com/users/5372861", "Shantom")</f>
        <v>Shantom</v>
      </c>
      <c r="D7213" t="s">
        <v>5</v>
      </c>
      <c r="E7213">
        <v>6</v>
      </c>
    </row>
    <row r="7214" spans="1:5" x14ac:dyDescent="0.25">
      <c r="A7214">
        <v>7213</v>
      </c>
      <c r="B7214">
        <v>1846690</v>
      </c>
      <c r="C7214" s="1" t="str">
        <f>HYPERLINK("http://stackoverflow.com/users/1846690", "belcon")</f>
        <v>belcon</v>
      </c>
      <c r="D7214" t="s">
        <v>4</v>
      </c>
      <c r="E7214">
        <v>6</v>
      </c>
    </row>
    <row r="7215" spans="1:5" x14ac:dyDescent="0.25">
      <c r="A7215">
        <v>7214</v>
      </c>
      <c r="B7215">
        <v>1847023</v>
      </c>
      <c r="C7215" s="1" t="str">
        <f>HYPERLINK("http://stackoverflow.com/users/1847023", "wfsm77")</f>
        <v>wfsm77</v>
      </c>
      <c r="D7215" t="s">
        <v>4</v>
      </c>
      <c r="E7215">
        <v>6</v>
      </c>
    </row>
    <row r="7216" spans="1:5" x14ac:dyDescent="0.25">
      <c r="A7216">
        <v>7215</v>
      </c>
      <c r="B7216">
        <v>7229766</v>
      </c>
      <c r="C7216" s="1" t="str">
        <f>HYPERLINK("http://stackoverflow.com/users/7229766", "ZhaoQiang")</f>
        <v>ZhaoQiang</v>
      </c>
      <c r="D7216" t="s">
        <v>5</v>
      </c>
      <c r="E7216">
        <v>6</v>
      </c>
    </row>
    <row r="7217" spans="1:5" x14ac:dyDescent="0.25">
      <c r="A7217">
        <v>7216</v>
      </c>
      <c r="B7217">
        <v>5416673</v>
      </c>
      <c r="C7217" s="1" t="str">
        <f>HYPERLINK("http://stackoverflow.com/users/5416673", "Sysvideo-IP Camera Developer")</f>
        <v>Sysvideo-IP Camera Developer</v>
      </c>
      <c r="D7217" t="s">
        <v>17</v>
      </c>
      <c r="E7217">
        <v>6</v>
      </c>
    </row>
    <row r="7218" spans="1:5" x14ac:dyDescent="0.25">
      <c r="A7218">
        <v>7217</v>
      </c>
      <c r="B7218">
        <v>1809910</v>
      </c>
      <c r="C7218" s="1" t="str">
        <f>HYPERLINK("http://stackoverflow.com/users/1809910", "Daniel Zhuang")</f>
        <v>Daniel Zhuang</v>
      </c>
      <c r="D7218" t="s">
        <v>4</v>
      </c>
      <c r="E7218">
        <v>6</v>
      </c>
    </row>
    <row r="7219" spans="1:5" x14ac:dyDescent="0.25">
      <c r="A7219">
        <v>7218</v>
      </c>
      <c r="B7219">
        <v>5257418</v>
      </c>
      <c r="C7219" s="1" t="str">
        <f>HYPERLINK("http://stackoverflow.com/users/5257418", "Li XXXXX")</f>
        <v>Li XXXXX</v>
      </c>
      <c r="D7219" t="s">
        <v>8</v>
      </c>
      <c r="E7219">
        <v>6</v>
      </c>
    </row>
    <row r="7220" spans="1:5" x14ac:dyDescent="0.25">
      <c r="A7220">
        <v>7219</v>
      </c>
      <c r="B7220">
        <v>7073842</v>
      </c>
      <c r="C7220" s="1" t="str">
        <f>HYPERLINK("http://stackoverflow.com/users/7073842", "Amanthul")</f>
        <v>Amanthul</v>
      </c>
      <c r="D7220" t="s">
        <v>5</v>
      </c>
      <c r="E7220">
        <v>6</v>
      </c>
    </row>
    <row r="7221" spans="1:5" x14ac:dyDescent="0.25">
      <c r="A7221">
        <v>7220</v>
      </c>
      <c r="B7221">
        <v>10569689</v>
      </c>
      <c r="C7221" s="1" t="str">
        <f>HYPERLINK("http://stackoverflow.com/users/10569689", "Curllen")</f>
        <v>Curllen</v>
      </c>
      <c r="D7221" t="s">
        <v>4</v>
      </c>
      <c r="E7221">
        <v>6</v>
      </c>
    </row>
    <row r="7222" spans="1:5" x14ac:dyDescent="0.25">
      <c r="A7222">
        <v>7221</v>
      </c>
      <c r="B7222">
        <v>1527797</v>
      </c>
      <c r="C7222" s="1" t="str">
        <f>HYPERLINK("http://stackoverflow.com/users/1527797", "Steve Qi")</f>
        <v>Steve Qi</v>
      </c>
      <c r="D7222" t="s">
        <v>17</v>
      </c>
      <c r="E7222">
        <v>6</v>
      </c>
    </row>
    <row r="7223" spans="1:5" x14ac:dyDescent="0.25">
      <c r="A7223">
        <v>7222</v>
      </c>
      <c r="B7223">
        <v>8809943</v>
      </c>
      <c r="C7223" s="1" t="str">
        <f>HYPERLINK("http://stackoverflow.com/users/8809943", "Broderick")</f>
        <v>Broderick</v>
      </c>
      <c r="D7223" t="s">
        <v>5</v>
      </c>
      <c r="E7223">
        <v>6</v>
      </c>
    </row>
    <row r="7224" spans="1:5" x14ac:dyDescent="0.25">
      <c r="A7224">
        <v>7223</v>
      </c>
      <c r="B7224">
        <v>3409202</v>
      </c>
      <c r="C7224" s="1" t="str">
        <f>HYPERLINK("http://stackoverflow.com/users/3409202", "jtdeng")</f>
        <v>jtdeng</v>
      </c>
      <c r="D7224" t="s">
        <v>4</v>
      </c>
      <c r="E7224">
        <v>6</v>
      </c>
    </row>
    <row r="7225" spans="1:5" x14ac:dyDescent="0.25">
      <c r="A7225">
        <v>7224</v>
      </c>
      <c r="B7225">
        <v>1517546</v>
      </c>
      <c r="C7225" s="1" t="str">
        <f>HYPERLINK("http://stackoverflow.com/users/1517546", "Jim")</f>
        <v>Jim</v>
      </c>
      <c r="D7225" t="s">
        <v>37</v>
      </c>
      <c r="E7225">
        <v>6</v>
      </c>
    </row>
    <row r="7226" spans="1:5" x14ac:dyDescent="0.25">
      <c r="A7226">
        <v>7225</v>
      </c>
      <c r="B7226">
        <v>1484987</v>
      </c>
      <c r="C7226" s="1" t="str">
        <f>HYPERLINK("http://stackoverflow.com/users/1484987", "hohokyo")</f>
        <v>hohokyo</v>
      </c>
      <c r="D7226" t="s">
        <v>5</v>
      </c>
      <c r="E7226">
        <v>6</v>
      </c>
    </row>
    <row r="7227" spans="1:5" x14ac:dyDescent="0.25">
      <c r="A7227">
        <v>7226</v>
      </c>
      <c r="B7227">
        <v>1495068</v>
      </c>
      <c r="C7227" s="1" t="str">
        <f>HYPERLINK("http://stackoverflow.com/users/1495068", "Junshen_fty")</f>
        <v>Junshen_fty</v>
      </c>
      <c r="D7227" t="s">
        <v>12</v>
      </c>
      <c r="E7227">
        <v>6</v>
      </c>
    </row>
    <row r="7228" spans="1:5" x14ac:dyDescent="0.25">
      <c r="A7228">
        <v>7227</v>
      </c>
      <c r="B7228">
        <v>5156956</v>
      </c>
      <c r="C7228" s="1" t="str">
        <f>HYPERLINK("http://stackoverflow.com/users/5156956", "Brian Xue")</f>
        <v>Brian Xue</v>
      </c>
      <c r="D7228" t="s">
        <v>4</v>
      </c>
      <c r="E7228">
        <v>6</v>
      </c>
    </row>
    <row r="7229" spans="1:5" x14ac:dyDescent="0.25">
      <c r="A7229">
        <v>7228</v>
      </c>
      <c r="B7229">
        <v>1419049</v>
      </c>
      <c r="C7229" s="1" t="str">
        <f>HYPERLINK("http://stackoverflow.com/users/1419049", "Sam Li")</f>
        <v>Sam Li</v>
      </c>
      <c r="D7229" t="s">
        <v>17</v>
      </c>
      <c r="E7229">
        <v>6</v>
      </c>
    </row>
    <row r="7230" spans="1:5" x14ac:dyDescent="0.25">
      <c r="A7230">
        <v>7229</v>
      </c>
      <c r="B7230">
        <v>10482296</v>
      </c>
      <c r="C7230" s="1" t="str">
        <f>HYPERLINK("http://stackoverflow.com/users/10482296", "Gila River")</f>
        <v>Gila River</v>
      </c>
      <c r="D7230" t="s">
        <v>7</v>
      </c>
      <c r="E7230">
        <v>6</v>
      </c>
    </row>
    <row r="7231" spans="1:5" x14ac:dyDescent="0.25">
      <c r="A7231">
        <v>7230</v>
      </c>
      <c r="B7231">
        <v>10454240</v>
      </c>
      <c r="C7231" s="1" t="str">
        <f>HYPERLINK("http://stackoverflow.com/users/10454240", "David Ye")</f>
        <v>David Ye</v>
      </c>
      <c r="D7231" t="s">
        <v>392</v>
      </c>
      <c r="E7231">
        <v>6</v>
      </c>
    </row>
    <row r="7232" spans="1:5" x14ac:dyDescent="0.25">
      <c r="A7232">
        <v>7231</v>
      </c>
      <c r="B7232">
        <v>10405477</v>
      </c>
      <c r="C7232" s="1" t="str">
        <f>HYPERLINK("http://stackoverflow.com/users/10405477", "Yan")</f>
        <v>Yan</v>
      </c>
      <c r="D7232" t="s">
        <v>33</v>
      </c>
      <c r="E7232">
        <v>6</v>
      </c>
    </row>
    <row r="7233" spans="1:5" x14ac:dyDescent="0.25">
      <c r="A7233">
        <v>7232</v>
      </c>
      <c r="B7233">
        <v>3234214</v>
      </c>
      <c r="C7233" s="1" t="str">
        <f>HYPERLINK("http://stackoverflow.com/users/3234214", "user3234214")</f>
        <v>user3234214</v>
      </c>
      <c r="D7233" t="s">
        <v>4</v>
      </c>
      <c r="E7233">
        <v>6</v>
      </c>
    </row>
    <row r="7234" spans="1:5" x14ac:dyDescent="0.25">
      <c r="A7234">
        <v>7233</v>
      </c>
      <c r="B7234">
        <v>5051700</v>
      </c>
      <c r="C7234" s="1" t="str">
        <f>HYPERLINK("http://stackoverflow.com/users/5051700", "eonezhang")</f>
        <v>eonezhang</v>
      </c>
      <c r="D7234" t="s">
        <v>393</v>
      </c>
      <c r="E7234">
        <v>6</v>
      </c>
    </row>
    <row r="7235" spans="1:5" x14ac:dyDescent="0.25">
      <c r="A7235">
        <v>7234</v>
      </c>
      <c r="B7235">
        <v>6777943</v>
      </c>
      <c r="C7235" s="1" t="str">
        <f>HYPERLINK("http://stackoverflow.com/users/6777943", "Xi Yan ZHANG")</f>
        <v>Xi Yan ZHANG</v>
      </c>
      <c r="D7235" t="s">
        <v>7</v>
      </c>
      <c r="E7235">
        <v>6</v>
      </c>
    </row>
    <row r="7236" spans="1:5" x14ac:dyDescent="0.25">
      <c r="A7236">
        <v>7235</v>
      </c>
      <c r="B7236">
        <v>8530596</v>
      </c>
      <c r="C7236" s="1" t="str">
        <f>HYPERLINK("http://stackoverflow.com/users/8530596", "navidwang")</f>
        <v>navidwang</v>
      </c>
      <c r="D7236" t="s">
        <v>28</v>
      </c>
      <c r="E7236">
        <v>6</v>
      </c>
    </row>
    <row r="7237" spans="1:5" x14ac:dyDescent="0.25">
      <c r="A7237">
        <v>7236</v>
      </c>
      <c r="B7237">
        <v>8572182</v>
      </c>
      <c r="C7237" s="1" t="str">
        <f>HYPERLINK("http://stackoverflow.com/users/8572182", "Charlie Qiu")</f>
        <v>Charlie Qiu</v>
      </c>
      <c r="D7237" t="s">
        <v>5</v>
      </c>
      <c r="E7237">
        <v>6</v>
      </c>
    </row>
    <row r="7238" spans="1:5" x14ac:dyDescent="0.25">
      <c r="A7238">
        <v>7237</v>
      </c>
      <c r="B7238">
        <v>3117651</v>
      </c>
      <c r="C7238" s="1" t="str">
        <f>HYPERLINK("http://stackoverflow.com/users/3117651", "InnerNight")</f>
        <v>InnerNight</v>
      </c>
      <c r="D7238" t="s">
        <v>5</v>
      </c>
      <c r="E7238">
        <v>6</v>
      </c>
    </row>
    <row r="7239" spans="1:5" x14ac:dyDescent="0.25">
      <c r="A7239">
        <v>7238</v>
      </c>
      <c r="B7239">
        <v>8499185</v>
      </c>
      <c r="C7239" s="1" t="str">
        <f>HYPERLINK("http://stackoverflow.com/users/8499185", "Sean Zhang")</f>
        <v>Sean Zhang</v>
      </c>
      <c r="D7239" t="s">
        <v>5</v>
      </c>
      <c r="E7239">
        <v>6</v>
      </c>
    </row>
    <row r="7240" spans="1:5" x14ac:dyDescent="0.25">
      <c r="A7240">
        <v>7239</v>
      </c>
      <c r="B7240">
        <v>3131262</v>
      </c>
      <c r="C7240" s="1" t="str">
        <f>HYPERLINK("http://stackoverflow.com/users/3131262", "andrewz")</f>
        <v>andrewz</v>
      </c>
      <c r="D7240" t="s">
        <v>5</v>
      </c>
      <c r="E7240">
        <v>6</v>
      </c>
    </row>
    <row r="7241" spans="1:5" x14ac:dyDescent="0.25">
      <c r="A7241">
        <v>7240</v>
      </c>
      <c r="B7241">
        <v>3132013</v>
      </c>
      <c r="C7241" s="1" t="str">
        <f>HYPERLINK("http://stackoverflow.com/users/3132013", "luckbo")</f>
        <v>luckbo</v>
      </c>
      <c r="D7241" t="s">
        <v>5</v>
      </c>
      <c r="E7241">
        <v>6</v>
      </c>
    </row>
    <row r="7242" spans="1:5" x14ac:dyDescent="0.25">
      <c r="A7242">
        <v>7241</v>
      </c>
      <c r="B7242">
        <v>3131858</v>
      </c>
      <c r="C7242" s="1" t="str">
        <f>HYPERLINK("http://stackoverflow.com/users/3131858", "a simple devloper")</f>
        <v>a simple devloper</v>
      </c>
      <c r="D7242" t="s">
        <v>25</v>
      </c>
      <c r="E7242">
        <v>6</v>
      </c>
    </row>
    <row r="7243" spans="1:5" x14ac:dyDescent="0.25">
      <c r="A7243">
        <v>7242</v>
      </c>
      <c r="B7243">
        <v>1907254</v>
      </c>
      <c r="C7243" s="1" t="str">
        <f>HYPERLINK("http://stackoverflow.com/users/1907254", "SakuraInLuoJia")</f>
        <v>SakuraInLuoJia</v>
      </c>
      <c r="D7243" t="s">
        <v>8</v>
      </c>
      <c r="E7243">
        <v>6</v>
      </c>
    </row>
    <row r="7244" spans="1:5" x14ac:dyDescent="0.25">
      <c r="A7244">
        <v>7243</v>
      </c>
      <c r="B7244">
        <v>9122063</v>
      </c>
      <c r="C7244" s="1" t="str">
        <f>HYPERLINK("http://stackoverflow.com/users/9122063", "Wang Kenneth")</f>
        <v>Wang Kenneth</v>
      </c>
      <c r="D7244" t="s">
        <v>4</v>
      </c>
      <c r="E7244">
        <v>6</v>
      </c>
    </row>
    <row r="7245" spans="1:5" x14ac:dyDescent="0.25">
      <c r="A7245">
        <v>7244</v>
      </c>
      <c r="B7245">
        <v>7306003</v>
      </c>
      <c r="C7245" s="1" t="str">
        <f>HYPERLINK("http://stackoverflow.com/users/7306003", "caesar.liang")</f>
        <v>caesar.liang</v>
      </c>
      <c r="D7245" t="s">
        <v>7</v>
      </c>
      <c r="E7245">
        <v>6</v>
      </c>
    </row>
    <row r="7246" spans="1:5" x14ac:dyDescent="0.25">
      <c r="A7246">
        <v>7245</v>
      </c>
      <c r="B7246">
        <v>7288306</v>
      </c>
      <c r="C7246" s="1" t="str">
        <f>HYPERLINK("http://stackoverflow.com/users/7288306", "陈小达")</f>
        <v>陈小达</v>
      </c>
      <c r="D7246" t="s">
        <v>7</v>
      </c>
      <c r="E7246">
        <v>6</v>
      </c>
    </row>
    <row r="7247" spans="1:5" x14ac:dyDescent="0.25">
      <c r="A7247">
        <v>7246</v>
      </c>
      <c r="B7247">
        <v>2082072</v>
      </c>
      <c r="C7247" s="1" t="str">
        <f>HYPERLINK("http://stackoverflow.com/users/2082072", "Smith.He")</f>
        <v>Smith.He</v>
      </c>
      <c r="D7247" t="s">
        <v>3</v>
      </c>
      <c r="E7247">
        <v>6</v>
      </c>
    </row>
    <row r="7248" spans="1:5" x14ac:dyDescent="0.25">
      <c r="A7248">
        <v>7247</v>
      </c>
      <c r="B7248">
        <v>5629305</v>
      </c>
      <c r="C7248" s="1" t="str">
        <f>HYPERLINK("http://stackoverflow.com/users/5629305", "Michael.MA")</f>
        <v>Michael.MA</v>
      </c>
      <c r="D7248" t="s">
        <v>5</v>
      </c>
      <c r="E7248">
        <v>6</v>
      </c>
    </row>
    <row r="7249" spans="1:5" x14ac:dyDescent="0.25">
      <c r="A7249">
        <v>7248</v>
      </c>
      <c r="B7249">
        <v>7348056</v>
      </c>
      <c r="C7249" s="1" t="str">
        <f>HYPERLINK("http://stackoverflow.com/users/7348056", "Adam Zhang")</f>
        <v>Adam Zhang</v>
      </c>
      <c r="D7249" t="s">
        <v>62</v>
      </c>
      <c r="E7249">
        <v>6</v>
      </c>
    </row>
    <row r="7250" spans="1:5" x14ac:dyDescent="0.25">
      <c r="A7250">
        <v>7249</v>
      </c>
      <c r="B7250">
        <v>9437964</v>
      </c>
      <c r="C7250" s="1" t="str">
        <f>HYPERLINK("http://stackoverflow.com/users/9437964", "hao wu")</f>
        <v>hao wu</v>
      </c>
      <c r="D7250" t="s">
        <v>7</v>
      </c>
      <c r="E7250">
        <v>6</v>
      </c>
    </row>
    <row r="7251" spans="1:5" x14ac:dyDescent="0.25">
      <c r="A7251">
        <v>7250</v>
      </c>
      <c r="B7251">
        <v>4000676</v>
      </c>
      <c r="C7251" s="1" t="str">
        <f>HYPERLINK("http://stackoverflow.com/users/4000676", "pccold")</f>
        <v>pccold</v>
      </c>
      <c r="D7251" t="s">
        <v>37</v>
      </c>
      <c r="E7251">
        <v>6</v>
      </c>
    </row>
    <row r="7252" spans="1:5" x14ac:dyDescent="0.25">
      <c r="A7252">
        <v>7251</v>
      </c>
      <c r="B7252">
        <v>5761772</v>
      </c>
      <c r="C7252" s="1" t="str">
        <f>HYPERLINK("http://stackoverflow.com/users/5761772", "dingman")</f>
        <v>dingman</v>
      </c>
      <c r="D7252" t="s">
        <v>16</v>
      </c>
      <c r="E7252">
        <v>6</v>
      </c>
    </row>
    <row r="7253" spans="1:5" x14ac:dyDescent="0.25">
      <c r="A7253">
        <v>7252</v>
      </c>
      <c r="B7253">
        <v>3893889</v>
      </c>
      <c r="C7253" s="1" t="str">
        <f>HYPERLINK("http://stackoverflow.com/users/3893889", "Yeling")</f>
        <v>Yeling</v>
      </c>
      <c r="D7253" t="s">
        <v>37</v>
      </c>
      <c r="E7253">
        <v>6</v>
      </c>
    </row>
    <row r="7254" spans="1:5" x14ac:dyDescent="0.25">
      <c r="A7254">
        <v>7253</v>
      </c>
      <c r="B7254">
        <v>7413283</v>
      </c>
      <c r="C7254" s="1" t="str">
        <f>HYPERLINK("http://stackoverflow.com/users/7413283", "jonny")</f>
        <v>jonny</v>
      </c>
      <c r="D7254" t="s">
        <v>394</v>
      </c>
      <c r="E7254">
        <v>6</v>
      </c>
    </row>
    <row r="7255" spans="1:5" x14ac:dyDescent="0.25">
      <c r="A7255">
        <v>7254</v>
      </c>
      <c r="B7255">
        <v>5649943</v>
      </c>
      <c r="C7255" s="1" t="str">
        <f>HYPERLINK("http://stackoverflow.com/users/5649943", "he teng")</f>
        <v>he teng</v>
      </c>
      <c r="D7255" t="s">
        <v>4</v>
      </c>
      <c r="E7255">
        <v>6</v>
      </c>
    </row>
    <row r="7256" spans="1:5" x14ac:dyDescent="0.25">
      <c r="A7256">
        <v>7255</v>
      </c>
      <c r="B7256">
        <v>3903955</v>
      </c>
      <c r="C7256" s="1" t="str">
        <f>HYPERLINK("http://stackoverflow.com/users/3903955", "limix")</f>
        <v>limix</v>
      </c>
      <c r="D7256" t="s">
        <v>118</v>
      </c>
      <c r="E7256">
        <v>6</v>
      </c>
    </row>
    <row r="7257" spans="1:5" x14ac:dyDescent="0.25">
      <c r="A7257">
        <v>7256</v>
      </c>
      <c r="B7257">
        <v>11146987</v>
      </c>
      <c r="C7257" s="1" t="str">
        <f>HYPERLINK("http://stackoverflow.com/users/11146987", "Ariacx")</f>
        <v>Ariacx</v>
      </c>
      <c r="D7257" t="s">
        <v>25</v>
      </c>
      <c r="E7257">
        <v>6</v>
      </c>
    </row>
    <row r="7258" spans="1:5" x14ac:dyDescent="0.25">
      <c r="A7258">
        <v>7257</v>
      </c>
      <c r="B7258">
        <v>5894015</v>
      </c>
      <c r="C7258" s="1" t="str">
        <f>HYPERLINK("http://stackoverflow.com/users/5894015", "yekki")</f>
        <v>yekki</v>
      </c>
      <c r="D7258" t="s">
        <v>4</v>
      </c>
      <c r="E7258">
        <v>6</v>
      </c>
    </row>
    <row r="7259" spans="1:5" x14ac:dyDescent="0.25">
      <c r="A7259">
        <v>7258</v>
      </c>
      <c r="B7259">
        <v>7677286</v>
      </c>
      <c r="C7259" s="1" t="str">
        <f>HYPERLINK("http://stackoverflow.com/users/7677286", "stackmetro")</f>
        <v>stackmetro</v>
      </c>
      <c r="D7259" t="s">
        <v>7</v>
      </c>
      <c r="E7259">
        <v>6</v>
      </c>
    </row>
    <row r="7260" spans="1:5" x14ac:dyDescent="0.25">
      <c r="A7260">
        <v>7259</v>
      </c>
      <c r="B7260">
        <v>7657254</v>
      </c>
      <c r="C7260" s="1" t="str">
        <f>HYPERLINK("http://stackoverflow.com/users/7657254", "GuoHuas Lu")</f>
        <v>GuoHuas Lu</v>
      </c>
      <c r="D7260" t="s">
        <v>7</v>
      </c>
      <c r="E7260">
        <v>6</v>
      </c>
    </row>
    <row r="7261" spans="1:5" x14ac:dyDescent="0.25">
      <c r="A7261">
        <v>7260</v>
      </c>
      <c r="B7261">
        <v>4229683</v>
      </c>
      <c r="C7261" s="1" t="str">
        <f>HYPERLINK("http://stackoverflow.com/users/4229683", "MacMillan")</f>
        <v>MacMillan</v>
      </c>
      <c r="D7261" t="s">
        <v>5</v>
      </c>
      <c r="E7261">
        <v>6</v>
      </c>
    </row>
    <row r="7262" spans="1:5" x14ac:dyDescent="0.25">
      <c r="A7262">
        <v>7261</v>
      </c>
      <c r="B7262">
        <v>7707553</v>
      </c>
      <c r="C7262" s="1" t="str">
        <f>HYPERLINK("http://stackoverflow.com/users/7707553", "Wenbo Qin")</f>
        <v>Wenbo Qin</v>
      </c>
      <c r="D7262" t="s">
        <v>7</v>
      </c>
      <c r="E7262">
        <v>6</v>
      </c>
    </row>
    <row r="7263" spans="1:5" x14ac:dyDescent="0.25">
      <c r="A7263">
        <v>7262</v>
      </c>
      <c r="B7263">
        <v>7721682</v>
      </c>
      <c r="C7263" s="1" t="str">
        <f>HYPERLINK("http://stackoverflow.com/users/7721682", "hwangzhiming")</f>
        <v>hwangzhiming</v>
      </c>
      <c r="D7263" t="s">
        <v>42</v>
      </c>
      <c r="E7263">
        <v>6</v>
      </c>
    </row>
    <row r="7264" spans="1:5" x14ac:dyDescent="0.25">
      <c r="A7264">
        <v>7263</v>
      </c>
      <c r="B7264">
        <v>7749222</v>
      </c>
      <c r="C7264" s="1" t="str">
        <f>HYPERLINK("http://stackoverflow.com/users/7749222", "FreeEric")</f>
        <v>FreeEric</v>
      </c>
      <c r="D7264" t="s">
        <v>78</v>
      </c>
      <c r="E7264">
        <v>6</v>
      </c>
    </row>
    <row r="7265" spans="1:5" x14ac:dyDescent="0.25">
      <c r="A7265">
        <v>7264</v>
      </c>
      <c r="B7265">
        <v>4270170</v>
      </c>
      <c r="C7265" s="1" t="str">
        <f>HYPERLINK("http://stackoverflow.com/users/4270170", "liyang")</f>
        <v>liyang</v>
      </c>
      <c r="D7265" t="s">
        <v>5</v>
      </c>
      <c r="E7265">
        <v>6</v>
      </c>
    </row>
    <row r="7266" spans="1:5" x14ac:dyDescent="0.25">
      <c r="A7266">
        <v>7265</v>
      </c>
      <c r="B7266">
        <v>7506710</v>
      </c>
      <c r="C7266" s="1" t="str">
        <f>HYPERLINK("http://stackoverflow.com/users/7506710", "numberfairy")</f>
        <v>numberfairy</v>
      </c>
      <c r="D7266" t="s">
        <v>5</v>
      </c>
      <c r="E7266">
        <v>6</v>
      </c>
    </row>
    <row r="7267" spans="1:5" x14ac:dyDescent="0.25">
      <c r="A7267">
        <v>7266</v>
      </c>
      <c r="B7267">
        <v>9556472</v>
      </c>
      <c r="C7267" s="1" t="str">
        <f>HYPERLINK("http://stackoverflow.com/users/9556472", "kongxiangjia")</f>
        <v>kongxiangjia</v>
      </c>
      <c r="D7267" t="s">
        <v>281</v>
      </c>
      <c r="E7267">
        <v>6</v>
      </c>
    </row>
    <row r="7268" spans="1:5" x14ac:dyDescent="0.25">
      <c r="A7268">
        <v>7267</v>
      </c>
      <c r="B7268">
        <v>2374207</v>
      </c>
      <c r="C7268" s="1" t="str">
        <f>HYPERLINK("http://stackoverflow.com/users/2374207", "CoolDrinE")</f>
        <v>CoolDrinE</v>
      </c>
      <c r="D7268" t="s">
        <v>22</v>
      </c>
      <c r="E7268">
        <v>6</v>
      </c>
    </row>
    <row r="7269" spans="1:5" x14ac:dyDescent="0.25">
      <c r="A7269">
        <v>7268</v>
      </c>
      <c r="B7269">
        <v>5866677</v>
      </c>
      <c r="C7269" s="1" t="str">
        <f>HYPERLINK("http://stackoverflow.com/users/5866677", "Steven")</f>
        <v>Steven</v>
      </c>
      <c r="D7269" t="s">
        <v>6</v>
      </c>
      <c r="E7269">
        <v>6</v>
      </c>
    </row>
    <row r="7270" spans="1:5" x14ac:dyDescent="0.25">
      <c r="A7270">
        <v>7269</v>
      </c>
      <c r="B7270">
        <v>7593014</v>
      </c>
      <c r="C7270" s="1" t="str">
        <f>HYPERLINK("http://stackoverflow.com/users/7593014", "Ehsanur")</f>
        <v>Ehsanur</v>
      </c>
      <c r="D7270" t="s">
        <v>5</v>
      </c>
      <c r="E7270">
        <v>6</v>
      </c>
    </row>
    <row r="7271" spans="1:5" x14ac:dyDescent="0.25">
      <c r="A7271">
        <v>7270</v>
      </c>
      <c r="B7271">
        <v>7688817</v>
      </c>
      <c r="C7271" s="1" t="str">
        <f>HYPERLINK("http://stackoverflow.com/users/7688817", "Zhangbin Yin")</f>
        <v>Zhangbin Yin</v>
      </c>
      <c r="D7271" t="s">
        <v>5</v>
      </c>
      <c r="E7271">
        <v>6</v>
      </c>
    </row>
    <row r="7272" spans="1:5" x14ac:dyDescent="0.25">
      <c r="A7272">
        <v>7271</v>
      </c>
      <c r="B7272">
        <v>2398826</v>
      </c>
      <c r="C7272" s="1" t="str">
        <f>HYPERLINK("http://stackoverflow.com/users/2398826", "HikoQiu")</f>
        <v>HikoQiu</v>
      </c>
      <c r="D7272" t="s">
        <v>5</v>
      </c>
      <c r="E7272">
        <v>6</v>
      </c>
    </row>
    <row r="7273" spans="1:5" x14ac:dyDescent="0.25">
      <c r="A7273">
        <v>7272</v>
      </c>
      <c r="B7273">
        <v>2407761</v>
      </c>
      <c r="C7273" s="1" t="str">
        <f>HYPERLINK("http://stackoverflow.com/users/2407761", "peter.bssf")</f>
        <v>peter.bssf</v>
      </c>
      <c r="D7273" t="s">
        <v>4</v>
      </c>
      <c r="E7273">
        <v>6</v>
      </c>
    </row>
    <row r="7274" spans="1:5" x14ac:dyDescent="0.25">
      <c r="A7274">
        <v>7273</v>
      </c>
      <c r="B7274">
        <v>7663970</v>
      </c>
      <c r="C7274" s="1" t="str">
        <f>HYPERLINK("http://stackoverflow.com/users/7663970", "lixin")</f>
        <v>lixin</v>
      </c>
      <c r="D7274" t="s">
        <v>5</v>
      </c>
      <c r="E7274">
        <v>6</v>
      </c>
    </row>
    <row r="7275" spans="1:5" x14ac:dyDescent="0.25">
      <c r="A7275">
        <v>7274</v>
      </c>
      <c r="B7275">
        <v>7664222</v>
      </c>
      <c r="C7275" s="1" t="str">
        <f>HYPERLINK("http://stackoverflow.com/users/7664222", "Mike_Peng")</f>
        <v>Mike_Peng</v>
      </c>
      <c r="D7275" t="s">
        <v>146</v>
      </c>
      <c r="E7275">
        <v>6</v>
      </c>
    </row>
    <row r="7276" spans="1:5" x14ac:dyDescent="0.25">
      <c r="A7276">
        <v>7275</v>
      </c>
      <c r="B7276">
        <v>1900436</v>
      </c>
      <c r="C7276" s="1" t="str">
        <f>HYPERLINK("http://stackoverflow.com/users/1900436", "Tommeow")</f>
        <v>Tommeow</v>
      </c>
      <c r="D7276" t="s">
        <v>22</v>
      </c>
      <c r="E7276">
        <v>6</v>
      </c>
    </row>
    <row r="7277" spans="1:5" x14ac:dyDescent="0.25">
      <c r="A7277">
        <v>7276</v>
      </c>
      <c r="B7277">
        <v>1927653</v>
      </c>
      <c r="C7277" s="1" t="str">
        <f>HYPERLINK("http://stackoverflow.com/users/1927653", "wormday")</f>
        <v>wormday</v>
      </c>
      <c r="D7277" t="s">
        <v>4</v>
      </c>
      <c r="E7277">
        <v>6</v>
      </c>
    </row>
    <row r="7278" spans="1:5" x14ac:dyDescent="0.25">
      <c r="A7278">
        <v>7277</v>
      </c>
      <c r="B7278">
        <v>3747686</v>
      </c>
      <c r="C7278" s="1" t="str">
        <f>HYPERLINK("http://stackoverflow.com/users/3747686", "Max.wen")</f>
        <v>Max.wen</v>
      </c>
      <c r="D7278" t="s">
        <v>3</v>
      </c>
      <c r="E7278">
        <v>6</v>
      </c>
    </row>
    <row r="7279" spans="1:5" x14ac:dyDescent="0.25">
      <c r="A7279">
        <v>7278</v>
      </c>
      <c r="B7279">
        <v>9153300</v>
      </c>
      <c r="C7279" s="1" t="str">
        <f>HYPERLINK("http://stackoverflow.com/users/9153300", "Wei Fuchuan")</f>
        <v>Wei Fuchuan</v>
      </c>
      <c r="D7279" t="s">
        <v>131</v>
      </c>
      <c r="E7279">
        <v>6</v>
      </c>
    </row>
    <row r="7280" spans="1:5" x14ac:dyDescent="0.25">
      <c r="A7280">
        <v>7279</v>
      </c>
      <c r="B7280">
        <v>3781467</v>
      </c>
      <c r="C7280" s="1" t="str">
        <f>HYPERLINK("http://stackoverflow.com/users/3781467", "richard_sun")</f>
        <v>richard_sun</v>
      </c>
      <c r="D7280" t="s">
        <v>7</v>
      </c>
      <c r="E7280">
        <v>6</v>
      </c>
    </row>
    <row r="7281" spans="1:5" x14ac:dyDescent="0.25">
      <c r="A7281">
        <v>7280</v>
      </c>
      <c r="B7281">
        <v>5554190</v>
      </c>
      <c r="C7281" s="1" t="str">
        <f>HYPERLINK("http://stackoverflow.com/users/5554190", "Luffy")</f>
        <v>Luffy</v>
      </c>
      <c r="D7281" t="s">
        <v>5</v>
      </c>
      <c r="E7281">
        <v>6</v>
      </c>
    </row>
    <row r="7282" spans="1:5" x14ac:dyDescent="0.25">
      <c r="A7282">
        <v>7281</v>
      </c>
      <c r="B7282">
        <v>1973816</v>
      </c>
      <c r="C7282" s="1" t="str">
        <f>HYPERLINK("http://stackoverflow.com/users/1973816", "cflyhao")</f>
        <v>cflyhao</v>
      </c>
      <c r="D7282" t="s">
        <v>5</v>
      </c>
      <c r="E7282">
        <v>6</v>
      </c>
    </row>
    <row r="7283" spans="1:5" x14ac:dyDescent="0.25">
      <c r="A7283">
        <v>7282</v>
      </c>
      <c r="B7283">
        <v>5584268</v>
      </c>
      <c r="C7283" s="1" t="str">
        <f>HYPERLINK("http://stackoverflow.com/users/5584268", "xiaopeng yin")</f>
        <v>xiaopeng yin</v>
      </c>
      <c r="D7283" t="s">
        <v>5</v>
      </c>
      <c r="E7283">
        <v>6</v>
      </c>
    </row>
    <row r="7284" spans="1:5" x14ac:dyDescent="0.25">
      <c r="A7284">
        <v>7283</v>
      </c>
      <c r="B7284">
        <v>11073678</v>
      </c>
      <c r="C7284" s="1" t="str">
        <f>HYPERLINK("http://stackoverflow.com/users/11073678", "freshn")</f>
        <v>freshn</v>
      </c>
      <c r="D7284" t="s">
        <v>21</v>
      </c>
      <c r="E7284">
        <v>6</v>
      </c>
    </row>
    <row r="7285" spans="1:5" x14ac:dyDescent="0.25">
      <c r="A7285">
        <v>7284</v>
      </c>
      <c r="B7285">
        <v>7394836</v>
      </c>
      <c r="C7285" s="1" t="str">
        <f>HYPERLINK("http://stackoverflow.com/users/7394836", "zRegle")</f>
        <v>zRegle</v>
      </c>
      <c r="D7285" t="s">
        <v>266</v>
      </c>
      <c r="E7285">
        <v>6</v>
      </c>
    </row>
    <row r="7286" spans="1:5" x14ac:dyDescent="0.25">
      <c r="A7286">
        <v>7285</v>
      </c>
      <c r="B7286">
        <v>7434191</v>
      </c>
      <c r="C7286" s="1" t="str">
        <f>HYPERLINK("http://stackoverflow.com/users/7434191", "xzhao")</f>
        <v>xzhao</v>
      </c>
      <c r="D7286" t="s">
        <v>4</v>
      </c>
      <c r="E7286">
        <v>6</v>
      </c>
    </row>
    <row r="7287" spans="1:5" x14ac:dyDescent="0.25">
      <c r="A7287">
        <v>7286</v>
      </c>
      <c r="B7287">
        <v>9427867</v>
      </c>
      <c r="C7287" s="1" t="str">
        <f>HYPERLINK("http://stackoverflow.com/users/9427867", "hushpuppy")</f>
        <v>hushpuppy</v>
      </c>
      <c r="D7287" t="s">
        <v>16</v>
      </c>
      <c r="E7287">
        <v>6</v>
      </c>
    </row>
    <row r="7288" spans="1:5" x14ac:dyDescent="0.25">
      <c r="A7288">
        <v>7287</v>
      </c>
      <c r="B7288">
        <v>5698210</v>
      </c>
      <c r="C7288" s="1" t="str">
        <f>HYPERLINK("http://stackoverflow.com/users/5698210", "Zhangjie Cao")</f>
        <v>Zhangjie Cao</v>
      </c>
      <c r="D7288" t="s">
        <v>5</v>
      </c>
      <c r="E7288">
        <v>6</v>
      </c>
    </row>
    <row r="7289" spans="1:5" x14ac:dyDescent="0.25">
      <c r="A7289">
        <v>7288</v>
      </c>
      <c r="B7289">
        <v>793614</v>
      </c>
      <c r="C7289" s="1" t="str">
        <f>HYPERLINK("http://stackoverflow.com/users/793614", "Thomas Liang")</f>
        <v>Thomas Liang</v>
      </c>
      <c r="D7289" t="s">
        <v>21</v>
      </c>
      <c r="E7289">
        <v>6</v>
      </c>
    </row>
    <row r="7290" spans="1:5" x14ac:dyDescent="0.25">
      <c r="A7290">
        <v>7289</v>
      </c>
      <c r="B7290">
        <v>2876340</v>
      </c>
      <c r="C7290" s="1" t="str">
        <f>HYPERLINK("http://stackoverflow.com/users/2876340", "geekbird")</f>
        <v>geekbird</v>
      </c>
      <c r="D7290" t="s">
        <v>25</v>
      </c>
      <c r="E7290">
        <v>6</v>
      </c>
    </row>
    <row r="7291" spans="1:5" x14ac:dyDescent="0.25">
      <c r="A7291">
        <v>7290</v>
      </c>
      <c r="B7291">
        <v>8311579</v>
      </c>
      <c r="C7291" s="1" t="str">
        <f>HYPERLINK("http://stackoverflow.com/users/8311579", "koma")</f>
        <v>koma</v>
      </c>
      <c r="D7291" t="s">
        <v>131</v>
      </c>
      <c r="E7291">
        <v>6</v>
      </c>
    </row>
    <row r="7292" spans="1:5" x14ac:dyDescent="0.25">
      <c r="A7292">
        <v>7291</v>
      </c>
      <c r="B7292">
        <v>870708</v>
      </c>
      <c r="C7292" s="1" t="str">
        <f>HYPERLINK("http://stackoverflow.com/users/870708", "Soulseven")</f>
        <v>Soulseven</v>
      </c>
      <c r="D7292" t="s">
        <v>5</v>
      </c>
      <c r="E7292">
        <v>6</v>
      </c>
    </row>
    <row r="7293" spans="1:5" x14ac:dyDescent="0.25">
      <c r="A7293">
        <v>7292</v>
      </c>
      <c r="B7293">
        <v>10085864</v>
      </c>
      <c r="C7293" s="1" t="str">
        <f>HYPERLINK("http://stackoverflow.com/users/10085864", "user10085864")</f>
        <v>user10085864</v>
      </c>
      <c r="D7293" t="s">
        <v>28</v>
      </c>
      <c r="E7293">
        <v>6</v>
      </c>
    </row>
    <row r="7294" spans="1:5" x14ac:dyDescent="0.25">
      <c r="A7294">
        <v>7293</v>
      </c>
      <c r="B7294">
        <v>4864797</v>
      </c>
      <c r="C7294" s="1" t="str">
        <f>HYPERLINK("http://stackoverflow.com/users/4864797", "Kai Wu")</f>
        <v>Kai Wu</v>
      </c>
      <c r="D7294" t="s">
        <v>395</v>
      </c>
      <c r="E7294">
        <v>6</v>
      </c>
    </row>
    <row r="7295" spans="1:5" x14ac:dyDescent="0.25">
      <c r="A7295">
        <v>7294</v>
      </c>
      <c r="B7295">
        <v>1080813</v>
      </c>
      <c r="C7295" s="1" t="str">
        <f>HYPERLINK("http://stackoverflow.com/users/1080813", "PTSolmyr")</f>
        <v>PTSolmyr</v>
      </c>
      <c r="D7295" t="s">
        <v>5</v>
      </c>
      <c r="E7295">
        <v>6</v>
      </c>
    </row>
    <row r="7296" spans="1:5" x14ac:dyDescent="0.25">
      <c r="A7296">
        <v>7295</v>
      </c>
      <c r="B7296">
        <v>1081561</v>
      </c>
      <c r="C7296" s="1" t="str">
        <f>HYPERLINK("http://stackoverflow.com/users/1081561", "Abraham")</f>
        <v>Abraham</v>
      </c>
      <c r="D7296" t="s">
        <v>4</v>
      </c>
      <c r="E7296">
        <v>6</v>
      </c>
    </row>
    <row r="7297" spans="1:5" x14ac:dyDescent="0.25">
      <c r="A7297">
        <v>7296</v>
      </c>
      <c r="B7297">
        <v>6543297</v>
      </c>
      <c r="C7297" s="1" t="str">
        <f>HYPERLINK("http://stackoverflow.com/users/6543297", "lmz")</f>
        <v>lmz</v>
      </c>
      <c r="D7297" t="s">
        <v>131</v>
      </c>
      <c r="E7297">
        <v>6</v>
      </c>
    </row>
    <row r="7298" spans="1:5" x14ac:dyDescent="0.25">
      <c r="A7298">
        <v>7297</v>
      </c>
      <c r="B7298">
        <v>7976364</v>
      </c>
      <c r="C7298" s="1" t="str">
        <f>HYPERLINK("http://stackoverflow.com/users/7976364", "Aneureka")</f>
        <v>Aneureka</v>
      </c>
      <c r="D7298" t="s">
        <v>55</v>
      </c>
      <c r="E7298">
        <v>6</v>
      </c>
    </row>
    <row r="7299" spans="1:5" x14ac:dyDescent="0.25">
      <c r="A7299">
        <v>7298</v>
      </c>
      <c r="B7299">
        <v>6117836</v>
      </c>
      <c r="C7299" s="1" t="str">
        <f>HYPERLINK("http://stackoverflow.com/users/6117836", "CoderJee")</f>
        <v>CoderJee</v>
      </c>
      <c r="D7299" t="s">
        <v>5</v>
      </c>
      <c r="E7299">
        <v>6</v>
      </c>
    </row>
    <row r="7300" spans="1:5" x14ac:dyDescent="0.25">
      <c r="A7300">
        <v>7299</v>
      </c>
      <c r="B7300">
        <v>9675167</v>
      </c>
      <c r="C7300" s="1" t="str">
        <f>HYPERLINK("http://stackoverflow.com/users/9675167", "Will Dyke")</f>
        <v>Will Dyke</v>
      </c>
      <c r="D7300" t="s">
        <v>5</v>
      </c>
      <c r="E7300">
        <v>6</v>
      </c>
    </row>
    <row r="7301" spans="1:5" x14ac:dyDescent="0.25">
      <c r="A7301">
        <v>7300</v>
      </c>
      <c r="B7301">
        <v>2484543</v>
      </c>
      <c r="C7301" s="1" t="str">
        <f>HYPERLINK("http://stackoverflow.com/users/2484543", "andy")</f>
        <v>andy</v>
      </c>
      <c r="D7301" t="s">
        <v>5</v>
      </c>
      <c r="E7301">
        <v>6</v>
      </c>
    </row>
    <row r="7302" spans="1:5" x14ac:dyDescent="0.25">
      <c r="A7302">
        <v>7301</v>
      </c>
      <c r="B7302">
        <v>507756</v>
      </c>
      <c r="C7302" s="1" t="str">
        <f>HYPERLINK("http://stackoverflow.com/users/507756", "Mesh008")</f>
        <v>Mesh008</v>
      </c>
      <c r="D7302" t="s">
        <v>5</v>
      </c>
      <c r="E7302">
        <v>6</v>
      </c>
    </row>
    <row r="7303" spans="1:5" x14ac:dyDescent="0.25">
      <c r="A7303">
        <v>7302</v>
      </c>
      <c r="B7303">
        <v>515590</v>
      </c>
      <c r="C7303" s="1" t="str">
        <f>HYPERLINK("http://stackoverflow.com/users/515590", "antanse")</f>
        <v>antanse</v>
      </c>
      <c r="D7303" t="s">
        <v>4</v>
      </c>
      <c r="E7303">
        <v>6</v>
      </c>
    </row>
    <row r="7304" spans="1:5" x14ac:dyDescent="0.25">
      <c r="A7304">
        <v>7303</v>
      </c>
      <c r="B7304">
        <v>8083882</v>
      </c>
      <c r="C7304" s="1" t="str">
        <f>HYPERLINK("http://stackoverflow.com/users/8083882", "Mark")</f>
        <v>Mark</v>
      </c>
      <c r="D7304" t="s">
        <v>57</v>
      </c>
      <c r="E7304">
        <v>6</v>
      </c>
    </row>
    <row r="7305" spans="1:5" x14ac:dyDescent="0.25">
      <c r="A7305">
        <v>7304</v>
      </c>
      <c r="B7305">
        <v>8681485</v>
      </c>
      <c r="C7305" s="1" t="str">
        <f>HYPERLINK("http://stackoverflow.com/users/8681485", "Junwei Dong")</f>
        <v>Junwei Dong</v>
      </c>
      <c r="D7305" t="s">
        <v>4</v>
      </c>
      <c r="E7305">
        <v>6</v>
      </c>
    </row>
    <row r="7306" spans="1:5" x14ac:dyDescent="0.25">
      <c r="A7306">
        <v>7305</v>
      </c>
      <c r="B7306">
        <v>8677627</v>
      </c>
      <c r="C7306" s="1" t="str">
        <f>HYPERLINK("http://stackoverflow.com/users/8677627", "Sunand Thesir")</f>
        <v>Sunand Thesir</v>
      </c>
      <c r="D7306" t="s">
        <v>5</v>
      </c>
      <c r="E7306">
        <v>6</v>
      </c>
    </row>
    <row r="7307" spans="1:5" x14ac:dyDescent="0.25">
      <c r="A7307">
        <v>7306</v>
      </c>
      <c r="B7307">
        <v>1374368</v>
      </c>
      <c r="C7307" s="1" t="str">
        <f>HYPERLINK("http://stackoverflow.com/users/1374368", "dark hack")</f>
        <v>dark hack</v>
      </c>
      <c r="D7307" t="s">
        <v>5</v>
      </c>
      <c r="E7307">
        <v>6</v>
      </c>
    </row>
    <row r="7308" spans="1:5" x14ac:dyDescent="0.25">
      <c r="A7308">
        <v>7307</v>
      </c>
      <c r="B7308">
        <v>5082772</v>
      </c>
      <c r="C7308" s="1" t="str">
        <f>HYPERLINK("http://stackoverflow.com/users/5082772", "lisey lee")</f>
        <v>lisey lee</v>
      </c>
      <c r="D7308" t="s">
        <v>47</v>
      </c>
      <c r="E7308">
        <v>6</v>
      </c>
    </row>
    <row r="7309" spans="1:5" x14ac:dyDescent="0.25">
      <c r="A7309">
        <v>7308</v>
      </c>
      <c r="B7309">
        <v>8608079</v>
      </c>
      <c r="C7309" s="1" t="str">
        <f>HYPERLINK("http://stackoverflow.com/users/8608079", "lawrence")</f>
        <v>lawrence</v>
      </c>
      <c r="D7309" t="s">
        <v>4</v>
      </c>
      <c r="E7309">
        <v>6</v>
      </c>
    </row>
    <row r="7310" spans="1:5" x14ac:dyDescent="0.25">
      <c r="A7310">
        <v>7309</v>
      </c>
      <c r="B7310">
        <v>3239605</v>
      </c>
      <c r="C7310" s="1" t="str">
        <f>HYPERLINK("http://stackoverflow.com/users/3239605", "Allen_3")</f>
        <v>Allen_3</v>
      </c>
      <c r="D7310" t="s">
        <v>22</v>
      </c>
      <c r="E7310">
        <v>6</v>
      </c>
    </row>
    <row r="7311" spans="1:5" x14ac:dyDescent="0.25">
      <c r="A7311">
        <v>7310</v>
      </c>
      <c r="B7311">
        <v>1357855</v>
      </c>
      <c r="C7311" s="1" t="str">
        <f>HYPERLINK("http://stackoverflow.com/users/1357855", "heifeng")</f>
        <v>heifeng</v>
      </c>
      <c r="D7311" t="s">
        <v>5</v>
      </c>
      <c r="E7311">
        <v>6</v>
      </c>
    </row>
    <row r="7312" spans="1:5" x14ac:dyDescent="0.25">
      <c r="A7312">
        <v>7311</v>
      </c>
      <c r="B7312">
        <v>10556581</v>
      </c>
      <c r="C7312" s="1" t="str">
        <f>HYPERLINK("http://stackoverflow.com/users/10556581", "And roid")</f>
        <v>And roid</v>
      </c>
      <c r="D7312" t="s">
        <v>320</v>
      </c>
      <c r="E7312">
        <v>6</v>
      </c>
    </row>
    <row r="7313" spans="1:5" x14ac:dyDescent="0.25">
      <c r="A7313">
        <v>7312</v>
      </c>
      <c r="B7313">
        <v>10324047</v>
      </c>
      <c r="C7313" s="1" t="str">
        <f>HYPERLINK("http://stackoverflow.com/users/10324047", "冼旭和")</f>
        <v>冼旭和</v>
      </c>
      <c r="D7313" t="s">
        <v>7</v>
      </c>
      <c r="E7313">
        <v>6</v>
      </c>
    </row>
    <row r="7314" spans="1:5" x14ac:dyDescent="0.25">
      <c r="A7314">
        <v>7313</v>
      </c>
      <c r="B7314">
        <v>4964930</v>
      </c>
      <c r="C7314" s="1" t="str">
        <f>HYPERLINK("http://stackoverflow.com/users/4964930", "lZackx")</f>
        <v>lZackx</v>
      </c>
      <c r="D7314" t="s">
        <v>21</v>
      </c>
      <c r="E7314">
        <v>6</v>
      </c>
    </row>
    <row r="7315" spans="1:5" x14ac:dyDescent="0.25">
      <c r="A7315">
        <v>7314</v>
      </c>
      <c r="B7315">
        <v>1192760</v>
      </c>
      <c r="C7315" s="1" t="str">
        <f>HYPERLINK("http://stackoverflow.com/users/1192760", "Jim Zhan")</f>
        <v>Jim Zhan</v>
      </c>
      <c r="D7315" t="s">
        <v>17</v>
      </c>
      <c r="E7315">
        <v>6</v>
      </c>
    </row>
    <row r="7316" spans="1:5" x14ac:dyDescent="0.25">
      <c r="A7316">
        <v>7315</v>
      </c>
      <c r="B7316">
        <v>1273090</v>
      </c>
      <c r="C7316" s="1" t="str">
        <f>HYPERLINK("http://stackoverflow.com/users/1273090", "Ryman1981")</f>
        <v>Ryman1981</v>
      </c>
      <c r="D7316" t="s">
        <v>396</v>
      </c>
      <c r="E7316">
        <v>6</v>
      </c>
    </row>
    <row r="7317" spans="1:5" x14ac:dyDescent="0.25">
      <c r="A7317">
        <v>7316</v>
      </c>
      <c r="B7317">
        <v>1305122</v>
      </c>
      <c r="C7317" s="1" t="str">
        <f>HYPERLINK("http://stackoverflow.com/users/1305122", "Sway Deng")</f>
        <v>Sway Deng</v>
      </c>
      <c r="D7317" t="s">
        <v>12</v>
      </c>
      <c r="E7317">
        <v>6</v>
      </c>
    </row>
    <row r="7318" spans="1:5" x14ac:dyDescent="0.25">
      <c r="A7318">
        <v>7317</v>
      </c>
      <c r="B7318">
        <v>1335272</v>
      </c>
      <c r="C7318" s="1" t="str">
        <f>HYPERLINK("http://stackoverflow.com/users/1335272", "Seven Du")</f>
        <v>Seven Du</v>
      </c>
      <c r="D7318" t="s">
        <v>5</v>
      </c>
      <c r="E7318">
        <v>6</v>
      </c>
    </row>
    <row r="7319" spans="1:5" x14ac:dyDescent="0.25">
      <c r="A7319">
        <v>7318</v>
      </c>
      <c r="B7319">
        <v>1349161</v>
      </c>
      <c r="C7319" s="1" t="str">
        <f>HYPERLINK("http://stackoverflow.com/users/1349161", "tomisacat")</f>
        <v>tomisacat</v>
      </c>
      <c r="D7319" t="s">
        <v>4</v>
      </c>
      <c r="E7319">
        <v>6</v>
      </c>
    </row>
    <row r="7320" spans="1:5" x14ac:dyDescent="0.25">
      <c r="A7320">
        <v>7319</v>
      </c>
      <c r="B7320">
        <v>7146640</v>
      </c>
      <c r="C7320" s="1" t="str">
        <f>HYPERLINK("http://stackoverflow.com/users/7146640", "Chris Ivan")</f>
        <v>Chris Ivan</v>
      </c>
      <c r="D7320" t="s">
        <v>4</v>
      </c>
      <c r="E7320">
        <v>6</v>
      </c>
    </row>
    <row r="7321" spans="1:5" x14ac:dyDescent="0.25">
      <c r="A7321">
        <v>7320</v>
      </c>
      <c r="B7321">
        <v>5444654</v>
      </c>
      <c r="C7321" s="1" t="str">
        <f>HYPERLINK("http://stackoverflow.com/users/5444654", "David Chen")</f>
        <v>David Chen</v>
      </c>
      <c r="D7321" t="s">
        <v>5</v>
      </c>
      <c r="E7321">
        <v>6</v>
      </c>
    </row>
    <row r="7322" spans="1:5" x14ac:dyDescent="0.25">
      <c r="A7322">
        <v>7321</v>
      </c>
      <c r="B7322">
        <v>7110228</v>
      </c>
      <c r="C7322" s="1" t="str">
        <f>HYPERLINK("http://stackoverflow.com/users/7110228", "F.ZYoe")</f>
        <v>F.ZYoe</v>
      </c>
      <c r="D7322" t="s">
        <v>4</v>
      </c>
      <c r="E7322">
        <v>6</v>
      </c>
    </row>
    <row r="7323" spans="1:5" x14ac:dyDescent="0.25">
      <c r="A7323">
        <v>7322</v>
      </c>
      <c r="B7323">
        <v>1658976</v>
      </c>
      <c r="C7323" s="1" t="str">
        <f>HYPERLINK("http://stackoverflow.com/users/1658976", "Zarkshao")</f>
        <v>Zarkshao</v>
      </c>
      <c r="D7323" t="s">
        <v>5</v>
      </c>
      <c r="E7323">
        <v>6</v>
      </c>
    </row>
    <row r="7324" spans="1:5" x14ac:dyDescent="0.25">
      <c r="A7324">
        <v>7323</v>
      </c>
      <c r="B7324">
        <v>7024126</v>
      </c>
      <c r="C7324" s="1" t="str">
        <f>HYPERLINK("http://stackoverflow.com/users/7024126", "Mohammed Asif")</f>
        <v>Mohammed Asif</v>
      </c>
      <c r="D7324" t="s">
        <v>4</v>
      </c>
      <c r="E7324">
        <v>6</v>
      </c>
    </row>
    <row r="7325" spans="1:5" x14ac:dyDescent="0.25">
      <c r="A7325">
        <v>7324</v>
      </c>
      <c r="B7325">
        <v>1583911</v>
      </c>
      <c r="C7325" s="1" t="str">
        <f>HYPERLINK("http://stackoverflow.com/users/1583911", "Old one")</f>
        <v>Old one</v>
      </c>
      <c r="D7325" t="s">
        <v>8</v>
      </c>
      <c r="E7325">
        <v>6</v>
      </c>
    </row>
    <row r="7326" spans="1:5" x14ac:dyDescent="0.25">
      <c r="A7326">
        <v>7325</v>
      </c>
      <c r="B7326">
        <v>6939719</v>
      </c>
      <c r="C7326" s="1" t="str">
        <f>HYPERLINK("http://stackoverflow.com/users/6939719", "MLYA")</f>
        <v>MLYA</v>
      </c>
      <c r="D7326" t="s">
        <v>397</v>
      </c>
      <c r="E7326">
        <v>6</v>
      </c>
    </row>
    <row r="7327" spans="1:5" x14ac:dyDescent="0.25">
      <c r="A7327">
        <v>7326</v>
      </c>
      <c r="B7327">
        <v>5210997</v>
      </c>
      <c r="C7327" s="1" t="str">
        <f>HYPERLINK("http://stackoverflow.com/users/5210997", "Hao Xuu")</f>
        <v>Hao Xuu</v>
      </c>
      <c r="D7327" t="s">
        <v>48</v>
      </c>
      <c r="E7327">
        <v>6</v>
      </c>
    </row>
    <row r="7328" spans="1:5" x14ac:dyDescent="0.25">
      <c r="A7328">
        <v>7327</v>
      </c>
      <c r="B7328">
        <v>5192938</v>
      </c>
      <c r="C7328" s="1" t="str">
        <f>HYPERLINK("http://stackoverflow.com/users/5192938", "Flanker Shen")</f>
        <v>Flanker Shen</v>
      </c>
      <c r="D7328" t="s">
        <v>37</v>
      </c>
      <c r="E7328">
        <v>6</v>
      </c>
    </row>
    <row r="7329" spans="1:5" x14ac:dyDescent="0.25">
      <c r="A7329">
        <v>7328</v>
      </c>
      <c r="B7329">
        <v>2209994</v>
      </c>
      <c r="C7329" s="1" t="str">
        <f>HYPERLINK("http://stackoverflow.com/users/2209994", "Yanqing Yang")</f>
        <v>Yanqing Yang</v>
      </c>
      <c r="D7329" t="s">
        <v>12</v>
      </c>
      <c r="E7329">
        <v>6</v>
      </c>
    </row>
    <row r="7330" spans="1:5" x14ac:dyDescent="0.25">
      <c r="A7330">
        <v>7329</v>
      </c>
      <c r="B7330">
        <v>2299912</v>
      </c>
      <c r="C7330" s="1" t="str">
        <f>HYPERLINK("http://stackoverflow.com/users/2299912", "Fan Liang")</f>
        <v>Fan Liang</v>
      </c>
      <c r="D7330" t="s">
        <v>5</v>
      </c>
      <c r="E7330">
        <v>6</v>
      </c>
    </row>
    <row r="7331" spans="1:5" x14ac:dyDescent="0.25">
      <c r="A7331">
        <v>7330</v>
      </c>
      <c r="B7331">
        <v>2306568</v>
      </c>
      <c r="C7331" s="1" t="str">
        <f>HYPERLINK("http://stackoverflow.com/users/2306568", "KenallChen")</f>
        <v>KenallChen</v>
      </c>
      <c r="D7331" t="s">
        <v>3</v>
      </c>
      <c r="E7331">
        <v>6</v>
      </c>
    </row>
    <row r="7332" spans="1:5" x14ac:dyDescent="0.25">
      <c r="A7332">
        <v>7331</v>
      </c>
      <c r="B7332">
        <v>4235259</v>
      </c>
      <c r="C7332" s="1" t="str">
        <f>HYPERLINK("http://stackoverflow.com/users/4235259", "abos")</f>
        <v>abos</v>
      </c>
      <c r="D7332" t="s">
        <v>21</v>
      </c>
      <c r="E7332">
        <v>6</v>
      </c>
    </row>
    <row r="7333" spans="1:5" x14ac:dyDescent="0.25">
      <c r="A7333">
        <v>7332</v>
      </c>
      <c r="B7333">
        <v>5966302</v>
      </c>
      <c r="C7333" s="1" t="str">
        <f>HYPERLINK("http://stackoverflow.com/users/5966302", "kent.zhou")</f>
        <v>kent.zhou</v>
      </c>
      <c r="D7333" t="s">
        <v>398</v>
      </c>
      <c r="E7333">
        <v>6</v>
      </c>
    </row>
    <row r="7334" spans="1:5" x14ac:dyDescent="0.25">
      <c r="A7334">
        <v>7333</v>
      </c>
      <c r="B7334">
        <v>5859876</v>
      </c>
      <c r="C7334" s="1" t="str">
        <f>HYPERLINK("http://stackoverflow.com/users/5859876", "faithefeng")</f>
        <v>faithefeng</v>
      </c>
      <c r="D7334" t="s">
        <v>4</v>
      </c>
      <c r="E7334">
        <v>6</v>
      </c>
    </row>
    <row r="7335" spans="1:5" x14ac:dyDescent="0.25">
      <c r="A7335">
        <v>7334</v>
      </c>
      <c r="B7335">
        <v>2360778</v>
      </c>
      <c r="C7335" s="1" t="str">
        <f>HYPERLINK("http://stackoverflow.com/users/2360778", "dongkaipo")</f>
        <v>dongkaipo</v>
      </c>
      <c r="D7335" t="s">
        <v>5</v>
      </c>
      <c r="E7335">
        <v>6</v>
      </c>
    </row>
    <row r="7336" spans="1:5" x14ac:dyDescent="0.25">
      <c r="A7336">
        <v>7335</v>
      </c>
      <c r="B7336">
        <v>7665231</v>
      </c>
      <c r="C7336" s="1" t="str">
        <f>HYPERLINK("http://stackoverflow.com/users/7665231", "Chunlin")</f>
        <v>Chunlin</v>
      </c>
      <c r="D7336" t="s">
        <v>177</v>
      </c>
      <c r="E7336">
        <v>6</v>
      </c>
    </row>
    <row r="7337" spans="1:5" x14ac:dyDescent="0.25">
      <c r="A7337">
        <v>7336</v>
      </c>
      <c r="B7337">
        <v>5906537</v>
      </c>
      <c r="C7337" s="1" t="str">
        <f>HYPERLINK("http://stackoverflow.com/users/5906537", "uhayate")</f>
        <v>uhayate</v>
      </c>
      <c r="D7337" t="s">
        <v>22</v>
      </c>
      <c r="E7337">
        <v>6</v>
      </c>
    </row>
    <row r="7338" spans="1:5" x14ac:dyDescent="0.25">
      <c r="A7338">
        <v>7337</v>
      </c>
      <c r="B7338">
        <v>3694181</v>
      </c>
      <c r="C7338" s="1" t="str">
        <f>HYPERLINK("http://stackoverflow.com/users/3694181", "kzhong")</f>
        <v>kzhong</v>
      </c>
      <c r="D7338" t="s">
        <v>62</v>
      </c>
      <c r="E7338">
        <v>6</v>
      </c>
    </row>
    <row r="7339" spans="1:5" x14ac:dyDescent="0.25">
      <c r="A7339">
        <v>7338</v>
      </c>
      <c r="B7339">
        <v>1740010</v>
      </c>
      <c r="C7339" s="1" t="str">
        <f>HYPERLINK("http://stackoverflow.com/users/1740010", "Vanilla_Alan")</f>
        <v>Vanilla_Alan</v>
      </c>
      <c r="D7339" t="s">
        <v>5</v>
      </c>
      <c r="E7339">
        <v>6</v>
      </c>
    </row>
    <row r="7340" spans="1:5" x14ac:dyDescent="0.25">
      <c r="A7340">
        <v>7339</v>
      </c>
      <c r="B7340">
        <v>1795177</v>
      </c>
      <c r="C7340" s="1" t="str">
        <f>HYPERLINK("http://stackoverflow.com/users/1795177", "Bruce The Dragon")</f>
        <v>Bruce The Dragon</v>
      </c>
      <c r="D7340" t="s">
        <v>4</v>
      </c>
      <c r="E7340">
        <v>6</v>
      </c>
    </row>
    <row r="7341" spans="1:5" x14ac:dyDescent="0.25">
      <c r="A7341">
        <v>7340</v>
      </c>
      <c r="B7341">
        <v>3876263</v>
      </c>
      <c r="C7341" s="1" t="str">
        <f>HYPERLINK("http://stackoverflow.com/users/3876263", "guanjunwang")</f>
        <v>guanjunwang</v>
      </c>
      <c r="D7341" t="s">
        <v>4</v>
      </c>
      <c r="E7341">
        <v>6</v>
      </c>
    </row>
    <row r="7342" spans="1:5" x14ac:dyDescent="0.25">
      <c r="A7342">
        <v>7341</v>
      </c>
      <c r="B7342">
        <v>7312438</v>
      </c>
      <c r="C7342" s="1" t="str">
        <f>HYPERLINK("http://stackoverflow.com/users/7312438", "Shi Kouzhong")</f>
        <v>Shi Kouzhong</v>
      </c>
      <c r="D7342" t="s">
        <v>19</v>
      </c>
      <c r="E7342">
        <v>6</v>
      </c>
    </row>
    <row r="7343" spans="1:5" x14ac:dyDescent="0.25">
      <c r="A7343">
        <v>7342</v>
      </c>
      <c r="B7343">
        <v>7322727</v>
      </c>
      <c r="C7343" s="1" t="str">
        <f>HYPERLINK("http://stackoverflow.com/users/7322727", "Jin.Shiyuan.")</f>
        <v>Jin.Shiyuan.</v>
      </c>
      <c r="D7343" t="s">
        <v>281</v>
      </c>
      <c r="E7343">
        <v>6</v>
      </c>
    </row>
    <row r="7344" spans="1:5" x14ac:dyDescent="0.25">
      <c r="A7344">
        <v>7343</v>
      </c>
      <c r="B7344">
        <v>5574743</v>
      </c>
      <c r="C7344" s="1" t="str">
        <f>HYPERLINK("http://stackoverflow.com/users/5574743", "Xuanbei Lu")</f>
        <v>Xuanbei Lu</v>
      </c>
      <c r="D7344" t="s">
        <v>4</v>
      </c>
      <c r="E7344">
        <v>6</v>
      </c>
    </row>
    <row r="7345" spans="1:5" x14ac:dyDescent="0.25">
      <c r="A7345">
        <v>7344</v>
      </c>
      <c r="B7345">
        <v>2786150</v>
      </c>
      <c r="C7345" s="1" t="str">
        <f>HYPERLINK("http://stackoverflow.com/users/2786150", "leoncom")</f>
        <v>leoncom</v>
      </c>
      <c r="D7345" t="s">
        <v>5</v>
      </c>
      <c r="E7345">
        <v>6</v>
      </c>
    </row>
    <row r="7346" spans="1:5" x14ac:dyDescent="0.25">
      <c r="A7346">
        <v>7345</v>
      </c>
      <c r="B7346">
        <v>8140523</v>
      </c>
      <c r="C7346" s="1" t="str">
        <f>HYPERLINK("http://stackoverflow.com/users/8140523", "Alex Tan")</f>
        <v>Alex Tan</v>
      </c>
      <c r="D7346" t="s">
        <v>28</v>
      </c>
      <c r="E7346">
        <v>6</v>
      </c>
    </row>
    <row r="7347" spans="1:5" x14ac:dyDescent="0.25">
      <c r="A7347">
        <v>7346</v>
      </c>
      <c r="B7347">
        <v>6355664</v>
      </c>
      <c r="C7347" s="1" t="str">
        <f>HYPERLINK("http://stackoverflow.com/users/6355664", "J. Neb")</f>
        <v>J. Neb</v>
      </c>
      <c r="D7347" t="s">
        <v>79</v>
      </c>
      <c r="E7347">
        <v>6</v>
      </c>
    </row>
    <row r="7348" spans="1:5" x14ac:dyDescent="0.25">
      <c r="A7348">
        <v>7347</v>
      </c>
      <c r="B7348">
        <v>651180</v>
      </c>
      <c r="C7348" s="1" t="str">
        <f>HYPERLINK("http://stackoverflow.com/users/651180", "Siko")</f>
        <v>Siko</v>
      </c>
      <c r="D7348" t="s">
        <v>4</v>
      </c>
      <c r="E7348">
        <v>6</v>
      </c>
    </row>
    <row r="7349" spans="1:5" x14ac:dyDescent="0.25">
      <c r="A7349">
        <v>7348</v>
      </c>
      <c r="B7349">
        <v>4643888</v>
      </c>
      <c r="C7349" s="1" t="str">
        <f>HYPERLINK("http://stackoverflow.com/users/4643888", "Han Maokun")</f>
        <v>Han Maokun</v>
      </c>
      <c r="D7349" t="s">
        <v>5</v>
      </c>
      <c r="E7349">
        <v>6</v>
      </c>
    </row>
    <row r="7350" spans="1:5" x14ac:dyDescent="0.25">
      <c r="A7350">
        <v>7349</v>
      </c>
      <c r="B7350">
        <v>716342</v>
      </c>
      <c r="C7350" s="1" t="str">
        <f>HYPERLINK("http://stackoverflow.com/users/716342", "lajicf")</f>
        <v>lajicf</v>
      </c>
      <c r="D7350" t="s">
        <v>5</v>
      </c>
      <c r="E7350">
        <v>6</v>
      </c>
    </row>
    <row r="7351" spans="1:5" x14ac:dyDescent="0.25">
      <c r="A7351">
        <v>7350</v>
      </c>
      <c r="B7351">
        <v>6313402</v>
      </c>
      <c r="C7351" s="1" t="str">
        <f>HYPERLINK("http://stackoverflow.com/users/6313402", "apeng huo")</f>
        <v>apeng huo</v>
      </c>
      <c r="D7351" t="s">
        <v>4</v>
      </c>
      <c r="E7351">
        <v>6</v>
      </c>
    </row>
    <row r="7352" spans="1:5" x14ac:dyDescent="0.25">
      <c r="A7352">
        <v>7351</v>
      </c>
      <c r="B7352">
        <v>4565813</v>
      </c>
      <c r="C7352" s="1" t="str">
        <f>HYPERLINK("http://stackoverflow.com/users/4565813", "Andrey Hsiao")</f>
        <v>Andrey Hsiao</v>
      </c>
      <c r="D7352" t="s">
        <v>4</v>
      </c>
      <c r="E7352">
        <v>6</v>
      </c>
    </row>
    <row r="7353" spans="1:5" x14ac:dyDescent="0.25">
      <c r="A7353">
        <v>7352</v>
      </c>
      <c r="B7353">
        <v>10130857</v>
      </c>
      <c r="C7353" s="1" t="str">
        <f>HYPERLINK("http://stackoverflow.com/users/10130857", "miller")</f>
        <v>miller</v>
      </c>
      <c r="D7353" t="s">
        <v>16</v>
      </c>
      <c r="E7353">
        <v>6</v>
      </c>
    </row>
    <row r="7354" spans="1:5" x14ac:dyDescent="0.25">
      <c r="A7354">
        <v>7353</v>
      </c>
      <c r="B7354">
        <v>8294062</v>
      </c>
      <c r="C7354" s="1" t="str">
        <f>HYPERLINK("http://stackoverflow.com/users/8294062", "zhan bobo")</f>
        <v>zhan bobo</v>
      </c>
      <c r="D7354" t="s">
        <v>5</v>
      </c>
      <c r="E7354">
        <v>6</v>
      </c>
    </row>
    <row r="7355" spans="1:5" x14ac:dyDescent="0.25">
      <c r="A7355">
        <v>7354</v>
      </c>
      <c r="B7355">
        <v>4794622</v>
      </c>
      <c r="C7355" s="1" t="str">
        <f>HYPERLINK("http://stackoverflow.com/users/4794622", "Key1a")</f>
        <v>Key1a</v>
      </c>
      <c r="D7355" t="s">
        <v>5</v>
      </c>
      <c r="E7355">
        <v>6</v>
      </c>
    </row>
    <row r="7356" spans="1:5" x14ac:dyDescent="0.25">
      <c r="A7356">
        <v>7355</v>
      </c>
      <c r="B7356">
        <v>757175</v>
      </c>
      <c r="C7356" s="1" t="str">
        <f>HYPERLINK("http://stackoverflow.com/users/757175", "longay")</f>
        <v>longay</v>
      </c>
      <c r="D7356" t="s">
        <v>35</v>
      </c>
      <c r="E7356">
        <v>6</v>
      </c>
    </row>
    <row r="7357" spans="1:5" x14ac:dyDescent="0.25">
      <c r="A7357">
        <v>7356</v>
      </c>
      <c r="B7357">
        <v>8224672</v>
      </c>
      <c r="C7357" s="1" t="str">
        <f>HYPERLINK("http://stackoverflow.com/users/8224672", "S. Will")</f>
        <v>S. Will</v>
      </c>
      <c r="D7357" t="s">
        <v>4</v>
      </c>
      <c r="E7357">
        <v>6</v>
      </c>
    </row>
    <row r="7358" spans="1:5" x14ac:dyDescent="0.25">
      <c r="A7358">
        <v>7357</v>
      </c>
      <c r="B7358">
        <v>10074865</v>
      </c>
      <c r="C7358" s="1" t="str">
        <f>HYPERLINK("http://stackoverflow.com/users/10074865", "DriftingLeaf")</f>
        <v>DriftingLeaf</v>
      </c>
      <c r="D7358" t="s">
        <v>4</v>
      </c>
      <c r="E7358">
        <v>6</v>
      </c>
    </row>
    <row r="7359" spans="1:5" x14ac:dyDescent="0.25">
      <c r="A7359">
        <v>7358</v>
      </c>
      <c r="B7359">
        <v>6458389</v>
      </c>
      <c r="C7359" s="1" t="str">
        <f>HYPERLINK("http://stackoverflow.com/users/6458389", "Neo C")</f>
        <v>Neo C</v>
      </c>
      <c r="D7359" t="s">
        <v>16</v>
      </c>
      <c r="E7359">
        <v>6</v>
      </c>
    </row>
    <row r="7360" spans="1:5" x14ac:dyDescent="0.25">
      <c r="A7360">
        <v>7359</v>
      </c>
      <c r="B7360">
        <v>4736345</v>
      </c>
      <c r="C7360" s="1" t="str">
        <f>HYPERLINK("http://stackoverflow.com/users/4736345", "heziqiang")</f>
        <v>heziqiang</v>
      </c>
      <c r="D7360" t="s">
        <v>83</v>
      </c>
      <c r="E7360">
        <v>6</v>
      </c>
    </row>
    <row r="7361" spans="1:5" x14ac:dyDescent="0.25">
      <c r="A7361">
        <v>7360</v>
      </c>
      <c r="B7361">
        <v>2659344</v>
      </c>
      <c r="C7361" s="1" t="str">
        <f>HYPERLINK("http://stackoverflow.com/users/2659344", "Heimezi")</f>
        <v>Heimezi</v>
      </c>
      <c r="D7361" t="s">
        <v>4</v>
      </c>
      <c r="E7361">
        <v>6</v>
      </c>
    </row>
    <row r="7362" spans="1:5" x14ac:dyDescent="0.25">
      <c r="A7362">
        <v>7361</v>
      </c>
      <c r="B7362">
        <v>2655893</v>
      </c>
      <c r="C7362" s="1" t="str">
        <f>HYPERLINK("http://stackoverflow.com/users/2655893", "Nerrsoft")</f>
        <v>Nerrsoft</v>
      </c>
      <c r="D7362" t="s">
        <v>4</v>
      </c>
      <c r="E7362">
        <v>6</v>
      </c>
    </row>
    <row r="7363" spans="1:5" x14ac:dyDescent="0.25">
      <c r="A7363">
        <v>7362</v>
      </c>
      <c r="B7363">
        <v>6222984</v>
      </c>
      <c r="C7363" s="1" t="str">
        <f>HYPERLINK("http://stackoverflow.com/users/6222984", "Darwinnirad")</f>
        <v>Darwinnirad</v>
      </c>
      <c r="D7363" t="s">
        <v>4</v>
      </c>
      <c r="E7363">
        <v>6</v>
      </c>
    </row>
    <row r="7364" spans="1:5" x14ac:dyDescent="0.25">
      <c r="A7364">
        <v>7363</v>
      </c>
      <c r="B7364">
        <v>6222659</v>
      </c>
      <c r="C7364" s="1" t="str">
        <f>HYPERLINK("http://stackoverflow.com/users/6222659", "Tank Zhang")</f>
        <v>Tank Zhang</v>
      </c>
      <c r="D7364" t="s">
        <v>28</v>
      </c>
      <c r="E7364">
        <v>6</v>
      </c>
    </row>
    <row r="7365" spans="1:5" x14ac:dyDescent="0.25">
      <c r="A7365">
        <v>7364</v>
      </c>
      <c r="B7365">
        <v>4531129</v>
      </c>
      <c r="C7365" s="1" t="str">
        <f>HYPERLINK("http://stackoverflow.com/users/4531129", "XuSing")</f>
        <v>XuSing</v>
      </c>
      <c r="D7365" t="s">
        <v>5</v>
      </c>
      <c r="E7365">
        <v>6</v>
      </c>
    </row>
    <row r="7366" spans="1:5" x14ac:dyDescent="0.25">
      <c r="A7366">
        <v>7365</v>
      </c>
      <c r="B7366">
        <v>2608923</v>
      </c>
      <c r="C7366" s="1" t="str">
        <f>HYPERLINK("http://stackoverflow.com/users/2608923", "Areston")</f>
        <v>Areston</v>
      </c>
      <c r="D7366" t="s">
        <v>4</v>
      </c>
      <c r="E7366">
        <v>6</v>
      </c>
    </row>
    <row r="7367" spans="1:5" x14ac:dyDescent="0.25">
      <c r="A7367">
        <v>7366</v>
      </c>
      <c r="B7367">
        <v>7987293</v>
      </c>
      <c r="C7367" s="1" t="str">
        <f>HYPERLINK("http://stackoverflow.com/users/7987293", "zzy")</f>
        <v>zzy</v>
      </c>
      <c r="D7367" t="s">
        <v>5</v>
      </c>
      <c r="E7367">
        <v>6</v>
      </c>
    </row>
    <row r="7368" spans="1:5" x14ac:dyDescent="0.25">
      <c r="A7368">
        <v>7367</v>
      </c>
      <c r="B7368">
        <v>7979688</v>
      </c>
      <c r="C7368" s="1" t="str">
        <f>HYPERLINK("http://stackoverflow.com/users/7979688", "Calvin Weng")</f>
        <v>Calvin Weng</v>
      </c>
      <c r="D7368" t="s">
        <v>5</v>
      </c>
      <c r="E7368">
        <v>6</v>
      </c>
    </row>
    <row r="7369" spans="1:5" x14ac:dyDescent="0.25">
      <c r="A7369">
        <v>7368</v>
      </c>
      <c r="B7369">
        <v>7935120</v>
      </c>
      <c r="C7369" s="1" t="str">
        <f>HYPERLINK("http://stackoverflow.com/users/7935120", "Andrew Han")</f>
        <v>Andrew Han</v>
      </c>
      <c r="D7369" t="s">
        <v>11</v>
      </c>
      <c r="E7369">
        <v>6</v>
      </c>
    </row>
    <row r="7370" spans="1:5" x14ac:dyDescent="0.25">
      <c r="A7370">
        <v>7369</v>
      </c>
      <c r="B7370">
        <v>7942533</v>
      </c>
      <c r="C7370" s="1" t="str">
        <f>HYPERLINK("http://stackoverflow.com/users/7942533", "Chen Geng")</f>
        <v>Chen Geng</v>
      </c>
      <c r="D7370" t="s">
        <v>114</v>
      </c>
      <c r="E7370">
        <v>6</v>
      </c>
    </row>
    <row r="7371" spans="1:5" x14ac:dyDescent="0.25">
      <c r="A7371">
        <v>7370</v>
      </c>
      <c r="B7371">
        <v>7850003</v>
      </c>
      <c r="C7371" s="1" t="str">
        <f>HYPERLINK("http://stackoverflow.com/users/7850003", "Nancy.Zhang")</f>
        <v>Nancy.Zhang</v>
      </c>
      <c r="D7371" t="s">
        <v>4</v>
      </c>
      <c r="E7371">
        <v>6</v>
      </c>
    </row>
    <row r="7372" spans="1:5" x14ac:dyDescent="0.25">
      <c r="A7372">
        <v>7371</v>
      </c>
      <c r="B7372">
        <v>6070983</v>
      </c>
      <c r="C7372" s="1" t="str">
        <f>HYPERLINK("http://stackoverflow.com/users/6070983", "Future")</f>
        <v>Future</v>
      </c>
      <c r="D7372" t="s">
        <v>4</v>
      </c>
      <c r="E7372">
        <v>6</v>
      </c>
    </row>
    <row r="7373" spans="1:5" x14ac:dyDescent="0.25">
      <c r="A7373">
        <v>7372</v>
      </c>
      <c r="B7373">
        <v>9651124</v>
      </c>
      <c r="C7373" s="1" t="str">
        <f>HYPERLINK("http://stackoverflow.com/users/9651124", "peorthijel")</f>
        <v>peorthijel</v>
      </c>
      <c r="D7373" t="s">
        <v>108</v>
      </c>
      <c r="E7373">
        <v>6</v>
      </c>
    </row>
    <row r="7374" spans="1:5" x14ac:dyDescent="0.25">
      <c r="A7374">
        <v>7373</v>
      </c>
      <c r="B7374">
        <v>2469648</v>
      </c>
      <c r="C7374" s="1" t="str">
        <f>HYPERLINK("http://stackoverflow.com/users/2469648", "ray5")</f>
        <v>ray5</v>
      </c>
      <c r="D7374" t="s">
        <v>21</v>
      </c>
      <c r="E7374">
        <v>6</v>
      </c>
    </row>
    <row r="7375" spans="1:5" x14ac:dyDescent="0.25">
      <c r="A7375">
        <v>7374</v>
      </c>
      <c r="B7375">
        <v>7825679</v>
      </c>
      <c r="C7375" s="1" t="str">
        <f>HYPERLINK("http://stackoverflow.com/users/7825679", "Dongxiao Song")</f>
        <v>Dongxiao Song</v>
      </c>
      <c r="D7375" t="s">
        <v>5</v>
      </c>
      <c r="E7375">
        <v>6</v>
      </c>
    </row>
    <row r="7376" spans="1:5" x14ac:dyDescent="0.25">
      <c r="A7376">
        <v>7375</v>
      </c>
      <c r="B7376">
        <v>2455647</v>
      </c>
      <c r="C7376" s="1" t="str">
        <f>HYPERLINK("http://stackoverflow.com/users/2455647", "tcpman")</f>
        <v>tcpman</v>
      </c>
      <c r="D7376" t="s">
        <v>5</v>
      </c>
      <c r="E7376">
        <v>6</v>
      </c>
    </row>
    <row r="7377" spans="1:5" x14ac:dyDescent="0.25">
      <c r="A7377">
        <v>7376</v>
      </c>
      <c r="B7377">
        <v>2435086</v>
      </c>
      <c r="C7377" s="1" t="str">
        <f>HYPERLINK("http://stackoverflow.com/users/2435086", "cuihailin")</f>
        <v>cuihailin</v>
      </c>
      <c r="D7377" t="s">
        <v>131</v>
      </c>
      <c r="E7377">
        <v>6</v>
      </c>
    </row>
    <row r="7378" spans="1:5" x14ac:dyDescent="0.25">
      <c r="A7378">
        <v>7377</v>
      </c>
      <c r="B7378">
        <v>6116680</v>
      </c>
      <c r="C7378" s="1" t="str">
        <f>HYPERLINK("http://stackoverflow.com/users/6116680", "Lechance")</f>
        <v>Lechance</v>
      </c>
      <c r="D7378" t="s">
        <v>108</v>
      </c>
      <c r="E7378">
        <v>6</v>
      </c>
    </row>
    <row r="7379" spans="1:5" x14ac:dyDescent="0.25">
      <c r="A7379">
        <v>7378</v>
      </c>
      <c r="B7379">
        <v>2552421</v>
      </c>
      <c r="C7379" s="1" t="str">
        <f>HYPERLINK("http://stackoverflow.com/users/2552421", "Jakuri")</f>
        <v>Jakuri</v>
      </c>
      <c r="D7379" t="s">
        <v>108</v>
      </c>
      <c r="E7379">
        <v>6</v>
      </c>
    </row>
    <row r="7380" spans="1:5" x14ac:dyDescent="0.25">
      <c r="A7380">
        <v>7379</v>
      </c>
      <c r="B7380">
        <v>6143706</v>
      </c>
      <c r="C7380" s="1" t="str">
        <f>HYPERLINK("http://stackoverflow.com/users/6143706", "CHUANGXIN LEE")</f>
        <v>CHUANGXIN LEE</v>
      </c>
      <c r="D7380" t="s">
        <v>7</v>
      </c>
      <c r="E7380">
        <v>6</v>
      </c>
    </row>
    <row r="7381" spans="1:5" x14ac:dyDescent="0.25">
      <c r="A7381">
        <v>7380</v>
      </c>
      <c r="B7381">
        <v>4407912</v>
      </c>
      <c r="C7381" s="1" t="str">
        <f>HYPERLINK("http://stackoverflow.com/users/4407912", "GingerMoon")</f>
        <v>GingerMoon</v>
      </c>
      <c r="D7381" t="s">
        <v>4</v>
      </c>
      <c r="E7381">
        <v>6</v>
      </c>
    </row>
    <row r="7382" spans="1:5" x14ac:dyDescent="0.25">
      <c r="A7382">
        <v>7381</v>
      </c>
      <c r="B7382">
        <v>7899951</v>
      </c>
      <c r="C7382" s="1" t="str">
        <f>HYPERLINK("http://stackoverflow.com/users/7899951", "Cereus")</f>
        <v>Cereus</v>
      </c>
      <c r="D7382" t="s">
        <v>5</v>
      </c>
      <c r="E7382">
        <v>6</v>
      </c>
    </row>
    <row r="7383" spans="1:5" x14ac:dyDescent="0.25">
      <c r="A7383">
        <v>7382</v>
      </c>
      <c r="B7383">
        <v>8391467</v>
      </c>
      <c r="C7383" s="1" t="str">
        <f>HYPERLINK("http://stackoverflow.com/users/8391467", "rainke")</f>
        <v>rainke</v>
      </c>
      <c r="D7383" t="s">
        <v>28</v>
      </c>
      <c r="E7383">
        <v>6</v>
      </c>
    </row>
    <row r="7384" spans="1:5" x14ac:dyDescent="0.25">
      <c r="A7384">
        <v>7383</v>
      </c>
      <c r="B7384">
        <v>8374059</v>
      </c>
      <c r="C7384" s="1" t="str">
        <f>HYPERLINK("http://stackoverflow.com/users/8374059", "Lex Xiao")</f>
        <v>Lex Xiao</v>
      </c>
      <c r="D7384" t="s">
        <v>4</v>
      </c>
      <c r="E7384">
        <v>6</v>
      </c>
    </row>
    <row r="7385" spans="1:5" x14ac:dyDescent="0.25">
      <c r="A7385">
        <v>7384</v>
      </c>
      <c r="B7385">
        <v>1000593</v>
      </c>
      <c r="C7385" s="1" t="str">
        <f>HYPERLINK("http://stackoverflow.com/users/1000593", "Thomas")</f>
        <v>Thomas</v>
      </c>
      <c r="D7385" t="s">
        <v>5</v>
      </c>
      <c r="E7385">
        <v>6</v>
      </c>
    </row>
    <row r="7386" spans="1:5" x14ac:dyDescent="0.25">
      <c r="A7386">
        <v>7385</v>
      </c>
      <c r="B7386">
        <v>4873882</v>
      </c>
      <c r="C7386" s="1" t="str">
        <f>HYPERLINK("http://stackoverflow.com/users/4873882", "kyomic")</f>
        <v>kyomic</v>
      </c>
      <c r="D7386" t="s">
        <v>5</v>
      </c>
      <c r="E7386">
        <v>6</v>
      </c>
    </row>
    <row r="7387" spans="1:5" x14ac:dyDescent="0.25">
      <c r="A7387">
        <v>7386</v>
      </c>
      <c r="B7387">
        <v>1145001</v>
      </c>
      <c r="C7387" s="1" t="str">
        <f>HYPERLINK("http://stackoverflow.com/users/1145001", "xiaop")</f>
        <v>xiaop</v>
      </c>
      <c r="D7387" t="s">
        <v>35</v>
      </c>
      <c r="E7387">
        <v>6</v>
      </c>
    </row>
    <row r="7388" spans="1:5" x14ac:dyDescent="0.25">
      <c r="A7388">
        <v>7387</v>
      </c>
      <c r="B7388">
        <v>4942847</v>
      </c>
      <c r="C7388" s="1" t="str">
        <f>HYPERLINK("http://stackoverflow.com/users/4942847", "CoderLeo")</f>
        <v>CoderLeo</v>
      </c>
      <c r="D7388" t="s">
        <v>54</v>
      </c>
      <c r="E7388">
        <v>6</v>
      </c>
    </row>
    <row r="7389" spans="1:5" x14ac:dyDescent="0.25">
      <c r="A7389">
        <v>7388</v>
      </c>
      <c r="B7389">
        <v>4985620</v>
      </c>
      <c r="C7389" s="1" t="str">
        <f>HYPERLINK("http://stackoverflow.com/users/4985620", "Dongjak")</f>
        <v>Dongjak</v>
      </c>
      <c r="D7389" t="s">
        <v>28</v>
      </c>
      <c r="E7389">
        <v>6</v>
      </c>
    </row>
    <row r="7390" spans="1:5" x14ac:dyDescent="0.25">
      <c r="A7390">
        <v>7389</v>
      </c>
      <c r="B7390">
        <v>8522649</v>
      </c>
      <c r="C7390" s="1" t="str">
        <f>HYPERLINK("http://stackoverflow.com/users/8522649", "helloHa")</f>
        <v>helloHa</v>
      </c>
      <c r="D7390" t="s">
        <v>399</v>
      </c>
      <c r="E7390">
        <v>6</v>
      </c>
    </row>
    <row r="7391" spans="1:5" x14ac:dyDescent="0.25">
      <c r="A7391">
        <v>7390</v>
      </c>
      <c r="B7391">
        <v>1221223</v>
      </c>
      <c r="C7391" s="1" t="str">
        <f>HYPERLINK("http://stackoverflow.com/users/1221223", "mingdong")</f>
        <v>mingdong</v>
      </c>
      <c r="D7391" t="s">
        <v>5</v>
      </c>
      <c r="E7391">
        <v>6</v>
      </c>
    </row>
    <row r="7392" spans="1:5" x14ac:dyDescent="0.25">
      <c r="A7392">
        <v>7391</v>
      </c>
      <c r="B7392">
        <v>8509902</v>
      </c>
      <c r="C7392" s="1" t="str">
        <f>HYPERLINK("http://stackoverflow.com/users/8509902", "daLingZhong")</f>
        <v>daLingZhong</v>
      </c>
      <c r="D7392" t="s">
        <v>168</v>
      </c>
      <c r="E7392">
        <v>6</v>
      </c>
    </row>
    <row r="7393" spans="1:5" x14ac:dyDescent="0.25">
      <c r="A7393">
        <v>7392</v>
      </c>
      <c r="B7393">
        <v>4964320</v>
      </c>
      <c r="C7393" s="1" t="str">
        <f>HYPERLINK("http://stackoverflow.com/users/4964320", "iDurian")</f>
        <v>iDurian</v>
      </c>
      <c r="D7393" t="s">
        <v>4</v>
      </c>
      <c r="E7393">
        <v>6</v>
      </c>
    </row>
    <row r="7394" spans="1:5" x14ac:dyDescent="0.25">
      <c r="A7394">
        <v>7393</v>
      </c>
      <c r="B7394">
        <v>6711762</v>
      </c>
      <c r="C7394" s="1" t="str">
        <f>HYPERLINK("http://stackoverflow.com/users/6711762", "Ficos")</f>
        <v>Ficos</v>
      </c>
      <c r="D7394" t="s">
        <v>4</v>
      </c>
      <c r="E7394">
        <v>6</v>
      </c>
    </row>
    <row r="7395" spans="1:5" x14ac:dyDescent="0.25">
      <c r="A7395">
        <v>7394</v>
      </c>
      <c r="B7395">
        <v>10394203</v>
      </c>
      <c r="C7395" s="1" t="str">
        <f>HYPERLINK("http://stackoverflow.com/users/10394203", "Tony Su")</f>
        <v>Tony Su</v>
      </c>
      <c r="D7395" t="s">
        <v>5</v>
      </c>
      <c r="E7395">
        <v>6</v>
      </c>
    </row>
    <row r="7396" spans="1:5" x14ac:dyDescent="0.25">
      <c r="A7396">
        <v>7395</v>
      </c>
      <c r="B7396">
        <v>10722735</v>
      </c>
      <c r="C7396" s="1" t="str">
        <f>HYPERLINK("http://stackoverflow.com/users/10722735", "levi")</f>
        <v>levi</v>
      </c>
      <c r="D7396" t="s">
        <v>4</v>
      </c>
      <c r="E7396">
        <v>6</v>
      </c>
    </row>
    <row r="7397" spans="1:5" x14ac:dyDescent="0.25">
      <c r="A7397">
        <v>7396</v>
      </c>
      <c r="B7397">
        <v>1660539</v>
      </c>
      <c r="C7397" s="1" t="str">
        <f>HYPERLINK("http://stackoverflow.com/users/1660539", "xlcm")</f>
        <v>xlcm</v>
      </c>
      <c r="D7397" t="s">
        <v>176</v>
      </c>
      <c r="E7397">
        <v>6</v>
      </c>
    </row>
    <row r="7398" spans="1:5" x14ac:dyDescent="0.25">
      <c r="A7398">
        <v>7397</v>
      </c>
      <c r="B7398">
        <v>1651596</v>
      </c>
      <c r="C7398" s="1" t="str">
        <f>HYPERLINK("http://stackoverflow.com/users/1651596", "Sean")</f>
        <v>Sean</v>
      </c>
      <c r="D7398" t="s">
        <v>4</v>
      </c>
      <c r="E7398">
        <v>6</v>
      </c>
    </row>
    <row r="7399" spans="1:5" x14ac:dyDescent="0.25">
      <c r="A7399">
        <v>7398</v>
      </c>
      <c r="B7399">
        <v>7093508</v>
      </c>
      <c r="C7399" s="1" t="str">
        <f>HYPERLINK("http://stackoverflow.com/users/7093508", "uwei")</f>
        <v>uwei</v>
      </c>
      <c r="D7399" t="s">
        <v>7</v>
      </c>
      <c r="E7399">
        <v>6</v>
      </c>
    </row>
    <row r="7400" spans="1:5" x14ac:dyDescent="0.25">
      <c r="A7400">
        <v>7399</v>
      </c>
      <c r="B7400">
        <v>1725047</v>
      </c>
      <c r="C7400" s="1" t="str">
        <f>HYPERLINK("http://stackoverflow.com/users/1725047", "iwethen")</f>
        <v>iwethen</v>
      </c>
      <c r="D7400" t="s">
        <v>4</v>
      </c>
      <c r="E7400">
        <v>6</v>
      </c>
    </row>
    <row r="7401" spans="1:5" x14ac:dyDescent="0.25">
      <c r="A7401">
        <v>7400</v>
      </c>
      <c r="B7401">
        <v>3544041</v>
      </c>
      <c r="C7401" s="1" t="str">
        <f>HYPERLINK("http://stackoverflow.com/users/3544041", "rossihwang")</f>
        <v>rossihwang</v>
      </c>
      <c r="D7401" t="s">
        <v>21</v>
      </c>
      <c r="E7401">
        <v>6</v>
      </c>
    </row>
    <row r="7402" spans="1:5" x14ac:dyDescent="0.25">
      <c r="A7402">
        <v>7401</v>
      </c>
      <c r="B7402">
        <v>10768593</v>
      </c>
      <c r="C7402" s="1" t="str">
        <f>HYPERLINK("http://stackoverflow.com/users/10768593", "Jason_Skye")</f>
        <v>Jason_Skye</v>
      </c>
      <c r="D7402" t="s">
        <v>5</v>
      </c>
      <c r="E7402">
        <v>6</v>
      </c>
    </row>
    <row r="7403" spans="1:5" x14ac:dyDescent="0.25">
      <c r="A7403">
        <v>7402</v>
      </c>
      <c r="B7403">
        <v>1540225</v>
      </c>
      <c r="C7403" s="1" t="str">
        <f>HYPERLINK("http://stackoverflow.com/users/1540225", "dingc")</f>
        <v>dingc</v>
      </c>
      <c r="D7403" t="s">
        <v>5</v>
      </c>
      <c r="E7403">
        <v>6</v>
      </c>
    </row>
    <row r="7404" spans="1:5" x14ac:dyDescent="0.25">
      <c r="A7404">
        <v>7403</v>
      </c>
      <c r="B7404">
        <v>1545310</v>
      </c>
      <c r="C7404" s="1" t="str">
        <f>HYPERLINK("http://stackoverflow.com/users/1545310", "1990lch")</f>
        <v>1990lch</v>
      </c>
      <c r="D7404" t="s">
        <v>5</v>
      </c>
      <c r="E7404">
        <v>6</v>
      </c>
    </row>
    <row r="7405" spans="1:5" x14ac:dyDescent="0.25">
      <c r="A7405">
        <v>7404</v>
      </c>
      <c r="B7405">
        <v>6937048</v>
      </c>
      <c r="C7405" s="1" t="str">
        <f>HYPERLINK("http://stackoverflow.com/users/6937048", "myxxqy")</f>
        <v>myxxqy</v>
      </c>
      <c r="D7405" t="s">
        <v>400</v>
      </c>
      <c r="E7405">
        <v>6</v>
      </c>
    </row>
    <row r="7406" spans="1:5" x14ac:dyDescent="0.25">
      <c r="A7406">
        <v>7405</v>
      </c>
      <c r="B7406">
        <v>5160076</v>
      </c>
      <c r="C7406" s="1" t="str">
        <f>HYPERLINK("http://stackoverflow.com/users/5160076", "Chen-Chen Yu")</f>
        <v>Chen-Chen Yu</v>
      </c>
      <c r="D7406" t="s">
        <v>5</v>
      </c>
      <c r="E7406">
        <v>6</v>
      </c>
    </row>
    <row r="7407" spans="1:5" x14ac:dyDescent="0.25">
      <c r="A7407">
        <v>7406</v>
      </c>
      <c r="B7407">
        <v>8680895</v>
      </c>
      <c r="C7407" s="1" t="str">
        <f>HYPERLINK("http://stackoverflow.com/users/8680895", "CrisMison")</f>
        <v>CrisMison</v>
      </c>
      <c r="D7407" t="s">
        <v>16</v>
      </c>
      <c r="E7407">
        <v>6</v>
      </c>
    </row>
    <row r="7408" spans="1:5" x14ac:dyDescent="0.25">
      <c r="A7408">
        <v>7407</v>
      </c>
      <c r="B7408">
        <v>1387123</v>
      </c>
      <c r="C7408" s="1" t="str">
        <f>HYPERLINK("http://stackoverflow.com/users/1387123", "airzhao520")</f>
        <v>airzhao520</v>
      </c>
      <c r="D7408" t="s">
        <v>25</v>
      </c>
      <c r="E7408">
        <v>6</v>
      </c>
    </row>
    <row r="7409" spans="1:5" x14ac:dyDescent="0.25">
      <c r="A7409">
        <v>7408</v>
      </c>
      <c r="B7409">
        <v>1377727</v>
      </c>
      <c r="C7409" s="1" t="str">
        <f>HYPERLINK("http://stackoverflow.com/users/1377727", "sokeylife")</f>
        <v>sokeylife</v>
      </c>
      <c r="D7409" t="s">
        <v>12</v>
      </c>
      <c r="E7409">
        <v>6</v>
      </c>
    </row>
    <row r="7410" spans="1:5" x14ac:dyDescent="0.25">
      <c r="A7410">
        <v>7409</v>
      </c>
      <c r="B7410">
        <v>5054335</v>
      </c>
      <c r="C7410" s="1" t="str">
        <f>HYPERLINK("http://stackoverflow.com/users/5054335", "sxlllslgh")</f>
        <v>sxlllslgh</v>
      </c>
      <c r="D7410" t="s">
        <v>54</v>
      </c>
      <c r="E7410">
        <v>6</v>
      </c>
    </row>
    <row r="7411" spans="1:5" x14ac:dyDescent="0.25">
      <c r="A7411">
        <v>7410</v>
      </c>
      <c r="B7411">
        <v>4264282</v>
      </c>
      <c r="C7411" s="1" t="str">
        <f>HYPERLINK("http://stackoverflow.com/users/4264282", "Albert Zhang")</f>
        <v>Albert Zhang</v>
      </c>
      <c r="D7411" t="s">
        <v>4</v>
      </c>
      <c r="E7411">
        <v>6</v>
      </c>
    </row>
    <row r="7412" spans="1:5" x14ac:dyDescent="0.25">
      <c r="A7412">
        <v>7411</v>
      </c>
      <c r="B7412">
        <v>7760488</v>
      </c>
      <c r="C7412" s="1" t="str">
        <f>HYPERLINK("http://stackoverflow.com/users/7760488", "Alex Du")</f>
        <v>Alex Du</v>
      </c>
      <c r="D7412" t="s">
        <v>4</v>
      </c>
      <c r="E7412">
        <v>6</v>
      </c>
    </row>
    <row r="7413" spans="1:5" x14ac:dyDescent="0.25">
      <c r="A7413">
        <v>7412</v>
      </c>
      <c r="B7413">
        <v>7718541</v>
      </c>
      <c r="C7413" s="1" t="str">
        <f>HYPERLINK("http://stackoverflow.com/users/7718541", "Tatsumi Sanzenin")</f>
        <v>Tatsumi Sanzenin</v>
      </c>
      <c r="D7413" t="s">
        <v>5</v>
      </c>
      <c r="E7413">
        <v>6</v>
      </c>
    </row>
    <row r="7414" spans="1:5" x14ac:dyDescent="0.25">
      <c r="A7414">
        <v>7413</v>
      </c>
      <c r="B7414">
        <v>7671574</v>
      </c>
      <c r="C7414" s="1" t="str">
        <f>HYPERLINK("http://stackoverflow.com/users/7671574", "Bo Hu")</f>
        <v>Bo Hu</v>
      </c>
      <c r="D7414" t="s">
        <v>16</v>
      </c>
      <c r="E7414">
        <v>6</v>
      </c>
    </row>
    <row r="7415" spans="1:5" x14ac:dyDescent="0.25">
      <c r="A7415">
        <v>7414</v>
      </c>
      <c r="B7415">
        <v>4060165</v>
      </c>
      <c r="C7415" s="1" t="str">
        <f>HYPERLINK("http://stackoverflow.com/users/4060165", "allen")</f>
        <v>allen</v>
      </c>
      <c r="D7415" t="s">
        <v>7</v>
      </c>
      <c r="E7415">
        <v>6</v>
      </c>
    </row>
    <row r="7416" spans="1:5" x14ac:dyDescent="0.25">
      <c r="A7416">
        <v>7415</v>
      </c>
      <c r="B7416">
        <v>7608183</v>
      </c>
      <c r="C7416" s="1" t="str">
        <f>HYPERLINK("http://stackoverflow.com/users/7608183", "wujian")</f>
        <v>wujian</v>
      </c>
      <c r="D7416" t="s">
        <v>157</v>
      </c>
      <c r="E7416">
        <v>6</v>
      </c>
    </row>
    <row r="7417" spans="1:5" x14ac:dyDescent="0.25">
      <c r="A7417">
        <v>7416</v>
      </c>
      <c r="B7417">
        <v>7591902</v>
      </c>
      <c r="C7417" s="1" t="str">
        <f>HYPERLINK("http://stackoverflow.com/users/7591902", "Elvis Feng")</f>
        <v>Elvis Feng</v>
      </c>
      <c r="D7417" t="s">
        <v>25</v>
      </c>
      <c r="E7417">
        <v>6</v>
      </c>
    </row>
    <row r="7418" spans="1:5" x14ac:dyDescent="0.25">
      <c r="A7418">
        <v>7417</v>
      </c>
      <c r="B7418">
        <v>7566338</v>
      </c>
      <c r="C7418" s="1" t="str">
        <f>HYPERLINK("http://stackoverflow.com/users/7566338", "jianjyan")</f>
        <v>jianjyan</v>
      </c>
      <c r="D7418" t="s">
        <v>28</v>
      </c>
      <c r="E7418">
        <v>6</v>
      </c>
    </row>
    <row r="7419" spans="1:5" x14ac:dyDescent="0.25">
      <c r="A7419">
        <v>7418</v>
      </c>
      <c r="B7419">
        <v>2389481</v>
      </c>
      <c r="C7419" s="1" t="str">
        <f>HYPERLINK("http://stackoverflow.com/users/2389481", "cocorosiekz")</f>
        <v>cocorosiekz</v>
      </c>
      <c r="D7419" t="s">
        <v>5</v>
      </c>
      <c r="E7419">
        <v>6</v>
      </c>
    </row>
    <row r="7420" spans="1:5" x14ac:dyDescent="0.25">
      <c r="A7420">
        <v>7419</v>
      </c>
      <c r="B7420">
        <v>7609033</v>
      </c>
      <c r="C7420" s="1" t="str">
        <f>HYPERLINK("http://stackoverflow.com/users/7609033", "JackenLiu")</f>
        <v>JackenLiu</v>
      </c>
      <c r="D7420" t="s">
        <v>25</v>
      </c>
      <c r="E7420">
        <v>6</v>
      </c>
    </row>
    <row r="7421" spans="1:5" x14ac:dyDescent="0.25">
      <c r="A7421">
        <v>7420</v>
      </c>
      <c r="B7421">
        <v>2265115</v>
      </c>
      <c r="C7421" s="1" t="str">
        <f>HYPERLINK("http://stackoverflow.com/users/2265115", "arjinmc")</f>
        <v>arjinmc</v>
      </c>
      <c r="D7421" t="s">
        <v>17</v>
      </c>
      <c r="E7421">
        <v>6</v>
      </c>
    </row>
    <row r="7422" spans="1:5" x14ac:dyDescent="0.25">
      <c r="A7422">
        <v>7421</v>
      </c>
      <c r="B7422">
        <v>4014228</v>
      </c>
      <c r="C7422" s="1" t="str">
        <f>HYPERLINK("http://stackoverflow.com/users/4014228", "oseifrimpong")</f>
        <v>oseifrimpong</v>
      </c>
      <c r="D7422" t="s">
        <v>21</v>
      </c>
      <c r="E7422">
        <v>6</v>
      </c>
    </row>
    <row r="7423" spans="1:5" x14ac:dyDescent="0.25">
      <c r="A7423">
        <v>7422</v>
      </c>
      <c r="B7423">
        <v>5808129</v>
      </c>
      <c r="C7423" s="1" t="str">
        <f>HYPERLINK("http://stackoverflow.com/users/5808129", "soledede")</f>
        <v>soledede</v>
      </c>
      <c r="D7423" t="s">
        <v>4</v>
      </c>
      <c r="E7423">
        <v>6</v>
      </c>
    </row>
    <row r="7424" spans="1:5" x14ac:dyDescent="0.25">
      <c r="A7424">
        <v>7423</v>
      </c>
      <c r="B7424">
        <v>4038907</v>
      </c>
      <c r="C7424" s="1" t="str">
        <f>HYPERLINK("http://stackoverflow.com/users/4038907", "zzzzHutt")</f>
        <v>zzzzHutt</v>
      </c>
      <c r="D7424" t="s">
        <v>17</v>
      </c>
      <c r="E7424">
        <v>6</v>
      </c>
    </row>
    <row r="7425" spans="1:5" x14ac:dyDescent="0.25">
      <c r="A7425">
        <v>7424</v>
      </c>
      <c r="B7425">
        <v>2222995</v>
      </c>
      <c r="C7425" s="1" t="str">
        <f>HYPERLINK("http://stackoverflow.com/users/2222995", "Kevin")</f>
        <v>Kevin</v>
      </c>
      <c r="D7425" t="s">
        <v>35</v>
      </c>
      <c r="E7425">
        <v>6</v>
      </c>
    </row>
    <row r="7426" spans="1:5" x14ac:dyDescent="0.25">
      <c r="A7426">
        <v>7425</v>
      </c>
      <c r="B7426">
        <v>9410891</v>
      </c>
      <c r="C7426" s="1" t="str">
        <f>HYPERLINK("http://stackoverflow.com/users/9410891", "user9410891")</f>
        <v>user9410891</v>
      </c>
      <c r="D7426" t="s">
        <v>43</v>
      </c>
      <c r="E7426">
        <v>6</v>
      </c>
    </row>
    <row r="7427" spans="1:5" x14ac:dyDescent="0.25">
      <c r="A7427">
        <v>7426</v>
      </c>
      <c r="B7427">
        <v>7522210</v>
      </c>
      <c r="C7427" s="1" t="str">
        <f>HYPERLINK("http://stackoverflow.com/users/7522210", "J.angel")</f>
        <v>J.angel</v>
      </c>
      <c r="D7427" t="s">
        <v>7</v>
      </c>
      <c r="E7427">
        <v>6</v>
      </c>
    </row>
    <row r="7428" spans="1:5" x14ac:dyDescent="0.25">
      <c r="A7428">
        <v>7427</v>
      </c>
      <c r="B7428">
        <v>7526642</v>
      </c>
      <c r="C7428" s="1" t="str">
        <f>HYPERLINK("http://stackoverflow.com/users/7526642", "Eric Wang")</f>
        <v>Eric Wang</v>
      </c>
      <c r="D7428" t="s">
        <v>4</v>
      </c>
      <c r="E7428">
        <v>6</v>
      </c>
    </row>
    <row r="7429" spans="1:5" x14ac:dyDescent="0.25">
      <c r="A7429">
        <v>7428</v>
      </c>
      <c r="B7429">
        <v>7515072</v>
      </c>
      <c r="C7429" s="1" t="str">
        <f>HYPERLINK("http://stackoverflow.com/users/7515072", "xxj")</f>
        <v>xxj</v>
      </c>
      <c r="D7429" t="s">
        <v>25</v>
      </c>
      <c r="E7429">
        <v>6</v>
      </c>
    </row>
    <row r="7430" spans="1:5" x14ac:dyDescent="0.25">
      <c r="A7430">
        <v>7429</v>
      </c>
      <c r="B7430">
        <v>3932158</v>
      </c>
      <c r="C7430" s="1" t="str">
        <f>HYPERLINK("http://stackoverflow.com/users/3932158", "Sam Sun")</f>
        <v>Sam Sun</v>
      </c>
      <c r="D7430" t="s">
        <v>4</v>
      </c>
      <c r="E7430">
        <v>6</v>
      </c>
    </row>
    <row r="7431" spans="1:5" x14ac:dyDescent="0.25">
      <c r="A7431">
        <v>7430</v>
      </c>
      <c r="B7431">
        <v>2164150</v>
      </c>
      <c r="C7431" s="1" t="str">
        <f>HYPERLINK("http://stackoverflow.com/users/2164150", "LiPing")</f>
        <v>LiPing</v>
      </c>
      <c r="D7431" t="s">
        <v>22</v>
      </c>
      <c r="E7431">
        <v>6</v>
      </c>
    </row>
    <row r="7432" spans="1:5" x14ac:dyDescent="0.25">
      <c r="A7432">
        <v>7431</v>
      </c>
      <c r="B7432">
        <v>5685964</v>
      </c>
      <c r="C7432" s="1" t="str">
        <f>HYPERLINK("http://stackoverflow.com/users/5685964", "tangyiwu")</f>
        <v>tangyiwu</v>
      </c>
      <c r="D7432" t="s">
        <v>5</v>
      </c>
      <c r="E7432">
        <v>6</v>
      </c>
    </row>
    <row r="7433" spans="1:5" x14ac:dyDescent="0.25">
      <c r="A7433">
        <v>7432</v>
      </c>
      <c r="B7433">
        <v>1933413</v>
      </c>
      <c r="C7433" s="1" t="str">
        <f>HYPERLINK("http://stackoverflow.com/users/1933413", "John")</f>
        <v>John</v>
      </c>
      <c r="D7433" t="s">
        <v>22</v>
      </c>
      <c r="E7433">
        <v>6</v>
      </c>
    </row>
    <row r="7434" spans="1:5" x14ac:dyDescent="0.25">
      <c r="A7434">
        <v>7433</v>
      </c>
      <c r="B7434">
        <v>5459126</v>
      </c>
      <c r="C7434" s="1" t="str">
        <f>HYPERLINK("http://stackoverflow.com/users/5459126", "FramGuo")</f>
        <v>FramGuo</v>
      </c>
      <c r="D7434" t="s">
        <v>5</v>
      </c>
      <c r="E7434">
        <v>6</v>
      </c>
    </row>
    <row r="7435" spans="1:5" x14ac:dyDescent="0.25">
      <c r="A7435">
        <v>7434</v>
      </c>
      <c r="B7435">
        <v>7134587</v>
      </c>
      <c r="C7435" s="1" t="str">
        <f>HYPERLINK("http://stackoverflow.com/users/7134587", "johnnywong")</f>
        <v>johnnywong</v>
      </c>
      <c r="D7435" t="s">
        <v>4</v>
      </c>
      <c r="E7435">
        <v>6</v>
      </c>
    </row>
    <row r="7436" spans="1:5" x14ac:dyDescent="0.25">
      <c r="A7436">
        <v>7435</v>
      </c>
      <c r="B7436">
        <v>8961647</v>
      </c>
      <c r="C7436" s="1" t="str">
        <f>HYPERLINK("http://stackoverflow.com/users/8961647", "whxru")</f>
        <v>whxru</v>
      </c>
      <c r="D7436" t="s">
        <v>55</v>
      </c>
      <c r="E7436">
        <v>6</v>
      </c>
    </row>
    <row r="7437" spans="1:5" x14ac:dyDescent="0.25">
      <c r="A7437">
        <v>7436</v>
      </c>
      <c r="B7437">
        <v>3555242</v>
      </c>
      <c r="C7437" s="1" t="str">
        <f>HYPERLINK("http://stackoverflow.com/users/3555242", "Airlam")</f>
        <v>Airlam</v>
      </c>
      <c r="D7437" t="s">
        <v>5</v>
      </c>
      <c r="E7437">
        <v>6</v>
      </c>
    </row>
    <row r="7438" spans="1:5" x14ac:dyDescent="0.25">
      <c r="A7438">
        <v>7437</v>
      </c>
      <c r="B7438">
        <v>5625453</v>
      </c>
      <c r="C7438" s="1" t="str">
        <f>HYPERLINK("http://stackoverflow.com/users/5625453", "Zeqian Li")</f>
        <v>Zeqian Li</v>
      </c>
      <c r="D7438" t="s">
        <v>4</v>
      </c>
      <c r="E7438">
        <v>6</v>
      </c>
    </row>
    <row r="7439" spans="1:5" x14ac:dyDescent="0.25">
      <c r="A7439">
        <v>7438</v>
      </c>
      <c r="B7439">
        <v>7362015</v>
      </c>
      <c r="C7439" s="1" t="str">
        <f>HYPERLINK("http://stackoverflow.com/users/7362015", "Jingwei")</f>
        <v>Jingwei</v>
      </c>
      <c r="D7439" t="s">
        <v>4</v>
      </c>
      <c r="E7439">
        <v>6</v>
      </c>
    </row>
    <row r="7440" spans="1:5" x14ac:dyDescent="0.25">
      <c r="A7440">
        <v>7439</v>
      </c>
      <c r="B7440">
        <v>3817716</v>
      </c>
      <c r="C7440" s="1" t="str">
        <f>HYPERLINK("http://stackoverflow.com/users/3817716", "zhiyuanL")</f>
        <v>zhiyuanL</v>
      </c>
      <c r="D7440" t="s">
        <v>5</v>
      </c>
      <c r="E7440">
        <v>6</v>
      </c>
    </row>
    <row r="7441" spans="1:5" x14ac:dyDescent="0.25">
      <c r="A7441">
        <v>7440</v>
      </c>
      <c r="B7441">
        <v>5648151</v>
      </c>
      <c r="C7441" s="1" t="str">
        <f>HYPERLINK("http://stackoverflow.com/users/5648151", "L.J")</f>
        <v>L.J</v>
      </c>
      <c r="D7441" t="s">
        <v>5</v>
      </c>
      <c r="E7441">
        <v>6</v>
      </c>
    </row>
    <row r="7442" spans="1:5" x14ac:dyDescent="0.25">
      <c r="A7442">
        <v>7441</v>
      </c>
      <c r="B7442">
        <v>7328466</v>
      </c>
      <c r="C7442" s="1" t="str">
        <f>HYPERLINK("http://stackoverflow.com/users/7328466", "wgwigw")</f>
        <v>wgwigw</v>
      </c>
      <c r="D7442" t="s">
        <v>401</v>
      </c>
      <c r="E7442">
        <v>6</v>
      </c>
    </row>
    <row r="7443" spans="1:5" x14ac:dyDescent="0.25">
      <c r="A7443">
        <v>7442</v>
      </c>
      <c r="B7443">
        <v>5553429</v>
      </c>
      <c r="C7443" s="1" t="str">
        <f>HYPERLINK("http://stackoverflow.com/users/5553429", "Justin.Liao")</f>
        <v>Justin.Liao</v>
      </c>
      <c r="D7443" t="s">
        <v>4</v>
      </c>
      <c r="E7443">
        <v>6</v>
      </c>
    </row>
    <row r="7444" spans="1:5" x14ac:dyDescent="0.25">
      <c r="A7444">
        <v>7443</v>
      </c>
      <c r="B7444">
        <v>7335859</v>
      </c>
      <c r="C7444" s="1" t="str">
        <f>HYPERLINK("http://stackoverflow.com/users/7335859", "Frozen")</f>
        <v>Frozen</v>
      </c>
      <c r="D7444" t="s">
        <v>74</v>
      </c>
      <c r="E7444">
        <v>6</v>
      </c>
    </row>
    <row r="7445" spans="1:5" x14ac:dyDescent="0.25">
      <c r="A7445">
        <v>7444</v>
      </c>
      <c r="B7445">
        <v>463007</v>
      </c>
      <c r="C7445" s="1" t="str">
        <f>HYPERLINK("http://stackoverflow.com/users/463007", "jtsingle")</f>
        <v>jtsingle</v>
      </c>
      <c r="D7445" t="s">
        <v>4</v>
      </c>
      <c r="E7445">
        <v>6</v>
      </c>
    </row>
    <row r="7446" spans="1:5" x14ac:dyDescent="0.25">
      <c r="A7446">
        <v>7445</v>
      </c>
      <c r="B7446">
        <v>4545292</v>
      </c>
      <c r="C7446" s="1" t="str">
        <f>HYPERLINK("http://stackoverflow.com/users/4545292", "jasonlz")</f>
        <v>jasonlz</v>
      </c>
      <c r="D7446" t="s">
        <v>17</v>
      </c>
      <c r="E7446">
        <v>6</v>
      </c>
    </row>
    <row r="7447" spans="1:5" x14ac:dyDescent="0.25">
      <c r="A7447">
        <v>7446</v>
      </c>
      <c r="B7447">
        <v>9911364</v>
      </c>
      <c r="C7447" s="1" t="str">
        <f>HYPERLINK("http://stackoverflow.com/users/9911364", "K K")</f>
        <v>K K</v>
      </c>
      <c r="D7447" t="s">
        <v>47</v>
      </c>
      <c r="E7447">
        <v>6</v>
      </c>
    </row>
    <row r="7448" spans="1:5" x14ac:dyDescent="0.25">
      <c r="A7448">
        <v>7447</v>
      </c>
      <c r="B7448">
        <v>8100771</v>
      </c>
      <c r="C7448" s="1" t="str">
        <f>HYPERLINK("http://stackoverflow.com/users/8100771", "Kunpeng Zhang")</f>
        <v>Kunpeng Zhang</v>
      </c>
      <c r="D7448" t="s">
        <v>7</v>
      </c>
      <c r="E7448">
        <v>6</v>
      </c>
    </row>
    <row r="7449" spans="1:5" x14ac:dyDescent="0.25">
      <c r="A7449">
        <v>7448</v>
      </c>
      <c r="B7449">
        <v>8063774</v>
      </c>
      <c r="C7449" s="1" t="str">
        <f>HYPERLINK("http://stackoverflow.com/users/8063774", "Sun.dev")</f>
        <v>Sun.dev</v>
      </c>
      <c r="D7449" t="s">
        <v>242</v>
      </c>
      <c r="E7449">
        <v>6</v>
      </c>
    </row>
    <row r="7450" spans="1:5" x14ac:dyDescent="0.25">
      <c r="A7450">
        <v>7449</v>
      </c>
      <c r="B7450">
        <v>8068938</v>
      </c>
      <c r="C7450" s="1" t="str">
        <f>HYPERLINK("http://stackoverflow.com/users/8068938", "syuunami")</f>
        <v>syuunami</v>
      </c>
      <c r="D7450" t="s">
        <v>4</v>
      </c>
      <c r="E7450">
        <v>6</v>
      </c>
    </row>
    <row r="7451" spans="1:5" x14ac:dyDescent="0.25">
      <c r="A7451">
        <v>7450</v>
      </c>
      <c r="B7451">
        <v>2780833</v>
      </c>
      <c r="C7451" s="1" t="str">
        <f>HYPERLINK("http://stackoverflow.com/users/2780833", "fei_che_che")</f>
        <v>fei_che_che</v>
      </c>
      <c r="D7451" t="s">
        <v>5</v>
      </c>
      <c r="E7451">
        <v>6</v>
      </c>
    </row>
    <row r="7452" spans="1:5" x14ac:dyDescent="0.25">
      <c r="A7452">
        <v>7451</v>
      </c>
      <c r="B7452">
        <v>8096793</v>
      </c>
      <c r="C7452" s="1" t="str">
        <f>HYPERLINK("http://stackoverflow.com/users/8096793", "Guo ZhongMing")</f>
        <v>Guo ZhongMing</v>
      </c>
      <c r="D7452" t="s">
        <v>87</v>
      </c>
      <c r="E7452">
        <v>6</v>
      </c>
    </row>
    <row r="7453" spans="1:5" x14ac:dyDescent="0.25">
      <c r="A7453">
        <v>7452</v>
      </c>
      <c r="B7453">
        <v>4599479</v>
      </c>
      <c r="C7453" s="1" t="str">
        <f>HYPERLINK("http://stackoverflow.com/users/4599479", "Quanyang Liu")</f>
        <v>Quanyang Liu</v>
      </c>
      <c r="D7453" t="s">
        <v>4</v>
      </c>
      <c r="E7453">
        <v>6</v>
      </c>
    </row>
    <row r="7454" spans="1:5" x14ac:dyDescent="0.25">
      <c r="A7454">
        <v>7453</v>
      </c>
      <c r="B7454">
        <v>581278</v>
      </c>
      <c r="C7454" s="1" t="str">
        <f>HYPERLINK("http://stackoverflow.com/users/581278", "Jeff Yang")</f>
        <v>Jeff Yang</v>
      </c>
      <c r="D7454" t="s">
        <v>5</v>
      </c>
      <c r="E7454">
        <v>6</v>
      </c>
    </row>
    <row r="7455" spans="1:5" x14ac:dyDescent="0.25">
      <c r="A7455">
        <v>7454</v>
      </c>
      <c r="B7455">
        <v>9957728</v>
      </c>
      <c r="C7455" s="1" t="str">
        <f>HYPERLINK("http://stackoverflow.com/users/9957728", "thomson zeng")</f>
        <v>thomson zeng</v>
      </c>
      <c r="D7455" t="s">
        <v>4</v>
      </c>
      <c r="E7455">
        <v>6</v>
      </c>
    </row>
    <row r="7456" spans="1:5" x14ac:dyDescent="0.25">
      <c r="A7456">
        <v>7455</v>
      </c>
      <c r="B7456">
        <v>4639568</v>
      </c>
      <c r="C7456" s="1" t="str">
        <f>HYPERLINK("http://stackoverflow.com/users/4639568", "Myzle")</f>
        <v>Myzle</v>
      </c>
      <c r="D7456" t="s">
        <v>5</v>
      </c>
      <c r="E7456">
        <v>6</v>
      </c>
    </row>
    <row r="7457" spans="1:5" x14ac:dyDescent="0.25">
      <c r="A7457">
        <v>7456</v>
      </c>
      <c r="B7457">
        <v>8282590</v>
      </c>
      <c r="C7457" s="1" t="str">
        <f>HYPERLINK("http://stackoverflow.com/users/8282590", "Xiaolei Qu")</f>
        <v>Xiaolei Qu</v>
      </c>
      <c r="D7457" t="s">
        <v>5</v>
      </c>
      <c r="E7457">
        <v>6</v>
      </c>
    </row>
    <row r="7458" spans="1:5" x14ac:dyDescent="0.25">
      <c r="A7458">
        <v>7457</v>
      </c>
      <c r="B7458">
        <v>2916073</v>
      </c>
      <c r="C7458" s="1" t="str">
        <f>HYPERLINK("http://stackoverflow.com/users/2916073", "Saka1984")</f>
        <v>Saka1984</v>
      </c>
      <c r="D7458" t="s">
        <v>5</v>
      </c>
      <c r="E7458">
        <v>6</v>
      </c>
    </row>
    <row r="7459" spans="1:5" x14ac:dyDescent="0.25">
      <c r="A7459">
        <v>7458</v>
      </c>
      <c r="B7459">
        <v>8213843</v>
      </c>
      <c r="C7459" s="1" t="str">
        <f>HYPERLINK("http://stackoverflow.com/users/8213843", "pengtian")</f>
        <v>pengtian</v>
      </c>
      <c r="D7459" t="s">
        <v>399</v>
      </c>
      <c r="E7459">
        <v>6</v>
      </c>
    </row>
    <row r="7460" spans="1:5" x14ac:dyDescent="0.25">
      <c r="A7460">
        <v>7459</v>
      </c>
      <c r="B7460">
        <v>8244858</v>
      </c>
      <c r="C7460" s="1" t="str">
        <f>HYPERLINK("http://stackoverflow.com/users/8244858", "wu ruize")</f>
        <v>wu ruize</v>
      </c>
      <c r="D7460" t="s">
        <v>4</v>
      </c>
      <c r="E7460">
        <v>6</v>
      </c>
    </row>
    <row r="7461" spans="1:5" x14ac:dyDescent="0.25">
      <c r="A7461">
        <v>7460</v>
      </c>
      <c r="B7461">
        <v>809544</v>
      </c>
      <c r="C7461" s="1" t="str">
        <f>HYPERLINK("http://stackoverflow.com/users/809544", "elliottye")</f>
        <v>elliottye</v>
      </c>
      <c r="D7461" t="s">
        <v>4</v>
      </c>
      <c r="E7461">
        <v>6</v>
      </c>
    </row>
    <row r="7462" spans="1:5" x14ac:dyDescent="0.25">
      <c r="A7462">
        <v>7461</v>
      </c>
      <c r="B7462">
        <v>9713446</v>
      </c>
      <c r="C7462" s="1" t="str">
        <f>HYPERLINK("http://stackoverflow.com/users/9713446", "elaine")</f>
        <v>elaine</v>
      </c>
      <c r="D7462" t="s">
        <v>5</v>
      </c>
      <c r="E7462">
        <v>6</v>
      </c>
    </row>
    <row r="7463" spans="1:5" x14ac:dyDescent="0.25">
      <c r="A7463">
        <v>7462</v>
      </c>
      <c r="B7463">
        <v>2507501</v>
      </c>
      <c r="C7463" s="1" t="str">
        <f>HYPERLINK("http://stackoverflow.com/users/2507501", "tttlh")</f>
        <v>tttlh</v>
      </c>
      <c r="D7463" t="s">
        <v>17</v>
      </c>
      <c r="E7463">
        <v>6</v>
      </c>
    </row>
    <row r="7464" spans="1:5" x14ac:dyDescent="0.25">
      <c r="A7464">
        <v>7463</v>
      </c>
      <c r="B7464">
        <v>6122775</v>
      </c>
      <c r="C7464" s="1" t="str">
        <f>HYPERLINK("http://stackoverflow.com/users/6122775", "Benber Zhang")</f>
        <v>Benber Zhang</v>
      </c>
      <c r="D7464" t="s">
        <v>12</v>
      </c>
      <c r="E7464">
        <v>6</v>
      </c>
    </row>
    <row r="7465" spans="1:5" x14ac:dyDescent="0.25">
      <c r="A7465">
        <v>7464</v>
      </c>
      <c r="B7465">
        <v>4393715</v>
      </c>
      <c r="C7465" s="1" t="str">
        <f>HYPERLINK("http://stackoverflow.com/users/4393715", "wu vferth")</f>
        <v>wu vferth</v>
      </c>
      <c r="D7465" t="s">
        <v>402</v>
      </c>
      <c r="E7465">
        <v>6</v>
      </c>
    </row>
    <row r="7466" spans="1:5" x14ac:dyDescent="0.25">
      <c r="A7466">
        <v>7465</v>
      </c>
      <c r="B7466">
        <v>6119527</v>
      </c>
      <c r="C7466" s="1" t="str">
        <f>HYPERLINK("http://stackoverflow.com/users/6119527", "David  Liu")</f>
        <v>David  Liu</v>
      </c>
      <c r="D7466" t="s">
        <v>5</v>
      </c>
      <c r="E7466">
        <v>6</v>
      </c>
    </row>
    <row r="7467" spans="1:5" x14ac:dyDescent="0.25">
      <c r="A7467">
        <v>7466</v>
      </c>
      <c r="B7467">
        <v>7884445</v>
      </c>
      <c r="C7467" s="1" t="str">
        <f>HYPERLINK("http://stackoverflow.com/users/7884445", "Zhao Yu")</f>
        <v>Zhao Yu</v>
      </c>
      <c r="D7467" t="s">
        <v>91</v>
      </c>
      <c r="E7467">
        <v>6</v>
      </c>
    </row>
    <row r="7468" spans="1:5" x14ac:dyDescent="0.25">
      <c r="A7468">
        <v>7467</v>
      </c>
      <c r="B7468">
        <v>4340357</v>
      </c>
      <c r="C7468" s="1" t="str">
        <f>HYPERLINK("http://stackoverflow.com/users/4340357", "iTonyYo")</f>
        <v>iTonyYo</v>
      </c>
      <c r="D7468" t="s">
        <v>4</v>
      </c>
      <c r="E7468">
        <v>6</v>
      </c>
    </row>
    <row r="7469" spans="1:5" x14ac:dyDescent="0.25">
      <c r="A7469">
        <v>7468</v>
      </c>
      <c r="B7469">
        <v>2485990</v>
      </c>
      <c r="C7469" s="1" t="str">
        <f>HYPERLINK("http://stackoverflow.com/users/2485990", "Yoyo")</f>
        <v>Yoyo</v>
      </c>
      <c r="D7469" t="s">
        <v>8</v>
      </c>
      <c r="E7469">
        <v>6</v>
      </c>
    </row>
    <row r="7470" spans="1:5" x14ac:dyDescent="0.25">
      <c r="A7470">
        <v>7469</v>
      </c>
      <c r="B7470">
        <v>6096474</v>
      </c>
      <c r="C7470" s="1" t="str">
        <f>HYPERLINK("http://stackoverflow.com/users/6096474", "yang liu")</f>
        <v>yang liu</v>
      </c>
      <c r="D7470" t="s">
        <v>52</v>
      </c>
      <c r="E7470">
        <v>6</v>
      </c>
    </row>
    <row r="7471" spans="1:5" x14ac:dyDescent="0.25">
      <c r="A7471">
        <v>7470</v>
      </c>
      <c r="B7471">
        <v>6201955</v>
      </c>
      <c r="C7471" s="1" t="str">
        <f>HYPERLINK("http://stackoverflow.com/users/6201955", "MaoQ")</f>
        <v>MaoQ</v>
      </c>
      <c r="D7471" t="s">
        <v>16</v>
      </c>
      <c r="E7471">
        <v>6</v>
      </c>
    </row>
    <row r="7472" spans="1:5" x14ac:dyDescent="0.25">
      <c r="A7472">
        <v>7471</v>
      </c>
      <c r="B7472">
        <v>8014081</v>
      </c>
      <c r="C7472" s="1" t="str">
        <f>HYPERLINK("http://stackoverflow.com/users/8014081", "Su Ruifu")</f>
        <v>Su Ruifu</v>
      </c>
      <c r="D7472" t="s">
        <v>55</v>
      </c>
      <c r="E7472">
        <v>6</v>
      </c>
    </row>
    <row r="7473" spans="1:5" x14ac:dyDescent="0.25">
      <c r="A7473">
        <v>7472</v>
      </c>
      <c r="B7473">
        <v>6227877</v>
      </c>
      <c r="C7473" s="1" t="str">
        <f>HYPERLINK("http://stackoverflow.com/users/6227877", "Vander")</f>
        <v>Vander</v>
      </c>
      <c r="D7473" t="s">
        <v>4</v>
      </c>
      <c r="E7473">
        <v>6</v>
      </c>
    </row>
    <row r="7474" spans="1:5" x14ac:dyDescent="0.25">
      <c r="A7474">
        <v>7473</v>
      </c>
      <c r="B7474">
        <v>7922835</v>
      </c>
      <c r="C7474" s="1" t="str">
        <f>HYPERLINK("http://stackoverflow.com/users/7922835", "Alex Chen")</f>
        <v>Alex Chen</v>
      </c>
      <c r="D7474" t="s">
        <v>4</v>
      </c>
      <c r="E7474">
        <v>6</v>
      </c>
    </row>
    <row r="7475" spans="1:5" x14ac:dyDescent="0.25">
      <c r="A7475">
        <v>7474</v>
      </c>
      <c r="B7475">
        <v>6176162</v>
      </c>
      <c r="C7475" s="1" t="str">
        <f>HYPERLINK("http://stackoverflow.com/users/6176162", "Weifeng Jiang")</f>
        <v>Weifeng Jiang</v>
      </c>
      <c r="D7475" t="s">
        <v>7</v>
      </c>
      <c r="E7475">
        <v>6</v>
      </c>
    </row>
    <row r="7476" spans="1:5" x14ac:dyDescent="0.25">
      <c r="A7476">
        <v>7475</v>
      </c>
      <c r="B7476">
        <v>7949652</v>
      </c>
      <c r="C7476" s="1" t="str">
        <f>HYPERLINK("http://stackoverflow.com/users/7949652", "willwell")</f>
        <v>willwell</v>
      </c>
      <c r="D7476" t="s">
        <v>4</v>
      </c>
      <c r="E7476">
        <v>6</v>
      </c>
    </row>
    <row r="7477" spans="1:5" x14ac:dyDescent="0.25">
      <c r="A7477">
        <v>7476</v>
      </c>
      <c r="B7477">
        <v>9786687</v>
      </c>
      <c r="C7477" s="1" t="str">
        <f>HYPERLINK("http://stackoverflow.com/users/9786687", "张勇超")</f>
        <v>张勇超</v>
      </c>
      <c r="D7477" t="s">
        <v>5</v>
      </c>
      <c r="E7477">
        <v>6</v>
      </c>
    </row>
    <row r="7478" spans="1:5" x14ac:dyDescent="0.25">
      <c r="A7478">
        <v>7477</v>
      </c>
      <c r="B7478">
        <v>5284098</v>
      </c>
      <c r="C7478" s="1" t="str">
        <f>HYPERLINK("http://stackoverflow.com/users/5284098", "Jingyong Hou")</f>
        <v>Jingyong Hou</v>
      </c>
      <c r="D7478" t="s">
        <v>54</v>
      </c>
      <c r="E7478">
        <v>6</v>
      </c>
    </row>
    <row r="7479" spans="1:5" x14ac:dyDescent="0.25">
      <c r="A7479">
        <v>7478</v>
      </c>
      <c r="B7479">
        <v>3400768</v>
      </c>
      <c r="C7479" s="1" t="str">
        <f>HYPERLINK("http://stackoverflow.com/users/3400768", "LeeYou")</f>
        <v>LeeYou</v>
      </c>
      <c r="D7479" t="s">
        <v>5</v>
      </c>
      <c r="E7479">
        <v>6</v>
      </c>
    </row>
    <row r="7480" spans="1:5" x14ac:dyDescent="0.25">
      <c r="A7480">
        <v>7479</v>
      </c>
      <c r="B7480">
        <v>6947889</v>
      </c>
      <c r="C7480" s="1" t="str">
        <f>HYPERLINK("http://stackoverflow.com/users/6947889", "riceFun")</f>
        <v>riceFun</v>
      </c>
      <c r="D7480" t="s">
        <v>16</v>
      </c>
      <c r="E7480">
        <v>6</v>
      </c>
    </row>
    <row r="7481" spans="1:5" x14ac:dyDescent="0.25">
      <c r="A7481">
        <v>7480</v>
      </c>
      <c r="B7481">
        <v>10627358</v>
      </c>
      <c r="C7481" s="1" t="str">
        <f>HYPERLINK("http://stackoverflow.com/users/10627358", "JinFeng Liu")</f>
        <v>JinFeng Liu</v>
      </c>
      <c r="D7481" t="s">
        <v>7</v>
      </c>
      <c r="E7481">
        <v>6</v>
      </c>
    </row>
    <row r="7482" spans="1:5" x14ac:dyDescent="0.25">
      <c r="A7482">
        <v>7481</v>
      </c>
      <c r="B7482">
        <v>8847561</v>
      </c>
      <c r="C7482" s="1" t="str">
        <f>HYPERLINK("http://stackoverflow.com/users/8847561", "Jake Tompkins")</f>
        <v>Jake Tompkins</v>
      </c>
      <c r="D7482" t="s">
        <v>28</v>
      </c>
      <c r="E7482">
        <v>6</v>
      </c>
    </row>
    <row r="7483" spans="1:5" x14ac:dyDescent="0.25">
      <c r="A7483">
        <v>7482</v>
      </c>
      <c r="B7483">
        <v>10667277</v>
      </c>
      <c r="C7483" s="1" t="str">
        <f>HYPERLINK("http://stackoverflow.com/users/10667277", "Genuine Dev")</f>
        <v>Genuine Dev</v>
      </c>
      <c r="D7483" t="s">
        <v>403</v>
      </c>
      <c r="E7483">
        <v>6</v>
      </c>
    </row>
    <row r="7484" spans="1:5" x14ac:dyDescent="0.25">
      <c r="A7484">
        <v>7483</v>
      </c>
      <c r="B7484">
        <v>7031992</v>
      </c>
      <c r="C7484" s="1" t="str">
        <f>HYPERLINK("http://stackoverflow.com/users/7031992", "Ellysherh Kingdom")</f>
        <v>Ellysherh Kingdom</v>
      </c>
      <c r="D7484" t="s">
        <v>16</v>
      </c>
      <c r="E7484">
        <v>6</v>
      </c>
    </row>
    <row r="7485" spans="1:5" x14ac:dyDescent="0.25">
      <c r="A7485">
        <v>7484</v>
      </c>
      <c r="B7485">
        <v>1615692</v>
      </c>
      <c r="C7485" s="1" t="str">
        <f>HYPERLINK("http://stackoverflow.com/users/1615692", "Liwen")</f>
        <v>Liwen</v>
      </c>
      <c r="D7485" t="s">
        <v>17</v>
      </c>
      <c r="E7485">
        <v>6</v>
      </c>
    </row>
    <row r="7486" spans="1:5" x14ac:dyDescent="0.25">
      <c r="A7486">
        <v>7485</v>
      </c>
      <c r="B7486">
        <v>8816836</v>
      </c>
      <c r="C7486" s="1" t="str">
        <f>HYPERLINK("http://stackoverflow.com/users/8816836", "Zikri Megat")</f>
        <v>Zikri Megat</v>
      </c>
      <c r="D7486" t="s">
        <v>4</v>
      </c>
      <c r="E7486">
        <v>6</v>
      </c>
    </row>
    <row r="7487" spans="1:5" x14ac:dyDescent="0.25">
      <c r="A7487">
        <v>7486</v>
      </c>
      <c r="B7487">
        <v>3365046</v>
      </c>
      <c r="C7487" s="1" t="str">
        <f>HYPERLINK("http://stackoverflow.com/users/3365046", "minglotus")</f>
        <v>minglotus</v>
      </c>
      <c r="D7487" t="s">
        <v>5</v>
      </c>
      <c r="E7487">
        <v>6</v>
      </c>
    </row>
    <row r="7488" spans="1:5" x14ac:dyDescent="0.25">
      <c r="A7488">
        <v>7487</v>
      </c>
      <c r="B7488">
        <v>5176839</v>
      </c>
      <c r="C7488" s="1" t="str">
        <f>HYPERLINK("http://stackoverflow.com/users/5176839", "Kevin Su")</f>
        <v>Kevin Su</v>
      </c>
      <c r="D7488" t="s">
        <v>4</v>
      </c>
      <c r="E7488">
        <v>6</v>
      </c>
    </row>
    <row r="7489" spans="1:5" x14ac:dyDescent="0.25">
      <c r="A7489">
        <v>7488</v>
      </c>
      <c r="B7489">
        <v>3397461</v>
      </c>
      <c r="C7489" s="1" t="str">
        <f>HYPERLINK("http://stackoverflow.com/users/3397461", "ccllvm")</f>
        <v>ccllvm</v>
      </c>
      <c r="D7489" t="s">
        <v>38</v>
      </c>
      <c r="E7489">
        <v>6</v>
      </c>
    </row>
    <row r="7490" spans="1:5" x14ac:dyDescent="0.25">
      <c r="A7490">
        <v>7489</v>
      </c>
      <c r="B7490">
        <v>10585173</v>
      </c>
      <c r="C7490" s="1" t="str">
        <f>HYPERLINK("http://stackoverflow.com/users/10585173", "user10585173")</f>
        <v>user10585173</v>
      </c>
      <c r="D7490" t="s">
        <v>5</v>
      </c>
      <c r="E7490">
        <v>6</v>
      </c>
    </row>
    <row r="7491" spans="1:5" x14ac:dyDescent="0.25">
      <c r="A7491">
        <v>7490</v>
      </c>
      <c r="B7491">
        <v>8710156</v>
      </c>
      <c r="C7491" s="1" t="str">
        <f>HYPERLINK("http://stackoverflow.com/users/8710156", "sean")</f>
        <v>sean</v>
      </c>
      <c r="D7491" t="s">
        <v>43</v>
      </c>
      <c r="E7491">
        <v>6</v>
      </c>
    </row>
    <row r="7492" spans="1:5" x14ac:dyDescent="0.25">
      <c r="A7492">
        <v>7491</v>
      </c>
      <c r="B7492">
        <v>5168876</v>
      </c>
      <c r="C7492" s="1" t="str">
        <f>HYPERLINK("http://stackoverflow.com/users/5168876", "Tom")</f>
        <v>Tom</v>
      </c>
      <c r="D7492" t="s">
        <v>4</v>
      </c>
      <c r="E7492">
        <v>6</v>
      </c>
    </row>
    <row r="7493" spans="1:5" x14ac:dyDescent="0.25">
      <c r="A7493">
        <v>7492</v>
      </c>
      <c r="B7493">
        <v>10540672</v>
      </c>
      <c r="C7493" s="1" t="str">
        <f>HYPERLINK("http://stackoverflow.com/users/10540672", "asepsiswu")</f>
        <v>asepsiswu</v>
      </c>
      <c r="D7493" t="s">
        <v>16</v>
      </c>
      <c r="E7493">
        <v>6</v>
      </c>
    </row>
    <row r="7494" spans="1:5" x14ac:dyDescent="0.25">
      <c r="A7494">
        <v>7493</v>
      </c>
      <c r="B7494">
        <v>4948449</v>
      </c>
      <c r="C7494" s="1" t="str">
        <f>HYPERLINK("http://stackoverflow.com/users/4948449", "Lixiao")</f>
        <v>Lixiao</v>
      </c>
      <c r="D7494" t="s">
        <v>37</v>
      </c>
      <c r="E7494">
        <v>6</v>
      </c>
    </row>
    <row r="7495" spans="1:5" x14ac:dyDescent="0.25">
      <c r="A7495">
        <v>7494</v>
      </c>
      <c r="B7495">
        <v>8497995</v>
      </c>
      <c r="C7495" s="1" t="str">
        <f>HYPERLINK("http://stackoverflow.com/users/8497995", "Awais Ahmed ")</f>
        <v xml:space="preserve">Awais Ahmed </v>
      </c>
      <c r="D7495" t="s">
        <v>28</v>
      </c>
      <c r="E7495">
        <v>6</v>
      </c>
    </row>
    <row r="7496" spans="1:5" x14ac:dyDescent="0.25">
      <c r="A7496">
        <v>7495</v>
      </c>
      <c r="B7496">
        <v>8525175</v>
      </c>
      <c r="C7496" s="1" t="str">
        <f>HYPERLINK("http://stackoverflow.com/users/8525175", "xuhui")</f>
        <v>xuhui</v>
      </c>
      <c r="D7496" t="s">
        <v>266</v>
      </c>
      <c r="E7496">
        <v>6</v>
      </c>
    </row>
    <row r="7497" spans="1:5" x14ac:dyDescent="0.25">
      <c r="A7497">
        <v>7496</v>
      </c>
      <c r="B7497">
        <v>3169799</v>
      </c>
      <c r="C7497" s="1" t="str">
        <f>HYPERLINK("http://stackoverflow.com/users/3169799", "Anynous_X")</f>
        <v>Anynous_X</v>
      </c>
      <c r="D7497" t="s">
        <v>4</v>
      </c>
      <c r="E7497">
        <v>6</v>
      </c>
    </row>
    <row r="7498" spans="1:5" x14ac:dyDescent="0.25">
      <c r="A7498">
        <v>7497</v>
      </c>
      <c r="B7498">
        <v>3197685</v>
      </c>
      <c r="C7498" s="1" t="str">
        <f>HYPERLINK("http://stackoverflow.com/users/3197685", "Yun Lin")</f>
        <v>Yun Lin</v>
      </c>
      <c r="D7498" t="s">
        <v>4</v>
      </c>
      <c r="E7498">
        <v>6</v>
      </c>
    </row>
    <row r="7499" spans="1:5" x14ac:dyDescent="0.25">
      <c r="A7499">
        <v>7498</v>
      </c>
      <c r="B7499">
        <v>6728975</v>
      </c>
      <c r="C7499" s="1" t="str">
        <f>HYPERLINK("http://stackoverflow.com/users/6728975", "threadshare")</f>
        <v>threadshare</v>
      </c>
      <c r="D7499" t="s">
        <v>5</v>
      </c>
      <c r="E7499">
        <v>6</v>
      </c>
    </row>
    <row r="7500" spans="1:5" x14ac:dyDescent="0.25">
      <c r="A7500">
        <v>7499</v>
      </c>
      <c r="B7500">
        <v>3231071</v>
      </c>
      <c r="C7500" s="1" t="str">
        <f>HYPERLINK("http://stackoverflow.com/users/3231071", "yuhui")</f>
        <v>yuhui</v>
      </c>
      <c r="D7500" t="s">
        <v>4</v>
      </c>
      <c r="E7500">
        <v>6</v>
      </c>
    </row>
    <row r="7501" spans="1:5" x14ac:dyDescent="0.25">
      <c r="A7501">
        <v>7500</v>
      </c>
      <c r="B7501">
        <v>10253297</v>
      </c>
      <c r="C7501" s="1" t="str">
        <f>HYPERLINK("http://stackoverflow.com/users/10253297", "hao")</f>
        <v>hao</v>
      </c>
      <c r="D7501" t="s">
        <v>5</v>
      </c>
      <c r="E7501">
        <v>6</v>
      </c>
    </row>
    <row r="7502" spans="1:5" x14ac:dyDescent="0.25">
      <c r="A7502">
        <v>7501</v>
      </c>
      <c r="B7502">
        <v>8426522</v>
      </c>
      <c r="C7502" s="1" t="str">
        <f>HYPERLINK("http://stackoverflow.com/users/8426522", "Harvey.X")</f>
        <v>Harvey.X</v>
      </c>
      <c r="D7502" t="s">
        <v>7</v>
      </c>
      <c r="E7502">
        <v>6</v>
      </c>
    </row>
    <row r="7503" spans="1:5" x14ac:dyDescent="0.25">
      <c r="A7503">
        <v>7502</v>
      </c>
      <c r="B7503">
        <v>6616585</v>
      </c>
      <c r="C7503" s="1" t="str">
        <f>HYPERLINK("http://stackoverflow.com/users/6616585", "Wang")</f>
        <v>Wang</v>
      </c>
      <c r="D7503" t="s">
        <v>10</v>
      </c>
      <c r="E7503">
        <v>6</v>
      </c>
    </row>
    <row r="7504" spans="1:5" x14ac:dyDescent="0.25">
      <c r="A7504">
        <v>7503</v>
      </c>
      <c r="B7504">
        <v>10217311</v>
      </c>
      <c r="C7504" s="1" t="str">
        <f>HYPERLINK("http://stackoverflow.com/users/10217311", "tankbusta")</f>
        <v>tankbusta</v>
      </c>
      <c r="D7504" t="s">
        <v>5</v>
      </c>
      <c r="E7504">
        <v>6</v>
      </c>
    </row>
    <row r="7505" spans="1:5" x14ac:dyDescent="0.25">
      <c r="A7505">
        <v>7504</v>
      </c>
      <c r="B7505">
        <v>8343455</v>
      </c>
      <c r="C7505" s="1" t="str">
        <f>HYPERLINK("http://stackoverflow.com/users/8343455", "KailinLi")</f>
        <v>KailinLi</v>
      </c>
      <c r="D7505" t="s">
        <v>52</v>
      </c>
      <c r="E7505">
        <v>6</v>
      </c>
    </row>
    <row r="7506" spans="1:5" x14ac:dyDescent="0.25">
      <c r="A7506">
        <v>7505</v>
      </c>
      <c r="B7506">
        <v>4824361</v>
      </c>
      <c r="C7506" s="1" t="str">
        <f>HYPERLINK("http://stackoverflow.com/users/4824361", "Yang Zhou")</f>
        <v>Yang Zhou</v>
      </c>
      <c r="D7506" t="s">
        <v>5</v>
      </c>
      <c r="E7506">
        <v>5</v>
      </c>
    </row>
    <row r="7507" spans="1:5" x14ac:dyDescent="0.25">
      <c r="A7507">
        <v>7506</v>
      </c>
      <c r="B7507">
        <v>8442530</v>
      </c>
      <c r="C7507" s="1" t="str">
        <f>HYPERLINK("http://stackoverflow.com/users/8442530", "Perry Lu")</f>
        <v>Perry Lu</v>
      </c>
      <c r="D7507" t="s">
        <v>108</v>
      </c>
      <c r="E7507">
        <v>5</v>
      </c>
    </row>
    <row r="7508" spans="1:5" x14ac:dyDescent="0.25">
      <c r="A7508">
        <v>7507</v>
      </c>
      <c r="B7508">
        <v>5028536</v>
      </c>
      <c r="C7508" s="1" t="str">
        <f>HYPERLINK("http://stackoverflow.com/users/5028536", "lengmolehongyan")</f>
        <v>lengmolehongyan</v>
      </c>
      <c r="D7508" t="s">
        <v>5</v>
      </c>
      <c r="E7508">
        <v>5</v>
      </c>
    </row>
    <row r="7509" spans="1:5" x14ac:dyDescent="0.25">
      <c r="A7509">
        <v>7508</v>
      </c>
      <c r="B7509">
        <v>8542107</v>
      </c>
      <c r="C7509" s="1" t="str">
        <f>HYPERLINK("http://stackoverflow.com/users/8542107", "Joey Cheerisea")</f>
        <v>Joey Cheerisea</v>
      </c>
      <c r="D7509" t="s">
        <v>52</v>
      </c>
      <c r="E7509">
        <v>5</v>
      </c>
    </row>
    <row r="7510" spans="1:5" x14ac:dyDescent="0.25">
      <c r="A7510">
        <v>7509</v>
      </c>
      <c r="B7510">
        <v>6672397</v>
      </c>
      <c r="C7510" s="1" t="str">
        <f>HYPERLINK("http://stackoverflow.com/users/6672397", "Luciano")</f>
        <v>Luciano</v>
      </c>
      <c r="D7510" t="s">
        <v>184</v>
      </c>
      <c r="E7510">
        <v>5</v>
      </c>
    </row>
    <row r="7511" spans="1:5" x14ac:dyDescent="0.25">
      <c r="A7511">
        <v>7510</v>
      </c>
      <c r="B7511">
        <v>10749350</v>
      </c>
      <c r="C7511" s="1" t="str">
        <f>HYPERLINK("http://stackoverflow.com/users/10749350", "P Wang")</f>
        <v>P Wang</v>
      </c>
      <c r="D7511" t="s">
        <v>5</v>
      </c>
      <c r="E7511">
        <v>5</v>
      </c>
    </row>
    <row r="7512" spans="1:5" x14ac:dyDescent="0.25">
      <c r="A7512">
        <v>7511</v>
      </c>
      <c r="B7512">
        <v>6196319</v>
      </c>
      <c r="C7512" s="1" t="str">
        <f>HYPERLINK("http://stackoverflow.com/users/6196319", "zhang_career")</f>
        <v>zhang_career</v>
      </c>
      <c r="D7512" t="s">
        <v>5</v>
      </c>
      <c r="E7512">
        <v>5</v>
      </c>
    </row>
    <row r="7513" spans="1:5" x14ac:dyDescent="0.25">
      <c r="A7513">
        <v>7512</v>
      </c>
      <c r="B7513">
        <v>435806</v>
      </c>
      <c r="C7513" s="1" t="str">
        <f>HYPERLINK("http://stackoverflow.com/users/435806", "Chris Chou")</f>
        <v>Chris Chou</v>
      </c>
      <c r="D7513" t="s">
        <v>5</v>
      </c>
      <c r="E7513">
        <v>5</v>
      </c>
    </row>
    <row r="7514" spans="1:5" x14ac:dyDescent="0.25">
      <c r="A7514">
        <v>7513</v>
      </c>
      <c r="B7514">
        <v>7694195</v>
      </c>
      <c r="C7514" s="1" t="str">
        <f>HYPERLINK("http://stackoverflow.com/users/7694195", "IKW")</f>
        <v>IKW</v>
      </c>
      <c r="D7514" t="s">
        <v>283</v>
      </c>
      <c r="E7514">
        <v>5</v>
      </c>
    </row>
    <row r="7515" spans="1:5" x14ac:dyDescent="0.25">
      <c r="A7515">
        <v>7514</v>
      </c>
      <c r="B7515">
        <v>1441154</v>
      </c>
      <c r="C7515" s="1" t="str">
        <f>HYPERLINK("http://stackoverflow.com/users/1441154", "Cybershoe")</f>
        <v>Cybershoe</v>
      </c>
      <c r="D7515" t="s">
        <v>12</v>
      </c>
      <c r="E7515">
        <v>5</v>
      </c>
    </row>
    <row r="7516" spans="1:5" x14ac:dyDescent="0.25">
      <c r="A7516">
        <v>7515</v>
      </c>
      <c r="B7516">
        <v>5196756</v>
      </c>
      <c r="C7516" s="1" t="str">
        <f>HYPERLINK("http://stackoverflow.com/users/5196756", "Galen")</f>
        <v>Galen</v>
      </c>
      <c r="D7516" t="s">
        <v>29</v>
      </c>
      <c r="E7516">
        <v>5</v>
      </c>
    </row>
    <row r="7517" spans="1:5" x14ac:dyDescent="0.25">
      <c r="A7517">
        <v>7516</v>
      </c>
      <c r="B7517">
        <v>7108149</v>
      </c>
      <c r="C7517" s="1" t="str">
        <f>HYPERLINK("http://stackoverflow.com/users/7108149", "Nicholas Liao")</f>
        <v>Nicholas Liao</v>
      </c>
      <c r="D7517" t="s">
        <v>47</v>
      </c>
      <c r="E7517">
        <v>5</v>
      </c>
    </row>
    <row r="7518" spans="1:5" x14ac:dyDescent="0.25">
      <c r="A7518">
        <v>7517</v>
      </c>
      <c r="B7518">
        <v>1201319</v>
      </c>
      <c r="C7518" s="1" t="str">
        <f>HYPERLINK("http://stackoverflow.com/users/1201319", "user1201319")</f>
        <v>user1201319</v>
      </c>
      <c r="D7518" t="s">
        <v>54</v>
      </c>
      <c r="E7518">
        <v>5</v>
      </c>
    </row>
    <row r="7519" spans="1:5" x14ac:dyDescent="0.25">
      <c r="A7519">
        <v>7518</v>
      </c>
      <c r="B7519">
        <v>10078913</v>
      </c>
      <c r="C7519" s="1" t="str">
        <f>HYPERLINK("http://stackoverflow.com/users/10078913", "jinfeng hu")</f>
        <v>jinfeng hu</v>
      </c>
      <c r="D7519" t="s">
        <v>183</v>
      </c>
      <c r="E7519">
        <v>5</v>
      </c>
    </row>
    <row r="7520" spans="1:5" x14ac:dyDescent="0.25">
      <c r="A7520">
        <v>7519</v>
      </c>
      <c r="B7520">
        <v>10131102</v>
      </c>
      <c r="C7520" s="1" t="str">
        <f>HYPERLINK("http://stackoverflow.com/users/10131102", "Haotian Lin")</f>
        <v>Haotian Lin</v>
      </c>
      <c r="D7520" t="s">
        <v>118</v>
      </c>
      <c r="E7520">
        <v>5</v>
      </c>
    </row>
    <row r="7521" spans="1:5" x14ac:dyDescent="0.25">
      <c r="A7521">
        <v>7520</v>
      </c>
      <c r="B7521">
        <v>2366058</v>
      </c>
      <c r="C7521" s="1" t="str">
        <f>HYPERLINK("http://stackoverflow.com/users/2366058", "LowID")</f>
        <v>LowID</v>
      </c>
      <c r="D7521" t="s">
        <v>5</v>
      </c>
      <c r="E7521">
        <v>5</v>
      </c>
    </row>
    <row r="7522" spans="1:5" x14ac:dyDescent="0.25">
      <c r="A7522">
        <v>7521</v>
      </c>
      <c r="B7522">
        <v>5983632</v>
      </c>
      <c r="C7522" s="1" t="str">
        <f>HYPERLINK("http://stackoverflow.com/users/5983632", "SupperLee")</f>
        <v>SupperLee</v>
      </c>
      <c r="D7522" t="s">
        <v>5</v>
      </c>
      <c r="E7522">
        <v>5</v>
      </c>
    </row>
    <row r="7523" spans="1:5" x14ac:dyDescent="0.25">
      <c r="A7523">
        <v>7522</v>
      </c>
      <c r="B7523">
        <v>1285270</v>
      </c>
      <c r="C7523" s="1" t="str">
        <f>HYPERLINK("http://stackoverflow.com/users/1285270", "Juwee")</f>
        <v>Juwee</v>
      </c>
      <c r="D7523" t="s">
        <v>5</v>
      </c>
      <c r="E7523">
        <v>5</v>
      </c>
    </row>
    <row r="7524" spans="1:5" x14ac:dyDescent="0.25">
      <c r="A7524">
        <v>7523</v>
      </c>
      <c r="B7524">
        <v>3089470</v>
      </c>
      <c r="C7524" s="1" t="str">
        <f>HYPERLINK("http://stackoverflow.com/users/3089470", "Sam.Wang")</f>
        <v>Sam.Wang</v>
      </c>
      <c r="D7524" t="s">
        <v>135</v>
      </c>
      <c r="E7524">
        <v>5</v>
      </c>
    </row>
    <row r="7525" spans="1:5" x14ac:dyDescent="0.25">
      <c r="A7525">
        <v>7524</v>
      </c>
      <c r="B7525">
        <v>2720895</v>
      </c>
      <c r="C7525" s="1" t="str">
        <f>HYPERLINK("http://stackoverflow.com/users/2720895", "qiaoba")</f>
        <v>qiaoba</v>
      </c>
      <c r="D7525" t="s">
        <v>5</v>
      </c>
      <c r="E7525">
        <v>5</v>
      </c>
    </row>
    <row r="7526" spans="1:5" x14ac:dyDescent="0.25">
      <c r="A7526">
        <v>7525</v>
      </c>
      <c r="B7526">
        <v>1923726</v>
      </c>
      <c r="C7526" s="1" t="str">
        <f>HYPERLINK("http://stackoverflow.com/users/1923726", "Xu Lei")</f>
        <v>Xu Lei</v>
      </c>
      <c r="D7526" t="s">
        <v>4</v>
      </c>
      <c r="E7526">
        <v>5</v>
      </c>
    </row>
    <row r="7527" spans="1:5" x14ac:dyDescent="0.25">
      <c r="A7527">
        <v>7526</v>
      </c>
      <c r="B7527">
        <v>2147044</v>
      </c>
      <c r="C7527" s="1" t="str">
        <f>HYPERLINK("http://stackoverflow.com/users/2147044", "wudijimao")</f>
        <v>wudijimao</v>
      </c>
      <c r="D7527" t="s">
        <v>5</v>
      </c>
      <c r="E7527">
        <v>5</v>
      </c>
    </row>
    <row r="7528" spans="1:5" x14ac:dyDescent="0.25">
      <c r="A7528">
        <v>7527</v>
      </c>
      <c r="B7528">
        <v>6737777</v>
      </c>
      <c r="C7528" s="1" t="str">
        <f>HYPERLINK("http://stackoverflow.com/users/6737777", "Cherry.L")</f>
        <v>Cherry.L</v>
      </c>
      <c r="D7528" t="s">
        <v>25</v>
      </c>
      <c r="E7528">
        <v>5</v>
      </c>
    </row>
    <row r="7529" spans="1:5" x14ac:dyDescent="0.25">
      <c r="A7529">
        <v>7528</v>
      </c>
      <c r="B7529">
        <v>6762591</v>
      </c>
      <c r="C7529" s="1" t="str">
        <f>HYPERLINK("http://stackoverflow.com/users/6762591", "T.O.Puel")</f>
        <v>T.O.Puel</v>
      </c>
      <c r="D7529" t="s">
        <v>5</v>
      </c>
      <c r="E7529">
        <v>5</v>
      </c>
    </row>
    <row r="7530" spans="1:5" x14ac:dyDescent="0.25">
      <c r="A7530">
        <v>7529</v>
      </c>
      <c r="B7530">
        <v>8143426</v>
      </c>
      <c r="C7530" s="1" t="str">
        <f>HYPERLINK("http://stackoverflow.com/users/8143426", "Bell")</f>
        <v>Bell</v>
      </c>
      <c r="D7530" t="s">
        <v>5</v>
      </c>
      <c r="E7530">
        <v>5</v>
      </c>
    </row>
    <row r="7531" spans="1:5" x14ac:dyDescent="0.25">
      <c r="A7531">
        <v>7530</v>
      </c>
      <c r="B7531">
        <v>7787579</v>
      </c>
      <c r="C7531" s="1" t="str">
        <f>HYPERLINK("http://stackoverflow.com/users/7787579", "Li Shihao")</f>
        <v>Li Shihao</v>
      </c>
      <c r="D7531" t="s">
        <v>28</v>
      </c>
      <c r="E7531">
        <v>5</v>
      </c>
    </row>
    <row r="7532" spans="1:5" x14ac:dyDescent="0.25">
      <c r="A7532">
        <v>7531</v>
      </c>
      <c r="B7532">
        <v>5977721</v>
      </c>
      <c r="C7532" s="1" t="str">
        <f>HYPERLINK("http://stackoverflow.com/users/5977721", "ceny")</f>
        <v>ceny</v>
      </c>
      <c r="D7532" t="s">
        <v>4</v>
      </c>
      <c r="E7532">
        <v>5</v>
      </c>
    </row>
    <row r="7533" spans="1:5" x14ac:dyDescent="0.25">
      <c r="A7533">
        <v>7532</v>
      </c>
      <c r="B7533">
        <v>4566116</v>
      </c>
      <c r="C7533" s="1" t="str">
        <f>HYPERLINK("http://stackoverflow.com/users/4566116", "Yu Lou")</f>
        <v>Yu Lou</v>
      </c>
      <c r="D7533" t="s">
        <v>5</v>
      </c>
      <c r="E7533">
        <v>5</v>
      </c>
    </row>
    <row r="7534" spans="1:5" x14ac:dyDescent="0.25">
      <c r="A7534">
        <v>7533</v>
      </c>
      <c r="B7534">
        <v>8575287</v>
      </c>
      <c r="C7534" s="1" t="str">
        <f>HYPERLINK("http://stackoverflow.com/users/8575287", "Spike")</f>
        <v>Spike</v>
      </c>
      <c r="D7534" t="s">
        <v>5</v>
      </c>
      <c r="E7534">
        <v>5</v>
      </c>
    </row>
    <row r="7535" spans="1:5" x14ac:dyDescent="0.25">
      <c r="A7535">
        <v>7534</v>
      </c>
      <c r="B7535">
        <v>4882080</v>
      </c>
      <c r="C7535" s="1" t="str">
        <f>HYPERLINK("http://stackoverflow.com/users/4882080", "Denny Dai")</f>
        <v>Denny Dai</v>
      </c>
      <c r="D7535" t="s">
        <v>5</v>
      </c>
      <c r="E7535">
        <v>5</v>
      </c>
    </row>
    <row r="7536" spans="1:5" x14ac:dyDescent="0.25">
      <c r="A7536">
        <v>7535</v>
      </c>
      <c r="B7536">
        <v>8251126</v>
      </c>
      <c r="C7536" s="1" t="str">
        <f>HYPERLINK("http://stackoverflow.com/users/8251126", "J. Mao")</f>
        <v>J. Mao</v>
      </c>
      <c r="D7536" t="s">
        <v>5</v>
      </c>
      <c r="E7536">
        <v>5</v>
      </c>
    </row>
    <row r="7537" spans="1:5" x14ac:dyDescent="0.25">
      <c r="A7537">
        <v>7536</v>
      </c>
      <c r="B7537">
        <v>610714</v>
      </c>
      <c r="C7537" s="1" t="str">
        <f>HYPERLINK("http://stackoverflow.com/users/610714", "Ji Guorui")</f>
        <v>Ji Guorui</v>
      </c>
      <c r="D7537" t="s">
        <v>5</v>
      </c>
      <c r="E7537">
        <v>5</v>
      </c>
    </row>
    <row r="7538" spans="1:5" x14ac:dyDescent="0.25">
      <c r="A7538">
        <v>7537</v>
      </c>
      <c r="B7538">
        <v>10493388</v>
      </c>
      <c r="C7538" s="1" t="str">
        <f>HYPERLINK("http://stackoverflow.com/users/10493388", "Beni billhardt")</f>
        <v>Beni billhardt</v>
      </c>
      <c r="D7538" t="s">
        <v>4</v>
      </c>
      <c r="E7538">
        <v>5</v>
      </c>
    </row>
    <row r="7539" spans="1:5" x14ac:dyDescent="0.25">
      <c r="A7539">
        <v>7538</v>
      </c>
      <c r="B7539">
        <v>9135962</v>
      </c>
      <c r="C7539" s="1" t="str">
        <f>HYPERLINK("http://stackoverflow.com/users/9135962", "Zhao Canxiang")</f>
        <v>Zhao Canxiang</v>
      </c>
      <c r="D7539" t="s">
        <v>5</v>
      </c>
      <c r="E7539">
        <v>5</v>
      </c>
    </row>
    <row r="7540" spans="1:5" x14ac:dyDescent="0.25">
      <c r="A7540">
        <v>7539</v>
      </c>
      <c r="B7540">
        <v>5474724</v>
      </c>
      <c r="C7540" s="1" t="str">
        <f>HYPERLINK("http://stackoverflow.com/users/5474724", "Young")</f>
        <v>Young</v>
      </c>
      <c r="D7540" t="s">
        <v>4</v>
      </c>
      <c r="E7540">
        <v>4</v>
      </c>
    </row>
    <row r="7541" spans="1:5" x14ac:dyDescent="0.25">
      <c r="A7541">
        <v>7540</v>
      </c>
      <c r="B7541">
        <v>9013494</v>
      </c>
      <c r="C7541" s="1" t="str">
        <f>HYPERLINK("http://stackoverflow.com/users/9013494", "IfChan")</f>
        <v>IfChan</v>
      </c>
      <c r="D7541" t="s">
        <v>52</v>
      </c>
      <c r="E7541">
        <v>4</v>
      </c>
    </row>
    <row r="7542" spans="1:5" x14ac:dyDescent="0.25">
      <c r="A7542">
        <v>7541</v>
      </c>
      <c r="B7542">
        <v>9303757</v>
      </c>
      <c r="C7542" s="1" t="str">
        <f>HYPERLINK("http://stackoverflow.com/users/9303757", "Bobby BU")</f>
        <v>Bobby BU</v>
      </c>
      <c r="D7542" t="s">
        <v>404</v>
      </c>
      <c r="E7542">
        <v>4</v>
      </c>
    </row>
    <row r="7543" spans="1:5" x14ac:dyDescent="0.25">
      <c r="A7543">
        <v>7542</v>
      </c>
      <c r="B7543">
        <v>991235</v>
      </c>
      <c r="C7543" s="1" t="str">
        <f>HYPERLINK("http://stackoverflow.com/users/991235", "fansmey")</f>
        <v>fansmey</v>
      </c>
      <c r="D7543" t="s">
        <v>22</v>
      </c>
      <c r="E7543">
        <v>4</v>
      </c>
    </row>
    <row r="7544" spans="1:5" x14ac:dyDescent="0.25">
      <c r="A7544">
        <v>7543</v>
      </c>
      <c r="B7544">
        <v>1276614</v>
      </c>
      <c r="C7544" s="1" t="str">
        <f>HYPERLINK("http://stackoverflow.com/users/1276614", "bluemoon1413")</f>
        <v>bluemoon1413</v>
      </c>
      <c r="D7544" t="s">
        <v>4</v>
      </c>
      <c r="E7544">
        <v>4</v>
      </c>
    </row>
    <row r="7545" spans="1:5" x14ac:dyDescent="0.25">
      <c r="A7545">
        <v>7544</v>
      </c>
      <c r="B7545">
        <v>7920302</v>
      </c>
      <c r="C7545" s="1" t="str">
        <f>HYPERLINK("http://stackoverflow.com/users/7920302", "dean")</f>
        <v>dean</v>
      </c>
      <c r="D7545" t="s">
        <v>5</v>
      </c>
      <c r="E7545">
        <v>4</v>
      </c>
    </row>
    <row r="7546" spans="1:5" x14ac:dyDescent="0.25">
      <c r="A7546">
        <v>7545</v>
      </c>
      <c r="B7546">
        <v>1087366</v>
      </c>
      <c r="C7546" s="1" t="str">
        <f>HYPERLINK("http://stackoverflow.com/users/1087366", "Welbin")</f>
        <v>Welbin</v>
      </c>
      <c r="D7546" t="s">
        <v>4</v>
      </c>
      <c r="E7546">
        <v>4</v>
      </c>
    </row>
    <row r="7547" spans="1:5" x14ac:dyDescent="0.25">
      <c r="A7547">
        <v>7546</v>
      </c>
      <c r="B7547">
        <v>10240996</v>
      </c>
      <c r="C7547" s="1" t="str">
        <f>HYPERLINK("http://stackoverflow.com/users/10240996", "CBE.")</f>
        <v>CBE.</v>
      </c>
      <c r="D7547" t="s">
        <v>16</v>
      </c>
      <c r="E7547">
        <v>4</v>
      </c>
    </row>
    <row r="7548" spans="1:5" x14ac:dyDescent="0.25">
      <c r="A7548">
        <v>7547</v>
      </c>
      <c r="B7548">
        <v>4890271</v>
      </c>
      <c r="C7548" s="1" t="str">
        <f>HYPERLINK("http://stackoverflow.com/users/4890271", "Leon.Cai")</f>
        <v>Leon.Cai</v>
      </c>
      <c r="D7548" t="s">
        <v>22</v>
      </c>
      <c r="E7548">
        <v>4</v>
      </c>
    </row>
    <row r="7549" spans="1:5" x14ac:dyDescent="0.25">
      <c r="A7549">
        <v>7548</v>
      </c>
      <c r="B7549">
        <v>10309375</v>
      </c>
      <c r="C7549" s="1" t="str">
        <f>HYPERLINK("http://stackoverflow.com/users/10309375", "liqiang rui")</f>
        <v>liqiang rui</v>
      </c>
      <c r="D7549" t="s">
        <v>4</v>
      </c>
      <c r="E7549">
        <v>4</v>
      </c>
    </row>
    <row r="7550" spans="1:5" x14ac:dyDescent="0.25">
      <c r="A7550">
        <v>7549</v>
      </c>
      <c r="B7550">
        <v>1395080</v>
      </c>
      <c r="C7550" s="1" t="str">
        <f>HYPERLINK("http://stackoverflow.com/users/1395080", "Wei Lee")</f>
        <v>Wei Lee</v>
      </c>
      <c r="D7550" t="s">
        <v>325</v>
      </c>
      <c r="E7550">
        <v>4</v>
      </c>
    </row>
    <row r="7551" spans="1:5" x14ac:dyDescent="0.25">
      <c r="A7551">
        <v>7550</v>
      </c>
      <c r="B7551">
        <v>1471432</v>
      </c>
      <c r="C7551" s="1" t="str">
        <f>HYPERLINK("http://stackoverflow.com/users/1471432", "Staven Gong")</f>
        <v>Staven Gong</v>
      </c>
      <c r="D7551" t="s">
        <v>37</v>
      </c>
      <c r="E7551">
        <v>4</v>
      </c>
    </row>
    <row r="7552" spans="1:5" x14ac:dyDescent="0.25">
      <c r="A7552">
        <v>7551</v>
      </c>
      <c r="B7552">
        <v>5200617</v>
      </c>
      <c r="C7552" s="1" t="str">
        <f>HYPERLINK("http://stackoverflow.com/users/5200617", "Kevin")</f>
        <v>Kevin</v>
      </c>
      <c r="D7552" t="s">
        <v>5</v>
      </c>
      <c r="E7552">
        <v>4</v>
      </c>
    </row>
    <row r="7553" spans="1:5" x14ac:dyDescent="0.25">
      <c r="A7553">
        <v>7552</v>
      </c>
      <c r="B7553">
        <v>7327205</v>
      </c>
      <c r="C7553" s="1" t="str">
        <f>HYPERLINK("http://stackoverflow.com/users/7327205", "Duanckham")</f>
        <v>Duanckham</v>
      </c>
      <c r="D7553" t="s">
        <v>5</v>
      </c>
      <c r="E7553">
        <v>4</v>
      </c>
    </row>
    <row r="7554" spans="1:5" x14ac:dyDescent="0.25">
      <c r="A7554">
        <v>7553</v>
      </c>
      <c r="B7554">
        <v>1817786</v>
      </c>
      <c r="C7554" s="1" t="str">
        <f>HYPERLINK("http://stackoverflow.com/users/1817786", "Edward")</f>
        <v>Edward</v>
      </c>
      <c r="D7554" t="s">
        <v>17</v>
      </c>
      <c r="E7554">
        <v>4</v>
      </c>
    </row>
    <row r="7555" spans="1:5" x14ac:dyDescent="0.25">
      <c r="A7555">
        <v>7554</v>
      </c>
      <c r="B7555">
        <v>9042494</v>
      </c>
      <c r="C7555" s="1" t="str">
        <f>HYPERLINK("http://stackoverflow.com/users/9042494", "yuanyuanzijin")</f>
        <v>yuanyuanzijin</v>
      </c>
      <c r="D7555" t="s">
        <v>35</v>
      </c>
      <c r="E7555">
        <v>4</v>
      </c>
    </row>
    <row r="7556" spans="1:5" x14ac:dyDescent="0.25">
      <c r="A7556">
        <v>7555</v>
      </c>
      <c r="B7556">
        <v>6056476</v>
      </c>
      <c r="C7556" s="1" t="str">
        <f>HYPERLINK("http://stackoverflow.com/users/6056476", "hhz")</f>
        <v>hhz</v>
      </c>
      <c r="D7556" t="s">
        <v>4</v>
      </c>
      <c r="E7556">
        <v>4</v>
      </c>
    </row>
    <row r="7557" spans="1:5" x14ac:dyDescent="0.25">
      <c r="A7557">
        <v>7556</v>
      </c>
      <c r="B7557">
        <v>1035928</v>
      </c>
      <c r="C7557" s="1" t="str">
        <f>HYPERLINK("http://stackoverflow.com/users/1035928", "Cyfloel")</f>
        <v>Cyfloel</v>
      </c>
      <c r="D7557" t="s">
        <v>38</v>
      </c>
      <c r="E7557">
        <v>4</v>
      </c>
    </row>
    <row r="7558" spans="1:5" x14ac:dyDescent="0.25">
      <c r="A7558">
        <v>7557</v>
      </c>
      <c r="B7558">
        <v>1484439</v>
      </c>
      <c r="C7558" s="1" t="str">
        <f>HYPERLINK("http://stackoverflow.com/users/1484439", "Sky Dragon")</f>
        <v>Sky Dragon</v>
      </c>
      <c r="D7558" t="s">
        <v>21</v>
      </c>
      <c r="E7558">
        <v>4</v>
      </c>
    </row>
    <row r="7559" spans="1:5" x14ac:dyDescent="0.25">
      <c r="A7559">
        <v>7558</v>
      </c>
      <c r="B7559">
        <v>7295169</v>
      </c>
      <c r="C7559" s="1" t="str">
        <f>HYPERLINK("http://stackoverflow.com/users/7295169", "jie chen")</f>
        <v>jie chen</v>
      </c>
      <c r="D7559" t="s">
        <v>7</v>
      </c>
      <c r="E7559">
        <v>4</v>
      </c>
    </row>
    <row r="7560" spans="1:5" x14ac:dyDescent="0.25">
      <c r="A7560">
        <v>7559</v>
      </c>
      <c r="B7560">
        <v>11276218</v>
      </c>
      <c r="C7560" s="1" t="str">
        <f>HYPERLINK("http://stackoverflow.com/users/11276218", "angie.x")</f>
        <v>angie.x</v>
      </c>
      <c r="D7560" t="s">
        <v>4</v>
      </c>
      <c r="E7560">
        <v>4</v>
      </c>
    </row>
    <row r="7561" spans="1:5" x14ac:dyDescent="0.25">
      <c r="A7561">
        <v>7560</v>
      </c>
      <c r="B7561">
        <v>9133574</v>
      </c>
      <c r="C7561" s="1" t="str">
        <f>HYPERLINK("http://stackoverflow.com/users/9133574", "willofGod")</f>
        <v>willofGod</v>
      </c>
      <c r="D7561" t="s">
        <v>4</v>
      </c>
      <c r="E7561">
        <v>4</v>
      </c>
    </row>
    <row r="7562" spans="1:5" x14ac:dyDescent="0.25">
      <c r="A7562">
        <v>7561</v>
      </c>
      <c r="B7562">
        <v>2066892</v>
      </c>
      <c r="C7562" s="1" t="str">
        <f>HYPERLINK("http://stackoverflow.com/users/2066892", "Bing")</f>
        <v>Bing</v>
      </c>
      <c r="D7562" t="s">
        <v>5</v>
      </c>
      <c r="E7562">
        <v>4</v>
      </c>
    </row>
    <row r="7563" spans="1:5" x14ac:dyDescent="0.25">
      <c r="A7563">
        <v>7562</v>
      </c>
      <c r="B7563">
        <v>6644666</v>
      </c>
      <c r="C7563" s="1" t="str">
        <f>HYPERLINK("http://stackoverflow.com/users/6644666", "aliu1324")</f>
        <v>aliu1324</v>
      </c>
      <c r="D7563" t="s">
        <v>5</v>
      </c>
      <c r="E7563">
        <v>4</v>
      </c>
    </row>
    <row r="7564" spans="1:5" x14ac:dyDescent="0.25">
      <c r="A7564">
        <v>7563</v>
      </c>
      <c r="B7564">
        <v>5163459</v>
      </c>
      <c r="C7564" s="1" t="str">
        <f>HYPERLINK("http://stackoverflow.com/users/5163459", "chunxi")</f>
        <v>chunxi</v>
      </c>
      <c r="D7564" t="s">
        <v>118</v>
      </c>
      <c r="E7564">
        <v>4</v>
      </c>
    </row>
    <row r="7565" spans="1:5" x14ac:dyDescent="0.25">
      <c r="A7565">
        <v>7564</v>
      </c>
      <c r="B7565">
        <v>1451452</v>
      </c>
      <c r="C7565" s="1" t="str">
        <f>HYPERLINK("http://stackoverflow.com/users/1451452", "zenglzh")</f>
        <v>zenglzh</v>
      </c>
      <c r="D7565" t="s">
        <v>5</v>
      </c>
      <c r="E7565">
        <v>4</v>
      </c>
    </row>
    <row r="7566" spans="1:5" x14ac:dyDescent="0.25">
      <c r="A7566">
        <v>7565</v>
      </c>
      <c r="B7566">
        <v>1704301</v>
      </c>
      <c r="C7566" s="1" t="str">
        <f>HYPERLINK("http://stackoverflow.com/users/1704301", "Brucewang7777")</f>
        <v>Brucewang7777</v>
      </c>
      <c r="D7566" t="s">
        <v>17</v>
      </c>
      <c r="E7566">
        <v>4</v>
      </c>
    </row>
    <row r="7567" spans="1:5" x14ac:dyDescent="0.25">
      <c r="A7567">
        <v>7566</v>
      </c>
      <c r="B7567">
        <v>3614952</v>
      </c>
      <c r="C7567" s="1" t="str">
        <f>HYPERLINK("http://stackoverflow.com/users/3614952", "alex4814")</f>
        <v>alex4814</v>
      </c>
      <c r="D7567" t="s">
        <v>16</v>
      </c>
      <c r="E7567">
        <v>4</v>
      </c>
    </row>
    <row r="7568" spans="1:5" x14ac:dyDescent="0.25">
      <c r="A7568">
        <v>7567</v>
      </c>
      <c r="B7568">
        <v>5407217</v>
      </c>
      <c r="C7568" s="1" t="str">
        <f>HYPERLINK("http://stackoverflow.com/users/5407217", "jsonwang")</f>
        <v>jsonwang</v>
      </c>
      <c r="D7568" t="s">
        <v>22</v>
      </c>
      <c r="E7568">
        <v>4</v>
      </c>
    </row>
    <row r="7569" spans="1:5" x14ac:dyDescent="0.25">
      <c r="A7569">
        <v>7568</v>
      </c>
      <c r="B7569">
        <v>7615054</v>
      </c>
      <c r="C7569" s="1" t="str">
        <f>HYPERLINK("http://stackoverflow.com/users/7615054", "Edward Gao")</f>
        <v>Edward Gao</v>
      </c>
      <c r="D7569" t="s">
        <v>4</v>
      </c>
      <c r="E7569">
        <v>4</v>
      </c>
    </row>
    <row r="7570" spans="1:5" x14ac:dyDescent="0.25">
      <c r="A7570">
        <v>7569</v>
      </c>
      <c r="B7570">
        <v>2159949</v>
      </c>
      <c r="C7570" s="1" t="str">
        <f>HYPERLINK("http://stackoverflow.com/users/2159949", "flyingSnow")</f>
        <v>flyingSnow</v>
      </c>
      <c r="D7570" t="s">
        <v>5</v>
      </c>
      <c r="E7570">
        <v>4</v>
      </c>
    </row>
    <row r="7571" spans="1:5" x14ac:dyDescent="0.25">
      <c r="A7571">
        <v>7570</v>
      </c>
      <c r="B7571">
        <v>10052678</v>
      </c>
      <c r="C7571" s="1" t="str">
        <f>HYPERLINK("http://stackoverflow.com/users/10052678", "totti")</f>
        <v>totti</v>
      </c>
      <c r="D7571" t="s">
        <v>4</v>
      </c>
      <c r="E7571">
        <v>4</v>
      </c>
    </row>
    <row r="7572" spans="1:5" x14ac:dyDescent="0.25">
      <c r="A7572">
        <v>7571</v>
      </c>
      <c r="B7572">
        <v>6064915</v>
      </c>
      <c r="C7572" s="1" t="str">
        <f>HYPERLINK("http://stackoverflow.com/users/6064915", "Qiangzu")</f>
        <v>Qiangzu</v>
      </c>
      <c r="D7572" t="s">
        <v>7</v>
      </c>
      <c r="E7572">
        <v>4</v>
      </c>
    </row>
    <row r="7573" spans="1:5" x14ac:dyDescent="0.25">
      <c r="A7573">
        <v>7572</v>
      </c>
      <c r="B7573">
        <v>9745899</v>
      </c>
      <c r="C7573" s="1" t="str">
        <f>HYPERLINK("http://stackoverflow.com/users/9745899", "Terence")</f>
        <v>Terence</v>
      </c>
      <c r="D7573" t="s">
        <v>4</v>
      </c>
      <c r="E7573">
        <v>4</v>
      </c>
    </row>
    <row r="7574" spans="1:5" x14ac:dyDescent="0.25">
      <c r="A7574">
        <v>7573</v>
      </c>
      <c r="B7574">
        <v>6685651</v>
      </c>
      <c r="C7574" s="1" t="str">
        <f>HYPERLINK("http://stackoverflow.com/users/6685651", "Jerry")</f>
        <v>Jerry</v>
      </c>
      <c r="D7574" t="s">
        <v>17</v>
      </c>
      <c r="E7574">
        <v>4</v>
      </c>
    </row>
    <row r="7575" spans="1:5" x14ac:dyDescent="0.25">
      <c r="A7575">
        <v>7574</v>
      </c>
      <c r="B7575">
        <v>1157972</v>
      </c>
      <c r="C7575" s="1" t="str">
        <f>HYPERLINK("http://stackoverflow.com/users/1157972", "zhenzhen")</f>
        <v>zhenzhen</v>
      </c>
      <c r="D7575" t="s">
        <v>4</v>
      </c>
      <c r="E7575">
        <v>4</v>
      </c>
    </row>
    <row r="7576" spans="1:5" x14ac:dyDescent="0.25">
      <c r="A7576">
        <v>7575</v>
      </c>
      <c r="B7576">
        <v>7608842</v>
      </c>
      <c r="C7576" s="1" t="str">
        <f>HYPERLINK("http://stackoverflow.com/users/7608842", "Suen")</f>
        <v>Suen</v>
      </c>
      <c r="D7576" t="s">
        <v>405</v>
      </c>
      <c r="E7576">
        <v>4</v>
      </c>
    </row>
    <row r="7577" spans="1:5" x14ac:dyDescent="0.25">
      <c r="A7577">
        <v>7576</v>
      </c>
      <c r="B7577">
        <v>7984949</v>
      </c>
      <c r="C7577" s="1" t="str">
        <f>HYPERLINK("http://stackoverflow.com/users/7984949", "Leon")</f>
        <v>Leon</v>
      </c>
      <c r="D7577" t="s">
        <v>240</v>
      </c>
      <c r="E7577">
        <v>4</v>
      </c>
    </row>
    <row r="7578" spans="1:5" x14ac:dyDescent="0.25">
      <c r="A7578">
        <v>7577</v>
      </c>
      <c r="B7578">
        <v>8064261</v>
      </c>
      <c r="C7578" s="1" t="str">
        <f>HYPERLINK("http://stackoverflow.com/users/8064261", "Zou Einstein")</f>
        <v>Zou Einstein</v>
      </c>
      <c r="D7578" t="s">
        <v>131</v>
      </c>
      <c r="E7578">
        <v>4</v>
      </c>
    </row>
    <row r="7579" spans="1:5" x14ac:dyDescent="0.25">
      <c r="A7579">
        <v>7578</v>
      </c>
      <c r="B7579">
        <v>10561282</v>
      </c>
      <c r="C7579" s="1" t="str">
        <f>HYPERLINK("http://stackoverflow.com/users/10561282", "Fiavi")</f>
        <v>Fiavi</v>
      </c>
      <c r="D7579" t="s">
        <v>15</v>
      </c>
      <c r="E7579">
        <v>4</v>
      </c>
    </row>
    <row r="7580" spans="1:5" x14ac:dyDescent="0.25">
      <c r="A7580">
        <v>7579</v>
      </c>
      <c r="B7580">
        <v>8487674</v>
      </c>
      <c r="C7580" s="1" t="str">
        <f>HYPERLINK("http://stackoverflow.com/users/8487674", "NilNul")</f>
        <v>NilNul</v>
      </c>
      <c r="D7580" t="s">
        <v>52</v>
      </c>
      <c r="E7580">
        <v>4</v>
      </c>
    </row>
    <row r="7581" spans="1:5" x14ac:dyDescent="0.25">
      <c r="A7581">
        <v>7580</v>
      </c>
      <c r="B7581">
        <v>3155684</v>
      </c>
      <c r="C7581" s="1" t="str">
        <f>HYPERLINK("http://stackoverflow.com/users/3155684", "Lalala Yang")</f>
        <v>Lalala Yang</v>
      </c>
      <c r="D7581" t="s">
        <v>5</v>
      </c>
      <c r="E7581">
        <v>4</v>
      </c>
    </row>
    <row r="7582" spans="1:5" x14ac:dyDescent="0.25">
      <c r="A7582">
        <v>7581</v>
      </c>
      <c r="B7582">
        <v>3155875</v>
      </c>
      <c r="C7582" s="1" t="str">
        <f>HYPERLINK("http://stackoverflow.com/users/3155875", "Filipe Neves")</f>
        <v>Filipe Neves</v>
      </c>
      <c r="D7582" t="s">
        <v>4</v>
      </c>
      <c r="E7582">
        <v>3</v>
      </c>
    </row>
    <row r="7583" spans="1:5" x14ac:dyDescent="0.25">
      <c r="A7583">
        <v>7582</v>
      </c>
      <c r="B7583">
        <v>4969792</v>
      </c>
      <c r="C7583" s="1" t="str">
        <f>HYPERLINK("http://stackoverflow.com/users/4969792", "Xiong Yang")</f>
        <v>Xiong Yang</v>
      </c>
      <c r="D7583" t="s">
        <v>7</v>
      </c>
      <c r="E7583">
        <v>3</v>
      </c>
    </row>
    <row r="7584" spans="1:5" x14ac:dyDescent="0.25">
      <c r="A7584">
        <v>7583</v>
      </c>
      <c r="B7584">
        <v>3200804</v>
      </c>
      <c r="C7584" s="1" t="str">
        <f>HYPERLINK("http://stackoverflow.com/users/3200804", "st316")</f>
        <v>st316</v>
      </c>
      <c r="D7584" t="s">
        <v>5</v>
      </c>
      <c r="E7584">
        <v>3</v>
      </c>
    </row>
    <row r="7585" spans="1:5" x14ac:dyDescent="0.25">
      <c r="A7585">
        <v>7584</v>
      </c>
      <c r="B7585">
        <v>6585344</v>
      </c>
      <c r="C7585" s="1" t="str">
        <f>HYPERLINK("http://stackoverflow.com/users/6585344", "jim.l")</f>
        <v>jim.l</v>
      </c>
      <c r="D7585" t="s">
        <v>5</v>
      </c>
      <c r="E7585">
        <v>3</v>
      </c>
    </row>
    <row r="7586" spans="1:5" x14ac:dyDescent="0.25">
      <c r="A7586">
        <v>7585</v>
      </c>
      <c r="B7586">
        <v>1536623</v>
      </c>
      <c r="C7586" s="1" t="str">
        <f>HYPERLINK("http://stackoverflow.com/users/1536623", "Wintop088")</f>
        <v>Wintop088</v>
      </c>
      <c r="D7586" t="s">
        <v>4</v>
      </c>
      <c r="E7586">
        <v>3</v>
      </c>
    </row>
    <row r="7587" spans="1:5" x14ac:dyDescent="0.25">
      <c r="A7587">
        <v>7586</v>
      </c>
      <c r="B7587">
        <v>10544595</v>
      </c>
      <c r="C7587" s="1" t="str">
        <f>HYPERLINK("http://stackoverflow.com/users/10544595", "Elsa zz")</f>
        <v>Elsa zz</v>
      </c>
      <c r="D7587" t="s">
        <v>16</v>
      </c>
      <c r="E7587">
        <v>3</v>
      </c>
    </row>
    <row r="7588" spans="1:5" x14ac:dyDescent="0.25">
      <c r="A7588">
        <v>7587</v>
      </c>
      <c r="B7588">
        <v>10533365</v>
      </c>
      <c r="C7588" s="1" t="str">
        <f>HYPERLINK("http://stackoverflow.com/users/10533365", "victor zhao")</f>
        <v>victor zhao</v>
      </c>
      <c r="D7588" t="s">
        <v>4</v>
      </c>
      <c r="E7588">
        <v>3</v>
      </c>
    </row>
    <row r="7589" spans="1:5" x14ac:dyDescent="0.25">
      <c r="A7589">
        <v>7588</v>
      </c>
      <c r="B7589">
        <v>5056029</v>
      </c>
      <c r="C7589" s="1" t="str">
        <f>HYPERLINK("http://stackoverflow.com/users/5056029", "ghostchef")</f>
        <v>ghostchef</v>
      </c>
      <c r="D7589" t="s">
        <v>4</v>
      </c>
      <c r="E7589">
        <v>3</v>
      </c>
    </row>
    <row r="7590" spans="1:5" x14ac:dyDescent="0.25">
      <c r="A7590">
        <v>7589</v>
      </c>
      <c r="B7590">
        <v>10479276</v>
      </c>
      <c r="C7590" s="1" t="str">
        <f>HYPERLINK("http://stackoverflow.com/users/10479276", "Derek Chuah")</f>
        <v>Derek Chuah</v>
      </c>
      <c r="D7590" t="s">
        <v>55</v>
      </c>
      <c r="E7590">
        <v>3</v>
      </c>
    </row>
    <row r="7591" spans="1:5" x14ac:dyDescent="0.25">
      <c r="A7591">
        <v>7590</v>
      </c>
      <c r="B7591">
        <v>5286612</v>
      </c>
      <c r="C7591" s="1" t="str">
        <f>HYPERLINK("http://stackoverflow.com/users/5286612", "Singlebyte")</f>
        <v>Singlebyte</v>
      </c>
      <c r="D7591" t="s">
        <v>16</v>
      </c>
      <c r="E7591">
        <v>3</v>
      </c>
    </row>
    <row r="7592" spans="1:5" x14ac:dyDescent="0.25">
      <c r="A7592">
        <v>7591</v>
      </c>
      <c r="B7592">
        <v>10688644</v>
      </c>
      <c r="C7592" s="1" t="str">
        <f>HYPERLINK("http://stackoverflow.com/users/10688644", "xxdd x")</f>
        <v>xxdd x</v>
      </c>
      <c r="D7592" t="s">
        <v>4</v>
      </c>
      <c r="E7592">
        <v>3</v>
      </c>
    </row>
    <row r="7593" spans="1:5" x14ac:dyDescent="0.25">
      <c r="A7593">
        <v>7592</v>
      </c>
      <c r="B7593">
        <v>1683336</v>
      </c>
      <c r="C7593" s="1" t="str">
        <f>HYPERLINK("http://stackoverflow.com/users/1683336", "Edward Chan")</f>
        <v>Edward Chan</v>
      </c>
      <c r="D7593" t="s">
        <v>406</v>
      </c>
      <c r="E7593">
        <v>3</v>
      </c>
    </row>
    <row r="7594" spans="1:5" x14ac:dyDescent="0.25">
      <c r="A7594">
        <v>7593</v>
      </c>
      <c r="B7594">
        <v>3401072</v>
      </c>
      <c r="C7594" s="1" t="str">
        <f>HYPERLINK("http://stackoverflow.com/users/3401072", "JuanJuan")</f>
        <v>JuanJuan</v>
      </c>
      <c r="D7594" t="s">
        <v>37</v>
      </c>
      <c r="E7594">
        <v>3</v>
      </c>
    </row>
    <row r="7595" spans="1:5" x14ac:dyDescent="0.25">
      <c r="A7595">
        <v>7594</v>
      </c>
      <c r="B7595">
        <v>8059414</v>
      </c>
      <c r="C7595" s="1" t="str">
        <f>HYPERLINK("http://stackoverflow.com/users/8059414", "Shiyu")</f>
        <v>Shiyu</v>
      </c>
      <c r="D7595" t="s">
        <v>4</v>
      </c>
      <c r="E7595">
        <v>3</v>
      </c>
    </row>
    <row r="7596" spans="1:5" x14ac:dyDescent="0.25">
      <c r="A7596">
        <v>7595</v>
      </c>
      <c r="B7596">
        <v>8063645</v>
      </c>
      <c r="C7596" s="1" t="str">
        <f>HYPERLINK("http://stackoverflow.com/users/8063645", "Jason Wang")</f>
        <v>Jason Wang</v>
      </c>
      <c r="D7596" t="s">
        <v>4</v>
      </c>
      <c r="E7596">
        <v>3</v>
      </c>
    </row>
    <row r="7597" spans="1:5" x14ac:dyDescent="0.25">
      <c r="A7597">
        <v>7596</v>
      </c>
      <c r="B7597">
        <v>6384066</v>
      </c>
      <c r="C7597" s="1" t="str">
        <f>HYPERLINK("http://stackoverflow.com/users/6384066", "Tim Wang")</f>
        <v>Tim Wang</v>
      </c>
      <c r="D7597" t="s">
        <v>4</v>
      </c>
      <c r="E7597">
        <v>3</v>
      </c>
    </row>
    <row r="7598" spans="1:5" x14ac:dyDescent="0.25">
      <c r="A7598">
        <v>7597</v>
      </c>
      <c r="B7598">
        <v>2784366</v>
      </c>
      <c r="C7598" s="1" t="str">
        <f>HYPERLINK("http://stackoverflow.com/users/2784366", "shanghailangke")</f>
        <v>shanghailangke</v>
      </c>
      <c r="D7598" t="s">
        <v>4</v>
      </c>
      <c r="E7598">
        <v>3</v>
      </c>
    </row>
    <row r="7599" spans="1:5" x14ac:dyDescent="0.25">
      <c r="A7599">
        <v>7598</v>
      </c>
      <c r="B7599">
        <v>6452466</v>
      </c>
      <c r="C7599" s="1" t="str">
        <f>HYPERLINK("http://stackoverflow.com/users/6452466", "Kaitou")</f>
        <v>Kaitou</v>
      </c>
      <c r="D7599" t="s">
        <v>407</v>
      </c>
      <c r="E7599">
        <v>3</v>
      </c>
    </row>
    <row r="7600" spans="1:5" x14ac:dyDescent="0.25">
      <c r="A7600">
        <v>7599</v>
      </c>
      <c r="B7600">
        <v>10002820</v>
      </c>
      <c r="C7600" s="1" t="str">
        <f>HYPERLINK("http://stackoverflow.com/users/10002820", "Michael4080")</f>
        <v>Michael4080</v>
      </c>
      <c r="D7600" t="s">
        <v>4</v>
      </c>
      <c r="E7600">
        <v>3</v>
      </c>
    </row>
    <row r="7601" spans="1:5" x14ac:dyDescent="0.25">
      <c r="A7601">
        <v>7600</v>
      </c>
      <c r="B7601">
        <v>2827805</v>
      </c>
      <c r="C7601" s="1" t="str">
        <f>HYPERLINK("http://stackoverflow.com/users/2827805", "Peter.Peng")</f>
        <v>Peter.Peng</v>
      </c>
      <c r="D7601" t="s">
        <v>130</v>
      </c>
      <c r="E7601">
        <v>3</v>
      </c>
    </row>
    <row r="7602" spans="1:5" x14ac:dyDescent="0.25">
      <c r="A7602">
        <v>7601</v>
      </c>
      <c r="B7602">
        <v>2951142</v>
      </c>
      <c r="C7602" s="1" t="str">
        <f>HYPERLINK("http://stackoverflow.com/users/2951142", "Anshu Wang")</f>
        <v>Anshu Wang</v>
      </c>
      <c r="D7602" t="s">
        <v>7</v>
      </c>
      <c r="E7602">
        <v>3</v>
      </c>
    </row>
    <row r="7603" spans="1:5" x14ac:dyDescent="0.25">
      <c r="A7603">
        <v>7602</v>
      </c>
      <c r="B7603">
        <v>2636258</v>
      </c>
      <c r="C7603" s="1" t="str">
        <f>HYPERLINK("http://stackoverflow.com/users/2636258", "Don Raphae")</f>
        <v>Don Raphae</v>
      </c>
      <c r="D7603" t="s">
        <v>22</v>
      </c>
      <c r="E7603">
        <v>3</v>
      </c>
    </row>
    <row r="7604" spans="1:5" x14ac:dyDescent="0.25">
      <c r="A7604">
        <v>7603</v>
      </c>
      <c r="B7604">
        <v>6217936</v>
      </c>
      <c r="C7604" s="1" t="str">
        <f>HYPERLINK("http://stackoverflow.com/users/6217936", "Xue Chuancong")</f>
        <v>Xue Chuancong</v>
      </c>
      <c r="D7604" t="s">
        <v>86</v>
      </c>
      <c r="E7604">
        <v>3</v>
      </c>
    </row>
    <row r="7605" spans="1:5" x14ac:dyDescent="0.25">
      <c r="A7605">
        <v>7604</v>
      </c>
      <c r="B7605">
        <v>9838230</v>
      </c>
      <c r="C7605" s="1" t="str">
        <f>HYPERLINK("http://stackoverflow.com/users/9838230", "Jun Cai")</f>
        <v>Jun Cai</v>
      </c>
      <c r="D7605" t="s">
        <v>4</v>
      </c>
      <c r="E7605">
        <v>3</v>
      </c>
    </row>
    <row r="7606" spans="1:5" x14ac:dyDescent="0.25">
      <c r="A7606">
        <v>7605</v>
      </c>
      <c r="B7606">
        <v>2609957</v>
      </c>
      <c r="C7606" s="1" t="str">
        <f>HYPERLINK("http://stackoverflow.com/users/2609957", "gaoyaning")</f>
        <v>gaoyaning</v>
      </c>
      <c r="D7606" t="s">
        <v>5</v>
      </c>
      <c r="E7606">
        <v>3</v>
      </c>
    </row>
    <row r="7607" spans="1:5" x14ac:dyDescent="0.25">
      <c r="A7607">
        <v>7606</v>
      </c>
      <c r="B7607">
        <v>4441984</v>
      </c>
      <c r="C7607" s="1" t="str">
        <f>HYPERLINK("http://stackoverflow.com/users/4441984", "流浪大法师")</f>
        <v>流浪大法师</v>
      </c>
      <c r="D7607" t="s">
        <v>41</v>
      </c>
      <c r="E7607">
        <v>3</v>
      </c>
    </row>
    <row r="7608" spans="1:5" x14ac:dyDescent="0.25">
      <c r="A7608">
        <v>7607</v>
      </c>
      <c r="B7608">
        <v>7899090</v>
      </c>
      <c r="C7608" s="1" t="str">
        <f>HYPERLINK("http://stackoverflow.com/users/7899090", "Lyman")</f>
        <v>Lyman</v>
      </c>
      <c r="D7608" t="s">
        <v>4</v>
      </c>
      <c r="E7608">
        <v>3</v>
      </c>
    </row>
    <row r="7609" spans="1:5" x14ac:dyDescent="0.25">
      <c r="A7609">
        <v>7608</v>
      </c>
      <c r="B7609">
        <v>244428</v>
      </c>
      <c r="C7609" s="1" t="str">
        <f>HYPERLINK("http://stackoverflow.com/users/244428", "Gosber")</f>
        <v>Gosber</v>
      </c>
      <c r="D7609" t="s">
        <v>4</v>
      </c>
      <c r="E7609">
        <v>3</v>
      </c>
    </row>
    <row r="7610" spans="1:5" x14ac:dyDescent="0.25">
      <c r="A7610">
        <v>7609</v>
      </c>
      <c r="B7610">
        <v>4089830</v>
      </c>
      <c r="C7610" s="1" t="str">
        <f>HYPERLINK("http://stackoverflow.com/users/4089830", "seanchann")</f>
        <v>seanchann</v>
      </c>
      <c r="D7610" t="s">
        <v>5</v>
      </c>
      <c r="E7610">
        <v>3</v>
      </c>
    </row>
    <row r="7611" spans="1:5" x14ac:dyDescent="0.25">
      <c r="A7611">
        <v>7610</v>
      </c>
      <c r="B7611">
        <v>2376277</v>
      </c>
      <c r="C7611" s="1" t="str">
        <f>HYPERLINK("http://stackoverflow.com/users/2376277", "Alvin Hui")</f>
        <v>Alvin Hui</v>
      </c>
      <c r="D7611" t="s">
        <v>12</v>
      </c>
      <c r="E7611">
        <v>3</v>
      </c>
    </row>
    <row r="7612" spans="1:5" x14ac:dyDescent="0.25">
      <c r="A7612">
        <v>7611</v>
      </c>
      <c r="B7612">
        <v>2408500</v>
      </c>
      <c r="C7612" s="1" t="str">
        <f>HYPERLINK("http://stackoverflow.com/users/2408500", "Zhuyun Dai")</f>
        <v>Zhuyun Dai</v>
      </c>
      <c r="D7612" t="s">
        <v>5</v>
      </c>
      <c r="E7612">
        <v>3</v>
      </c>
    </row>
    <row r="7613" spans="1:5" x14ac:dyDescent="0.25">
      <c r="A7613">
        <v>7612</v>
      </c>
      <c r="B7613">
        <v>7718366</v>
      </c>
      <c r="C7613" s="1" t="str">
        <f>HYPERLINK("http://stackoverflow.com/users/7718366", "amy2017")</f>
        <v>amy2017</v>
      </c>
      <c r="D7613" t="s">
        <v>7</v>
      </c>
      <c r="E7613">
        <v>3</v>
      </c>
    </row>
    <row r="7614" spans="1:5" x14ac:dyDescent="0.25">
      <c r="A7614">
        <v>7613</v>
      </c>
      <c r="B7614">
        <v>3910886</v>
      </c>
      <c r="C7614" s="1" t="str">
        <f>HYPERLINK("http://stackoverflow.com/users/3910886", "string_not_found")</f>
        <v>string_not_found</v>
      </c>
      <c r="D7614" t="s">
        <v>208</v>
      </c>
      <c r="E7614">
        <v>3</v>
      </c>
    </row>
    <row r="7615" spans="1:5" x14ac:dyDescent="0.25">
      <c r="A7615">
        <v>7614</v>
      </c>
      <c r="B7615">
        <v>3910941</v>
      </c>
      <c r="C7615" s="1" t="str">
        <f>HYPERLINK("http://stackoverflow.com/users/3910941", "Nappp")</f>
        <v>Nappp</v>
      </c>
      <c r="D7615" t="s">
        <v>17</v>
      </c>
      <c r="E7615">
        <v>3</v>
      </c>
    </row>
    <row r="7616" spans="1:5" x14ac:dyDescent="0.25">
      <c r="A7616">
        <v>7615</v>
      </c>
      <c r="B7616">
        <v>3894698</v>
      </c>
      <c r="C7616" s="1" t="str">
        <f>HYPERLINK("http://stackoverflow.com/users/3894698", "weakPoint")</f>
        <v>weakPoint</v>
      </c>
      <c r="D7616" t="s">
        <v>5</v>
      </c>
      <c r="E7616">
        <v>3</v>
      </c>
    </row>
    <row r="7617" spans="1:5" x14ac:dyDescent="0.25">
      <c r="A7617">
        <v>7616</v>
      </c>
      <c r="B7617">
        <v>2169252</v>
      </c>
      <c r="C7617" s="1" t="str">
        <f>HYPERLINK("http://stackoverflow.com/users/2169252", "Levin Du")</f>
        <v>Levin Du</v>
      </c>
      <c r="D7617" t="s">
        <v>4</v>
      </c>
      <c r="E7617">
        <v>3</v>
      </c>
    </row>
    <row r="7618" spans="1:5" x14ac:dyDescent="0.25">
      <c r="A7618">
        <v>7617</v>
      </c>
      <c r="B7618">
        <v>9355785</v>
      </c>
      <c r="C7618" s="1" t="str">
        <f>HYPERLINK("http://stackoverflow.com/users/9355785", "Shenglei Zheng")</f>
        <v>Shenglei Zheng</v>
      </c>
      <c r="D7618" t="s">
        <v>27</v>
      </c>
      <c r="E7618">
        <v>3</v>
      </c>
    </row>
    <row r="7619" spans="1:5" x14ac:dyDescent="0.25">
      <c r="A7619">
        <v>7618</v>
      </c>
      <c r="B7619">
        <v>2238705</v>
      </c>
      <c r="C7619" s="1" t="str">
        <f>HYPERLINK("http://stackoverflow.com/users/2238705", "joes buffer")</f>
        <v>joes buffer</v>
      </c>
      <c r="D7619" t="s">
        <v>12</v>
      </c>
      <c r="E7619">
        <v>3</v>
      </c>
    </row>
    <row r="7620" spans="1:5" x14ac:dyDescent="0.25">
      <c r="A7620">
        <v>7619</v>
      </c>
      <c r="B7620">
        <v>5733473</v>
      </c>
      <c r="C7620" s="1" t="str">
        <f>HYPERLINK("http://stackoverflow.com/users/5733473", "Dongik Shin")</f>
        <v>Dongik Shin</v>
      </c>
      <c r="D7620" t="s">
        <v>7</v>
      </c>
      <c r="E7620">
        <v>3</v>
      </c>
    </row>
    <row r="7621" spans="1:5" x14ac:dyDescent="0.25">
      <c r="A7621">
        <v>7620</v>
      </c>
      <c r="B7621">
        <v>1992518</v>
      </c>
      <c r="C7621" s="1" t="str">
        <f>HYPERLINK("http://stackoverflow.com/users/1992518", "yourtone")</f>
        <v>yourtone</v>
      </c>
      <c r="D7621" t="s">
        <v>12</v>
      </c>
      <c r="E7621">
        <v>3</v>
      </c>
    </row>
    <row r="7622" spans="1:5" x14ac:dyDescent="0.25">
      <c r="A7622">
        <v>7621</v>
      </c>
      <c r="B7622">
        <v>5621598</v>
      </c>
      <c r="C7622" s="1" t="str">
        <f>HYPERLINK("http://stackoverflow.com/users/5621598", "eastgeek")</f>
        <v>eastgeek</v>
      </c>
      <c r="D7622" t="s">
        <v>12</v>
      </c>
      <c r="E7622">
        <v>3</v>
      </c>
    </row>
    <row r="7623" spans="1:5" x14ac:dyDescent="0.25">
      <c r="A7623">
        <v>7622</v>
      </c>
      <c r="B7623">
        <v>3843314</v>
      </c>
      <c r="C7623" s="1" t="str">
        <f>HYPERLINK("http://stackoverflow.com/users/3843314", "cozybed")</f>
        <v>cozybed</v>
      </c>
      <c r="D7623" t="s">
        <v>56</v>
      </c>
      <c r="E7623">
        <v>3</v>
      </c>
    </row>
    <row r="7624" spans="1:5" x14ac:dyDescent="0.25">
      <c r="A7624">
        <v>7623</v>
      </c>
      <c r="B7624">
        <v>3555397</v>
      </c>
      <c r="C7624" s="1" t="str">
        <f>HYPERLINK("http://stackoverflow.com/users/3555397", "Ajax.Li")</f>
        <v>Ajax.Li</v>
      </c>
      <c r="D7624" t="s">
        <v>22</v>
      </c>
      <c r="E7624">
        <v>3</v>
      </c>
    </row>
    <row r="7625" spans="1:5" x14ac:dyDescent="0.25">
      <c r="A7625">
        <v>7624</v>
      </c>
      <c r="B7625">
        <v>3600492</v>
      </c>
      <c r="C7625" s="1" t="str">
        <f>HYPERLINK("http://stackoverflow.com/users/3600492", "wzhscript")</f>
        <v>wzhscript</v>
      </c>
      <c r="D7625" t="s">
        <v>4</v>
      </c>
      <c r="E7625">
        <v>3</v>
      </c>
    </row>
    <row r="7626" spans="1:5" x14ac:dyDescent="0.25">
      <c r="A7626">
        <v>7625</v>
      </c>
      <c r="B7626">
        <v>7198457</v>
      </c>
      <c r="C7626" s="1" t="str">
        <f>HYPERLINK("http://stackoverflow.com/users/7198457", "basicfu")</f>
        <v>basicfu</v>
      </c>
      <c r="D7626" t="s">
        <v>5</v>
      </c>
      <c r="E7626">
        <v>3</v>
      </c>
    </row>
    <row r="7627" spans="1:5" x14ac:dyDescent="0.25">
      <c r="A7627">
        <v>7626</v>
      </c>
      <c r="B7627">
        <v>10845334</v>
      </c>
      <c r="C7627" s="1" t="str">
        <f>HYPERLINK("http://stackoverflow.com/users/10845334", "Marcade")</f>
        <v>Marcade</v>
      </c>
      <c r="D7627" t="s">
        <v>4</v>
      </c>
      <c r="E7627">
        <v>3</v>
      </c>
    </row>
    <row r="7628" spans="1:5" x14ac:dyDescent="0.25">
      <c r="A7628">
        <v>7627</v>
      </c>
      <c r="B7628">
        <v>10936710</v>
      </c>
      <c r="C7628" s="1" t="str">
        <f>HYPERLINK("http://stackoverflow.com/users/10936710", "li.SQ")</f>
        <v>li.SQ</v>
      </c>
      <c r="D7628" t="s">
        <v>5</v>
      </c>
      <c r="E7628">
        <v>3</v>
      </c>
    </row>
    <row r="7629" spans="1:5" x14ac:dyDescent="0.25">
      <c r="A7629">
        <v>7628</v>
      </c>
      <c r="B7629">
        <v>9129485</v>
      </c>
      <c r="C7629" s="1" t="str">
        <f>HYPERLINK("http://stackoverflow.com/users/9129485", "VMS")</f>
        <v>VMS</v>
      </c>
      <c r="D7629" t="s">
        <v>408</v>
      </c>
      <c r="E7629">
        <v>3</v>
      </c>
    </row>
    <row r="7630" spans="1:5" x14ac:dyDescent="0.25">
      <c r="A7630">
        <v>7629</v>
      </c>
      <c r="B7630">
        <v>1082949</v>
      </c>
      <c r="C7630" s="1" t="str">
        <f>HYPERLINK("http://stackoverflow.com/users/1082949", "his1devil")</f>
        <v>his1devil</v>
      </c>
      <c r="D7630" t="s">
        <v>4</v>
      </c>
      <c r="E7630">
        <v>3</v>
      </c>
    </row>
    <row r="7631" spans="1:5" x14ac:dyDescent="0.25">
      <c r="A7631">
        <v>7630</v>
      </c>
      <c r="B7631">
        <v>8395081</v>
      </c>
      <c r="C7631" s="1" t="str">
        <f>HYPERLINK("http://stackoverflow.com/users/8395081", "GKxx")</f>
        <v>GKxx</v>
      </c>
      <c r="D7631" t="s">
        <v>10</v>
      </c>
      <c r="E7631">
        <v>3</v>
      </c>
    </row>
    <row r="7632" spans="1:5" x14ac:dyDescent="0.25">
      <c r="A7632">
        <v>7631</v>
      </c>
      <c r="B7632">
        <v>1038359</v>
      </c>
      <c r="C7632" s="1" t="str">
        <f>HYPERLINK("http://stackoverflow.com/users/1038359", "Ron Casey")</f>
        <v>Ron Casey</v>
      </c>
      <c r="D7632" t="s">
        <v>22</v>
      </c>
      <c r="E7632">
        <v>3</v>
      </c>
    </row>
    <row r="7633" spans="1:5" x14ac:dyDescent="0.25">
      <c r="A7633">
        <v>7632</v>
      </c>
      <c r="B7633">
        <v>4960744</v>
      </c>
      <c r="C7633" s="1" t="str">
        <f>HYPERLINK("http://stackoverflow.com/users/4960744", "kevin.miao")</f>
        <v>kevin.miao</v>
      </c>
      <c r="D7633" t="s">
        <v>4</v>
      </c>
      <c r="E7633">
        <v>3</v>
      </c>
    </row>
    <row r="7634" spans="1:5" x14ac:dyDescent="0.25">
      <c r="A7634">
        <v>7633</v>
      </c>
      <c r="B7634">
        <v>4952275</v>
      </c>
      <c r="C7634" s="1" t="str">
        <f>HYPERLINK("http://stackoverflow.com/users/4952275", "RickyXRQ")</f>
        <v>RickyXRQ</v>
      </c>
      <c r="D7634" t="s">
        <v>5</v>
      </c>
      <c r="E7634">
        <v>3</v>
      </c>
    </row>
    <row r="7635" spans="1:5" x14ac:dyDescent="0.25">
      <c r="A7635">
        <v>7634</v>
      </c>
      <c r="B7635">
        <v>1227222</v>
      </c>
      <c r="C7635" s="1" t="str">
        <f>HYPERLINK("http://stackoverflow.com/users/1227222", "eelaix")</f>
        <v>eelaix</v>
      </c>
      <c r="D7635" t="s">
        <v>17</v>
      </c>
      <c r="E7635">
        <v>3</v>
      </c>
    </row>
    <row r="7636" spans="1:5" x14ac:dyDescent="0.25">
      <c r="A7636">
        <v>7635</v>
      </c>
      <c r="B7636">
        <v>8556995</v>
      </c>
      <c r="C7636" s="1" t="str">
        <f>HYPERLINK("http://stackoverflow.com/users/8556995", "Yunxing")</f>
        <v>Yunxing</v>
      </c>
      <c r="D7636" t="s">
        <v>5</v>
      </c>
      <c r="E7636">
        <v>3</v>
      </c>
    </row>
    <row r="7637" spans="1:5" x14ac:dyDescent="0.25">
      <c r="A7637">
        <v>7636</v>
      </c>
      <c r="B7637">
        <v>1558518</v>
      </c>
      <c r="C7637" s="1" t="str">
        <f>HYPERLINK("http://stackoverflow.com/users/1558518", "kuo.enxi")</f>
        <v>kuo.enxi</v>
      </c>
      <c r="D7637" t="s">
        <v>57</v>
      </c>
      <c r="E7637">
        <v>3</v>
      </c>
    </row>
    <row r="7638" spans="1:5" x14ac:dyDescent="0.25">
      <c r="A7638">
        <v>7637</v>
      </c>
      <c r="B7638">
        <v>1558804</v>
      </c>
      <c r="C7638" s="1" t="str">
        <f>HYPERLINK("http://stackoverflow.com/users/1558804", "JasonXie")</f>
        <v>JasonXie</v>
      </c>
      <c r="D7638" t="s">
        <v>4</v>
      </c>
      <c r="E7638">
        <v>3</v>
      </c>
    </row>
    <row r="7639" spans="1:5" x14ac:dyDescent="0.25">
      <c r="A7639">
        <v>7638</v>
      </c>
      <c r="B7639">
        <v>1578063</v>
      </c>
      <c r="C7639" s="1" t="str">
        <f>HYPERLINK("http://stackoverflow.com/users/1578063", "Gigix")</f>
        <v>Gigix</v>
      </c>
      <c r="D7639" t="s">
        <v>22</v>
      </c>
      <c r="E7639">
        <v>3</v>
      </c>
    </row>
    <row r="7640" spans="1:5" x14ac:dyDescent="0.25">
      <c r="A7640">
        <v>7639</v>
      </c>
      <c r="B7640">
        <v>10673744</v>
      </c>
      <c r="C7640" s="1" t="str">
        <f>HYPERLINK("http://stackoverflow.com/users/10673744", "Kevin")</f>
        <v>Kevin</v>
      </c>
      <c r="D7640" t="s">
        <v>5</v>
      </c>
      <c r="E7640">
        <v>3</v>
      </c>
    </row>
    <row r="7641" spans="1:5" x14ac:dyDescent="0.25">
      <c r="A7641">
        <v>7640</v>
      </c>
      <c r="B7641">
        <v>1435450</v>
      </c>
      <c r="C7641" s="1" t="str">
        <f>HYPERLINK("http://stackoverflow.com/users/1435450", "Jack Zhang")</f>
        <v>Jack Zhang</v>
      </c>
      <c r="D7641" t="s">
        <v>17</v>
      </c>
      <c r="E7641">
        <v>3</v>
      </c>
    </row>
    <row r="7642" spans="1:5" x14ac:dyDescent="0.25">
      <c r="A7642">
        <v>7641</v>
      </c>
      <c r="B7642">
        <v>3374273</v>
      </c>
      <c r="C7642" s="1" t="str">
        <f>HYPERLINK("http://stackoverflow.com/users/3374273", "user3374273")</f>
        <v>user3374273</v>
      </c>
      <c r="D7642" t="s">
        <v>209</v>
      </c>
      <c r="E7642">
        <v>3</v>
      </c>
    </row>
    <row r="7643" spans="1:5" x14ac:dyDescent="0.25">
      <c r="A7643">
        <v>7642</v>
      </c>
      <c r="B7643">
        <v>1519552</v>
      </c>
      <c r="C7643" s="1" t="str">
        <f>HYPERLINK("http://stackoverflow.com/users/1519552", "Coomy")</f>
        <v>Coomy</v>
      </c>
      <c r="D7643" t="s">
        <v>146</v>
      </c>
      <c r="E7643">
        <v>3</v>
      </c>
    </row>
    <row r="7644" spans="1:5" x14ac:dyDescent="0.25">
      <c r="A7644">
        <v>7643</v>
      </c>
      <c r="B7644">
        <v>1377490</v>
      </c>
      <c r="C7644" s="1" t="str">
        <f>HYPERLINK("http://stackoverflow.com/users/1377490", "Shareach")</f>
        <v>Shareach</v>
      </c>
      <c r="D7644" t="s">
        <v>12</v>
      </c>
      <c r="E7644">
        <v>3</v>
      </c>
    </row>
    <row r="7645" spans="1:5" x14ac:dyDescent="0.25">
      <c r="A7645">
        <v>7644</v>
      </c>
      <c r="B7645">
        <v>3255689</v>
      </c>
      <c r="C7645" s="1" t="str">
        <f>HYPERLINK("http://stackoverflow.com/users/3255689", "671coder")</f>
        <v>671coder</v>
      </c>
      <c r="D7645" t="s">
        <v>6</v>
      </c>
      <c r="E7645">
        <v>3</v>
      </c>
    </row>
    <row r="7646" spans="1:5" x14ac:dyDescent="0.25">
      <c r="A7646">
        <v>7645</v>
      </c>
      <c r="B7646">
        <v>1340233</v>
      </c>
      <c r="C7646" s="1" t="str">
        <f>HYPERLINK("http://stackoverflow.com/users/1340233", "we3ew")</f>
        <v>we3ew</v>
      </c>
      <c r="D7646" t="s">
        <v>12</v>
      </c>
      <c r="E7646">
        <v>3</v>
      </c>
    </row>
    <row r="7647" spans="1:5" x14ac:dyDescent="0.25">
      <c r="A7647">
        <v>7646</v>
      </c>
      <c r="B7647">
        <v>1392045</v>
      </c>
      <c r="C7647" s="1" t="str">
        <f>HYPERLINK("http://stackoverflow.com/users/1392045", "Eashwar")</f>
        <v>Eashwar</v>
      </c>
      <c r="D7647" t="s">
        <v>5</v>
      </c>
      <c r="E7647">
        <v>3</v>
      </c>
    </row>
    <row r="7648" spans="1:5" x14ac:dyDescent="0.25">
      <c r="A7648">
        <v>7647</v>
      </c>
      <c r="B7648">
        <v>6203077</v>
      </c>
      <c r="C7648" s="1" t="str">
        <f>HYPERLINK("http://stackoverflow.com/users/6203077", "Vin Qin")</f>
        <v>Vin Qin</v>
      </c>
      <c r="D7648" t="s">
        <v>75</v>
      </c>
      <c r="E7648">
        <v>3</v>
      </c>
    </row>
    <row r="7649" spans="1:5" x14ac:dyDescent="0.25">
      <c r="A7649">
        <v>7648</v>
      </c>
      <c r="B7649">
        <v>2628848</v>
      </c>
      <c r="C7649" s="1" t="str">
        <f>HYPERLINK("http://stackoverflow.com/users/2628848", "user2628848")</f>
        <v>user2628848</v>
      </c>
      <c r="D7649" t="s">
        <v>5</v>
      </c>
      <c r="E7649">
        <v>3</v>
      </c>
    </row>
    <row r="7650" spans="1:5" x14ac:dyDescent="0.25">
      <c r="A7650">
        <v>7649</v>
      </c>
      <c r="B7650">
        <v>7994550</v>
      </c>
      <c r="C7650" s="1" t="str">
        <f>HYPERLINK("http://stackoverflow.com/users/7994550", "Wang Li")</f>
        <v>Wang Li</v>
      </c>
      <c r="D7650" t="s">
        <v>131</v>
      </c>
      <c r="E7650">
        <v>3</v>
      </c>
    </row>
    <row r="7651" spans="1:5" x14ac:dyDescent="0.25">
      <c r="A7651">
        <v>7650</v>
      </c>
      <c r="B7651">
        <v>6064342</v>
      </c>
      <c r="C7651" s="1" t="str">
        <f>HYPERLINK("http://stackoverflow.com/users/6064342", "Simba Liu")</f>
        <v>Simba Liu</v>
      </c>
      <c r="D7651" t="s">
        <v>28</v>
      </c>
      <c r="E7651">
        <v>3</v>
      </c>
    </row>
    <row r="7652" spans="1:5" x14ac:dyDescent="0.25">
      <c r="A7652">
        <v>7651</v>
      </c>
      <c r="B7652">
        <v>2469833</v>
      </c>
      <c r="C7652" s="1" t="str">
        <f>HYPERLINK("http://stackoverflow.com/users/2469833", "rug")</f>
        <v>rug</v>
      </c>
      <c r="D7652" t="s">
        <v>31</v>
      </c>
      <c r="E7652">
        <v>3</v>
      </c>
    </row>
    <row r="7653" spans="1:5" x14ac:dyDescent="0.25">
      <c r="A7653">
        <v>7652</v>
      </c>
      <c r="B7653">
        <v>7861176</v>
      </c>
      <c r="C7653" s="1" t="str">
        <f>HYPERLINK("http://stackoverflow.com/users/7861176", "scott.li")</f>
        <v>scott.li</v>
      </c>
      <c r="D7653" t="s">
        <v>4</v>
      </c>
      <c r="E7653">
        <v>3</v>
      </c>
    </row>
    <row r="7654" spans="1:5" x14ac:dyDescent="0.25">
      <c r="A7654">
        <v>7653</v>
      </c>
      <c r="B7654">
        <v>9713668</v>
      </c>
      <c r="C7654" s="1" t="str">
        <f>HYPERLINK("http://stackoverflow.com/users/9713668", "Abdullah")</f>
        <v>Abdullah</v>
      </c>
      <c r="D7654" t="s">
        <v>5</v>
      </c>
      <c r="E7654">
        <v>3</v>
      </c>
    </row>
    <row r="7655" spans="1:5" x14ac:dyDescent="0.25">
      <c r="A7655">
        <v>7654</v>
      </c>
      <c r="B7655">
        <v>7893187</v>
      </c>
      <c r="C7655" s="1" t="str">
        <f>HYPERLINK("http://stackoverflow.com/users/7893187", "Ronel Wu")</f>
        <v>Ronel Wu</v>
      </c>
      <c r="D7655" t="s">
        <v>4</v>
      </c>
      <c r="E7655">
        <v>3</v>
      </c>
    </row>
    <row r="7656" spans="1:5" x14ac:dyDescent="0.25">
      <c r="A7656">
        <v>7655</v>
      </c>
      <c r="B7656">
        <v>8310593</v>
      </c>
      <c r="C7656" s="1" t="str">
        <f>HYPERLINK("http://stackoverflow.com/users/8310593", "Shunlong Chen")</f>
        <v>Shunlong Chen</v>
      </c>
      <c r="D7656" t="s">
        <v>86</v>
      </c>
      <c r="E7656">
        <v>3</v>
      </c>
    </row>
    <row r="7657" spans="1:5" x14ac:dyDescent="0.25">
      <c r="A7657">
        <v>7656</v>
      </c>
      <c r="B7657">
        <v>8294148</v>
      </c>
      <c r="C7657" s="1" t="str">
        <f>HYPERLINK("http://stackoverflow.com/users/8294148", "haojie yuan")</f>
        <v>haojie yuan</v>
      </c>
      <c r="D7657" t="s">
        <v>118</v>
      </c>
      <c r="E7657">
        <v>3</v>
      </c>
    </row>
    <row r="7658" spans="1:5" x14ac:dyDescent="0.25">
      <c r="A7658">
        <v>7657</v>
      </c>
      <c r="B7658">
        <v>2723711</v>
      </c>
      <c r="C7658" s="1" t="str">
        <f>HYPERLINK("http://stackoverflow.com/users/2723711", "caimengru0807")</f>
        <v>caimengru0807</v>
      </c>
      <c r="D7658" t="s">
        <v>12</v>
      </c>
      <c r="E7658">
        <v>3</v>
      </c>
    </row>
    <row r="7659" spans="1:5" x14ac:dyDescent="0.25">
      <c r="A7659">
        <v>7658</v>
      </c>
      <c r="B7659">
        <v>6324309</v>
      </c>
      <c r="C7659" s="1" t="str">
        <f>HYPERLINK("http://stackoverflow.com/users/6324309", "AZmake")</f>
        <v>AZmake</v>
      </c>
      <c r="D7659" t="s">
        <v>4</v>
      </c>
      <c r="E7659">
        <v>3</v>
      </c>
    </row>
    <row r="7660" spans="1:5" x14ac:dyDescent="0.25">
      <c r="A7660">
        <v>7659</v>
      </c>
      <c r="B7660">
        <v>4665454</v>
      </c>
      <c r="C7660" s="1" t="str">
        <f>HYPERLINK("http://stackoverflow.com/users/4665454", "hulu")</f>
        <v>hulu</v>
      </c>
      <c r="D7660" t="s">
        <v>4</v>
      </c>
      <c r="E7660">
        <v>3</v>
      </c>
    </row>
    <row r="7661" spans="1:5" x14ac:dyDescent="0.25">
      <c r="A7661">
        <v>7660</v>
      </c>
      <c r="B7661">
        <v>3924825</v>
      </c>
      <c r="C7661" s="1" t="str">
        <f>HYPERLINK("http://stackoverflow.com/users/3924825", "ssssqd")</f>
        <v>ssssqd</v>
      </c>
      <c r="D7661" t="s">
        <v>37</v>
      </c>
      <c r="E7661">
        <v>3</v>
      </c>
    </row>
    <row r="7662" spans="1:5" x14ac:dyDescent="0.25">
      <c r="A7662">
        <v>7661</v>
      </c>
      <c r="B7662">
        <v>5726906</v>
      </c>
      <c r="C7662" s="1" t="str">
        <f>HYPERLINK("http://stackoverflow.com/users/5726906", "Jerry")</f>
        <v>Jerry</v>
      </c>
      <c r="D7662" t="s">
        <v>16</v>
      </c>
      <c r="E7662">
        <v>3</v>
      </c>
    </row>
    <row r="7663" spans="1:5" x14ac:dyDescent="0.25">
      <c r="A7663">
        <v>7662</v>
      </c>
      <c r="B7663">
        <v>7572457</v>
      </c>
      <c r="C7663" s="1" t="str">
        <f>HYPERLINK("http://stackoverflow.com/users/7572457", "HalfOfRain")</f>
        <v>HalfOfRain</v>
      </c>
      <c r="D7663" t="s">
        <v>62</v>
      </c>
      <c r="E7663">
        <v>3</v>
      </c>
    </row>
    <row r="7664" spans="1:5" x14ac:dyDescent="0.25">
      <c r="A7664">
        <v>7663</v>
      </c>
      <c r="B7664">
        <v>2396232</v>
      </c>
      <c r="C7664" s="1" t="str">
        <f>HYPERLINK("http://stackoverflow.com/users/2396232", "arjinmc")</f>
        <v>arjinmc</v>
      </c>
      <c r="D7664" t="s">
        <v>17</v>
      </c>
      <c r="E7664">
        <v>3</v>
      </c>
    </row>
    <row r="7665" spans="1:5" x14ac:dyDescent="0.25">
      <c r="A7665">
        <v>7664</v>
      </c>
      <c r="B7665">
        <v>5917407</v>
      </c>
      <c r="C7665" s="1" t="str">
        <f>HYPERLINK("http://stackoverflow.com/users/5917407", "Zhi Zi")</f>
        <v>Zhi Zi</v>
      </c>
      <c r="D7665" t="s">
        <v>409</v>
      </c>
      <c r="E7665">
        <v>3</v>
      </c>
    </row>
    <row r="7666" spans="1:5" x14ac:dyDescent="0.25">
      <c r="A7666">
        <v>7665</v>
      </c>
      <c r="B7666">
        <v>5949497</v>
      </c>
      <c r="C7666" s="1" t="str">
        <f>HYPERLINK("http://stackoverflow.com/users/5949497", "Gerry")</f>
        <v>Gerry</v>
      </c>
      <c r="D7666" t="s">
        <v>5</v>
      </c>
      <c r="E7666">
        <v>3</v>
      </c>
    </row>
    <row r="7667" spans="1:5" x14ac:dyDescent="0.25">
      <c r="A7667">
        <v>7666</v>
      </c>
      <c r="B7667">
        <v>7702177</v>
      </c>
      <c r="C7667" s="1" t="str">
        <f>HYPERLINK("http://stackoverflow.com/users/7702177", "Jerry")</f>
        <v>Jerry</v>
      </c>
      <c r="D7667" t="s">
        <v>8</v>
      </c>
      <c r="E7667">
        <v>3</v>
      </c>
    </row>
    <row r="7668" spans="1:5" x14ac:dyDescent="0.25">
      <c r="A7668">
        <v>7667</v>
      </c>
      <c r="B7668">
        <v>5586242</v>
      </c>
      <c r="C7668" s="1" t="str">
        <f>HYPERLINK("http://stackoverflow.com/users/5586242", "Musoy King")</f>
        <v>Musoy King</v>
      </c>
      <c r="D7668" t="s">
        <v>108</v>
      </c>
      <c r="E7668">
        <v>3</v>
      </c>
    </row>
    <row r="7669" spans="1:5" x14ac:dyDescent="0.25">
      <c r="A7669">
        <v>7668</v>
      </c>
      <c r="B7669">
        <v>5532678</v>
      </c>
      <c r="C7669" s="1" t="str">
        <f>HYPERLINK("http://stackoverflow.com/users/5532678", "Guo Eason")</f>
        <v>Guo Eason</v>
      </c>
      <c r="D7669" t="s">
        <v>135</v>
      </c>
      <c r="E7669">
        <v>3</v>
      </c>
    </row>
    <row r="7670" spans="1:5" x14ac:dyDescent="0.25">
      <c r="A7670">
        <v>7669</v>
      </c>
      <c r="B7670">
        <v>7379956</v>
      </c>
      <c r="C7670" s="1" t="str">
        <f>HYPERLINK("http://stackoverflow.com/users/7379956", "fagdih")</f>
        <v>fagdih</v>
      </c>
      <c r="D7670" t="s">
        <v>52</v>
      </c>
      <c r="E7670">
        <v>3</v>
      </c>
    </row>
    <row r="7671" spans="1:5" x14ac:dyDescent="0.25">
      <c r="A7671">
        <v>7670</v>
      </c>
      <c r="B7671">
        <v>5623853</v>
      </c>
      <c r="C7671" s="1" t="str">
        <f>HYPERLINK("http://stackoverflow.com/users/5623853", "Jason_typ")</f>
        <v>Jason_typ</v>
      </c>
      <c r="D7671" t="s">
        <v>4</v>
      </c>
      <c r="E7671">
        <v>3</v>
      </c>
    </row>
    <row r="7672" spans="1:5" x14ac:dyDescent="0.25">
      <c r="A7672">
        <v>7671</v>
      </c>
      <c r="B7672">
        <v>3875570</v>
      </c>
      <c r="C7672" s="1" t="str">
        <f>HYPERLINK("http://stackoverflow.com/users/3875570", "oneway3124")</f>
        <v>oneway3124</v>
      </c>
      <c r="D7672" t="s">
        <v>22</v>
      </c>
      <c r="E7672">
        <v>3</v>
      </c>
    </row>
    <row r="7673" spans="1:5" x14ac:dyDescent="0.25">
      <c r="A7673">
        <v>7672</v>
      </c>
      <c r="B7673">
        <v>5667155</v>
      </c>
      <c r="C7673" s="1" t="str">
        <f>HYPERLINK("http://stackoverflow.com/users/5667155", "Telly Ho")</f>
        <v>Telly Ho</v>
      </c>
      <c r="D7673" t="s">
        <v>55</v>
      </c>
      <c r="E7673">
        <v>3</v>
      </c>
    </row>
    <row r="7674" spans="1:5" x14ac:dyDescent="0.25">
      <c r="A7674">
        <v>7673</v>
      </c>
      <c r="B7674">
        <v>7139030</v>
      </c>
      <c r="C7674" s="1" t="str">
        <f>HYPERLINK("http://stackoverflow.com/users/7139030", "R. Wagenaar")</f>
        <v>R. Wagenaar</v>
      </c>
      <c r="D7674" t="s">
        <v>4</v>
      </c>
      <c r="E7674">
        <v>3</v>
      </c>
    </row>
    <row r="7675" spans="1:5" x14ac:dyDescent="0.25">
      <c r="A7675">
        <v>7674</v>
      </c>
      <c r="B7675">
        <v>1938870</v>
      </c>
      <c r="C7675" s="1" t="str">
        <f>HYPERLINK("http://stackoverflow.com/users/1938870", "ytodayt")</f>
        <v>ytodayt</v>
      </c>
      <c r="D7675" t="s">
        <v>5</v>
      </c>
      <c r="E7675">
        <v>3</v>
      </c>
    </row>
    <row r="7676" spans="1:5" x14ac:dyDescent="0.25">
      <c r="A7676">
        <v>7675</v>
      </c>
      <c r="B7676">
        <v>1929973</v>
      </c>
      <c r="C7676" s="1" t="str">
        <f>HYPERLINK("http://stackoverflow.com/users/1929973", "jimmy.cao")</f>
        <v>jimmy.cao</v>
      </c>
      <c r="D7676" t="s">
        <v>4</v>
      </c>
      <c r="E7676">
        <v>3</v>
      </c>
    </row>
    <row r="7677" spans="1:5" x14ac:dyDescent="0.25">
      <c r="A7677">
        <v>7676</v>
      </c>
      <c r="B7677">
        <v>10761610</v>
      </c>
      <c r="C7677" s="1" t="str">
        <f>HYPERLINK("http://stackoverflow.com/users/10761610", "sajibzzz")</f>
        <v>sajibzzz</v>
      </c>
      <c r="D7677" t="s">
        <v>28</v>
      </c>
      <c r="E7677">
        <v>3</v>
      </c>
    </row>
    <row r="7678" spans="1:5" x14ac:dyDescent="0.25">
      <c r="A7678">
        <v>7677</v>
      </c>
      <c r="B7678">
        <v>8948713</v>
      </c>
      <c r="C7678" s="1" t="str">
        <f>HYPERLINK("http://stackoverflow.com/users/8948713", "Naico")</f>
        <v>Naico</v>
      </c>
      <c r="D7678" t="s">
        <v>4</v>
      </c>
      <c r="E7678">
        <v>3</v>
      </c>
    </row>
    <row r="7679" spans="1:5" x14ac:dyDescent="0.25">
      <c r="A7679">
        <v>7678</v>
      </c>
      <c r="B7679">
        <v>10765686</v>
      </c>
      <c r="C7679" s="1" t="str">
        <f>HYPERLINK("http://stackoverflow.com/users/10765686", "BenHuang923")</f>
        <v>BenHuang923</v>
      </c>
      <c r="D7679" t="s">
        <v>21</v>
      </c>
      <c r="E7679">
        <v>3</v>
      </c>
    </row>
    <row r="7680" spans="1:5" x14ac:dyDescent="0.25">
      <c r="A7680">
        <v>7679</v>
      </c>
      <c r="B7680">
        <v>1800411</v>
      </c>
      <c r="C7680" s="1" t="str">
        <f>HYPERLINK("http://stackoverflow.com/users/1800411", "Qingxin Xu")</f>
        <v>Qingxin Xu</v>
      </c>
      <c r="D7680" t="s">
        <v>3</v>
      </c>
      <c r="E7680">
        <v>3</v>
      </c>
    </row>
    <row r="7681" spans="1:5" x14ac:dyDescent="0.25">
      <c r="A7681">
        <v>7680</v>
      </c>
      <c r="B7681">
        <v>9081734</v>
      </c>
      <c r="C7681" s="1" t="str">
        <f>HYPERLINK("http://stackoverflow.com/users/9081734", "Pamela")</f>
        <v>Pamela</v>
      </c>
      <c r="D7681" t="s">
        <v>74</v>
      </c>
      <c r="E7681">
        <v>3</v>
      </c>
    </row>
    <row r="7682" spans="1:5" x14ac:dyDescent="0.25">
      <c r="A7682">
        <v>7681</v>
      </c>
      <c r="B7682">
        <v>3687297</v>
      </c>
      <c r="C7682" s="1" t="str">
        <f>HYPERLINK("http://stackoverflow.com/users/3687297", "Frank Septillion")</f>
        <v>Frank Septillion</v>
      </c>
      <c r="D7682" t="s">
        <v>410</v>
      </c>
      <c r="E7682">
        <v>3</v>
      </c>
    </row>
    <row r="7683" spans="1:5" x14ac:dyDescent="0.25">
      <c r="A7683">
        <v>7682</v>
      </c>
      <c r="B7683">
        <v>9092510</v>
      </c>
      <c r="C7683" s="1" t="str">
        <f>HYPERLINK("http://stackoverflow.com/users/9092510", "Alan WU")</f>
        <v>Alan WU</v>
      </c>
      <c r="D7683" t="s">
        <v>5</v>
      </c>
      <c r="E7683">
        <v>3</v>
      </c>
    </row>
    <row r="7684" spans="1:5" x14ac:dyDescent="0.25">
      <c r="A7684">
        <v>7683</v>
      </c>
      <c r="B7684">
        <v>5197849</v>
      </c>
      <c r="C7684" s="1" t="str">
        <f>HYPERLINK("http://stackoverflow.com/users/5197849", "RickYun")</f>
        <v>RickYun</v>
      </c>
      <c r="D7684" t="s">
        <v>4</v>
      </c>
      <c r="E7684">
        <v>3</v>
      </c>
    </row>
    <row r="7685" spans="1:5" x14ac:dyDescent="0.25">
      <c r="A7685">
        <v>7684</v>
      </c>
      <c r="B7685">
        <v>10590418</v>
      </c>
      <c r="C7685" s="1" t="str">
        <f>HYPERLINK("http://stackoverflow.com/users/10590418", "ZhetingHu")</f>
        <v>ZhetingHu</v>
      </c>
      <c r="D7685" t="s">
        <v>108</v>
      </c>
      <c r="E7685">
        <v>3</v>
      </c>
    </row>
    <row r="7686" spans="1:5" x14ac:dyDescent="0.25">
      <c r="A7686">
        <v>7685</v>
      </c>
      <c r="B7686">
        <v>1634822</v>
      </c>
      <c r="C7686" s="1" t="str">
        <f>HYPERLINK("http://stackoverflow.com/users/1634822", "lifebest")</f>
        <v>lifebest</v>
      </c>
      <c r="D7686" t="s">
        <v>4</v>
      </c>
      <c r="E7686">
        <v>3</v>
      </c>
    </row>
    <row r="7687" spans="1:5" x14ac:dyDescent="0.25">
      <c r="A7687">
        <v>7686</v>
      </c>
      <c r="B7687">
        <v>7034392</v>
      </c>
      <c r="C7687" s="1" t="str">
        <f>HYPERLINK("http://stackoverflow.com/users/7034392", "saronic")</f>
        <v>saronic</v>
      </c>
      <c r="D7687" t="s">
        <v>240</v>
      </c>
      <c r="E7687">
        <v>3</v>
      </c>
    </row>
    <row r="7688" spans="1:5" x14ac:dyDescent="0.25">
      <c r="A7688">
        <v>7687</v>
      </c>
      <c r="B7688">
        <v>1497643</v>
      </c>
      <c r="C7688" s="1" t="str">
        <f>HYPERLINK("http://stackoverflow.com/users/1497643", "Liu Yongtai")</f>
        <v>Liu Yongtai</v>
      </c>
      <c r="D7688" t="s">
        <v>56</v>
      </c>
      <c r="E7688">
        <v>3</v>
      </c>
    </row>
    <row r="7689" spans="1:5" x14ac:dyDescent="0.25">
      <c r="A7689">
        <v>7688</v>
      </c>
      <c r="B7689">
        <v>1503248</v>
      </c>
      <c r="C7689" s="1" t="str">
        <f>HYPERLINK("http://stackoverflow.com/users/1503248", "Dylan Chen")</f>
        <v>Dylan Chen</v>
      </c>
      <c r="D7689" t="s">
        <v>28</v>
      </c>
      <c r="E7689">
        <v>3</v>
      </c>
    </row>
    <row r="7690" spans="1:5" x14ac:dyDescent="0.25">
      <c r="A7690">
        <v>7689</v>
      </c>
      <c r="B7690">
        <v>1358066</v>
      </c>
      <c r="C7690" s="1" t="str">
        <f>HYPERLINK("http://stackoverflow.com/users/1358066", "Jack")</f>
        <v>Jack</v>
      </c>
      <c r="D7690" t="s">
        <v>4</v>
      </c>
      <c r="E7690">
        <v>3</v>
      </c>
    </row>
    <row r="7691" spans="1:5" x14ac:dyDescent="0.25">
      <c r="A7691">
        <v>7690</v>
      </c>
      <c r="B7691">
        <v>1374032</v>
      </c>
      <c r="C7691" s="1" t="str">
        <f>HYPERLINK("http://stackoverflow.com/users/1374032", "Andrew Zhao")</f>
        <v>Andrew Zhao</v>
      </c>
      <c r="D7691" t="s">
        <v>4</v>
      </c>
      <c r="E7691">
        <v>3</v>
      </c>
    </row>
    <row r="7692" spans="1:5" x14ac:dyDescent="0.25">
      <c r="A7692">
        <v>7691</v>
      </c>
      <c r="B7692">
        <v>1349709</v>
      </c>
      <c r="C7692" s="1" t="str">
        <f>HYPERLINK("http://stackoverflow.com/users/1349709", "liul85")</f>
        <v>liul85</v>
      </c>
      <c r="D7692" t="s">
        <v>54</v>
      </c>
      <c r="E7692">
        <v>3</v>
      </c>
    </row>
    <row r="7693" spans="1:5" x14ac:dyDescent="0.25">
      <c r="A7693">
        <v>7692</v>
      </c>
      <c r="B7693">
        <v>8079745</v>
      </c>
      <c r="C7693" s="1" t="str">
        <f>HYPERLINK("http://stackoverflow.com/users/8079745", "hhh")</f>
        <v>hhh</v>
      </c>
      <c r="D7693" t="s">
        <v>5</v>
      </c>
      <c r="E7693">
        <v>3</v>
      </c>
    </row>
    <row r="7694" spans="1:5" x14ac:dyDescent="0.25">
      <c r="A7694">
        <v>7693</v>
      </c>
      <c r="B7694">
        <v>2739086</v>
      </c>
      <c r="C7694" s="1" t="str">
        <f>HYPERLINK("http://stackoverflow.com/users/2739086", "Ian Yin")</f>
        <v>Ian Yin</v>
      </c>
      <c r="D7694" t="s">
        <v>5</v>
      </c>
      <c r="E7694">
        <v>3</v>
      </c>
    </row>
    <row r="7695" spans="1:5" x14ac:dyDescent="0.25">
      <c r="A7695">
        <v>7694</v>
      </c>
      <c r="B7695">
        <v>6309230</v>
      </c>
      <c r="C7695" s="1" t="str">
        <f>HYPERLINK("http://stackoverflow.com/users/6309230", "Shin Biao")</f>
        <v>Shin Biao</v>
      </c>
      <c r="D7695" t="s">
        <v>7</v>
      </c>
      <c r="E7695">
        <v>3</v>
      </c>
    </row>
    <row r="7696" spans="1:5" x14ac:dyDescent="0.25">
      <c r="A7696">
        <v>7695</v>
      </c>
      <c r="B7696">
        <v>703524</v>
      </c>
      <c r="C7696" s="1" t="str">
        <f>HYPERLINK("http://stackoverflow.com/users/703524", "whuang")</f>
        <v>whuang</v>
      </c>
      <c r="D7696" t="s">
        <v>5</v>
      </c>
      <c r="E7696">
        <v>3</v>
      </c>
    </row>
    <row r="7697" spans="1:5" x14ac:dyDescent="0.25">
      <c r="A7697">
        <v>7696</v>
      </c>
      <c r="B7697">
        <v>4614301</v>
      </c>
      <c r="C7697" s="1" t="str">
        <f>HYPERLINK("http://stackoverflow.com/users/4614301", "Wendell Hu")</f>
        <v>Wendell Hu</v>
      </c>
      <c r="D7697" t="s">
        <v>12</v>
      </c>
      <c r="E7697">
        <v>3</v>
      </c>
    </row>
    <row r="7698" spans="1:5" x14ac:dyDescent="0.25">
      <c r="A7698">
        <v>7697</v>
      </c>
      <c r="B7698">
        <v>4343920</v>
      </c>
      <c r="C7698" s="1" t="str">
        <f>HYPERLINK("http://stackoverflow.com/users/4343920", "Jackie")</f>
        <v>Jackie</v>
      </c>
      <c r="D7698" t="s">
        <v>21</v>
      </c>
      <c r="E7698">
        <v>3</v>
      </c>
    </row>
    <row r="7699" spans="1:5" x14ac:dyDescent="0.25">
      <c r="A7699">
        <v>7698</v>
      </c>
      <c r="B7699">
        <v>7887046</v>
      </c>
      <c r="C7699" s="1" t="str">
        <f>HYPERLINK("http://stackoverflow.com/users/7887046", "Xun Li")</f>
        <v>Xun Li</v>
      </c>
      <c r="D7699" t="s">
        <v>4</v>
      </c>
      <c r="E7699">
        <v>3</v>
      </c>
    </row>
    <row r="7700" spans="1:5" x14ac:dyDescent="0.25">
      <c r="A7700">
        <v>7699</v>
      </c>
      <c r="B7700">
        <v>6187568</v>
      </c>
      <c r="C7700" s="1" t="str">
        <f>HYPERLINK("http://stackoverflow.com/users/6187568", "Lucy Wu")</f>
        <v>Lucy Wu</v>
      </c>
      <c r="D7700" t="s">
        <v>5</v>
      </c>
      <c r="E7700">
        <v>3</v>
      </c>
    </row>
    <row r="7701" spans="1:5" x14ac:dyDescent="0.25">
      <c r="A7701">
        <v>7700</v>
      </c>
      <c r="B7701">
        <v>2589941</v>
      </c>
      <c r="C7701" s="1" t="str">
        <f>HYPERLINK("http://stackoverflow.com/users/2589941", "Stalvan Mistmantle")</f>
        <v>Stalvan Mistmantle</v>
      </c>
      <c r="D7701" t="s">
        <v>5</v>
      </c>
      <c r="E7701">
        <v>3</v>
      </c>
    </row>
    <row r="7702" spans="1:5" x14ac:dyDescent="0.25">
      <c r="A7702">
        <v>7701</v>
      </c>
      <c r="B7702">
        <v>8352001</v>
      </c>
      <c r="C7702" s="1" t="str">
        <f>HYPERLINK("http://stackoverflow.com/users/8352001", "haihao zhou")</f>
        <v>haihao zhou</v>
      </c>
      <c r="D7702" t="s">
        <v>25</v>
      </c>
      <c r="E7702">
        <v>3</v>
      </c>
    </row>
    <row r="7703" spans="1:5" x14ac:dyDescent="0.25">
      <c r="A7703">
        <v>7702</v>
      </c>
      <c r="B7703">
        <v>8444477</v>
      </c>
      <c r="C7703" s="1" t="str">
        <f>HYPERLINK("http://stackoverflow.com/users/8444477", "Zhenglinj")</f>
        <v>Zhenglinj</v>
      </c>
      <c r="D7703" t="s">
        <v>16</v>
      </c>
      <c r="E7703">
        <v>3</v>
      </c>
    </row>
    <row r="7704" spans="1:5" x14ac:dyDescent="0.25">
      <c r="A7704">
        <v>7703</v>
      </c>
      <c r="B7704">
        <v>883664</v>
      </c>
      <c r="C7704" s="1" t="str">
        <f>HYPERLINK("http://stackoverflow.com/users/883664", "Jason Lee")</f>
        <v>Jason Lee</v>
      </c>
      <c r="D7704" t="s">
        <v>35</v>
      </c>
      <c r="E7704">
        <v>3</v>
      </c>
    </row>
    <row r="7705" spans="1:5" x14ac:dyDescent="0.25">
      <c r="A7705">
        <v>7704</v>
      </c>
      <c r="B7705">
        <v>2959068</v>
      </c>
      <c r="C7705" s="1" t="str">
        <f>HYPERLINK("http://stackoverflow.com/users/2959068", "longyue0521")</f>
        <v>longyue0521</v>
      </c>
      <c r="D7705" t="s">
        <v>5</v>
      </c>
      <c r="E7705">
        <v>3</v>
      </c>
    </row>
    <row r="7706" spans="1:5" x14ac:dyDescent="0.25">
      <c r="A7706">
        <v>7705</v>
      </c>
      <c r="B7706">
        <v>8342385</v>
      </c>
      <c r="C7706" s="1" t="str">
        <f>HYPERLINK("http://stackoverflow.com/users/8342385", "Choogle")</f>
        <v>Choogle</v>
      </c>
      <c r="D7706" t="s">
        <v>5</v>
      </c>
      <c r="E7706">
        <v>3</v>
      </c>
    </row>
    <row r="7707" spans="1:5" x14ac:dyDescent="0.25">
      <c r="A7707">
        <v>7706</v>
      </c>
      <c r="B7707">
        <v>9345052</v>
      </c>
      <c r="C7707" s="1" t="str">
        <f>HYPERLINK("http://stackoverflow.com/users/9345052", "Rui N.")</f>
        <v>Rui N.</v>
      </c>
      <c r="D7707" t="s">
        <v>383</v>
      </c>
      <c r="E7707">
        <v>3</v>
      </c>
    </row>
    <row r="7708" spans="1:5" x14ac:dyDescent="0.25">
      <c r="A7708">
        <v>7707</v>
      </c>
      <c r="B7708">
        <v>3710430</v>
      </c>
      <c r="C7708" s="1" t="str">
        <f>HYPERLINK("http://stackoverflow.com/users/3710430", "Lorin")</f>
        <v>Lorin</v>
      </c>
      <c r="D7708" t="s">
        <v>4</v>
      </c>
      <c r="E7708">
        <v>3</v>
      </c>
    </row>
    <row r="7709" spans="1:5" x14ac:dyDescent="0.25">
      <c r="A7709">
        <v>7708</v>
      </c>
      <c r="B7709">
        <v>5934522</v>
      </c>
      <c r="C7709" s="1" t="str">
        <f>HYPERLINK("http://stackoverflow.com/users/5934522", "tbriley")</f>
        <v>tbriley</v>
      </c>
      <c r="D7709" t="s">
        <v>4</v>
      </c>
      <c r="E7709">
        <v>3</v>
      </c>
    </row>
    <row r="7710" spans="1:5" x14ac:dyDescent="0.25">
      <c r="A7710">
        <v>7709</v>
      </c>
      <c r="B7710">
        <v>5883743</v>
      </c>
      <c r="C7710" s="1" t="str">
        <f>HYPERLINK("http://stackoverflow.com/users/5883743", "陈灵健")</f>
        <v>陈灵健</v>
      </c>
      <c r="D7710" t="s">
        <v>4</v>
      </c>
      <c r="E7710">
        <v>3</v>
      </c>
    </row>
    <row r="7711" spans="1:5" x14ac:dyDescent="0.25">
      <c r="A7711">
        <v>7710</v>
      </c>
      <c r="B7711">
        <v>5840254</v>
      </c>
      <c r="C7711" s="1" t="str">
        <f>HYPERLINK("http://stackoverflow.com/users/5840254", "Struggle Coder")</f>
        <v>Struggle Coder</v>
      </c>
      <c r="D7711" t="s">
        <v>5</v>
      </c>
      <c r="E7711">
        <v>3</v>
      </c>
    </row>
    <row r="7712" spans="1:5" x14ac:dyDescent="0.25">
      <c r="A7712">
        <v>7711</v>
      </c>
      <c r="B7712">
        <v>9556578</v>
      </c>
      <c r="C7712" s="1" t="str">
        <f>HYPERLINK("http://stackoverflow.com/users/9556578", "ysgc")</f>
        <v>ysgc</v>
      </c>
      <c r="D7712" t="s">
        <v>91</v>
      </c>
      <c r="E7712">
        <v>3</v>
      </c>
    </row>
    <row r="7713" spans="1:5" x14ac:dyDescent="0.25">
      <c r="A7713">
        <v>7712</v>
      </c>
      <c r="B7713">
        <v>9514460</v>
      </c>
      <c r="C7713" s="1" t="str">
        <f>HYPERLINK("http://stackoverflow.com/users/9514460", "kimson Dooland")</f>
        <v>kimson Dooland</v>
      </c>
      <c r="D7713" t="s">
        <v>5</v>
      </c>
      <c r="E7713">
        <v>3</v>
      </c>
    </row>
    <row r="7714" spans="1:5" x14ac:dyDescent="0.25">
      <c r="A7714">
        <v>7713</v>
      </c>
      <c r="B7714">
        <v>2342266</v>
      </c>
      <c r="C7714" s="1" t="str">
        <f>HYPERLINK("http://stackoverflow.com/users/2342266", "colin_huhu")</f>
        <v>colin_huhu</v>
      </c>
      <c r="D7714" t="s">
        <v>250</v>
      </c>
      <c r="E7714">
        <v>3</v>
      </c>
    </row>
    <row r="7715" spans="1:5" x14ac:dyDescent="0.25">
      <c r="A7715">
        <v>7714</v>
      </c>
      <c r="B7715">
        <v>4178699</v>
      </c>
      <c r="C7715" s="1" t="str">
        <f>HYPERLINK("http://stackoverflow.com/users/4178699", "itdroid")</f>
        <v>itdroid</v>
      </c>
      <c r="D7715" t="s">
        <v>4</v>
      </c>
      <c r="E7715">
        <v>3</v>
      </c>
    </row>
    <row r="7716" spans="1:5" x14ac:dyDescent="0.25">
      <c r="A7716">
        <v>7715</v>
      </c>
      <c r="B7716">
        <v>4214926</v>
      </c>
      <c r="C7716" s="1" t="str">
        <f>HYPERLINK("http://stackoverflow.com/users/4214926", "anxingle")</f>
        <v>anxingle</v>
      </c>
      <c r="D7716" t="s">
        <v>5</v>
      </c>
      <c r="E7716">
        <v>3</v>
      </c>
    </row>
    <row r="7717" spans="1:5" x14ac:dyDescent="0.25">
      <c r="A7717">
        <v>7716</v>
      </c>
      <c r="B7717">
        <v>4280836</v>
      </c>
      <c r="C7717" s="1" t="str">
        <f>HYPERLINK("http://stackoverflow.com/users/4280836", "ronhunlam")</f>
        <v>ronhunlam</v>
      </c>
      <c r="D7717" t="s">
        <v>38</v>
      </c>
      <c r="E7717">
        <v>3</v>
      </c>
    </row>
    <row r="7718" spans="1:5" x14ac:dyDescent="0.25">
      <c r="A7718">
        <v>7717</v>
      </c>
      <c r="B7718">
        <v>7792800</v>
      </c>
      <c r="C7718" s="1" t="str">
        <f>HYPERLINK("http://stackoverflow.com/users/7792800", "sebng")</f>
        <v>sebng</v>
      </c>
      <c r="D7718" t="s">
        <v>126</v>
      </c>
      <c r="E7718">
        <v>3</v>
      </c>
    </row>
    <row r="7719" spans="1:5" x14ac:dyDescent="0.25">
      <c r="A7719">
        <v>7718</v>
      </c>
      <c r="B7719">
        <v>1979505</v>
      </c>
      <c r="C7719" s="1" t="str">
        <f>HYPERLINK("http://stackoverflow.com/users/1979505", "Shawn Wang")</f>
        <v>Shawn Wang</v>
      </c>
      <c r="D7719" t="s">
        <v>5</v>
      </c>
      <c r="E7719">
        <v>3</v>
      </c>
    </row>
    <row r="7720" spans="1:5" x14ac:dyDescent="0.25">
      <c r="A7720">
        <v>7719</v>
      </c>
      <c r="B7720">
        <v>1957013</v>
      </c>
      <c r="C7720" s="1" t="str">
        <f>HYPERLINK("http://stackoverflow.com/users/1957013", "Sharing")</f>
        <v>Sharing</v>
      </c>
      <c r="D7720" t="s">
        <v>411</v>
      </c>
      <c r="E7720">
        <v>3</v>
      </c>
    </row>
    <row r="7721" spans="1:5" x14ac:dyDescent="0.25">
      <c r="A7721">
        <v>7720</v>
      </c>
      <c r="B7721">
        <v>9138495</v>
      </c>
      <c r="C7721" s="1" t="str">
        <f>HYPERLINK("http://stackoverflow.com/users/9138495", "kiudou")</f>
        <v>kiudou</v>
      </c>
      <c r="D7721" t="s">
        <v>33</v>
      </c>
      <c r="E7721">
        <v>3</v>
      </c>
    </row>
    <row r="7722" spans="1:5" x14ac:dyDescent="0.25">
      <c r="A7722">
        <v>7721</v>
      </c>
      <c r="B7722">
        <v>7372497</v>
      </c>
      <c r="C7722" s="1" t="str">
        <f>HYPERLINK("http://stackoverflow.com/users/7372497", "Max Sky")</f>
        <v>Max Sky</v>
      </c>
      <c r="D7722" t="s">
        <v>62</v>
      </c>
      <c r="E7722">
        <v>3</v>
      </c>
    </row>
    <row r="7723" spans="1:5" x14ac:dyDescent="0.25">
      <c r="A7723">
        <v>7722</v>
      </c>
      <c r="B7723">
        <v>11055207</v>
      </c>
      <c r="C7723" s="1" t="str">
        <f>HYPERLINK("http://stackoverflow.com/users/11055207", "Yang")</f>
        <v>Yang</v>
      </c>
      <c r="D7723" t="s">
        <v>91</v>
      </c>
      <c r="E7723">
        <v>3</v>
      </c>
    </row>
    <row r="7724" spans="1:5" x14ac:dyDescent="0.25">
      <c r="A7724">
        <v>7723</v>
      </c>
      <c r="B7724">
        <v>11059872</v>
      </c>
      <c r="C7724" s="1" t="str">
        <f>HYPERLINK("http://stackoverflow.com/users/11059872", "John")</f>
        <v>John</v>
      </c>
      <c r="D7724" t="s">
        <v>5</v>
      </c>
      <c r="E7724">
        <v>3</v>
      </c>
    </row>
    <row r="7725" spans="1:5" x14ac:dyDescent="0.25">
      <c r="A7725">
        <v>7724</v>
      </c>
      <c r="B7725">
        <v>7481668</v>
      </c>
      <c r="C7725" s="1" t="str">
        <f>HYPERLINK("http://stackoverflow.com/users/7481668", "Zhonghan Liu")</f>
        <v>Zhonghan Liu</v>
      </c>
      <c r="D7725" t="s">
        <v>5</v>
      </c>
      <c r="E7725">
        <v>3</v>
      </c>
    </row>
    <row r="7726" spans="1:5" x14ac:dyDescent="0.25">
      <c r="A7726">
        <v>7725</v>
      </c>
      <c r="B7726">
        <v>1484844</v>
      </c>
      <c r="C7726" s="1" t="str">
        <f>HYPERLINK("http://stackoverflow.com/users/1484844", "RandyZ")</f>
        <v>RandyZ</v>
      </c>
      <c r="D7726" t="s">
        <v>35</v>
      </c>
      <c r="E7726">
        <v>3</v>
      </c>
    </row>
    <row r="7727" spans="1:5" x14ac:dyDescent="0.25">
      <c r="A7727">
        <v>7726</v>
      </c>
      <c r="B7727">
        <v>10550755</v>
      </c>
      <c r="C7727" s="1" t="str">
        <f>HYPERLINK("http://stackoverflow.com/users/10550755", "Kathleen Wei")</f>
        <v>Kathleen Wei</v>
      </c>
      <c r="D7727" t="s">
        <v>189</v>
      </c>
      <c r="E7727">
        <v>3</v>
      </c>
    </row>
    <row r="7728" spans="1:5" x14ac:dyDescent="0.25">
      <c r="A7728">
        <v>7727</v>
      </c>
      <c r="B7728">
        <v>8596126</v>
      </c>
      <c r="C7728" s="1" t="str">
        <f>HYPERLINK("http://stackoverflow.com/users/8596126", "Enoch.Liu")</f>
        <v>Enoch.Liu</v>
      </c>
      <c r="D7728" t="s">
        <v>6</v>
      </c>
      <c r="E7728">
        <v>3</v>
      </c>
    </row>
    <row r="7729" spans="1:5" x14ac:dyDescent="0.25">
      <c r="A7729">
        <v>7728</v>
      </c>
      <c r="B7729">
        <v>1347930</v>
      </c>
      <c r="C7729" s="1" t="str">
        <f>HYPERLINK("http://stackoverflow.com/users/1347930", "mutoulbj")</f>
        <v>mutoulbj</v>
      </c>
      <c r="D7729" t="s">
        <v>16</v>
      </c>
      <c r="E7729">
        <v>3</v>
      </c>
    </row>
    <row r="7730" spans="1:5" x14ac:dyDescent="0.25">
      <c r="A7730">
        <v>7729</v>
      </c>
      <c r="B7730">
        <v>1423660</v>
      </c>
      <c r="C7730" s="1" t="str">
        <f>HYPERLINK("http://stackoverflow.com/users/1423660", "LINE")</f>
        <v>LINE</v>
      </c>
      <c r="D7730" t="s">
        <v>5</v>
      </c>
      <c r="E7730">
        <v>3</v>
      </c>
    </row>
    <row r="7731" spans="1:5" x14ac:dyDescent="0.25">
      <c r="A7731">
        <v>7730</v>
      </c>
      <c r="B7731">
        <v>1184459</v>
      </c>
      <c r="C7731" s="1" t="str">
        <f>HYPERLINK("http://stackoverflow.com/users/1184459", "HenryLee")</f>
        <v>HenryLee</v>
      </c>
      <c r="D7731" t="s">
        <v>22</v>
      </c>
      <c r="E7731">
        <v>3</v>
      </c>
    </row>
    <row r="7732" spans="1:5" x14ac:dyDescent="0.25">
      <c r="A7732">
        <v>7731</v>
      </c>
      <c r="B7732">
        <v>3135629</v>
      </c>
      <c r="C7732" s="1" t="str">
        <f>HYPERLINK("http://stackoverflow.com/users/3135629", "dakeqi")</f>
        <v>dakeqi</v>
      </c>
      <c r="D7732" t="s">
        <v>56</v>
      </c>
      <c r="E7732">
        <v>3</v>
      </c>
    </row>
    <row r="7733" spans="1:5" x14ac:dyDescent="0.25">
      <c r="A7733">
        <v>7732</v>
      </c>
      <c r="B7733">
        <v>1140296</v>
      </c>
      <c r="C7733" s="1" t="str">
        <f>HYPERLINK("http://stackoverflow.com/users/1140296", "Catalin Anton")</f>
        <v>Catalin Anton</v>
      </c>
      <c r="D7733" t="s">
        <v>4</v>
      </c>
      <c r="E7733">
        <v>3</v>
      </c>
    </row>
    <row r="7734" spans="1:5" x14ac:dyDescent="0.25">
      <c r="A7734">
        <v>7733</v>
      </c>
      <c r="B7734">
        <v>5250544</v>
      </c>
      <c r="C7734" s="1" t="str">
        <f>HYPERLINK("http://stackoverflow.com/users/5250544", "jeff.zhou")</f>
        <v>jeff.zhou</v>
      </c>
      <c r="D7734" t="s">
        <v>21</v>
      </c>
      <c r="E7734">
        <v>3</v>
      </c>
    </row>
    <row r="7735" spans="1:5" x14ac:dyDescent="0.25">
      <c r="A7735">
        <v>7734</v>
      </c>
      <c r="B7735">
        <v>8758194</v>
      </c>
      <c r="C7735" s="1" t="str">
        <f>HYPERLINK("http://stackoverflow.com/users/8758194", "Joyce Gao")</f>
        <v>Joyce Gao</v>
      </c>
      <c r="D7735" t="s">
        <v>7</v>
      </c>
      <c r="E7735">
        <v>3</v>
      </c>
    </row>
    <row r="7736" spans="1:5" x14ac:dyDescent="0.25">
      <c r="A7736">
        <v>7735</v>
      </c>
      <c r="B7736">
        <v>10596537</v>
      </c>
      <c r="C7736" s="1" t="str">
        <f>HYPERLINK("http://stackoverflow.com/users/10596537", "evillt")</f>
        <v>evillt</v>
      </c>
      <c r="D7736" t="s">
        <v>25</v>
      </c>
      <c r="E7736">
        <v>3</v>
      </c>
    </row>
    <row r="7737" spans="1:5" x14ac:dyDescent="0.25">
      <c r="A7737">
        <v>7736</v>
      </c>
      <c r="B7737">
        <v>3503269</v>
      </c>
      <c r="C7737" s="1" t="str">
        <f>HYPERLINK("http://stackoverflow.com/users/3503269", "Alex.Bob")</f>
        <v>Alex.Bob</v>
      </c>
      <c r="D7737" t="s">
        <v>54</v>
      </c>
      <c r="E7737">
        <v>3</v>
      </c>
    </row>
    <row r="7738" spans="1:5" x14ac:dyDescent="0.25">
      <c r="A7738">
        <v>7737</v>
      </c>
      <c r="B7738">
        <v>1662370</v>
      </c>
      <c r="C7738" s="1" t="str">
        <f>HYPERLINK("http://stackoverflow.com/users/1662370", "Daniel")</f>
        <v>Daniel</v>
      </c>
      <c r="D7738" t="s">
        <v>5</v>
      </c>
      <c r="E7738">
        <v>3</v>
      </c>
    </row>
    <row r="7739" spans="1:5" x14ac:dyDescent="0.25">
      <c r="A7739">
        <v>7738</v>
      </c>
      <c r="B7739">
        <v>8872200</v>
      </c>
      <c r="C7739" s="1" t="str">
        <f>HYPERLINK("http://stackoverflow.com/users/8872200", "Arktische")</f>
        <v>Arktische</v>
      </c>
      <c r="D7739" t="s">
        <v>52</v>
      </c>
      <c r="E7739">
        <v>3</v>
      </c>
    </row>
    <row r="7740" spans="1:5" x14ac:dyDescent="0.25">
      <c r="A7740">
        <v>7739</v>
      </c>
      <c r="B7740">
        <v>9076917</v>
      </c>
      <c r="C7740" s="1" t="str">
        <f>HYPERLINK("http://stackoverflow.com/users/9076917", "Il Kim")</f>
        <v>Il Kim</v>
      </c>
      <c r="D7740" t="s">
        <v>4</v>
      </c>
      <c r="E7740">
        <v>3</v>
      </c>
    </row>
    <row r="7741" spans="1:5" x14ac:dyDescent="0.25">
      <c r="A7741">
        <v>7740</v>
      </c>
      <c r="B7741">
        <v>7104240</v>
      </c>
      <c r="C7741" s="1" t="str">
        <f>HYPERLINK("http://stackoverflow.com/users/7104240", "Ding Wei")</f>
        <v>Ding Wei</v>
      </c>
      <c r="D7741" t="s">
        <v>55</v>
      </c>
      <c r="E7741">
        <v>3</v>
      </c>
    </row>
    <row r="7742" spans="1:5" x14ac:dyDescent="0.25">
      <c r="A7742">
        <v>7741</v>
      </c>
      <c r="B7742">
        <v>10818611</v>
      </c>
      <c r="C7742" s="1" t="str">
        <f>HYPERLINK("http://stackoverflow.com/users/10818611", "ienx")</f>
        <v>ienx</v>
      </c>
      <c r="D7742" t="s">
        <v>52</v>
      </c>
      <c r="E7742">
        <v>3</v>
      </c>
    </row>
    <row r="7743" spans="1:5" x14ac:dyDescent="0.25">
      <c r="A7743">
        <v>7742</v>
      </c>
      <c r="B7743">
        <v>9012322</v>
      </c>
      <c r="C7743" s="1" t="str">
        <f>HYPERLINK("http://stackoverflow.com/users/9012322", "leo Yang")</f>
        <v>leo Yang</v>
      </c>
      <c r="D7743" t="s">
        <v>5</v>
      </c>
      <c r="E7743">
        <v>3</v>
      </c>
    </row>
    <row r="7744" spans="1:5" x14ac:dyDescent="0.25">
      <c r="A7744">
        <v>7743</v>
      </c>
      <c r="B7744">
        <v>8369636</v>
      </c>
      <c r="C7744" s="1" t="str">
        <f>HYPERLINK("http://stackoverflow.com/users/8369636", "rootuser")</f>
        <v>rootuser</v>
      </c>
      <c r="D7744" t="s">
        <v>322</v>
      </c>
      <c r="E7744">
        <v>3</v>
      </c>
    </row>
    <row r="7745" spans="1:5" x14ac:dyDescent="0.25">
      <c r="A7745">
        <v>7744</v>
      </c>
      <c r="B7745">
        <v>986982</v>
      </c>
      <c r="C7745" s="1" t="str">
        <f>HYPERLINK("http://stackoverflow.com/users/986982", "Henry")</f>
        <v>Henry</v>
      </c>
      <c r="D7745" t="s">
        <v>4</v>
      </c>
      <c r="E7745">
        <v>3</v>
      </c>
    </row>
    <row r="7746" spans="1:5" x14ac:dyDescent="0.25">
      <c r="A7746">
        <v>7745</v>
      </c>
      <c r="B7746">
        <v>966678</v>
      </c>
      <c r="C7746" s="1" t="str">
        <f>HYPERLINK("http://stackoverflow.com/users/966678", "David Smith")</f>
        <v>David Smith</v>
      </c>
      <c r="D7746" t="s">
        <v>4</v>
      </c>
      <c r="E7746">
        <v>3</v>
      </c>
    </row>
    <row r="7747" spans="1:5" x14ac:dyDescent="0.25">
      <c r="A7747">
        <v>7746</v>
      </c>
      <c r="B7747">
        <v>1083491</v>
      </c>
      <c r="C7747" s="1" t="str">
        <f>HYPERLINK("http://stackoverflow.com/users/1083491", "Sam Huang")</f>
        <v>Sam Huang</v>
      </c>
      <c r="D7747" t="s">
        <v>17</v>
      </c>
      <c r="E7747">
        <v>3</v>
      </c>
    </row>
    <row r="7748" spans="1:5" x14ac:dyDescent="0.25">
      <c r="A7748">
        <v>7747</v>
      </c>
      <c r="B7748">
        <v>3045797</v>
      </c>
      <c r="C7748" s="1" t="str">
        <f>HYPERLINK("http://stackoverflow.com/users/3045797", "Rain Miao")</f>
        <v>Rain Miao</v>
      </c>
      <c r="D7748" t="s">
        <v>5</v>
      </c>
      <c r="E7748">
        <v>3</v>
      </c>
    </row>
    <row r="7749" spans="1:5" x14ac:dyDescent="0.25">
      <c r="A7749">
        <v>7748</v>
      </c>
      <c r="B7749">
        <v>8239867</v>
      </c>
      <c r="C7749" s="1" t="str">
        <f>HYPERLINK("http://stackoverflow.com/users/8239867", "Dongdong")</f>
        <v>Dongdong</v>
      </c>
      <c r="D7749" t="s">
        <v>79</v>
      </c>
      <c r="E7749">
        <v>3</v>
      </c>
    </row>
    <row r="7750" spans="1:5" x14ac:dyDescent="0.25">
      <c r="A7750">
        <v>7749</v>
      </c>
      <c r="B7750">
        <v>712724</v>
      </c>
      <c r="C7750" s="1" t="str">
        <f>HYPERLINK("http://stackoverflow.com/users/712724", "larryisthere")</f>
        <v>larryisthere</v>
      </c>
      <c r="D7750" t="s">
        <v>5</v>
      </c>
      <c r="E7750">
        <v>3</v>
      </c>
    </row>
    <row r="7751" spans="1:5" x14ac:dyDescent="0.25">
      <c r="A7751">
        <v>7750</v>
      </c>
      <c r="B7751">
        <v>9982390</v>
      </c>
      <c r="C7751" s="1" t="str">
        <f>HYPERLINK("http://stackoverflow.com/users/9982390", "Daniel Geuza")</f>
        <v>Daniel Geuza</v>
      </c>
      <c r="D7751" t="s">
        <v>29</v>
      </c>
      <c r="E7751">
        <v>3</v>
      </c>
    </row>
    <row r="7752" spans="1:5" x14ac:dyDescent="0.25">
      <c r="A7752">
        <v>7751</v>
      </c>
      <c r="B7752">
        <v>719973</v>
      </c>
      <c r="C7752" s="1" t="str">
        <f>HYPERLINK("http://stackoverflow.com/users/719973", "heatingtube")</f>
        <v>heatingtube</v>
      </c>
      <c r="D7752" t="s">
        <v>5</v>
      </c>
      <c r="E7752">
        <v>3</v>
      </c>
    </row>
    <row r="7753" spans="1:5" x14ac:dyDescent="0.25">
      <c r="A7753">
        <v>7752</v>
      </c>
      <c r="B7753">
        <v>4754366</v>
      </c>
      <c r="C7753" s="1" t="str">
        <f>HYPERLINK("http://stackoverflow.com/users/4754366", "zhanzhan0812")</f>
        <v>zhanzhan0812</v>
      </c>
      <c r="D7753" t="s">
        <v>5</v>
      </c>
      <c r="E7753">
        <v>3</v>
      </c>
    </row>
    <row r="7754" spans="1:5" x14ac:dyDescent="0.25">
      <c r="A7754">
        <v>7753</v>
      </c>
      <c r="B7754">
        <v>862723</v>
      </c>
      <c r="C7754" s="1" t="str">
        <f>HYPERLINK("http://stackoverflow.com/users/862723", "countcain")</f>
        <v>countcain</v>
      </c>
      <c r="D7754" t="s">
        <v>38</v>
      </c>
      <c r="E7754">
        <v>3</v>
      </c>
    </row>
    <row r="7755" spans="1:5" x14ac:dyDescent="0.25">
      <c r="A7755">
        <v>7754</v>
      </c>
      <c r="B7755">
        <v>6060974</v>
      </c>
      <c r="C7755" s="1" t="str">
        <f>HYPERLINK("http://stackoverflow.com/users/6060974", "geek-zwb")</f>
        <v>geek-zwb</v>
      </c>
      <c r="D7755" t="s">
        <v>96</v>
      </c>
      <c r="E7755">
        <v>3</v>
      </c>
    </row>
    <row r="7756" spans="1:5" x14ac:dyDescent="0.25">
      <c r="A7756">
        <v>7755</v>
      </c>
      <c r="B7756">
        <v>9690999</v>
      </c>
      <c r="C7756" s="1" t="str">
        <f>HYPERLINK("http://stackoverflow.com/users/9690999", "Julia Chen")</f>
        <v>Julia Chen</v>
      </c>
      <c r="D7756" t="s">
        <v>4</v>
      </c>
      <c r="E7756">
        <v>3</v>
      </c>
    </row>
    <row r="7757" spans="1:5" x14ac:dyDescent="0.25">
      <c r="A7757">
        <v>7756</v>
      </c>
      <c r="B7757">
        <v>2594982</v>
      </c>
      <c r="C7757" s="1" t="str">
        <f>HYPERLINK("http://stackoverflow.com/users/2594982", "cssmhyl")</f>
        <v>cssmhyl</v>
      </c>
      <c r="D7757" t="s">
        <v>4</v>
      </c>
      <c r="E7757">
        <v>3</v>
      </c>
    </row>
    <row r="7758" spans="1:5" x14ac:dyDescent="0.25">
      <c r="A7758">
        <v>7757</v>
      </c>
      <c r="B7758">
        <v>2815249</v>
      </c>
      <c r="C7758" s="1" t="str">
        <f>HYPERLINK("http://stackoverflow.com/users/2815249", "matt.lowdermilk")</f>
        <v>matt.lowdermilk</v>
      </c>
      <c r="D7758" t="s">
        <v>5</v>
      </c>
      <c r="E7758">
        <v>3</v>
      </c>
    </row>
    <row r="7759" spans="1:5" x14ac:dyDescent="0.25">
      <c r="A7759">
        <v>7758</v>
      </c>
      <c r="B7759">
        <v>6330034</v>
      </c>
      <c r="C7759" s="1" t="str">
        <f>HYPERLINK("http://stackoverflow.com/users/6330034", "niutrue")</f>
        <v>niutrue</v>
      </c>
      <c r="D7759" t="s">
        <v>5</v>
      </c>
      <c r="E7759">
        <v>3</v>
      </c>
    </row>
    <row r="7760" spans="1:5" x14ac:dyDescent="0.25">
      <c r="A7760">
        <v>7759</v>
      </c>
      <c r="B7760">
        <v>2768273</v>
      </c>
      <c r="C7760" s="1" t="str">
        <f>HYPERLINK("http://stackoverflow.com/users/2768273", "Herlin Drew")</f>
        <v>Herlin Drew</v>
      </c>
      <c r="D7760" t="s">
        <v>5</v>
      </c>
      <c r="E7760">
        <v>3</v>
      </c>
    </row>
    <row r="7761" spans="1:5" x14ac:dyDescent="0.25">
      <c r="A7761">
        <v>7760</v>
      </c>
      <c r="B7761">
        <v>548781</v>
      </c>
      <c r="C7761" s="1" t="str">
        <f>HYPERLINK("http://stackoverflow.com/users/548781", "Terry Hsu")</f>
        <v>Terry Hsu</v>
      </c>
      <c r="D7761" t="s">
        <v>3</v>
      </c>
      <c r="E7761">
        <v>3</v>
      </c>
    </row>
    <row r="7762" spans="1:5" x14ac:dyDescent="0.25">
      <c r="A7762">
        <v>7761</v>
      </c>
      <c r="B7762">
        <v>5375693</v>
      </c>
      <c r="C7762" s="1" t="str">
        <f>HYPERLINK("http://stackoverflow.com/users/5375693", "robinfang")</f>
        <v>robinfang</v>
      </c>
      <c r="D7762" t="s">
        <v>5</v>
      </c>
      <c r="E7762">
        <v>3</v>
      </c>
    </row>
    <row r="7763" spans="1:5" x14ac:dyDescent="0.25">
      <c r="A7763">
        <v>7762</v>
      </c>
      <c r="B7763">
        <v>5371409</v>
      </c>
      <c r="C7763" s="1" t="str">
        <f>HYPERLINK("http://stackoverflow.com/users/5371409", "Arto Toppi")</f>
        <v>Arto Toppi</v>
      </c>
      <c r="D7763" t="s">
        <v>5</v>
      </c>
      <c r="E7763">
        <v>3</v>
      </c>
    </row>
    <row r="7764" spans="1:5" x14ac:dyDescent="0.25">
      <c r="A7764">
        <v>7763</v>
      </c>
      <c r="B7764">
        <v>1996320</v>
      </c>
      <c r="C7764" s="1" t="str">
        <f>HYPERLINK("http://stackoverflow.com/users/1996320", "Fern")</f>
        <v>Fern</v>
      </c>
      <c r="D7764" t="s">
        <v>4</v>
      </c>
      <c r="E7764">
        <v>3</v>
      </c>
    </row>
    <row r="7765" spans="1:5" x14ac:dyDescent="0.25">
      <c r="A7765">
        <v>7764</v>
      </c>
      <c r="B7765">
        <v>5522635</v>
      </c>
      <c r="C7765" s="1" t="str">
        <f>HYPERLINK("http://stackoverflow.com/users/5522635", "Yutong Zhang")</f>
        <v>Yutong Zhang</v>
      </c>
      <c r="D7765" t="s">
        <v>5</v>
      </c>
      <c r="E7765">
        <v>3</v>
      </c>
    </row>
    <row r="7766" spans="1:5" x14ac:dyDescent="0.25">
      <c r="A7766">
        <v>7765</v>
      </c>
      <c r="B7766">
        <v>1931126</v>
      </c>
      <c r="C7766" s="1" t="str">
        <f>HYPERLINK("http://stackoverflow.com/users/1931126", "Lin Tao")</f>
        <v>Lin Tao</v>
      </c>
      <c r="D7766" t="s">
        <v>6</v>
      </c>
      <c r="E7766">
        <v>3</v>
      </c>
    </row>
    <row r="7767" spans="1:5" x14ac:dyDescent="0.25">
      <c r="A7767">
        <v>7766</v>
      </c>
      <c r="B7767">
        <v>7207799</v>
      </c>
      <c r="C7767" s="1" t="str">
        <f>HYPERLINK("http://stackoverflow.com/users/7207799", "小灰灰")</f>
        <v>小灰灰</v>
      </c>
      <c r="D7767" t="s">
        <v>52</v>
      </c>
      <c r="E7767">
        <v>3</v>
      </c>
    </row>
    <row r="7768" spans="1:5" x14ac:dyDescent="0.25">
      <c r="A7768">
        <v>7767</v>
      </c>
      <c r="B7768">
        <v>5819893</v>
      </c>
      <c r="C7768" s="1" t="str">
        <f>HYPERLINK("http://stackoverflow.com/users/5819893", "Hong")</f>
        <v>Hong</v>
      </c>
      <c r="D7768" t="s">
        <v>5</v>
      </c>
      <c r="E7768">
        <v>3</v>
      </c>
    </row>
    <row r="7769" spans="1:5" x14ac:dyDescent="0.25">
      <c r="A7769">
        <v>7768</v>
      </c>
      <c r="B7769">
        <v>2281703</v>
      </c>
      <c r="C7769" s="1" t="str">
        <f>HYPERLINK("http://stackoverflow.com/users/2281703", "JoanIve")</f>
        <v>JoanIve</v>
      </c>
      <c r="D7769" t="s">
        <v>5</v>
      </c>
      <c r="E7769">
        <v>3</v>
      </c>
    </row>
    <row r="7770" spans="1:5" x14ac:dyDescent="0.25">
      <c r="A7770">
        <v>7769</v>
      </c>
      <c r="B7770">
        <v>5702697</v>
      </c>
      <c r="C7770" s="1" t="str">
        <f>HYPERLINK("http://stackoverflow.com/users/5702697", "Wenqing MA")</f>
        <v>Wenqing MA</v>
      </c>
      <c r="D7770" t="s">
        <v>5</v>
      </c>
      <c r="E7770">
        <v>3</v>
      </c>
    </row>
    <row r="7771" spans="1:5" x14ac:dyDescent="0.25">
      <c r="A7771">
        <v>7770</v>
      </c>
      <c r="B7771">
        <v>7472453</v>
      </c>
      <c r="C7771" s="1" t="str">
        <f>HYPERLINK("http://stackoverflow.com/users/7472453", "moakap")</f>
        <v>moakap</v>
      </c>
      <c r="D7771" t="s">
        <v>16</v>
      </c>
      <c r="E7771">
        <v>3</v>
      </c>
    </row>
    <row r="7772" spans="1:5" x14ac:dyDescent="0.25">
      <c r="A7772">
        <v>7771</v>
      </c>
      <c r="B7772">
        <v>3974043</v>
      </c>
      <c r="C7772" s="1" t="str">
        <f>HYPERLINK("http://stackoverflow.com/users/3974043", "amw_jjj")</f>
        <v>amw_jjj</v>
      </c>
      <c r="D7772" t="s">
        <v>5</v>
      </c>
      <c r="E7772">
        <v>3</v>
      </c>
    </row>
    <row r="7773" spans="1:5" x14ac:dyDescent="0.25">
      <c r="A7773">
        <v>7772</v>
      </c>
      <c r="B7773">
        <v>2186656</v>
      </c>
      <c r="C7773" s="1" t="str">
        <f>HYPERLINK("http://stackoverflow.com/users/2186656", "pengqin")</f>
        <v>pengqin</v>
      </c>
      <c r="D7773" t="s">
        <v>54</v>
      </c>
      <c r="E7773">
        <v>3</v>
      </c>
    </row>
    <row r="7774" spans="1:5" x14ac:dyDescent="0.25">
      <c r="A7774">
        <v>7773</v>
      </c>
      <c r="B7774">
        <v>9404701</v>
      </c>
      <c r="C7774" s="1" t="str">
        <f>HYPERLINK("http://stackoverflow.com/users/9404701", "Andy Liu")</f>
        <v>Andy Liu</v>
      </c>
      <c r="D7774" t="s">
        <v>4</v>
      </c>
      <c r="E7774">
        <v>3</v>
      </c>
    </row>
    <row r="7775" spans="1:5" x14ac:dyDescent="0.25">
      <c r="A7775">
        <v>7774</v>
      </c>
      <c r="B7775">
        <v>2009706</v>
      </c>
      <c r="C7775" s="1" t="str">
        <f>HYPERLINK("http://stackoverflow.com/users/2009706", "lihaiping")</f>
        <v>lihaiping</v>
      </c>
      <c r="D7775" t="s">
        <v>21</v>
      </c>
      <c r="E7775">
        <v>3</v>
      </c>
    </row>
    <row r="7776" spans="1:5" x14ac:dyDescent="0.25">
      <c r="A7776">
        <v>7775</v>
      </c>
      <c r="B7776">
        <v>7352376</v>
      </c>
      <c r="C7776" s="1" t="str">
        <f>HYPERLINK("http://stackoverflow.com/users/7352376", "gzx")</f>
        <v>gzx</v>
      </c>
      <c r="D7776" t="s">
        <v>91</v>
      </c>
      <c r="E7776">
        <v>3</v>
      </c>
    </row>
    <row r="7777" spans="1:5" x14ac:dyDescent="0.25">
      <c r="A7777">
        <v>7776</v>
      </c>
      <c r="B7777">
        <v>5977725</v>
      </c>
      <c r="C7777" s="1" t="str">
        <f>HYPERLINK("http://stackoverflow.com/users/5977725", "Thomas.Nicolas.Pangzi")</f>
        <v>Thomas.Nicolas.Pangzi</v>
      </c>
      <c r="D7777" t="s">
        <v>15</v>
      </c>
      <c r="E7777">
        <v>3</v>
      </c>
    </row>
    <row r="7778" spans="1:5" x14ac:dyDescent="0.25">
      <c r="A7778">
        <v>7777</v>
      </c>
      <c r="B7778">
        <v>7777426</v>
      </c>
      <c r="C7778" s="1" t="str">
        <f>HYPERLINK("http://stackoverflow.com/users/7777426", "Leo Xu")</f>
        <v>Leo Xu</v>
      </c>
      <c r="D7778" t="s">
        <v>43</v>
      </c>
      <c r="E7778">
        <v>3</v>
      </c>
    </row>
    <row r="7779" spans="1:5" x14ac:dyDescent="0.25">
      <c r="A7779">
        <v>7778</v>
      </c>
      <c r="B7779">
        <v>10589006</v>
      </c>
      <c r="C7779" s="1" t="str">
        <f>HYPERLINK("http://stackoverflow.com/users/10589006", "Wenbin Xu")</f>
        <v>Wenbin Xu</v>
      </c>
      <c r="D7779" t="s">
        <v>4</v>
      </c>
      <c r="E7779">
        <v>3</v>
      </c>
    </row>
    <row r="7780" spans="1:5" x14ac:dyDescent="0.25">
      <c r="A7780">
        <v>7779</v>
      </c>
      <c r="B7780">
        <v>6929523</v>
      </c>
      <c r="C7780" s="1" t="str">
        <f>HYPERLINK("http://stackoverflow.com/users/6929523", "sweatOtt")</f>
        <v>sweatOtt</v>
      </c>
      <c r="D7780" t="s">
        <v>412</v>
      </c>
      <c r="E7780">
        <v>3</v>
      </c>
    </row>
    <row r="7781" spans="1:5" x14ac:dyDescent="0.25">
      <c r="A7781">
        <v>7780</v>
      </c>
      <c r="B7781">
        <v>1480319</v>
      </c>
      <c r="C7781" s="1" t="str">
        <f>HYPERLINK("http://stackoverflow.com/users/1480319", "alians")</f>
        <v>alians</v>
      </c>
      <c r="D7781" t="s">
        <v>22</v>
      </c>
      <c r="E7781">
        <v>3</v>
      </c>
    </row>
    <row r="7782" spans="1:5" x14ac:dyDescent="0.25">
      <c r="A7782">
        <v>7781</v>
      </c>
      <c r="B7782">
        <v>3342565</v>
      </c>
      <c r="C7782" s="1" t="str">
        <f>HYPERLINK("http://stackoverflow.com/users/3342565", "Koen")</f>
        <v>Koen</v>
      </c>
      <c r="D7782" t="s">
        <v>7</v>
      </c>
      <c r="E7782">
        <v>3</v>
      </c>
    </row>
    <row r="7783" spans="1:5" x14ac:dyDescent="0.25">
      <c r="A7783">
        <v>7782</v>
      </c>
      <c r="B7783">
        <v>1582085</v>
      </c>
      <c r="C7783" s="1" t="str">
        <f>HYPERLINK("http://stackoverflow.com/users/1582085", "TonyWang")</f>
        <v>TonyWang</v>
      </c>
      <c r="D7783" t="s">
        <v>37</v>
      </c>
      <c r="E7783">
        <v>3</v>
      </c>
    </row>
    <row r="7784" spans="1:5" x14ac:dyDescent="0.25">
      <c r="A7784">
        <v>7783</v>
      </c>
      <c r="B7784">
        <v>5154441</v>
      </c>
      <c r="C7784" s="1" t="str">
        <f>HYPERLINK("http://stackoverflow.com/users/5154441", "sunkaixaun")</f>
        <v>sunkaixaun</v>
      </c>
      <c r="D7784" t="s">
        <v>4</v>
      </c>
      <c r="E7784">
        <v>3</v>
      </c>
    </row>
    <row r="7785" spans="1:5" x14ac:dyDescent="0.25">
      <c r="A7785">
        <v>7784</v>
      </c>
      <c r="B7785">
        <v>5142166</v>
      </c>
      <c r="C7785" s="1" t="str">
        <f>HYPERLINK("http://stackoverflow.com/users/5142166", "Ella")</f>
        <v>Ella</v>
      </c>
      <c r="D7785" t="s">
        <v>4</v>
      </c>
      <c r="E7785">
        <v>3</v>
      </c>
    </row>
    <row r="7786" spans="1:5" x14ac:dyDescent="0.25">
      <c r="A7786">
        <v>7785</v>
      </c>
      <c r="B7786">
        <v>1400882</v>
      </c>
      <c r="C7786" s="1" t="str">
        <f>HYPERLINK("http://stackoverflow.com/users/1400882", "TracyYih")</f>
        <v>TracyYih</v>
      </c>
      <c r="D7786" t="s">
        <v>5</v>
      </c>
      <c r="E7786">
        <v>3</v>
      </c>
    </row>
    <row r="7787" spans="1:5" x14ac:dyDescent="0.25">
      <c r="A7787">
        <v>7786</v>
      </c>
      <c r="B7787">
        <v>3266172</v>
      </c>
      <c r="C7787" s="1" t="str">
        <f>HYPERLINK("http://stackoverflow.com/users/3266172", "ronniemo")</f>
        <v>ronniemo</v>
      </c>
      <c r="D7787" t="s">
        <v>413</v>
      </c>
      <c r="E7787">
        <v>3</v>
      </c>
    </row>
    <row r="7788" spans="1:5" x14ac:dyDescent="0.25">
      <c r="A7788">
        <v>7787</v>
      </c>
      <c r="B7788">
        <v>5057139</v>
      </c>
      <c r="C7788" s="1" t="str">
        <f>HYPERLINK("http://stackoverflow.com/users/5057139", "toaol")</f>
        <v>toaol</v>
      </c>
      <c r="D7788" t="s">
        <v>414</v>
      </c>
      <c r="E7788">
        <v>3</v>
      </c>
    </row>
    <row r="7789" spans="1:5" x14ac:dyDescent="0.25">
      <c r="A7789">
        <v>7788</v>
      </c>
      <c r="B7789">
        <v>6779638</v>
      </c>
      <c r="C7789" s="1" t="str">
        <f>HYPERLINK("http://stackoverflow.com/users/6779638", "ThaddeusM")</f>
        <v>ThaddeusM</v>
      </c>
      <c r="D7789" t="s">
        <v>415</v>
      </c>
      <c r="E7789">
        <v>3</v>
      </c>
    </row>
    <row r="7790" spans="1:5" x14ac:dyDescent="0.25">
      <c r="A7790">
        <v>7789</v>
      </c>
      <c r="B7790">
        <v>5026901</v>
      </c>
      <c r="C7790" s="1" t="str">
        <f>HYPERLINK("http://stackoverflow.com/users/5026901", "raphael")</f>
        <v>raphael</v>
      </c>
      <c r="D7790" t="s">
        <v>61</v>
      </c>
      <c r="E7790">
        <v>3</v>
      </c>
    </row>
    <row r="7791" spans="1:5" x14ac:dyDescent="0.25">
      <c r="A7791">
        <v>7790</v>
      </c>
      <c r="B7791">
        <v>3133671</v>
      </c>
      <c r="C7791" s="1" t="str">
        <f>HYPERLINK("http://stackoverflow.com/users/3133671", "JerryLee")</f>
        <v>JerryLee</v>
      </c>
      <c r="D7791" t="s">
        <v>193</v>
      </c>
      <c r="E7791">
        <v>3</v>
      </c>
    </row>
    <row r="7792" spans="1:5" x14ac:dyDescent="0.25">
      <c r="A7792">
        <v>7791</v>
      </c>
      <c r="B7792">
        <v>3126863</v>
      </c>
      <c r="C7792" s="1" t="str">
        <f>HYPERLINK("http://stackoverflow.com/users/3126863", "nee.wong")</f>
        <v>nee.wong</v>
      </c>
      <c r="D7792" t="s">
        <v>21</v>
      </c>
      <c r="E7792">
        <v>3</v>
      </c>
    </row>
    <row r="7793" spans="1:5" x14ac:dyDescent="0.25">
      <c r="A7793">
        <v>7792</v>
      </c>
      <c r="B7793">
        <v>1140647</v>
      </c>
      <c r="C7793" s="1" t="str">
        <f>HYPERLINK("http://stackoverflow.com/users/1140647", "brighthead")</f>
        <v>brighthead</v>
      </c>
      <c r="D7793" t="s">
        <v>4</v>
      </c>
      <c r="E7793">
        <v>3</v>
      </c>
    </row>
    <row r="7794" spans="1:5" x14ac:dyDescent="0.25">
      <c r="A7794">
        <v>7793</v>
      </c>
      <c r="B7794">
        <v>3172703</v>
      </c>
      <c r="C7794" s="1" t="str">
        <f>HYPERLINK("http://stackoverflow.com/users/3172703", "Jota_Be")</f>
        <v>Jota_Be</v>
      </c>
      <c r="D7794" t="s">
        <v>5</v>
      </c>
      <c r="E7794">
        <v>3</v>
      </c>
    </row>
    <row r="7795" spans="1:5" x14ac:dyDescent="0.25">
      <c r="A7795">
        <v>7794</v>
      </c>
      <c r="B7795">
        <v>1251336</v>
      </c>
      <c r="C7795" s="1" t="str">
        <f>HYPERLINK("http://stackoverflow.com/users/1251336", "user1251336")</f>
        <v>user1251336</v>
      </c>
      <c r="D7795" t="s">
        <v>5</v>
      </c>
      <c r="E7795">
        <v>3</v>
      </c>
    </row>
    <row r="7796" spans="1:5" x14ac:dyDescent="0.25">
      <c r="A7796">
        <v>7795</v>
      </c>
      <c r="B7796">
        <v>5005780</v>
      </c>
      <c r="C7796" s="1" t="str">
        <f>HYPERLINK("http://stackoverflow.com/users/5005780", "wongkoo")</f>
        <v>wongkoo</v>
      </c>
      <c r="D7796" t="s">
        <v>8</v>
      </c>
      <c r="E7796">
        <v>3</v>
      </c>
    </row>
    <row r="7797" spans="1:5" x14ac:dyDescent="0.25">
      <c r="A7797">
        <v>7796</v>
      </c>
      <c r="B7797">
        <v>1287393</v>
      </c>
      <c r="C7797" s="1" t="str">
        <f>HYPERLINK("http://stackoverflow.com/users/1287393", "user1287393")</f>
        <v>user1287393</v>
      </c>
      <c r="D7797" t="s">
        <v>5</v>
      </c>
      <c r="E7797">
        <v>3</v>
      </c>
    </row>
    <row r="7798" spans="1:5" x14ac:dyDescent="0.25">
      <c r="A7798">
        <v>7797</v>
      </c>
      <c r="B7798">
        <v>1093903</v>
      </c>
      <c r="C7798" s="1" t="str">
        <f>HYPERLINK("http://stackoverflow.com/users/1093903", "jasonchen")</f>
        <v>jasonchen</v>
      </c>
      <c r="D7798" t="s">
        <v>21</v>
      </c>
      <c r="E7798">
        <v>3</v>
      </c>
    </row>
    <row r="7799" spans="1:5" x14ac:dyDescent="0.25">
      <c r="A7799">
        <v>7798</v>
      </c>
      <c r="B7799">
        <v>6622903</v>
      </c>
      <c r="C7799" s="1" t="str">
        <f>HYPERLINK("http://stackoverflow.com/users/6622903", "huxinmin")</f>
        <v>huxinmin</v>
      </c>
      <c r="D7799" t="s">
        <v>55</v>
      </c>
      <c r="E7799">
        <v>3</v>
      </c>
    </row>
    <row r="7800" spans="1:5" x14ac:dyDescent="0.25">
      <c r="A7800">
        <v>7799</v>
      </c>
      <c r="B7800">
        <v>1038879</v>
      </c>
      <c r="C7800" s="1" t="str">
        <f>HYPERLINK("http://stackoverflow.com/users/1038879", "Genray Lei")</f>
        <v>Genray Lei</v>
      </c>
      <c r="D7800" t="s">
        <v>4</v>
      </c>
      <c r="E7800">
        <v>3</v>
      </c>
    </row>
    <row r="7801" spans="1:5" x14ac:dyDescent="0.25">
      <c r="A7801">
        <v>7800</v>
      </c>
      <c r="B7801">
        <v>919118</v>
      </c>
      <c r="C7801" s="1" t="str">
        <f>HYPERLINK("http://stackoverflow.com/users/919118", "andyzhshg")</f>
        <v>andyzhshg</v>
      </c>
      <c r="D7801" t="s">
        <v>5</v>
      </c>
      <c r="E7801">
        <v>3</v>
      </c>
    </row>
    <row r="7802" spans="1:5" x14ac:dyDescent="0.25">
      <c r="A7802">
        <v>7801</v>
      </c>
      <c r="B7802">
        <v>919822</v>
      </c>
      <c r="C7802" s="1" t="str">
        <f>HYPERLINK("http://stackoverflow.com/users/919822", "Nigel")</f>
        <v>Nigel</v>
      </c>
      <c r="D7802" t="s">
        <v>5</v>
      </c>
      <c r="E7802">
        <v>3</v>
      </c>
    </row>
    <row r="7803" spans="1:5" x14ac:dyDescent="0.25">
      <c r="A7803">
        <v>7802</v>
      </c>
      <c r="B7803">
        <v>3015409</v>
      </c>
      <c r="C7803" s="1" t="str">
        <f>HYPERLINK("http://stackoverflow.com/users/3015409", "Eric")</f>
        <v>Eric</v>
      </c>
      <c r="D7803" t="s">
        <v>21</v>
      </c>
      <c r="E7803">
        <v>3</v>
      </c>
    </row>
    <row r="7804" spans="1:5" x14ac:dyDescent="0.25">
      <c r="A7804">
        <v>7803</v>
      </c>
      <c r="B7804">
        <v>8379383</v>
      </c>
      <c r="C7804" s="1" t="str">
        <f>HYPERLINK("http://stackoverflow.com/users/8379383", "david")</f>
        <v>david</v>
      </c>
      <c r="D7804" t="s">
        <v>416</v>
      </c>
      <c r="E7804">
        <v>3</v>
      </c>
    </row>
    <row r="7805" spans="1:5" x14ac:dyDescent="0.25">
      <c r="A7805">
        <v>7804</v>
      </c>
      <c r="B7805">
        <v>4558875</v>
      </c>
      <c r="C7805" s="1" t="str">
        <f>HYPERLINK("http://stackoverflow.com/users/4558875", "Ben")</f>
        <v>Ben</v>
      </c>
      <c r="D7805" t="s">
        <v>417</v>
      </c>
      <c r="E7805">
        <v>3</v>
      </c>
    </row>
    <row r="7806" spans="1:5" x14ac:dyDescent="0.25">
      <c r="A7806">
        <v>7805</v>
      </c>
      <c r="B7806">
        <v>440285</v>
      </c>
      <c r="C7806" s="1" t="str">
        <f>HYPERLINK("http://stackoverflow.com/users/440285", "wdestinyx")</f>
        <v>wdestinyx</v>
      </c>
      <c r="D7806" t="s">
        <v>5</v>
      </c>
      <c r="E7806">
        <v>3</v>
      </c>
    </row>
    <row r="7807" spans="1:5" x14ac:dyDescent="0.25">
      <c r="A7807">
        <v>7806</v>
      </c>
      <c r="B7807">
        <v>2674030</v>
      </c>
      <c r="C7807" s="1" t="str">
        <f>HYPERLINK("http://stackoverflow.com/users/2674030", "lucky")</f>
        <v>lucky</v>
      </c>
      <c r="D7807" t="s">
        <v>5</v>
      </c>
      <c r="E7807">
        <v>3</v>
      </c>
    </row>
    <row r="7808" spans="1:5" x14ac:dyDescent="0.25">
      <c r="A7808">
        <v>7807</v>
      </c>
      <c r="B7808">
        <v>905161</v>
      </c>
      <c r="C7808" s="1" t="str">
        <f>HYPERLINK("http://stackoverflow.com/users/905161", "flyingtree")</f>
        <v>flyingtree</v>
      </c>
      <c r="D7808" t="s">
        <v>5</v>
      </c>
      <c r="E7808">
        <v>3</v>
      </c>
    </row>
    <row r="7809" spans="1:5" x14ac:dyDescent="0.25">
      <c r="A7809">
        <v>7808</v>
      </c>
      <c r="B7809">
        <v>4785469</v>
      </c>
      <c r="C7809" s="1" t="str">
        <f>HYPERLINK("http://stackoverflow.com/users/4785469", "Liang")</f>
        <v>Liang</v>
      </c>
      <c r="D7809" t="s">
        <v>5</v>
      </c>
      <c r="E7809">
        <v>3</v>
      </c>
    </row>
    <row r="7810" spans="1:5" x14ac:dyDescent="0.25">
      <c r="A7810">
        <v>7809</v>
      </c>
      <c r="B7810">
        <v>4746377</v>
      </c>
      <c r="C7810" s="1" t="str">
        <f>HYPERLINK("http://stackoverflow.com/users/4746377", "Ruanjm")</f>
        <v>Ruanjm</v>
      </c>
      <c r="D7810" t="s">
        <v>4</v>
      </c>
      <c r="E7810">
        <v>3</v>
      </c>
    </row>
    <row r="7811" spans="1:5" x14ac:dyDescent="0.25">
      <c r="A7811">
        <v>7810</v>
      </c>
      <c r="B7811">
        <v>4729087</v>
      </c>
      <c r="C7811" s="1" t="str">
        <f>HYPERLINK("http://stackoverflow.com/users/4729087", "empyriumz")</f>
        <v>empyriumz</v>
      </c>
      <c r="D7811" t="s">
        <v>5</v>
      </c>
      <c r="E7811">
        <v>3</v>
      </c>
    </row>
    <row r="7812" spans="1:5" x14ac:dyDescent="0.25">
      <c r="A7812">
        <v>7811</v>
      </c>
      <c r="B7812">
        <v>742633</v>
      </c>
      <c r="C7812" s="1" t="str">
        <f>HYPERLINK("http://stackoverflow.com/users/742633", "Henry Wang")</f>
        <v>Henry Wang</v>
      </c>
      <c r="D7812" t="s">
        <v>5</v>
      </c>
      <c r="E7812">
        <v>3</v>
      </c>
    </row>
    <row r="7813" spans="1:5" x14ac:dyDescent="0.25">
      <c r="A7813">
        <v>7812</v>
      </c>
      <c r="B7813">
        <v>751802</v>
      </c>
      <c r="C7813" s="1" t="str">
        <f>HYPERLINK("http://stackoverflow.com/users/751802", "Donnie G")</f>
        <v>Donnie G</v>
      </c>
      <c r="D7813" t="s">
        <v>28</v>
      </c>
      <c r="E7813">
        <v>3</v>
      </c>
    </row>
    <row r="7814" spans="1:5" x14ac:dyDescent="0.25">
      <c r="A7814">
        <v>7813</v>
      </c>
      <c r="B7814">
        <v>7978873</v>
      </c>
      <c r="C7814" s="1" t="str">
        <f>HYPERLINK("http://stackoverflow.com/users/7978873", "Wang Howard")</f>
        <v>Wang Howard</v>
      </c>
      <c r="D7814" t="s">
        <v>4</v>
      </c>
      <c r="E7814">
        <v>3</v>
      </c>
    </row>
    <row r="7815" spans="1:5" x14ac:dyDescent="0.25">
      <c r="A7815">
        <v>7814</v>
      </c>
      <c r="B7815">
        <v>8001201</v>
      </c>
      <c r="C7815" s="1" t="str">
        <f>HYPERLINK("http://stackoverflow.com/users/8001201", "Phillip")</f>
        <v>Phillip</v>
      </c>
      <c r="D7815" t="s">
        <v>78</v>
      </c>
      <c r="E7815">
        <v>3</v>
      </c>
    </row>
    <row r="7816" spans="1:5" x14ac:dyDescent="0.25">
      <c r="A7816">
        <v>7815</v>
      </c>
      <c r="B7816">
        <v>344739</v>
      </c>
      <c r="C7816" s="1" t="str">
        <f>HYPERLINK("http://stackoverflow.com/users/344739", "Albert")</f>
        <v>Albert</v>
      </c>
      <c r="D7816" t="s">
        <v>4</v>
      </c>
      <c r="E7816">
        <v>3</v>
      </c>
    </row>
    <row r="7817" spans="1:5" x14ac:dyDescent="0.25">
      <c r="A7817">
        <v>7816</v>
      </c>
      <c r="B7817">
        <v>335490</v>
      </c>
      <c r="C7817" s="1" t="str">
        <f>HYPERLINK("http://stackoverflow.com/users/335490", "Lynn Lin")</f>
        <v>Lynn Lin</v>
      </c>
      <c r="D7817" t="s">
        <v>4</v>
      </c>
      <c r="E7817">
        <v>3</v>
      </c>
    </row>
    <row r="7818" spans="1:5" x14ac:dyDescent="0.25">
      <c r="A7818">
        <v>7817</v>
      </c>
      <c r="B7818">
        <v>2601854</v>
      </c>
      <c r="C7818" s="1" t="str">
        <f>HYPERLINK("http://stackoverflow.com/users/2601854", "Mop")</f>
        <v>Mop</v>
      </c>
      <c r="D7818" t="s">
        <v>21</v>
      </c>
      <c r="E7818">
        <v>3</v>
      </c>
    </row>
    <row r="7819" spans="1:5" x14ac:dyDescent="0.25">
      <c r="A7819">
        <v>7818</v>
      </c>
      <c r="B7819">
        <v>4419059</v>
      </c>
      <c r="C7819" s="1" t="str">
        <f>HYPERLINK("http://stackoverflow.com/users/4419059", "XVXVXXX")</f>
        <v>XVXVXXX</v>
      </c>
      <c r="D7819" t="s">
        <v>12</v>
      </c>
      <c r="E7819">
        <v>3</v>
      </c>
    </row>
    <row r="7820" spans="1:5" x14ac:dyDescent="0.25">
      <c r="A7820">
        <v>7819</v>
      </c>
      <c r="B7820">
        <v>2558565</v>
      </c>
      <c r="C7820" s="1" t="str">
        <f>HYPERLINK("http://stackoverflow.com/users/2558565", "flowerains")</f>
        <v>flowerains</v>
      </c>
      <c r="D7820" t="s">
        <v>4</v>
      </c>
      <c r="E7820">
        <v>3</v>
      </c>
    </row>
    <row r="7821" spans="1:5" x14ac:dyDescent="0.25">
      <c r="A7821">
        <v>7820</v>
      </c>
      <c r="B7821">
        <v>7826910</v>
      </c>
      <c r="C7821" s="1" t="str">
        <f>HYPERLINK("http://stackoverflow.com/users/7826910", "Lizhi Liu")</f>
        <v>Lizhi Liu</v>
      </c>
      <c r="D7821" t="s">
        <v>15</v>
      </c>
      <c r="E7821">
        <v>3</v>
      </c>
    </row>
    <row r="7822" spans="1:5" x14ac:dyDescent="0.25">
      <c r="A7822">
        <v>7821</v>
      </c>
      <c r="B7822">
        <v>121429</v>
      </c>
      <c r="C7822" s="1" t="str">
        <f>HYPERLINK("http://stackoverflow.com/users/121429", "dexteryy")</f>
        <v>dexteryy</v>
      </c>
      <c r="D7822" t="s">
        <v>5</v>
      </c>
      <c r="E7822">
        <v>3</v>
      </c>
    </row>
    <row r="7823" spans="1:5" x14ac:dyDescent="0.25">
      <c r="A7823">
        <v>7822</v>
      </c>
      <c r="B7823">
        <v>6045017</v>
      </c>
      <c r="C7823" s="1" t="str">
        <f>HYPERLINK("http://stackoverflow.com/users/6045017", "Sascha")</f>
        <v>Sascha</v>
      </c>
      <c r="D7823" t="s">
        <v>7</v>
      </c>
      <c r="E7823">
        <v>3</v>
      </c>
    </row>
    <row r="7824" spans="1:5" x14ac:dyDescent="0.25">
      <c r="A7824">
        <v>7823</v>
      </c>
      <c r="B7824">
        <v>4368701</v>
      </c>
      <c r="C7824" s="1" t="str">
        <f>HYPERLINK("http://stackoverflow.com/users/4368701", "英佶孙")</f>
        <v>英佶孙</v>
      </c>
      <c r="D7824" t="s">
        <v>5</v>
      </c>
      <c r="E7824">
        <v>3</v>
      </c>
    </row>
    <row r="7825" spans="1:5" x14ac:dyDescent="0.25">
      <c r="A7825">
        <v>7824</v>
      </c>
      <c r="B7825">
        <v>9685769</v>
      </c>
      <c r="C7825" s="1" t="str">
        <f>HYPERLINK("http://stackoverflow.com/users/9685769", "laozhuking")</f>
        <v>laozhuking</v>
      </c>
      <c r="D7825" t="s">
        <v>4</v>
      </c>
      <c r="E7825">
        <v>3</v>
      </c>
    </row>
    <row r="7826" spans="1:5" x14ac:dyDescent="0.25">
      <c r="A7826">
        <v>7825</v>
      </c>
      <c r="B7826">
        <v>6075468</v>
      </c>
      <c r="C7826" s="1" t="str">
        <f>HYPERLINK("http://stackoverflow.com/users/6075468", "JinLing")</f>
        <v>JinLing</v>
      </c>
      <c r="D7826" t="s">
        <v>28</v>
      </c>
      <c r="E7826">
        <v>3</v>
      </c>
    </row>
    <row r="7827" spans="1:5" x14ac:dyDescent="0.25">
      <c r="A7827">
        <v>7826</v>
      </c>
      <c r="B7827">
        <v>2467440</v>
      </c>
      <c r="C7827" s="1" t="str">
        <f>HYPERLINK("http://stackoverflow.com/users/2467440", "Alex Geng")</f>
        <v>Alex Geng</v>
      </c>
      <c r="D7827" t="s">
        <v>4</v>
      </c>
      <c r="E7827">
        <v>3</v>
      </c>
    </row>
    <row r="7828" spans="1:5" x14ac:dyDescent="0.25">
      <c r="A7828">
        <v>7827</v>
      </c>
      <c r="B7828">
        <v>9652251</v>
      </c>
      <c r="C7828" s="1" t="str">
        <f>HYPERLINK("http://stackoverflow.com/users/9652251", "Saint37")</f>
        <v>Saint37</v>
      </c>
      <c r="D7828" t="s">
        <v>5</v>
      </c>
      <c r="E7828">
        <v>3</v>
      </c>
    </row>
    <row r="7829" spans="1:5" x14ac:dyDescent="0.25">
      <c r="A7829">
        <v>7828</v>
      </c>
      <c r="B7829">
        <v>7795651</v>
      </c>
      <c r="C7829" s="1" t="str">
        <f>HYPERLINK("http://stackoverflow.com/users/7795651", "Cln")</f>
        <v>Cln</v>
      </c>
      <c r="D7829" t="s">
        <v>5</v>
      </c>
      <c r="E7829">
        <v>3</v>
      </c>
    </row>
    <row r="7830" spans="1:5" x14ac:dyDescent="0.25">
      <c r="A7830">
        <v>7829</v>
      </c>
      <c r="B7830">
        <v>6203561</v>
      </c>
      <c r="C7830" s="1" t="str">
        <f>HYPERLINK("http://stackoverflow.com/users/6203561", "Feng Bruce")</f>
        <v>Feng Bruce</v>
      </c>
      <c r="D7830" t="s">
        <v>4</v>
      </c>
      <c r="E7830">
        <v>3</v>
      </c>
    </row>
    <row r="7831" spans="1:5" x14ac:dyDescent="0.25">
      <c r="A7831">
        <v>7830</v>
      </c>
      <c r="B7831">
        <v>2624756</v>
      </c>
      <c r="C7831" s="1" t="str">
        <f>HYPERLINK("http://stackoverflow.com/users/2624756", "hiddenjelly")</f>
        <v>hiddenjelly</v>
      </c>
      <c r="D7831" t="s">
        <v>129</v>
      </c>
      <c r="E7831">
        <v>3</v>
      </c>
    </row>
    <row r="7832" spans="1:5" x14ac:dyDescent="0.25">
      <c r="A7832">
        <v>7831</v>
      </c>
      <c r="B7832">
        <v>7983750</v>
      </c>
      <c r="C7832" s="1" t="str">
        <f>HYPERLINK("http://stackoverflow.com/users/7983750", "Francis QING")</f>
        <v>Francis QING</v>
      </c>
      <c r="D7832" t="s">
        <v>5</v>
      </c>
      <c r="E7832">
        <v>3</v>
      </c>
    </row>
    <row r="7833" spans="1:5" x14ac:dyDescent="0.25">
      <c r="A7833">
        <v>7832</v>
      </c>
      <c r="B7833">
        <v>280035</v>
      </c>
      <c r="C7833" s="1" t="str">
        <f>HYPERLINK("http://stackoverflow.com/users/280035", "baikaishiuc")</f>
        <v>baikaishiuc</v>
      </c>
      <c r="D7833" t="s">
        <v>17</v>
      </c>
      <c r="E7833">
        <v>3</v>
      </c>
    </row>
    <row r="7834" spans="1:5" x14ac:dyDescent="0.25">
      <c r="A7834">
        <v>7833</v>
      </c>
      <c r="B7834">
        <v>4481782</v>
      </c>
      <c r="C7834" s="1" t="str">
        <f>HYPERLINK("http://stackoverflow.com/users/4481782", "Kun Che")</f>
        <v>Kun Che</v>
      </c>
      <c r="D7834" t="s">
        <v>37</v>
      </c>
      <c r="E7834">
        <v>3</v>
      </c>
    </row>
    <row r="7835" spans="1:5" x14ac:dyDescent="0.25">
      <c r="A7835">
        <v>7834</v>
      </c>
      <c r="B7835">
        <v>2830104</v>
      </c>
      <c r="C7835" s="1" t="str">
        <f>HYPERLINK("http://stackoverflow.com/users/2830104", "VernZheng")</f>
        <v>VernZheng</v>
      </c>
      <c r="D7835" t="s">
        <v>5</v>
      </c>
      <c r="E7835">
        <v>3</v>
      </c>
    </row>
    <row r="7836" spans="1:5" x14ac:dyDescent="0.25">
      <c r="A7836">
        <v>7835</v>
      </c>
      <c r="B7836">
        <v>707100</v>
      </c>
      <c r="C7836" s="1" t="str">
        <f>HYPERLINK("http://stackoverflow.com/users/707100", "thinkdancer")</f>
        <v>thinkdancer</v>
      </c>
      <c r="D7836" t="s">
        <v>5</v>
      </c>
      <c r="E7836">
        <v>3</v>
      </c>
    </row>
    <row r="7837" spans="1:5" x14ac:dyDescent="0.25">
      <c r="A7837">
        <v>7836</v>
      </c>
      <c r="B7837">
        <v>2821749</v>
      </c>
      <c r="C7837" s="1" t="str">
        <f>HYPERLINK("http://stackoverflow.com/users/2821749", "Felix")</f>
        <v>Felix</v>
      </c>
      <c r="D7837" t="s">
        <v>17</v>
      </c>
      <c r="E7837">
        <v>3</v>
      </c>
    </row>
    <row r="7838" spans="1:5" x14ac:dyDescent="0.25">
      <c r="A7838">
        <v>7837</v>
      </c>
      <c r="B7838">
        <v>6319599</v>
      </c>
      <c r="C7838" s="1" t="str">
        <f>HYPERLINK("http://stackoverflow.com/users/6319599", "CorningSun")</f>
        <v>CorningSun</v>
      </c>
      <c r="D7838" t="s">
        <v>4</v>
      </c>
      <c r="E7838">
        <v>3</v>
      </c>
    </row>
    <row r="7839" spans="1:5" x14ac:dyDescent="0.25">
      <c r="A7839">
        <v>7838</v>
      </c>
      <c r="B7839">
        <v>8268066</v>
      </c>
      <c r="C7839" s="1" t="str">
        <f>HYPERLINK("http://stackoverflow.com/users/8268066", "Levy")</f>
        <v>Levy</v>
      </c>
      <c r="D7839" t="s">
        <v>4</v>
      </c>
      <c r="E7839">
        <v>3</v>
      </c>
    </row>
    <row r="7840" spans="1:5" x14ac:dyDescent="0.25">
      <c r="A7840">
        <v>7839</v>
      </c>
      <c r="B7840">
        <v>4993419</v>
      </c>
      <c r="C7840" s="1" t="str">
        <f>HYPERLINK("http://stackoverflow.com/users/4993419", "waiilaiiz24")</f>
        <v>waiilaiiz24</v>
      </c>
      <c r="D7840" t="s">
        <v>12</v>
      </c>
      <c r="E7840">
        <v>3</v>
      </c>
    </row>
    <row r="7841" spans="1:5" x14ac:dyDescent="0.25">
      <c r="A7841">
        <v>7840</v>
      </c>
      <c r="B7841">
        <v>1268582</v>
      </c>
      <c r="C7841" s="1" t="str">
        <f>HYPERLINK("http://stackoverflow.com/users/1268582", "chouqin")</f>
        <v>chouqin</v>
      </c>
      <c r="D7841" t="s">
        <v>4</v>
      </c>
      <c r="E7841">
        <v>3</v>
      </c>
    </row>
    <row r="7842" spans="1:5" x14ac:dyDescent="0.25">
      <c r="A7842">
        <v>7841</v>
      </c>
      <c r="B7842">
        <v>1281251</v>
      </c>
      <c r="C7842" s="1" t="str">
        <f>HYPERLINK("http://stackoverflow.com/users/1281251", "Joey Zhang")</f>
        <v>Joey Zhang</v>
      </c>
      <c r="D7842" t="s">
        <v>4</v>
      </c>
      <c r="E7842">
        <v>3</v>
      </c>
    </row>
    <row r="7843" spans="1:5" x14ac:dyDescent="0.25">
      <c r="A7843">
        <v>7842</v>
      </c>
      <c r="B7843">
        <v>3221951</v>
      </c>
      <c r="C7843" s="1" t="str">
        <f>HYPERLINK("http://stackoverflow.com/users/3221951", "ADdinn")</f>
        <v>ADdinn</v>
      </c>
      <c r="D7843" t="s">
        <v>37</v>
      </c>
      <c r="E7843">
        <v>3</v>
      </c>
    </row>
    <row r="7844" spans="1:5" x14ac:dyDescent="0.25">
      <c r="A7844">
        <v>7843</v>
      </c>
      <c r="B7844">
        <v>1156395</v>
      </c>
      <c r="C7844" s="1" t="str">
        <f>HYPERLINK("http://stackoverflow.com/users/1156395", "superyyl")</f>
        <v>superyyl</v>
      </c>
      <c r="D7844" t="s">
        <v>4</v>
      </c>
      <c r="E7844">
        <v>3</v>
      </c>
    </row>
    <row r="7845" spans="1:5" x14ac:dyDescent="0.25">
      <c r="A7845">
        <v>7844</v>
      </c>
      <c r="B7845">
        <v>8519430</v>
      </c>
      <c r="C7845" s="1" t="str">
        <f>HYPERLINK("http://stackoverflow.com/users/8519430", "ahmetberkaycalisti")</f>
        <v>ahmetberkaycalisti</v>
      </c>
      <c r="D7845" t="s">
        <v>265</v>
      </c>
      <c r="E7845">
        <v>3</v>
      </c>
    </row>
    <row r="7846" spans="1:5" x14ac:dyDescent="0.25">
      <c r="A7846">
        <v>7845</v>
      </c>
      <c r="B7846">
        <v>938019</v>
      </c>
      <c r="C7846" s="1" t="str">
        <f>HYPERLINK("http://stackoverflow.com/users/938019", "liangfu")</f>
        <v>liangfu</v>
      </c>
      <c r="D7846" t="s">
        <v>5</v>
      </c>
      <c r="E7846">
        <v>3</v>
      </c>
    </row>
    <row r="7847" spans="1:5" x14ac:dyDescent="0.25">
      <c r="A7847">
        <v>7846</v>
      </c>
      <c r="B7847">
        <v>943688</v>
      </c>
      <c r="C7847" s="1" t="str">
        <f>HYPERLINK("http://stackoverflow.com/users/943688", "Garen")</f>
        <v>Garen</v>
      </c>
      <c r="D7847" t="s">
        <v>21</v>
      </c>
      <c r="E7847">
        <v>3</v>
      </c>
    </row>
    <row r="7848" spans="1:5" x14ac:dyDescent="0.25">
      <c r="A7848">
        <v>7847</v>
      </c>
      <c r="B7848">
        <v>10202321</v>
      </c>
      <c r="C7848" s="1" t="str">
        <f>HYPERLINK("http://stackoverflow.com/users/10202321", "buse kylin")</f>
        <v>buse kylin</v>
      </c>
      <c r="D7848" t="s">
        <v>7</v>
      </c>
      <c r="E7848">
        <v>3</v>
      </c>
    </row>
    <row r="7849" spans="1:5" x14ac:dyDescent="0.25">
      <c r="A7849">
        <v>7848</v>
      </c>
      <c r="B7849">
        <v>4853201</v>
      </c>
      <c r="C7849" s="1" t="str">
        <f>HYPERLINK("http://stackoverflow.com/users/4853201", "cristlee")</f>
        <v>cristlee</v>
      </c>
      <c r="D7849" t="s">
        <v>5</v>
      </c>
      <c r="E7849">
        <v>3</v>
      </c>
    </row>
    <row r="7850" spans="1:5" x14ac:dyDescent="0.25">
      <c r="A7850">
        <v>7849</v>
      </c>
      <c r="B7850">
        <v>8388175</v>
      </c>
      <c r="C7850" s="1" t="str">
        <f>HYPERLINK("http://stackoverflow.com/users/8388175", "edwardspeng")</f>
        <v>edwardspeng</v>
      </c>
      <c r="D7850" t="s">
        <v>108</v>
      </c>
      <c r="E7850">
        <v>3</v>
      </c>
    </row>
    <row r="7851" spans="1:5" x14ac:dyDescent="0.25">
      <c r="A7851">
        <v>7850</v>
      </c>
      <c r="B7851">
        <v>8421161</v>
      </c>
      <c r="C7851" s="1" t="str">
        <f>HYPERLINK("http://stackoverflow.com/users/8421161", "QiangLiu")</f>
        <v>QiangLiu</v>
      </c>
      <c r="D7851" t="s">
        <v>5</v>
      </c>
      <c r="E7851">
        <v>3</v>
      </c>
    </row>
    <row r="7852" spans="1:5" x14ac:dyDescent="0.25">
      <c r="A7852">
        <v>7851</v>
      </c>
      <c r="B7852">
        <v>10238675</v>
      </c>
      <c r="C7852" s="1" t="str">
        <f>HYPERLINK("http://stackoverflow.com/users/10238675", "rick.tongxue")</f>
        <v>rick.tongxue</v>
      </c>
      <c r="D7852" t="s">
        <v>4</v>
      </c>
      <c r="E7852">
        <v>3</v>
      </c>
    </row>
    <row r="7853" spans="1:5" x14ac:dyDescent="0.25">
      <c r="A7853">
        <v>7852</v>
      </c>
      <c r="B7853">
        <v>1075540</v>
      </c>
      <c r="C7853" s="1" t="str">
        <f>HYPERLINK("http://stackoverflow.com/users/1075540", "ltl3884")</f>
        <v>ltl3884</v>
      </c>
      <c r="D7853" t="s">
        <v>5</v>
      </c>
      <c r="E7853">
        <v>3</v>
      </c>
    </row>
    <row r="7854" spans="1:5" x14ac:dyDescent="0.25">
      <c r="A7854">
        <v>7853</v>
      </c>
      <c r="B7854">
        <v>1085811</v>
      </c>
      <c r="C7854" s="1" t="str">
        <f>HYPERLINK("http://stackoverflow.com/users/1085811", "luyangkk")</f>
        <v>luyangkk</v>
      </c>
      <c r="D7854" t="s">
        <v>12</v>
      </c>
      <c r="E7854">
        <v>3</v>
      </c>
    </row>
    <row r="7855" spans="1:5" x14ac:dyDescent="0.25">
      <c r="A7855">
        <v>7854</v>
      </c>
      <c r="B7855">
        <v>10457179</v>
      </c>
      <c r="C7855" s="1" t="str">
        <f>HYPERLINK("http://stackoverflow.com/users/10457179", "haruna")</f>
        <v>haruna</v>
      </c>
      <c r="D7855" t="s">
        <v>5</v>
      </c>
      <c r="E7855">
        <v>3</v>
      </c>
    </row>
    <row r="7856" spans="1:5" x14ac:dyDescent="0.25">
      <c r="A7856">
        <v>7855</v>
      </c>
      <c r="B7856">
        <v>3369783</v>
      </c>
      <c r="C7856" s="1" t="str">
        <f>HYPERLINK("http://stackoverflow.com/users/3369783", "Cesare")</f>
        <v>Cesare</v>
      </c>
      <c r="D7856" t="s">
        <v>12</v>
      </c>
      <c r="E7856">
        <v>3</v>
      </c>
    </row>
    <row r="7857" spans="1:5" x14ac:dyDescent="0.25">
      <c r="A7857">
        <v>7856</v>
      </c>
      <c r="B7857">
        <v>5187906</v>
      </c>
      <c r="C7857" s="1" t="str">
        <f>HYPERLINK("http://stackoverflow.com/users/5187906", "C.Baike")</f>
        <v>C.Baike</v>
      </c>
      <c r="D7857" t="s">
        <v>12</v>
      </c>
      <c r="E7857">
        <v>3</v>
      </c>
    </row>
    <row r="7858" spans="1:5" x14ac:dyDescent="0.25">
      <c r="A7858">
        <v>7857</v>
      </c>
      <c r="B7858">
        <v>5311938</v>
      </c>
      <c r="C7858" s="1" t="str">
        <f>HYPERLINK("http://stackoverflow.com/users/5311938", "Vincent Qiu")</f>
        <v>Vincent Qiu</v>
      </c>
      <c r="D7858" t="s">
        <v>12</v>
      </c>
      <c r="E7858">
        <v>3</v>
      </c>
    </row>
    <row r="7859" spans="1:5" x14ac:dyDescent="0.25">
      <c r="A7859">
        <v>7858</v>
      </c>
      <c r="B7859">
        <v>1666815</v>
      </c>
      <c r="C7859" s="1" t="str">
        <f>HYPERLINK("http://stackoverflow.com/users/1666815", "Caunion")</f>
        <v>Caunion</v>
      </c>
      <c r="D7859" t="s">
        <v>8</v>
      </c>
      <c r="E7859">
        <v>3</v>
      </c>
    </row>
    <row r="7860" spans="1:5" x14ac:dyDescent="0.25">
      <c r="A7860">
        <v>7859</v>
      </c>
      <c r="B7860">
        <v>7001199</v>
      </c>
      <c r="C7860" s="1" t="str">
        <f>HYPERLINK("http://stackoverflow.com/users/7001199", "Star")</f>
        <v>Star</v>
      </c>
      <c r="D7860" t="s">
        <v>16</v>
      </c>
      <c r="E7860">
        <v>3</v>
      </c>
    </row>
    <row r="7861" spans="1:5" x14ac:dyDescent="0.25">
      <c r="A7861">
        <v>7860</v>
      </c>
      <c r="B7861">
        <v>1613786</v>
      </c>
      <c r="C7861" s="1" t="str">
        <f>HYPERLINK("http://stackoverflow.com/users/1613786", "Frank Yu")</f>
        <v>Frank Yu</v>
      </c>
      <c r="D7861" t="s">
        <v>5</v>
      </c>
      <c r="E7861">
        <v>3</v>
      </c>
    </row>
    <row r="7862" spans="1:5" x14ac:dyDescent="0.25">
      <c r="A7862">
        <v>7861</v>
      </c>
      <c r="B7862">
        <v>9348767</v>
      </c>
      <c r="C7862" s="1" t="str">
        <f>HYPERLINK("http://stackoverflow.com/users/9348767", "Barry Allen")</f>
        <v>Barry Allen</v>
      </c>
      <c r="D7862" t="s">
        <v>4</v>
      </c>
      <c r="E7862">
        <v>3</v>
      </c>
    </row>
    <row r="7863" spans="1:5" x14ac:dyDescent="0.25">
      <c r="A7863">
        <v>7862</v>
      </c>
      <c r="B7863">
        <v>7495996</v>
      </c>
      <c r="C7863" s="1" t="str">
        <f>HYPERLINK("http://stackoverflow.com/users/7495996", "AtomicPotato")</f>
        <v>AtomicPotato</v>
      </c>
      <c r="D7863" t="s">
        <v>418</v>
      </c>
      <c r="E7863">
        <v>3</v>
      </c>
    </row>
    <row r="7864" spans="1:5" x14ac:dyDescent="0.25">
      <c r="A7864">
        <v>7863</v>
      </c>
      <c r="B7864">
        <v>7485148</v>
      </c>
      <c r="C7864" s="1" t="str">
        <f>HYPERLINK("http://stackoverflow.com/users/7485148", "Cain Sakura")</f>
        <v>Cain Sakura</v>
      </c>
      <c r="D7864" t="s">
        <v>214</v>
      </c>
      <c r="E7864">
        <v>3</v>
      </c>
    </row>
    <row r="7865" spans="1:5" x14ac:dyDescent="0.25">
      <c r="A7865">
        <v>7864</v>
      </c>
      <c r="B7865">
        <v>9456556</v>
      </c>
      <c r="C7865" s="1" t="str">
        <f>HYPERLINK("http://stackoverflow.com/users/9456556", "White")</f>
        <v>White</v>
      </c>
      <c r="D7865" t="s">
        <v>35</v>
      </c>
      <c r="E7865">
        <v>3</v>
      </c>
    </row>
    <row r="7866" spans="1:5" x14ac:dyDescent="0.25">
      <c r="A7866">
        <v>7865</v>
      </c>
      <c r="B7866">
        <v>4192777</v>
      </c>
      <c r="C7866" s="1" t="str">
        <f>HYPERLINK("http://stackoverflow.com/users/4192777", "sven wang")</f>
        <v>sven wang</v>
      </c>
      <c r="D7866" t="s">
        <v>419</v>
      </c>
      <c r="E7866">
        <v>3</v>
      </c>
    </row>
    <row r="7867" spans="1:5" x14ac:dyDescent="0.25">
      <c r="A7867">
        <v>7866</v>
      </c>
      <c r="B7867">
        <v>7713527</v>
      </c>
      <c r="C7867" s="1" t="str">
        <f>HYPERLINK("http://stackoverflow.com/users/7713527", "abelishi")</f>
        <v>abelishi</v>
      </c>
      <c r="D7867" t="s">
        <v>420</v>
      </c>
      <c r="E7867">
        <v>3</v>
      </c>
    </row>
    <row r="7868" spans="1:5" x14ac:dyDescent="0.25">
      <c r="A7868">
        <v>7867</v>
      </c>
      <c r="B7868">
        <v>7567833</v>
      </c>
      <c r="C7868" s="1" t="str">
        <f>HYPERLINK("http://stackoverflow.com/users/7567833", "Herowinter")</f>
        <v>Herowinter</v>
      </c>
      <c r="D7868" t="s">
        <v>4</v>
      </c>
      <c r="E7868">
        <v>3</v>
      </c>
    </row>
    <row r="7869" spans="1:5" x14ac:dyDescent="0.25">
      <c r="A7869">
        <v>7868</v>
      </c>
      <c r="B7869">
        <v>4042318</v>
      </c>
      <c r="C7869" s="1" t="str">
        <f>HYPERLINK("http://stackoverflow.com/users/4042318", "Adward_R")</f>
        <v>Adward_R</v>
      </c>
      <c r="D7869" t="s">
        <v>12</v>
      </c>
      <c r="E7869">
        <v>3</v>
      </c>
    </row>
    <row r="7870" spans="1:5" x14ac:dyDescent="0.25">
      <c r="A7870">
        <v>7869</v>
      </c>
      <c r="B7870">
        <v>2392239</v>
      </c>
      <c r="C7870" s="1" t="str">
        <f>HYPERLINK("http://stackoverflow.com/users/2392239", "atom_trader")</f>
        <v>atom_trader</v>
      </c>
      <c r="D7870" t="s">
        <v>4</v>
      </c>
      <c r="E7870">
        <v>3</v>
      </c>
    </row>
    <row r="7871" spans="1:5" x14ac:dyDescent="0.25">
      <c r="A7871">
        <v>7870</v>
      </c>
      <c r="B7871">
        <v>4090367</v>
      </c>
      <c r="C7871" s="1" t="str">
        <f>HYPERLINK("http://stackoverflow.com/users/4090367", "Andy Gan")</f>
        <v>Andy Gan</v>
      </c>
      <c r="D7871" t="s">
        <v>12</v>
      </c>
      <c r="E7871">
        <v>3</v>
      </c>
    </row>
    <row r="7872" spans="1:5" x14ac:dyDescent="0.25">
      <c r="A7872">
        <v>7871</v>
      </c>
      <c r="B7872">
        <v>1776178</v>
      </c>
      <c r="C7872" s="1" t="str">
        <f>HYPERLINK("http://stackoverflow.com/users/1776178", "Lomography")</f>
        <v>Lomography</v>
      </c>
      <c r="D7872" t="s">
        <v>421</v>
      </c>
      <c r="E7872">
        <v>3</v>
      </c>
    </row>
    <row r="7873" spans="1:5" x14ac:dyDescent="0.25">
      <c r="A7873">
        <v>7872</v>
      </c>
      <c r="B7873">
        <v>1776018</v>
      </c>
      <c r="C7873" s="1" t="str">
        <f>HYPERLINK("http://stackoverflow.com/users/1776018", "iuhoay")</f>
        <v>iuhoay</v>
      </c>
      <c r="D7873" t="s">
        <v>48</v>
      </c>
      <c r="E7873">
        <v>3</v>
      </c>
    </row>
    <row r="7874" spans="1:5" x14ac:dyDescent="0.25">
      <c r="A7874">
        <v>7873</v>
      </c>
      <c r="B7874">
        <v>5510371</v>
      </c>
      <c r="C7874" s="1" t="str">
        <f>HYPERLINK("http://stackoverflow.com/users/5510371", "Nameless")</f>
        <v>Nameless</v>
      </c>
      <c r="D7874" t="s">
        <v>5</v>
      </c>
      <c r="E7874">
        <v>3</v>
      </c>
    </row>
    <row r="7875" spans="1:5" x14ac:dyDescent="0.25">
      <c r="A7875">
        <v>7874</v>
      </c>
      <c r="B7875">
        <v>5547450</v>
      </c>
      <c r="C7875" s="1" t="str">
        <f>HYPERLINK("http://stackoverflow.com/users/5547450", "naive_Vida")</f>
        <v>naive_Vida</v>
      </c>
      <c r="D7875" t="s">
        <v>5</v>
      </c>
      <c r="E7875">
        <v>3</v>
      </c>
    </row>
    <row r="7876" spans="1:5" x14ac:dyDescent="0.25">
      <c r="A7876">
        <v>7875</v>
      </c>
      <c r="B7876">
        <v>5637957</v>
      </c>
      <c r="C7876" s="1" t="str">
        <f>HYPERLINK("http://stackoverflow.com/users/5637957", "Tom")</f>
        <v>Tom</v>
      </c>
      <c r="D7876" t="s">
        <v>4</v>
      </c>
      <c r="E7876">
        <v>3</v>
      </c>
    </row>
    <row r="7877" spans="1:5" x14ac:dyDescent="0.25">
      <c r="A7877">
        <v>7876</v>
      </c>
      <c r="B7877">
        <v>9276656</v>
      </c>
      <c r="C7877" s="1" t="str">
        <f>HYPERLINK("http://stackoverflow.com/users/9276656", "Coder HHC")</f>
        <v>Coder HHC</v>
      </c>
      <c r="D7877" t="s">
        <v>320</v>
      </c>
      <c r="E7877">
        <v>3</v>
      </c>
    </row>
    <row r="7878" spans="1:5" x14ac:dyDescent="0.25">
      <c r="A7878">
        <v>7877</v>
      </c>
      <c r="B7878">
        <v>5637797</v>
      </c>
      <c r="C7878" s="1" t="str">
        <f>HYPERLINK("http://stackoverflow.com/users/5637797", "Linxiang Liu")</f>
        <v>Linxiang Liu</v>
      </c>
      <c r="D7878" t="s">
        <v>55</v>
      </c>
      <c r="E7878">
        <v>3</v>
      </c>
    </row>
    <row r="7879" spans="1:5" x14ac:dyDescent="0.25">
      <c r="A7879">
        <v>7878</v>
      </c>
      <c r="B7879">
        <v>9211431</v>
      </c>
      <c r="C7879" s="1" t="str">
        <f>HYPERLINK("http://stackoverflow.com/users/9211431", "Jiahua Yang")</f>
        <v>Jiahua Yang</v>
      </c>
      <c r="D7879" t="s">
        <v>47</v>
      </c>
      <c r="E7879">
        <v>3</v>
      </c>
    </row>
    <row r="7880" spans="1:5" x14ac:dyDescent="0.25">
      <c r="A7880">
        <v>7879</v>
      </c>
      <c r="B7880">
        <v>7344044</v>
      </c>
      <c r="C7880" s="1" t="str">
        <f>HYPERLINK("http://stackoverflow.com/users/7344044", "Sam")</f>
        <v>Sam</v>
      </c>
      <c r="D7880" t="s">
        <v>28</v>
      </c>
      <c r="E7880">
        <v>3</v>
      </c>
    </row>
    <row r="7881" spans="1:5" x14ac:dyDescent="0.25">
      <c r="A7881">
        <v>7880</v>
      </c>
      <c r="B7881">
        <v>5262389</v>
      </c>
      <c r="C7881" s="1" t="str">
        <f>HYPERLINK("http://stackoverflow.com/users/5262389", "Frank Sun")</f>
        <v>Frank Sun</v>
      </c>
      <c r="D7881" t="s">
        <v>275</v>
      </c>
      <c r="E7881">
        <v>2</v>
      </c>
    </row>
    <row r="7882" spans="1:5" x14ac:dyDescent="0.25">
      <c r="A7882">
        <v>7881</v>
      </c>
      <c r="B7882">
        <v>2849022</v>
      </c>
      <c r="C7882" s="1" t="str">
        <f>HYPERLINK("http://stackoverflow.com/users/2849022", "Daniel")</f>
        <v>Daniel</v>
      </c>
      <c r="D7882" t="s">
        <v>43</v>
      </c>
      <c r="E7882">
        <v>2</v>
      </c>
    </row>
    <row r="7883" spans="1:5" x14ac:dyDescent="0.25">
      <c r="A7883">
        <v>7882</v>
      </c>
      <c r="B7883">
        <v>6048174</v>
      </c>
      <c r="C7883" s="1" t="str">
        <f>HYPERLINK("http://stackoverflow.com/users/6048174", "Alan.S")</f>
        <v>Alan.S</v>
      </c>
      <c r="D7883" t="s">
        <v>27</v>
      </c>
      <c r="E7883">
        <v>2</v>
      </c>
    </row>
    <row r="7884" spans="1:5" x14ac:dyDescent="0.25">
      <c r="A7884">
        <v>7883</v>
      </c>
      <c r="B7884">
        <v>9813596</v>
      </c>
      <c r="C7884" s="1" t="str">
        <f>HYPERLINK("http://stackoverflow.com/users/9813596", "Aitak A")</f>
        <v>Aitak A</v>
      </c>
      <c r="D7884" t="s">
        <v>422</v>
      </c>
      <c r="E7884">
        <v>2</v>
      </c>
    </row>
    <row r="7885" spans="1:5" x14ac:dyDescent="0.25">
      <c r="A7885">
        <v>7884</v>
      </c>
      <c r="B7885">
        <v>8504253</v>
      </c>
      <c r="C7885" s="1" t="str">
        <f>HYPERLINK("http://stackoverflow.com/users/8504253", "user167152")</f>
        <v>user167152</v>
      </c>
      <c r="D7885" t="s">
        <v>4</v>
      </c>
      <c r="E7885">
        <v>2</v>
      </c>
    </row>
    <row r="7886" spans="1:5" x14ac:dyDescent="0.25">
      <c r="A7886">
        <v>7885</v>
      </c>
      <c r="B7886">
        <v>4908216</v>
      </c>
      <c r="C7886" s="1" t="str">
        <f>HYPERLINK("http://stackoverflow.com/users/4908216", "Cain1127")</f>
        <v>Cain1127</v>
      </c>
      <c r="D7886" t="s">
        <v>25</v>
      </c>
      <c r="E7886">
        <v>2</v>
      </c>
    </row>
    <row r="7887" spans="1:5" x14ac:dyDescent="0.25">
      <c r="A7887">
        <v>7886</v>
      </c>
      <c r="B7887">
        <v>11253940</v>
      </c>
      <c r="C7887" s="1" t="str">
        <f>HYPERLINK("http://stackoverflow.com/users/11253940", "Cassie")</f>
        <v>Cassie</v>
      </c>
      <c r="D7887" t="s">
        <v>5</v>
      </c>
      <c r="E7887">
        <v>2</v>
      </c>
    </row>
    <row r="7888" spans="1:5" x14ac:dyDescent="0.25">
      <c r="A7888">
        <v>7887</v>
      </c>
      <c r="B7888">
        <v>8174420</v>
      </c>
      <c r="C7888" s="1" t="str">
        <f>HYPERLINK("http://stackoverflow.com/users/8174420", "Pavel")</f>
        <v>Pavel</v>
      </c>
      <c r="D7888" t="s">
        <v>4</v>
      </c>
      <c r="E7888">
        <v>2</v>
      </c>
    </row>
    <row r="7889" spans="1:5" x14ac:dyDescent="0.25">
      <c r="A7889">
        <v>7888</v>
      </c>
      <c r="B7889">
        <v>6096262</v>
      </c>
      <c r="C7889" s="1" t="str">
        <f>HYPERLINK("http://stackoverflow.com/users/6096262", "Jessie Lin")</f>
        <v>Jessie Lin</v>
      </c>
      <c r="D7889" t="s">
        <v>7</v>
      </c>
      <c r="E7889">
        <v>2</v>
      </c>
    </row>
    <row r="7890" spans="1:5" x14ac:dyDescent="0.25">
      <c r="A7890">
        <v>7889</v>
      </c>
      <c r="B7890">
        <v>6839448</v>
      </c>
      <c r="C7890" s="1" t="str">
        <f>HYPERLINK("http://stackoverflow.com/users/6839448", "Yangzhi")</f>
        <v>Yangzhi</v>
      </c>
      <c r="D7890" t="s">
        <v>423</v>
      </c>
      <c r="E7890">
        <v>2</v>
      </c>
    </row>
    <row r="7891" spans="1:5" x14ac:dyDescent="0.25">
      <c r="A7891">
        <v>7890</v>
      </c>
      <c r="B7891">
        <v>5017706</v>
      </c>
      <c r="C7891" s="1" t="str">
        <f>HYPERLINK("http://stackoverflow.com/users/5017706", "Bin Li")</f>
        <v>Bin Li</v>
      </c>
      <c r="D7891" t="s">
        <v>5</v>
      </c>
      <c r="E7891">
        <v>2</v>
      </c>
    </row>
    <row r="7892" spans="1:5" x14ac:dyDescent="0.25">
      <c r="A7892">
        <v>7891</v>
      </c>
      <c r="B7892">
        <v>5018084</v>
      </c>
      <c r="C7892" s="1" t="str">
        <f>HYPERLINK("http://stackoverflow.com/users/5018084", "youqi")</f>
        <v>youqi</v>
      </c>
      <c r="D7892" t="s">
        <v>5</v>
      </c>
      <c r="E7892">
        <v>1</v>
      </c>
    </row>
    <row r="7893" spans="1:5" x14ac:dyDescent="0.25">
      <c r="A7893">
        <v>7892</v>
      </c>
      <c r="B7893">
        <v>10386301</v>
      </c>
      <c r="C7893" s="1" t="str">
        <f>HYPERLINK("http://stackoverflow.com/users/10386301", "Aincrad")</f>
        <v>Aincrad</v>
      </c>
      <c r="D7893" t="s">
        <v>5</v>
      </c>
      <c r="E7893">
        <v>1</v>
      </c>
    </row>
    <row r="7894" spans="1:5" x14ac:dyDescent="0.25">
      <c r="A7894">
        <v>7893</v>
      </c>
      <c r="B7894">
        <v>10386606</v>
      </c>
      <c r="C7894" s="1" t="str">
        <f>HYPERLINK("http://stackoverflow.com/users/10386606", "Hungshing Mau")</f>
        <v>Hungshing Mau</v>
      </c>
      <c r="D7894" t="s">
        <v>5</v>
      </c>
      <c r="E7894">
        <v>1</v>
      </c>
    </row>
    <row r="7895" spans="1:5" x14ac:dyDescent="0.25">
      <c r="A7895">
        <v>7894</v>
      </c>
      <c r="B7895">
        <v>3209798</v>
      </c>
      <c r="C7895" s="1" t="str">
        <f>HYPERLINK("http://stackoverflow.com/users/3209798", "秋纫QR")</f>
        <v>秋纫QR</v>
      </c>
      <c r="D7895" t="s">
        <v>22</v>
      </c>
      <c r="E7895">
        <v>1</v>
      </c>
    </row>
    <row r="7896" spans="1:5" x14ac:dyDescent="0.25">
      <c r="A7896">
        <v>7895</v>
      </c>
      <c r="B7896">
        <v>10389596</v>
      </c>
      <c r="C7896" s="1" t="str">
        <f>HYPERLINK("http://stackoverflow.com/users/10389596", "Wang Brian")</f>
        <v>Wang Brian</v>
      </c>
      <c r="D7896" t="s">
        <v>5</v>
      </c>
      <c r="E7896">
        <v>1</v>
      </c>
    </row>
    <row r="7897" spans="1:5" x14ac:dyDescent="0.25">
      <c r="A7897">
        <v>7896</v>
      </c>
      <c r="B7897">
        <v>10389625</v>
      </c>
      <c r="C7897" s="1" t="str">
        <f>HYPERLINK("http://stackoverflow.com/users/10389625", "user10389625")</f>
        <v>user10389625</v>
      </c>
      <c r="D7897" t="s">
        <v>4</v>
      </c>
      <c r="E7897">
        <v>1</v>
      </c>
    </row>
    <row r="7898" spans="1:5" x14ac:dyDescent="0.25">
      <c r="A7898">
        <v>7897</v>
      </c>
      <c r="B7898">
        <v>10389632</v>
      </c>
      <c r="C7898" s="1" t="str">
        <f>HYPERLINK("http://stackoverflow.com/users/10389632", "Jingnan Chen")</f>
        <v>Jingnan Chen</v>
      </c>
      <c r="D7898" t="s">
        <v>7</v>
      </c>
      <c r="E7898">
        <v>1</v>
      </c>
    </row>
    <row r="7899" spans="1:5" x14ac:dyDescent="0.25">
      <c r="A7899">
        <v>7898</v>
      </c>
      <c r="B7899">
        <v>8579107</v>
      </c>
      <c r="C7899" s="1" t="str">
        <f>HYPERLINK("http://stackoverflow.com/users/8579107", "Betsy Guo")</f>
        <v>Betsy Guo</v>
      </c>
      <c r="D7899" t="s">
        <v>7</v>
      </c>
      <c r="E7899">
        <v>1</v>
      </c>
    </row>
    <row r="7900" spans="1:5" x14ac:dyDescent="0.25">
      <c r="A7900">
        <v>7899</v>
      </c>
      <c r="B7900">
        <v>8579260</v>
      </c>
      <c r="C7900" s="1" t="str">
        <f>HYPERLINK("http://stackoverflow.com/users/8579260", "JACK H")</f>
        <v>JACK H</v>
      </c>
      <c r="D7900" t="s">
        <v>193</v>
      </c>
      <c r="E7900">
        <v>1</v>
      </c>
    </row>
    <row r="7901" spans="1:5" x14ac:dyDescent="0.25">
      <c r="A7901">
        <v>7900</v>
      </c>
      <c r="B7901">
        <v>1297675</v>
      </c>
      <c r="C7901" s="1" t="str">
        <f>HYPERLINK("http://stackoverflow.com/users/1297675", "Alex Saratan")</f>
        <v>Alex Saratan</v>
      </c>
      <c r="D7901" t="s">
        <v>5</v>
      </c>
      <c r="E7901">
        <v>1</v>
      </c>
    </row>
    <row r="7902" spans="1:5" x14ac:dyDescent="0.25">
      <c r="A7902">
        <v>7901</v>
      </c>
      <c r="B7902">
        <v>8567700</v>
      </c>
      <c r="C7902" s="1" t="str">
        <f>HYPERLINK("http://stackoverflow.com/users/8567700", "Bonny Wang")</f>
        <v>Bonny Wang</v>
      </c>
      <c r="D7902" t="s">
        <v>11</v>
      </c>
      <c r="E7902">
        <v>1</v>
      </c>
    </row>
    <row r="7903" spans="1:5" x14ac:dyDescent="0.25">
      <c r="A7903">
        <v>7902</v>
      </c>
      <c r="B7903">
        <v>1304620</v>
      </c>
      <c r="C7903" s="1" t="str">
        <f>HYPERLINK("http://stackoverflow.com/users/1304620", "nty")</f>
        <v>nty</v>
      </c>
      <c r="D7903" t="s">
        <v>4</v>
      </c>
      <c r="E7903">
        <v>1</v>
      </c>
    </row>
    <row r="7904" spans="1:5" x14ac:dyDescent="0.25">
      <c r="A7904">
        <v>7903</v>
      </c>
      <c r="B7904">
        <v>1304750</v>
      </c>
      <c r="C7904" s="1" t="str">
        <f>HYPERLINK("http://stackoverflow.com/users/1304750", "user1304750")</f>
        <v>user1304750</v>
      </c>
      <c r="D7904" t="s">
        <v>5</v>
      </c>
      <c r="E7904">
        <v>1</v>
      </c>
    </row>
    <row r="7905" spans="1:5" x14ac:dyDescent="0.25">
      <c r="A7905">
        <v>7904</v>
      </c>
      <c r="B7905">
        <v>1304829</v>
      </c>
      <c r="C7905" s="1" t="str">
        <f>HYPERLINK("http://stackoverflow.com/users/1304829", "shygoly")</f>
        <v>shygoly</v>
      </c>
      <c r="D7905" t="s">
        <v>3</v>
      </c>
      <c r="E7905">
        <v>1</v>
      </c>
    </row>
    <row r="7906" spans="1:5" x14ac:dyDescent="0.25">
      <c r="A7906">
        <v>7905</v>
      </c>
      <c r="B7906">
        <v>3200827</v>
      </c>
      <c r="C7906" s="1" t="str">
        <f>HYPERLINK("http://stackoverflow.com/users/3200827", "Dongfei Yu")</f>
        <v>Dongfei Yu</v>
      </c>
      <c r="D7906" t="s">
        <v>5</v>
      </c>
      <c r="E7906">
        <v>1</v>
      </c>
    </row>
    <row r="7907" spans="1:5" x14ac:dyDescent="0.25">
      <c r="A7907">
        <v>7906</v>
      </c>
      <c r="B7907">
        <v>3200910</v>
      </c>
      <c r="C7907" s="1" t="str">
        <f>HYPERLINK("http://stackoverflow.com/users/3200910", "conan")</f>
        <v>conan</v>
      </c>
      <c r="D7907" t="s">
        <v>5</v>
      </c>
      <c r="E7907">
        <v>1</v>
      </c>
    </row>
    <row r="7908" spans="1:5" x14ac:dyDescent="0.25">
      <c r="A7908">
        <v>7907</v>
      </c>
      <c r="B7908">
        <v>3200979</v>
      </c>
      <c r="C7908" s="1" t="str">
        <f>HYPERLINK("http://stackoverflow.com/users/3200979", "AIdancer")</f>
        <v>AIdancer</v>
      </c>
      <c r="D7908" t="s">
        <v>12</v>
      </c>
      <c r="E7908">
        <v>1</v>
      </c>
    </row>
    <row r="7909" spans="1:5" x14ac:dyDescent="0.25">
      <c r="A7909">
        <v>7908</v>
      </c>
      <c r="B7909">
        <v>3201235</v>
      </c>
      <c r="C7909" s="1" t="str">
        <f>HYPERLINK("http://stackoverflow.com/users/3201235", "Homer")</f>
        <v>Homer</v>
      </c>
      <c r="D7909" t="s">
        <v>5</v>
      </c>
      <c r="E7909">
        <v>1</v>
      </c>
    </row>
    <row r="7910" spans="1:5" x14ac:dyDescent="0.25">
      <c r="A7910">
        <v>7909</v>
      </c>
      <c r="B7910">
        <v>8562770</v>
      </c>
      <c r="C7910" s="1" t="str">
        <f>HYPERLINK("http://stackoverflow.com/users/8562770", "jianwen cai")</f>
        <v>jianwen cai</v>
      </c>
      <c r="D7910" t="s">
        <v>7</v>
      </c>
      <c r="E7910">
        <v>1</v>
      </c>
    </row>
    <row r="7911" spans="1:5" x14ac:dyDescent="0.25">
      <c r="A7911">
        <v>7910</v>
      </c>
      <c r="B7911">
        <v>8566809</v>
      </c>
      <c r="C7911" s="1" t="str">
        <f>HYPERLINK("http://stackoverflow.com/users/8566809", "Frank_Lau")</f>
        <v>Frank_Lau</v>
      </c>
      <c r="D7911" t="s">
        <v>5</v>
      </c>
      <c r="E7911">
        <v>1</v>
      </c>
    </row>
    <row r="7912" spans="1:5" x14ac:dyDescent="0.25">
      <c r="A7912">
        <v>7911</v>
      </c>
      <c r="B7912">
        <v>8567202</v>
      </c>
      <c r="C7912" s="1" t="str">
        <f>HYPERLINK("http://stackoverflow.com/users/8567202", "Tusson")</f>
        <v>Tusson</v>
      </c>
      <c r="D7912" t="s">
        <v>96</v>
      </c>
      <c r="E7912">
        <v>1</v>
      </c>
    </row>
    <row r="7913" spans="1:5" x14ac:dyDescent="0.25">
      <c r="A7913">
        <v>7912</v>
      </c>
      <c r="B7913">
        <v>3197347</v>
      </c>
      <c r="C7913" s="1" t="str">
        <f>HYPERLINK("http://stackoverflow.com/users/3197347", "user3197347")</f>
        <v>user3197347</v>
      </c>
      <c r="D7913" t="s">
        <v>4</v>
      </c>
      <c r="E7913">
        <v>1</v>
      </c>
    </row>
    <row r="7914" spans="1:5" x14ac:dyDescent="0.25">
      <c r="A7914">
        <v>7913</v>
      </c>
      <c r="B7914">
        <v>10346810</v>
      </c>
      <c r="C7914" s="1" t="str">
        <f>HYPERLINK("http://stackoverflow.com/users/10346810", "Mardan M")</f>
        <v>Mardan M</v>
      </c>
      <c r="D7914" t="s">
        <v>5</v>
      </c>
      <c r="E7914">
        <v>1</v>
      </c>
    </row>
    <row r="7915" spans="1:5" x14ac:dyDescent="0.25">
      <c r="A7915">
        <v>7914</v>
      </c>
      <c r="B7915">
        <v>1270872</v>
      </c>
      <c r="C7915" s="1" t="str">
        <f>HYPERLINK("http://stackoverflow.com/users/1270872", "Sam Chueng")</f>
        <v>Sam Chueng</v>
      </c>
      <c r="D7915" t="s">
        <v>17</v>
      </c>
      <c r="E7915">
        <v>1</v>
      </c>
    </row>
    <row r="7916" spans="1:5" x14ac:dyDescent="0.25">
      <c r="A7916">
        <v>7915</v>
      </c>
      <c r="B7916">
        <v>1271047</v>
      </c>
      <c r="C7916" s="1" t="str">
        <f>HYPERLINK("http://stackoverflow.com/users/1271047", "Aeron")</f>
        <v>Aeron</v>
      </c>
      <c r="D7916" t="s">
        <v>5</v>
      </c>
      <c r="E7916">
        <v>1</v>
      </c>
    </row>
    <row r="7917" spans="1:5" x14ac:dyDescent="0.25">
      <c r="A7917">
        <v>7916</v>
      </c>
      <c r="B7917">
        <v>1271707</v>
      </c>
      <c r="C7917" s="1" t="str">
        <f>HYPERLINK("http://stackoverflow.com/users/1271707", "zhliu")</f>
        <v>zhliu</v>
      </c>
      <c r="D7917" t="s">
        <v>17</v>
      </c>
      <c r="E7917">
        <v>1</v>
      </c>
    </row>
    <row r="7918" spans="1:5" x14ac:dyDescent="0.25">
      <c r="A7918">
        <v>7917</v>
      </c>
      <c r="B7918">
        <v>1271848</v>
      </c>
      <c r="C7918" s="1" t="str">
        <f>HYPERLINK("http://stackoverflow.com/users/1271848", "willmouse")</f>
        <v>willmouse</v>
      </c>
      <c r="D7918" t="s">
        <v>5</v>
      </c>
      <c r="E7918">
        <v>1</v>
      </c>
    </row>
    <row r="7919" spans="1:5" x14ac:dyDescent="0.25">
      <c r="A7919">
        <v>7918</v>
      </c>
      <c r="B7919">
        <v>1271869</v>
      </c>
      <c r="C7919" s="1" t="str">
        <f>HYPERLINK("http://stackoverflow.com/users/1271869", "ozmartian")</f>
        <v>ozmartian</v>
      </c>
      <c r="D7919" t="s">
        <v>4</v>
      </c>
      <c r="E7919">
        <v>1</v>
      </c>
    </row>
    <row r="7920" spans="1:5" x14ac:dyDescent="0.25">
      <c r="A7920">
        <v>7919</v>
      </c>
      <c r="B7920">
        <v>5006147</v>
      </c>
      <c r="C7920" s="1" t="str">
        <f>HYPERLINK("http://stackoverflow.com/users/5006147", "tt_leader")</f>
        <v>tt_leader</v>
      </c>
      <c r="D7920" t="s">
        <v>25</v>
      </c>
      <c r="E7920">
        <v>1</v>
      </c>
    </row>
    <row r="7921" spans="1:5" x14ac:dyDescent="0.25">
      <c r="A7921">
        <v>7920</v>
      </c>
      <c r="B7921">
        <v>3194033</v>
      </c>
      <c r="C7921" s="1" t="str">
        <f>HYPERLINK("http://stackoverflow.com/users/3194033", "Robin")</f>
        <v>Robin</v>
      </c>
      <c r="D7921" t="s">
        <v>5</v>
      </c>
      <c r="E7921">
        <v>1</v>
      </c>
    </row>
    <row r="7922" spans="1:5" x14ac:dyDescent="0.25">
      <c r="A7922">
        <v>7921</v>
      </c>
      <c r="B7922">
        <v>3194089</v>
      </c>
      <c r="C7922" s="1" t="str">
        <f>HYPERLINK("http://stackoverflow.com/users/3194089", "user3194089")</f>
        <v>user3194089</v>
      </c>
      <c r="D7922" t="s">
        <v>57</v>
      </c>
      <c r="E7922">
        <v>1</v>
      </c>
    </row>
    <row r="7923" spans="1:5" x14ac:dyDescent="0.25">
      <c r="A7923">
        <v>7922</v>
      </c>
      <c r="B7923">
        <v>3197105</v>
      </c>
      <c r="C7923" s="1" t="str">
        <f>HYPERLINK("http://stackoverflow.com/users/3197105", "MarvinQian")</f>
        <v>MarvinQian</v>
      </c>
      <c r="D7923" t="s">
        <v>4</v>
      </c>
      <c r="E7923">
        <v>1</v>
      </c>
    </row>
    <row r="7924" spans="1:5" x14ac:dyDescent="0.25">
      <c r="A7924">
        <v>7923</v>
      </c>
      <c r="B7924">
        <v>3190830</v>
      </c>
      <c r="C7924" s="1" t="str">
        <f>HYPERLINK("http://stackoverflow.com/users/3190830", "sddtc")</f>
        <v>sddtc</v>
      </c>
      <c r="D7924" t="s">
        <v>5</v>
      </c>
      <c r="E7924">
        <v>1</v>
      </c>
    </row>
    <row r="7925" spans="1:5" x14ac:dyDescent="0.25">
      <c r="A7925">
        <v>7924</v>
      </c>
      <c r="B7925">
        <v>6728758</v>
      </c>
      <c r="C7925" s="1" t="str">
        <f>HYPERLINK("http://stackoverflow.com/users/6728758", "2byte")</f>
        <v>2byte</v>
      </c>
      <c r="D7925" t="s">
        <v>5</v>
      </c>
      <c r="E7925">
        <v>1</v>
      </c>
    </row>
    <row r="7926" spans="1:5" x14ac:dyDescent="0.25">
      <c r="A7926">
        <v>7925</v>
      </c>
      <c r="B7926">
        <v>6728809</v>
      </c>
      <c r="C7926" s="1" t="str">
        <f>HYPERLINK("http://stackoverflow.com/users/6728809", "xutao")</f>
        <v>xutao</v>
      </c>
      <c r="D7926" t="s">
        <v>7</v>
      </c>
      <c r="E7926">
        <v>1</v>
      </c>
    </row>
    <row r="7927" spans="1:5" x14ac:dyDescent="0.25">
      <c r="A7927">
        <v>7926</v>
      </c>
      <c r="B7927">
        <v>6725424</v>
      </c>
      <c r="C7927" s="1" t="str">
        <f>HYPERLINK("http://stackoverflow.com/users/6725424", "stormzuo")</f>
        <v>stormzuo</v>
      </c>
      <c r="D7927" t="s">
        <v>5</v>
      </c>
      <c r="E7927">
        <v>1</v>
      </c>
    </row>
    <row r="7928" spans="1:5" x14ac:dyDescent="0.25">
      <c r="A7928">
        <v>7927</v>
      </c>
      <c r="B7928">
        <v>5003611</v>
      </c>
      <c r="C7928" s="1" t="str">
        <f>HYPERLINK("http://stackoverflow.com/users/5003611", "Quincy Huang")</f>
        <v>Quincy Huang</v>
      </c>
      <c r="D7928" t="s">
        <v>8</v>
      </c>
      <c r="E7928">
        <v>1</v>
      </c>
    </row>
    <row r="7929" spans="1:5" x14ac:dyDescent="0.25">
      <c r="A7929">
        <v>7928</v>
      </c>
      <c r="B7929">
        <v>10369226</v>
      </c>
      <c r="C7929" s="1" t="str">
        <f>HYPERLINK("http://stackoverflow.com/users/10369226", "赵同庆")</f>
        <v>赵同庆</v>
      </c>
      <c r="D7929" t="s">
        <v>33</v>
      </c>
      <c r="E7929">
        <v>1</v>
      </c>
    </row>
    <row r="7930" spans="1:5" x14ac:dyDescent="0.25">
      <c r="A7930">
        <v>7929</v>
      </c>
      <c r="B7930">
        <v>10369409</v>
      </c>
      <c r="C7930" s="1" t="str">
        <f>HYPERLINK("http://stackoverflow.com/users/10369409", "syyrjx_hyc")</f>
        <v>syyrjx_hyc</v>
      </c>
      <c r="D7930" t="s">
        <v>4</v>
      </c>
      <c r="E7930">
        <v>1</v>
      </c>
    </row>
    <row r="7931" spans="1:5" x14ac:dyDescent="0.25">
      <c r="A7931">
        <v>7930</v>
      </c>
      <c r="B7931">
        <v>6728587</v>
      </c>
      <c r="C7931" s="1" t="str">
        <f>HYPERLINK("http://stackoverflow.com/users/6728587", "越峰裴")</f>
        <v>越峰裴</v>
      </c>
      <c r="D7931" t="s">
        <v>5</v>
      </c>
      <c r="E7931">
        <v>1</v>
      </c>
    </row>
    <row r="7932" spans="1:5" x14ac:dyDescent="0.25">
      <c r="A7932">
        <v>7931</v>
      </c>
      <c r="B7932">
        <v>5030923</v>
      </c>
      <c r="C7932" s="1" t="str">
        <f>HYPERLINK("http://stackoverflow.com/users/5030923", "M.K")</f>
        <v>M.K</v>
      </c>
      <c r="D7932" t="s">
        <v>4</v>
      </c>
      <c r="E7932">
        <v>1</v>
      </c>
    </row>
    <row r="7933" spans="1:5" x14ac:dyDescent="0.25">
      <c r="A7933">
        <v>7932</v>
      </c>
      <c r="B7933">
        <v>5037151</v>
      </c>
      <c r="C7933" s="1" t="str">
        <f>HYPERLINK("http://stackoverflow.com/users/5037151", "newvoid")</f>
        <v>newvoid</v>
      </c>
      <c r="D7933" t="s">
        <v>22</v>
      </c>
      <c r="E7933">
        <v>1</v>
      </c>
    </row>
    <row r="7934" spans="1:5" x14ac:dyDescent="0.25">
      <c r="A7934">
        <v>7933</v>
      </c>
      <c r="B7934">
        <v>3230424</v>
      </c>
      <c r="C7934" s="1" t="str">
        <f>HYPERLINK("http://stackoverflow.com/users/3230424", "Chan Mo")</f>
        <v>Chan Mo</v>
      </c>
      <c r="D7934" t="s">
        <v>210</v>
      </c>
      <c r="E7934">
        <v>1</v>
      </c>
    </row>
    <row r="7935" spans="1:5" x14ac:dyDescent="0.25">
      <c r="A7935">
        <v>7934</v>
      </c>
      <c r="B7935">
        <v>3230499</v>
      </c>
      <c r="C7935" s="1" t="str">
        <f>HYPERLINK("http://stackoverflow.com/users/3230499", "Leo")</f>
        <v>Leo</v>
      </c>
      <c r="D7935" t="s">
        <v>5</v>
      </c>
      <c r="E7935">
        <v>1</v>
      </c>
    </row>
    <row r="7936" spans="1:5" x14ac:dyDescent="0.25">
      <c r="A7936">
        <v>7935</v>
      </c>
      <c r="B7936">
        <v>3230662</v>
      </c>
      <c r="C7936" s="1" t="str">
        <f>HYPERLINK("http://stackoverflow.com/users/3230662", "user3230662")</f>
        <v>user3230662</v>
      </c>
      <c r="D7936" t="s">
        <v>12</v>
      </c>
      <c r="E7936">
        <v>1</v>
      </c>
    </row>
    <row r="7937" spans="1:5" x14ac:dyDescent="0.25">
      <c r="A7937">
        <v>7936</v>
      </c>
      <c r="B7937">
        <v>3230747</v>
      </c>
      <c r="C7937" s="1" t="str">
        <f>HYPERLINK("http://stackoverflow.com/users/3230747", "Alex Jin")</f>
        <v>Alex Jin</v>
      </c>
      <c r="D7937" t="s">
        <v>4</v>
      </c>
      <c r="E7937">
        <v>1</v>
      </c>
    </row>
    <row r="7938" spans="1:5" x14ac:dyDescent="0.25">
      <c r="A7938">
        <v>7937</v>
      </c>
      <c r="B7938">
        <v>10414053</v>
      </c>
      <c r="C7938" s="1" t="str">
        <f>HYPERLINK("http://stackoverflow.com/users/10414053", "Tianrun Yang")</f>
        <v>Tianrun Yang</v>
      </c>
      <c r="D7938" t="s">
        <v>5</v>
      </c>
      <c r="E7938">
        <v>1</v>
      </c>
    </row>
    <row r="7939" spans="1:5" x14ac:dyDescent="0.25">
      <c r="A7939">
        <v>7938</v>
      </c>
      <c r="B7939">
        <v>8600787</v>
      </c>
      <c r="C7939" s="1" t="str">
        <f>HYPERLINK("http://stackoverflow.com/users/8600787", "Xiaowen Ke")</f>
        <v>Xiaowen Ke</v>
      </c>
      <c r="D7939" t="s">
        <v>25</v>
      </c>
      <c r="E7939">
        <v>1</v>
      </c>
    </row>
    <row r="7940" spans="1:5" x14ac:dyDescent="0.25">
      <c r="A7940">
        <v>7939</v>
      </c>
      <c r="B7940">
        <v>8600805</v>
      </c>
      <c r="C7940" s="1" t="str">
        <f>HYPERLINK("http://stackoverflow.com/users/8600805", "Jason")</f>
        <v>Jason</v>
      </c>
      <c r="D7940" t="s">
        <v>5</v>
      </c>
      <c r="E7940">
        <v>1</v>
      </c>
    </row>
    <row r="7941" spans="1:5" x14ac:dyDescent="0.25">
      <c r="A7941">
        <v>7940</v>
      </c>
      <c r="B7941">
        <v>8600874</v>
      </c>
      <c r="C7941" s="1" t="str">
        <f>HYPERLINK("http://stackoverflow.com/users/8600874", "Kelvin Feng")</f>
        <v>Kelvin Feng</v>
      </c>
      <c r="D7941" t="s">
        <v>74</v>
      </c>
      <c r="E7941">
        <v>1</v>
      </c>
    </row>
    <row r="7942" spans="1:5" x14ac:dyDescent="0.25">
      <c r="A7942">
        <v>7941</v>
      </c>
      <c r="B7942">
        <v>8600881</v>
      </c>
      <c r="C7942" s="1" t="str">
        <f>HYPERLINK("http://stackoverflow.com/users/8600881", "Jing.L")</f>
        <v>Jing.L</v>
      </c>
      <c r="D7942" t="s">
        <v>96</v>
      </c>
      <c r="E7942">
        <v>1</v>
      </c>
    </row>
    <row r="7943" spans="1:5" x14ac:dyDescent="0.25">
      <c r="A7943">
        <v>7942</v>
      </c>
      <c r="B7943">
        <v>8601402</v>
      </c>
      <c r="C7943" s="1" t="str">
        <f>HYPERLINK("http://stackoverflow.com/users/8601402", "Eugenia Hao")</f>
        <v>Eugenia Hao</v>
      </c>
      <c r="D7943" t="s">
        <v>55</v>
      </c>
      <c r="E7943">
        <v>1</v>
      </c>
    </row>
    <row r="7944" spans="1:5" x14ac:dyDescent="0.25">
      <c r="A7944">
        <v>7943</v>
      </c>
      <c r="B7944">
        <v>10419317</v>
      </c>
      <c r="C7944" s="1" t="str">
        <f>HYPERLINK("http://stackoverflow.com/users/10419317", "Don.J")</f>
        <v>Don.J</v>
      </c>
      <c r="D7944" t="s">
        <v>4</v>
      </c>
      <c r="E7944">
        <v>1</v>
      </c>
    </row>
    <row r="7945" spans="1:5" x14ac:dyDescent="0.25">
      <c r="A7945">
        <v>7944</v>
      </c>
      <c r="B7945">
        <v>10419842</v>
      </c>
      <c r="C7945" s="1" t="str">
        <f>HYPERLINK("http://stackoverflow.com/users/10419842", "user10419842")</f>
        <v>user10419842</v>
      </c>
      <c r="D7945" t="s">
        <v>16</v>
      </c>
      <c r="E7945">
        <v>1</v>
      </c>
    </row>
    <row r="7946" spans="1:5" x14ac:dyDescent="0.25">
      <c r="A7946">
        <v>7945</v>
      </c>
      <c r="B7946">
        <v>10411665</v>
      </c>
      <c r="C7946" s="1" t="str">
        <f>HYPERLINK("http://stackoverflow.com/users/10411665", "YanZhenjie")</f>
        <v>YanZhenjie</v>
      </c>
      <c r="D7946" t="s">
        <v>16</v>
      </c>
      <c r="E7946">
        <v>1</v>
      </c>
    </row>
    <row r="7947" spans="1:5" x14ac:dyDescent="0.25">
      <c r="A7947">
        <v>7946</v>
      </c>
      <c r="B7947">
        <v>10411837</v>
      </c>
      <c r="C7947" s="1" t="str">
        <f>HYPERLINK("http://stackoverflow.com/users/10411837", "hl an")</f>
        <v>hl an</v>
      </c>
      <c r="D7947" t="s">
        <v>5</v>
      </c>
      <c r="E7947">
        <v>1</v>
      </c>
    </row>
    <row r="7948" spans="1:5" x14ac:dyDescent="0.25">
      <c r="A7948">
        <v>7947</v>
      </c>
      <c r="B7948">
        <v>1345446</v>
      </c>
      <c r="C7948" s="1" t="str">
        <f>HYPERLINK("http://stackoverflow.com/users/1345446", "lxn179208")</f>
        <v>lxn179208</v>
      </c>
      <c r="D7948" t="s">
        <v>5</v>
      </c>
      <c r="E7948">
        <v>1</v>
      </c>
    </row>
    <row r="7949" spans="1:5" x14ac:dyDescent="0.25">
      <c r="A7949">
        <v>7948</v>
      </c>
      <c r="B7949">
        <v>1352700</v>
      </c>
      <c r="C7949" s="1" t="str">
        <f>HYPERLINK("http://stackoverflow.com/users/1352700", "Lene Huang")</f>
        <v>Lene Huang</v>
      </c>
      <c r="D7949" t="s">
        <v>22</v>
      </c>
      <c r="E7949">
        <v>1</v>
      </c>
    </row>
    <row r="7950" spans="1:5" x14ac:dyDescent="0.25">
      <c r="A7950">
        <v>7949</v>
      </c>
      <c r="B7950">
        <v>1352731</v>
      </c>
      <c r="C7950" s="1" t="str">
        <f>HYPERLINK("http://stackoverflow.com/users/1352731", "Shawn")</f>
        <v>Shawn</v>
      </c>
      <c r="D7950" t="s">
        <v>424</v>
      </c>
      <c r="E7950">
        <v>1</v>
      </c>
    </row>
    <row r="7951" spans="1:5" x14ac:dyDescent="0.25">
      <c r="A7951">
        <v>7950</v>
      </c>
      <c r="B7951">
        <v>1352943</v>
      </c>
      <c r="C7951" s="1" t="str">
        <f>HYPERLINK("http://stackoverflow.com/users/1352943", "elegydancer")</f>
        <v>elegydancer</v>
      </c>
      <c r="D7951" t="s">
        <v>4</v>
      </c>
      <c r="E7951">
        <v>1</v>
      </c>
    </row>
    <row r="7952" spans="1:5" x14ac:dyDescent="0.25">
      <c r="A7952">
        <v>7951</v>
      </c>
      <c r="B7952">
        <v>1353080</v>
      </c>
      <c r="C7952" s="1" t="str">
        <f>HYPERLINK("http://stackoverflow.com/users/1353080", "rav009")</f>
        <v>rav009</v>
      </c>
      <c r="D7952" t="s">
        <v>4</v>
      </c>
      <c r="E7952">
        <v>1</v>
      </c>
    </row>
    <row r="7953" spans="1:5" x14ac:dyDescent="0.25">
      <c r="A7953">
        <v>7952</v>
      </c>
      <c r="B7953">
        <v>8606262</v>
      </c>
      <c r="C7953" s="1" t="str">
        <f>HYPERLINK("http://stackoverflow.com/users/8606262", "CatTM")</f>
        <v>CatTM</v>
      </c>
      <c r="D7953" t="s">
        <v>5</v>
      </c>
      <c r="E7953">
        <v>1</v>
      </c>
    </row>
    <row r="7954" spans="1:5" x14ac:dyDescent="0.25">
      <c r="A7954">
        <v>7953</v>
      </c>
      <c r="B7954">
        <v>8606308</v>
      </c>
      <c r="C7954" s="1" t="str">
        <f>HYPERLINK("http://stackoverflow.com/users/8606308", "Big Paco")</f>
        <v>Big Paco</v>
      </c>
      <c r="D7954" t="s">
        <v>4</v>
      </c>
      <c r="E7954">
        <v>1</v>
      </c>
    </row>
    <row r="7955" spans="1:5" x14ac:dyDescent="0.25">
      <c r="A7955">
        <v>7954</v>
      </c>
      <c r="B7955">
        <v>8606357</v>
      </c>
      <c r="C7955" s="1" t="str">
        <f>HYPERLINK("http://stackoverflow.com/users/8606357", "Stephen Yuan")</f>
        <v>Stephen Yuan</v>
      </c>
      <c r="D7955" t="s">
        <v>4</v>
      </c>
      <c r="E7955">
        <v>1</v>
      </c>
    </row>
    <row r="7956" spans="1:5" x14ac:dyDescent="0.25">
      <c r="A7956">
        <v>7955</v>
      </c>
      <c r="B7956">
        <v>8606388</v>
      </c>
      <c r="C7956" s="1" t="str">
        <f>HYPERLINK("http://stackoverflow.com/users/8606388", "Vincent.Cai")</f>
        <v>Vincent.Cai</v>
      </c>
      <c r="D7956" t="s">
        <v>4</v>
      </c>
      <c r="E7956">
        <v>1</v>
      </c>
    </row>
    <row r="7957" spans="1:5" x14ac:dyDescent="0.25">
      <c r="A7957">
        <v>7956</v>
      </c>
      <c r="B7957">
        <v>8606456</v>
      </c>
      <c r="C7957" s="1" t="str">
        <f>HYPERLINK("http://stackoverflow.com/users/8606456", "kkk")</f>
        <v>kkk</v>
      </c>
      <c r="D7957" t="s">
        <v>25</v>
      </c>
      <c r="E7957">
        <v>1</v>
      </c>
    </row>
    <row r="7958" spans="1:5" x14ac:dyDescent="0.25">
      <c r="A7958">
        <v>7957</v>
      </c>
      <c r="B7958">
        <v>8606630</v>
      </c>
      <c r="C7958" s="1" t="str">
        <f>HYPERLINK("http://stackoverflow.com/users/8606630", "James QIN")</f>
        <v>James QIN</v>
      </c>
      <c r="D7958" t="s">
        <v>7</v>
      </c>
      <c r="E7958">
        <v>1</v>
      </c>
    </row>
    <row r="7959" spans="1:5" x14ac:dyDescent="0.25">
      <c r="A7959">
        <v>7958</v>
      </c>
      <c r="B7959">
        <v>5051968</v>
      </c>
      <c r="C7959" s="1" t="str">
        <f>HYPERLINK("http://stackoverflow.com/users/5051968", "Ivan")</f>
        <v>Ivan</v>
      </c>
      <c r="D7959" t="s">
        <v>28</v>
      </c>
      <c r="E7959">
        <v>1</v>
      </c>
    </row>
    <row r="7960" spans="1:5" x14ac:dyDescent="0.25">
      <c r="A7960">
        <v>7959</v>
      </c>
      <c r="B7960">
        <v>5052026</v>
      </c>
      <c r="C7960" s="1" t="str">
        <f>HYPERLINK("http://stackoverflow.com/users/5052026", "Bruce Lu")</f>
        <v>Bruce Lu</v>
      </c>
      <c r="D7960" t="s">
        <v>7</v>
      </c>
      <c r="E7960">
        <v>1</v>
      </c>
    </row>
    <row r="7961" spans="1:5" x14ac:dyDescent="0.25">
      <c r="A7961">
        <v>7960</v>
      </c>
      <c r="B7961">
        <v>8611933</v>
      </c>
      <c r="C7961" s="1" t="str">
        <f>HYPERLINK("http://stackoverflow.com/users/8611933", "677__Hikki__刘奇奇")</f>
        <v>677__Hikki__刘奇奇</v>
      </c>
      <c r="D7961" t="s">
        <v>184</v>
      </c>
      <c r="E7961">
        <v>1</v>
      </c>
    </row>
    <row r="7962" spans="1:5" x14ac:dyDescent="0.25">
      <c r="A7962">
        <v>7961</v>
      </c>
      <c r="B7962">
        <v>3226152</v>
      </c>
      <c r="C7962" s="1" t="str">
        <f>HYPERLINK("http://stackoverflow.com/users/3226152", "Tony")</f>
        <v>Tony</v>
      </c>
      <c r="D7962" t="s">
        <v>425</v>
      </c>
      <c r="E7962">
        <v>1</v>
      </c>
    </row>
    <row r="7963" spans="1:5" x14ac:dyDescent="0.25">
      <c r="A7963">
        <v>7962</v>
      </c>
      <c r="B7963">
        <v>3226505</v>
      </c>
      <c r="C7963" s="1" t="str">
        <f>HYPERLINK("http://stackoverflow.com/users/3226505", "Cfans_gpl")</f>
        <v>Cfans_gpl</v>
      </c>
      <c r="D7963" t="s">
        <v>37</v>
      </c>
      <c r="E7963">
        <v>1</v>
      </c>
    </row>
    <row r="7964" spans="1:5" x14ac:dyDescent="0.25">
      <c r="A7964">
        <v>7963</v>
      </c>
      <c r="B7964">
        <v>3226609</v>
      </c>
      <c r="C7964" s="1" t="str">
        <f>HYPERLINK("http://stackoverflow.com/users/3226609", "jyuny1")</f>
        <v>jyuny1</v>
      </c>
      <c r="D7964" t="s">
        <v>4</v>
      </c>
      <c r="E7964">
        <v>1</v>
      </c>
    </row>
    <row r="7965" spans="1:5" x14ac:dyDescent="0.25">
      <c r="A7965">
        <v>7964</v>
      </c>
      <c r="B7965">
        <v>3226612</v>
      </c>
      <c r="C7965" s="1" t="str">
        <f>HYPERLINK("http://stackoverflow.com/users/3226612", "LegendZX")</f>
        <v>LegendZX</v>
      </c>
      <c r="D7965" t="s">
        <v>5</v>
      </c>
      <c r="E7965">
        <v>1</v>
      </c>
    </row>
    <row r="7966" spans="1:5" x14ac:dyDescent="0.25">
      <c r="A7966">
        <v>7965</v>
      </c>
      <c r="B7966">
        <v>10411106</v>
      </c>
      <c r="C7966" s="1" t="str">
        <f>HYPERLINK("http://stackoverflow.com/users/10411106", "Mr Endlesswhy")</f>
        <v>Mr Endlesswhy</v>
      </c>
      <c r="D7966" t="s">
        <v>7</v>
      </c>
      <c r="E7966">
        <v>1</v>
      </c>
    </row>
    <row r="7967" spans="1:5" x14ac:dyDescent="0.25">
      <c r="A7967">
        <v>7966</v>
      </c>
      <c r="B7967">
        <v>10411209</v>
      </c>
      <c r="C7967" s="1" t="str">
        <f>HYPERLINK("http://stackoverflow.com/users/10411209", "SerdarKerimov")</f>
        <v>SerdarKerimov</v>
      </c>
      <c r="D7967" t="s">
        <v>16</v>
      </c>
      <c r="E7967">
        <v>1</v>
      </c>
    </row>
    <row r="7968" spans="1:5" x14ac:dyDescent="0.25">
      <c r="A7968">
        <v>7967</v>
      </c>
      <c r="B7968">
        <v>8597294</v>
      </c>
      <c r="C7968" s="1" t="str">
        <f>HYPERLINK("http://stackoverflow.com/users/8597294", "falsepear")</f>
        <v>falsepear</v>
      </c>
      <c r="D7968" t="s">
        <v>7</v>
      </c>
      <c r="E7968">
        <v>1</v>
      </c>
    </row>
    <row r="7969" spans="1:5" x14ac:dyDescent="0.25">
      <c r="A7969">
        <v>7968</v>
      </c>
      <c r="B7969">
        <v>8597913</v>
      </c>
      <c r="C7969" s="1" t="str">
        <f>HYPERLINK("http://stackoverflow.com/users/8597913", "lvming")</f>
        <v>lvming</v>
      </c>
      <c r="D7969" t="s">
        <v>4</v>
      </c>
      <c r="E7969">
        <v>1</v>
      </c>
    </row>
    <row r="7970" spans="1:5" x14ac:dyDescent="0.25">
      <c r="A7970">
        <v>7969</v>
      </c>
      <c r="B7970">
        <v>8597933</v>
      </c>
      <c r="C7970" s="1" t="str">
        <f>HYPERLINK("http://stackoverflow.com/users/8597933", "Yohee Yang")</f>
        <v>Yohee Yang</v>
      </c>
      <c r="D7970" t="s">
        <v>5</v>
      </c>
      <c r="E7970">
        <v>1</v>
      </c>
    </row>
    <row r="7971" spans="1:5" x14ac:dyDescent="0.25">
      <c r="A7971">
        <v>7970</v>
      </c>
      <c r="B7971">
        <v>6763505</v>
      </c>
      <c r="C7971" s="1" t="str">
        <f>HYPERLINK("http://stackoverflow.com/users/6763505", "Dapeng Xu")</f>
        <v>Dapeng Xu</v>
      </c>
      <c r="D7971" t="s">
        <v>114</v>
      </c>
      <c r="E7971">
        <v>1</v>
      </c>
    </row>
    <row r="7972" spans="1:5" x14ac:dyDescent="0.25">
      <c r="A7972">
        <v>7971</v>
      </c>
      <c r="B7972">
        <v>3224587</v>
      </c>
      <c r="C7972" s="1" t="str">
        <f>HYPERLINK("http://stackoverflow.com/users/3224587", "iBalintha")</f>
        <v>iBalintha</v>
      </c>
      <c r="D7972" t="s">
        <v>22</v>
      </c>
      <c r="E7972">
        <v>1</v>
      </c>
    </row>
    <row r="7973" spans="1:5" x14ac:dyDescent="0.25">
      <c r="A7973">
        <v>7972</v>
      </c>
      <c r="B7973">
        <v>8593683</v>
      </c>
      <c r="C7973" s="1" t="str">
        <f>HYPERLINK("http://stackoverflow.com/users/8593683", "H.Huang")</f>
        <v>H.Huang</v>
      </c>
      <c r="D7973" t="s">
        <v>4</v>
      </c>
      <c r="E7973">
        <v>1</v>
      </c>
    </row>
    <row r="7974" spans="1:5" x14ac:dyDescent="0.25">
      <c r="A7974">
        <v>7973</v>
      </c>
      <c r="B7974">
        <v>6760079</v>
      </c>
      <c r="C7974" s="1" t="str">
        <f>HYPERLINK("http://stackoverflow.com/users/6760079", "Zhe Wang")</f>
        <v>Zhe Wang</v>
      </c>
      <c r="D7974" t="s">
        <v>43</v>
      </c>
      <c r="E7974">
        <v>1</v>
      </c>
    </row>
    <row r="7975" spans="1:5" x14ac:dyDescent="0.25">
      <c r="A7975">
        <v>7974</v>
      </c>
      <c r="B7975">
        <v>6760127</v>
      </c>
      <c r="C7975" s="1" t="str">
        <f>HYPERLINK("http://stackoverflow.com/users/6760127", "Zheyun Zhong")</f>
        <v>Zheyun Zhong</v>
      </c>
      <c r="D7975" t="s">
        <v>4</v>
      </c>
      <c r="E7975">
        <v>1</v>
      </c>
    </row>
    <row r="7976" spans="1:5" x14ac:dyDescent="0.25">
      <c r="A7976">
        <v>7975</v>
      </c>
      <c r="B7976">
        <v>1325787</v>
      </c>
      <c r="C7976" s="1" t="str">
        <f>HYPERLINK("http://stackoverflow.com/users/1325787", "liuning0820")</f>
        <v>liuning0820</v>
      </c>
      <c r="D7976" t="s">
        <v>4</v>
      </c>
      <c r="E7976">
        <v>1</v>
      </c>
    </row>
    <row r="7977" spans="1:5" x14ac:dyDescent="0.25">
      <c r="A7977">
        <v>7976</v>
      </c>
      <c r="B7977">
        <v>10400937</v>
      </c>
      <c r="C7977" s="1" t="str">
        <f>HYPERLINK("http://stackoverflow.com/users/10400937", "王鐘英")</f>
        <v>王鐘英</v>
      </c>
      <c r="D7977" t="s">
        <v>7</v>
      </c>
      <c r="E7977">
        <v>1</v>
      </c>
    </row>
    <row r="7978" spans="1:5" x14ac:dyDescent="0.25">
      <c r="A7978">
        <v>7977</v>
      </c>
      <c r="B7978">
        <v>8587495</v>
      </c>
      <c r="C7978" s="1" t="str">
        <f>HYPERLINK("http://stackoverflow.com/users/8587495", "jasOn")</f>
        <v>jasOn</v>
      </c>
      <c r="D7978" t="s">
        <v>5</v>
      </c>
      <c r="E7978">
        <v>1</v>
      </c>
    </row>
    <row r="7979" spans="1:5" x14ac:dyDescent="0.25">
      <c r="A7979">
        <v>7978</v>
      </c>
      <c r="B7979">
        <v>5034610</v>
      </c>
      <c r="C7979" s="1" t="str">
        <f>HYPERLINK("http://stackoverflow.com/users/5034610", "Pietro")</f>
        <v>Pietro</v>
      </c>
      <c r="D7979" t="s">
        <v>21</v>
      </c>
      <c r="E7979">
        <v>1</v>
      </c>
    </row>
    <row r="7980" spans="1:5" x14ac:dyDescent="0.25">
      <c r="A7980">
        <v>7979</v>
      </c>
      <c r="B7980">
        <v>8583688</v>
      </c>
      <c r="C7980" s="1" t="str">
        <f>HYPERLINK("http://stackoverflow.com/users/8583688", "yin jifeng")</f>
        <v>yin jifeng</v>
      </c>
      <c r="D7980" t="s">
        <v>7</v>
      </c>
      <c r="E7980">
        <v>1</v>
      </c>
    </row>
    <row r="7981" spans="1:5" x14ac:dyDescent="0.25">
      <c r="A7981">
        <v>7980</v>
      </c>
      <c r="B7981">
        <v>10397706</v>
      </c>
      <c r="C7981" s="1" t="str">
        <f>HYPERLINK("http://stackoverflow.com/users/10397706", "da lin")</f>
        <v>da lin</v>
      </c>
      <c r="D7981" t="s">
        <v>16</v>
      </c>
      <c r="E7981">
        <v>1</v>
      </c>
    </row>
    <row r="7982" spans="1:5" x14ac:dyDescent="0.25">
      <c r="A7982">
        <v>7981</v>
      </c>
      <c r="B7982">
        <v>6751548</v>
      </c>
      <c r="C7982" s="1" t="str">
        <f>HYPERLINK("http://stackoverflow.com/users/6751548", "Li Wang")</f>
        <v>Li Wang</v>
      </c>
      <c r="D7982" t="s">
        <v>5</v>
      </c>
      <c r="E7982">
        <v>1</v>
      </c>
    </row>
    <row r="7983" spans="1:5" x14ac:dyDescent="0.25">
      <c r="A7983">
        <v>7982</v>
      </c>
      <c r="B7983">
        <v>6751642</v>
      </c>
      <c r="C7983" s="1" t="str">
        <f>HYPERLINK("http://stackoverflow.com/users/6751642", "zhiking")</f>
        <v>zhiking</v>
      </c>
      <c r="D7983" t="s">
        <v>5</v>
      </c>
      <c r="E7983">
        <v>1</v>
      </c>
    </row>
    <row r="7984" spans="1:5" x14ac:dyDescent="0.25">
      <c r="A7984">
        <v>7983</v>
      </c>
      <c r="B7984">
        <v>6751898</v>
      </c>
      <c r="C7984" s="1" t="str">
        <f>HYPERLINK("http://stackoverflow.com/users/6751898", "Karl Fjellstrom")</f>
        <v>Karl Fjellstrom</v>
      </c>
      <c r="D7984" t="s">
        <v>25</v>
      </c>
      <c r="E7984">
        <v>1</v>
      </c>
    </row>
    <row r="7985" spans="1:5" x14ac:dyDescent="0.25">
      <c r="A7985">
        <v>7984</v>
      </c>
      <c r="B7985">
        <v>5027960</v>
      </c>
      <c r="C7985" s="1" t="str">
        <f>HYPERLINK("http://stackoverflow.com/users/5027960", "mfee")</f>
        <v>mfee</v>
      </c>
      <c r="D7985" t="s">
        <v>37</v>
      </c>
      <c r="E7985">
        <v>1</v>
      </c>
    </row>
    <row r="7986" spans="1:5" x14ac:dyDescent="0.25">
      <c r="A7986">
        <v>7985</v>
      </c>
      <c r="B7986">
        <v>5028469</v>
      </c>
      <c r="C7986" s="1" t="str">
        <f>HYPERLINK("http://stackoverflow.com/users/5028469", "kasun")</f>
        <v>kasun</v>
      </c>
      <c r="D7986" t="s">
        <v>21</v>
      </c>
      <c r="E7986">
        <v>1</v>
      </c>
    </row>
    <row r="7987" spans="1:5" x14ac:dyDescent="0.25">
      <c r="A7987">
        <v>7986</v>
      </c>
      <c r="B7987">
        <v>8572312</v>
      </c>
      <c r="C7987" s="1" t="str">
        <f>HYPERLINK("http://stackoverflow.com/users/8572312", "Jiang")</f>
        <v>Jiang</v>
      </c>
      <c r="D7987" t="s">
        <v>33</v>
      </c>
      <c r="E7987">
        <v>1</v>
      </c>
    </row>
    <row r="7988" spans="1:5" x14ac:dyDescent="0.25">
      <c r="A7988">
        <v>7987</v>
      </c>
      <c r="B7988">
        <v>8572353</v>
      </c>
      <c r="C7988" s="1" t="str">
        <f>HYPERLINK("http://stackoverflow.com/users/8572353", "Alexander Logvinov")</f>
        <v>Alexander Logvinov</v>
      </c>
      <c r="D7988" t="s">
        <v>5</v>
      </c>
      <c r="E7988">
        <v>1</v>
      </c>
    </row>
    <row r="7989" spans="1:5" x14ac:dyDescent="0.25">
      <c r="A7989">
        <v>7988</v>
      </c>
      <c r="B7989">
        <v>8572769</v>
      </c>
      <c r="C7989" s="1" t="str">
        <f>HYPERLINK("http://stackoverflow.com/users/8572769", "王启帆")</f>
        <v>王启帆</v>
      </c>
      <c r="D7989" t="s">
        <v>4</v>
      </c>
      <c r="E7989">
        <v>1</v>
      </c>
    </row>
    <row r="7990" spans="1:5" x14ac:dyDescent="0.25">
      <c r="A7990">
        <v>7989</v>
      </c>
      <c r="B7990">
        <v>8572869</v>
      </c>
      <c r="C7990" s="1" t="str">
        <f>HYPERLINK("http://stackoverflow.com/users/8572869", "丽洁张")</f>
        <v>丽洁张</v>
      </c>
      <c r="D7990" t="s">
        <v>10</v>
      </c>
      <c r="E7990">
        <v>1</v>
      </c>
    </row>
    <row r="7991" spans="1:5" x14ac:dyDescent="0.25">
      <c r="A7991">
        <v>7990</v>
      </c>
      <c r="B7991">
        <v>5017605</v>
      </c>
      <c r="C7991" s="1" t="str">
        <f>HYPERLINK("http://stackoverflow.com/users/5017605", "tribody")</f>
        <v>tribody</v>
      </c>
      <c r="D7991" t="s">
        <v>4</v>
      </c>
      <c r="E7991">
        <v>1</v>
      </c>
    </row>
    <row r="7992" spans="1:5" x14ac:dyDescent="0.25">
      <c r="A7992">
        <v>7991</v>
      </c>
      <c r="B7992">
        <v>5023816</v>
      </c>
      <c r="C7992" s="1" t="str">
        <f>HYPERLINK("http://stackoverflow.com/users/5023816", "Rain")</f>
        <v>Rain</v>
      </c>
      <c r="D7992" t="s">
        <v>5</v>
      </c>
      <c r="E7992">
        <v>1</v>
      </c>
    </row>
    <row r="7993" spans="1:5" x14ac:dyDescent="0.25">
      <c r="A7993">
        <v>7992</v>
      </c>
      <c r="B7993">
        <v>8583341</v>
      </c>
      <c r="C7993" s="1" t="str">
        <f>HYPERLINK("http://stackoverflow.com/users/8583341", "CHENGFU ZOU")</f>
        <v>CHENGFU ZOU</v>
      </c>
      <c r="D7993" t="s">
        <v>5</v>
      </c>
      <c r="E7993">
        <v>1</v>
      </c>
    </row>
    <row r="7994" spans="1:5" x14ac:dyDescent="0.25">
      <c r="A7994">
        <v>7993</v>
      </c>
      <c r="B7994">
        <v>1297385</v>
      </c>
      <c r="C7994" s="1" t="str">
        <f>HYPERLINK("http://stackoverflow.com/users/1297385", "Troy Lee")</f>
        <v>Troy Lee</v>
      </c>
      <c r="D7994" t="s">
        <v>5</v>
      </c>
      <c r="E7994">
        <v>1</v>
      </c>
    </row>
    <row r="7995" spans="1:5" x14ac:dyDescent="0.25">
      <c r="A7995">
        <v>7994</v>
      </c>
      <c r="B7995">
        <v>3148603</v>
      </c>
      <c r="C7995" s="1" t="str">
        <f>HYPERLINK("http://stackoverflow.com/users/3148603", "Wei")</f>
        <v>Wei</v>
      </c>
      <c r="D7995" t="s">
        <v>5</v>
      </c>
      <c r="E7995">
        <v>1</v>
      </c>
    </row>
    <row r="7996" spans="1:5" x14ac:dyDescent="0.25">
      <c r="A7996">
        <v>7995</v>
      </c>
      <c r="B7996">
        <v>1222934</v>
      </c>
      <c r="C7996" s="1" t="str">
        <f>HYPERLINK("http://stackoverflow.com/users/1222934", "zhangps")</f>
        <v>zhangps</v>
      </c>
      <c r="D7996" t="s">
        <v>5</v>
      </c>
      <c r="E7996">
        <v>1</v>
      </c>
    </row>
    <row r="7997" spans="1:5" x14ac:dyDescent="0.25">
      <c r="A7997">
        <v>7996</v>
      </c>
      <c r="B7997">
        <v>4972728</v>
      </c>
      <c r="C7997" s="1" t="str">
        <f>HYPERLINK("http://stackoverflow.com/users/4972728", "DEO")</f>
        <v>DEO</v>
      </c>
      <c r="D7997" t="s">
        <v>4</v>
      </c>
      <c r="E7997">
        <v>1</v>
      </c>
    </row>
    <row r="7998" spans="1:5" x14ac:dyDescent="0.25">
      <c r="A7998">
        <v>7997</v>
      </c>
      <c r="B7998">
        <v>4973065</v>
      </c>
      <c r="C7998" s="1" t="str">
        <f>HYPERLINK("http://stackoverflow.com/users/4973065", "Lei Hu")</f>
        <v>Lei Hu</v>
      </c>
      <c r="D7998" t="s">
        <v>37</v>
      </c>
      <c r="E7998">
        <v>1</v>
      </c>
    </row>
    <row r="7999" spans="1:5" x14ac:dyDescent="0.25">
      <c r="A7999">
        <v>7998</v>
      </c>
      <c r="B7999">
        <v>1217655</v>
      </c>
      <c r="C7999" s="1" t="str">
        <f>HYPERLINK("http://stackoverflow.com/users/1217655", "Nimeux")</f>
        <v>Nimeux</v>
      </c>
      <c r="D7999" t="s">
        <v>5</v>
      </c>
      <c r="E7999">
        <v>1</v>
      </c>
    </row>
    <row r="8000" spans="1:5" x14ac:dyDescent="0.25">
      <c r="A8000">
        <v>7999</v>
      </c>
      <c r="B8000">
        <v>10329356</v>
      </c>
      <c r="C8000" s="1" t="str">
        <f>HYPERLINK("http://stackoverflow.com/users/10329356", "cuiyn")</f>
        <v>cuiyn</v>
      </c>
      <c r="D8000" t="s">
        <v>133</v>
      </c>
      <c r="E8000">
        <v>1</v>
      </c>
    </row>
    <row r="8001" spans="1:5" x14ac:dyDescent="0.25">
      <c r="A8001">
        <v>8000</v>
      </c>
      <c r="B8001">
        <v>3152364</v>
      </c>
      <c r="C8001" s="1" t="str">
        <f>HYPERLINK("http://stackoverflow.com/users/3152364", "Tianium")</f>
        <v>Tianium</v>
      </c>
      <c r="D8001" t="s">
        <v>4</v>
      </c>
      <c r="E8001">
        <v>1</v>
      </c>
    </row>
    <row r="8002" spans="1:5" x14ac:dyDescent="0.25">
      <c r="A8002">
        <v>8001</v>
      </c>
      <c r="B8002">
        <v>3152369</v>
      </c>
      <c r="C8002" s="1" t="str">
        <f>HYPERLINK("http://stackoverflow.com/users/3152369", "Evans")</f>
        <v>Evans</v>
      </c>
      <c r="D8002" t="s">
        <v>12</v>
      </c>
      <c r="E8002">
        <v>1</v>
      </c>
    </row>
    <row r="8003" spans="1:5" x14ac:dyDescent="0.25">
      <c r="A8003">
        <v>8002</v>
      </c>
      <c r="B8003">
        <v>3155899</v>
      </c>
      <c r="C8003" s="1" t="str">
        <f>HYPERLINK("http://stackoverflow.com/users/3155899", "whyorwhar")</f>
        <v>whyorwhar</v>
      </c>
      <c r="D8003" t="s">
        <v>70</v>
      </c>
      <c r="E8003">
        <v>1</v>
      </c>
    </row>
    <row r="8004" spans="1:5" x14ac:dyDescent="0.25">
      <c r="A8004">
        <v>8003</v>
      </c>
      <c r="B8004">
        <v>3155997</v>
      </c>
      <c r="C8004" s="1" t="str">
        <f>HYPERLINK("http://stackoverflow.com/users/3155997", "Initial")</f>
        <v>Initial</v>
      </c>
      <c r="D8004" t="s">
        <v>8</v>
      </c>
      <c r="E8004">
        <v>1</v>
      </c>
    </row>
    <row r="8005" spans="1:5" x14ac:dyDescent="0.25">
      <c r="A8005">
        <v>8004</v>
      </c>
      <c r="B8005">
        <v>3156209</v>
      </c>
      <c r="C8005" s="1" t="str">
        <f>HYPERLINK("http://stackoverflow.com/users/3156209", "Xiang Zhiying")</f>
        <v>Xiang Zhiying</v>
      </c>
      <c r="D8005" t="s">
        <v>4</v>
      </c>
      <c r="E8005">
        <v>1</v>
      </c>
    </row>
    <row r="8006" spans="1:5" x14ac:dyDescent="0.25">
      <c r="A8006">
        <v>8005</v>
      </c>
      <c r="B8006">
        <v>3155636</v>
      </c>
      <c r="C8006" s="1" t="str">
        <f>HYPERLINK("http://stackoverflow.com/users/3155636", "jiehu5114")</f>
        <v>jiehu5114</v>
      </c>
      <c r="D8006" t="s">
        <v>4</v>
      </c>
      <c r="E8006">
        <v>1</v>
      </c>
    </row>
    <row r="8007" spans="1:5" x14ac:dyDescent="0.25">
      <c r="A8007">
        <v>8006</v>
      </c>
      <c r="B8007">
        <v>8520428</v>
      </c>
      <c r="C8007" s="1" t="str">
        <f>HYPERLINK("http://stackoverflow.com/users/8520428", "mikechengwei")</f>
        <v>mikechengwei</v>
      </c>
      <c r="D8007" t="s">
        <v>4</v>
      </c>
      <c r="E8007">
        <v>1</v>
      </c>
    </row>
    <row r="8008" spans="1:5" x14ac:dyDescent="0.25">
      <c r="A8008">
        <v>8007</v>
      </c>
      <c r="B8008">
        <v>8521069</v>
      </c>
      <c r="C8008" s="1" t="str">
        <f>HYPERLINK("http://stackoverflow.com/users/8521069", "Cubat")</f>
        <v>Cubat</v>
      </c>
      <c r="D8008" t="s">
        <v>108</v>
      </c>
      <c r="E8008">
        <v>1</v>
      </c>
    </row>
    <row r="8009" spans="1:5" x14ac:dyDescent="0.25">
      <c r="A8009">
        <v>8008</v>
      </c>
      <c r="B8009">
        <v>10333659</v>
      </c>
      <c r="C8009" s="1" t="str">
        <f>HYPERLINK("http://stackoverflow.com/users/10333659", "Abdullahi Hirsi-geele")</f>
        <v>Abdullahi Hirsi-geele</v>
      </c>
      <c r="D8009" t="s">
        <v>265</v>
      </c>
      <c r="E8009">
        <v>1</v>
      </c>
    </row>
    <row r="8010" spans="1:5" x14ac:dyDescent="0.25">
      <c r="A8010">
        <v>8009</v>
      </c>
      <c r="B8010">
        <v>10333825</v>
      </c>
      <c r="C8010" s="1" t="str">
        <f>HYPERLINK("http://stackoverflow.com/users/10333825", "hai li")</f>
        <v>hai li</v>
      </c>
      <c r="D8010" t="s">
        <v>58</v>
      </c>
      <c r="E8010">
        <v>1</v>
      </c>
    </row>
    <row r="8011" spans="1:5" x14ac:dyDescent="0.25">
      <c r="A8011">
        <v>8010</v>
      </c>
      <c r="B8011">
        <v>6698447</v>
      </c>
      <c r="C8011" s="1" t="str">
        <f>HYPERLINK("http://stackoverflow.com/users/6698447", "Sameer Perampalli")</f>
        <v>Sameer Perampalli</v>
      </c>
      <c r="D8011" t="s">
        <v>4</v>
      </c>
      <c r="E8011">
        <v>1</v>
      </c>
    </row>
    <row r="8012" spans="1:5" x14ac:dyDescent="0.25">
      <c r="A8012">
        <v>8011</v>
      </c>
      <c r="B8012">
        <v>6698453</v>
      </c>
      <c r="C8012" s="1" t="str">
        <f>HYPERLINK("http://stackoverflow.com/users/6698453", "赵林林")</f>
        <v>赵林林</v>
      </c>
      <c r="D8012" t="s">
        <v>4</v>
      </c>
      <c r="E8012">
        <v>1</v>
      </c>
    </row>
    <row r="8013" spans="1:5" x14ac:dyDescent="0.25">
      <c r="A8013">
        <v>8012</v>
      </c>
      <c r="B8013">
        <v>10337907</v>
      </c>
      <c r="C8013" s="1" t="str">
        <f>HYPERLINK("http://stackoverflow.com/users/10337907", "jie fu")</f>
        <v>jie fu</v>
      </c>
      <c r="D8013" t="s">
        <v>426</v>
      </c>
      <c r="E8013">
        <v>1</v>
      </c>
    </row>
    <row r="8014" spans="1:5" x14ac:dyDescent="0.25">
      <c r="A8014">
        <v>8013</v>
      </c>
      <c r="B8014">
        <v>10347540</v>
      </c>
      <c r="C8014" s="1" t="str">
        <f>HYPERLINK("http://stackoverflow.com/users/10347540", "Qiaoling")</f>
        <v>Qiaoling</v>
      </c>
      <c r="D8014" t="s">
        <v>5</v>
      </c>
      <c r="E8014">
        <v>1</v>
      </c>
    </row>
    <row r="8015" spans="1:5" x14ac:dyDescent="0.25">
      <c r="A8015">
        <v>8014</v>
      </c>
      <c r="B8015">
        <v>10347717</v>
      </c>
      <c r="C8015" s="1" t="str">
        <f>HYPERLINK("http://stackoverflow.com/users/10347717", "Huaixing Su")</f>
        <v>Huaixing Su</v>
      </c>
      <c r="D8015" t="s">
        <v>5</v>
      </c>
      <c r="E8015">
        <v>1</v>
      </c>
    </row>
    <row r="8016" spans="1:5" x14ac:dyDescent="0.25">
      <c r="A8016">
        <v>8015</v>
      </c>
      <c r="B8016">
        <v>10347873</v>
      </c>
      <c r="C8016" s="1" t="str">
        <f>HYPERLINK("http://stackoverflow.com/users/10347873", "Haitao Wang")</f>
        <v>Haitao Wang</v>
      </c>
      <c r="D8016" t="s">
        <v>4</v>
      </c>
      <c r="E8016">
        <v>1</v>
      </c>
    </row>
    <row r="8017" spans="1:5" x14ac:dyDescent="0.25">
      <c r="A8017">
        <v>8016</v>
      </c>
      <c r="B8017">
        <v>10350667</v>
      </c>
      <c r="C8017" s="1" t="str">
        <f>HYPERLINK("http://stackoverflow.com/users/10350667", "Jun.jing")</f>
        <v>Jun.jing</v>
      </c>
      <c r="D8017" t="s">
        <v>43</v>
      </c>
      <c r="E8017">
        <v>1</v>
      </c>
    </row>
    <row r="8018" spans="1:5" x14ac:dyDescent="0.25">
      <c r="A8018">
        <v>8017</v>
      </c>
      <c r="B8018">
        <v>10350718</v>
      </c>
      <c r="C8018" s="1" t="str">
        <f>HYPERLINK("http://stackoverflow.com/users/10350718", "V.qin")</f>
        <v>V.qin</v>
      </c>
      <c r="D8018" t="s">
        <v>5</v>
      </c>
      <c r="E8018">
        <v>1</v>
      </c>
    </row>
    <row r="8019" spans="1:5" x14ac:dyDescent="0.25">
      <c r="A8019">
        <v>8018</v>
      </c>
      <c r="B8019">
        <v>10351111</v>
      </c>
      <c r="C8019" s="1" t="str">
        <f>HYPERLINK("http://stackoverflow.com/users/10351111", "LamperougeZYY")</f>
        <v>LamperougeZYY</v>
      </c>
      <c r="D8019" t="s">
        <v>16</v>
      </c>
      <c r="E8019">
        <v>1</v>
      </c>
    </row>
    <row r="8020" spans="1:5" x14ac:dyDescent="0.25">
      <c r="A8020">
        <v>8019</v>
      </c>
      <c r="B8020">
        <v>8537887</v>
      </c>
      <c r="C8020" s="1" t="str">
        <f>HYPERLINK("http://stackoverflow.com/users/8537887", "施华德")</f>
        <v>施华德</v>
      </c>
      <c r="D8020" t="s">
        <v>4</v>
      </c>
      <c r="E8020">
        <v>1</v>
      </c>
    </row>
    <row r="8021" spans="1:5" x14ac:dyDescent="0.25">
      <c r="A8021">
        <v>8020</v>
      </c>
      <c r="B8021">
        <v>8538269</v>
      </c>
      <c r="C8021" s="1" t="str">
        <f>HYPERLINK("http://stackoverflow.com/users/8538269", "Zheng Tzer")</f>
        <v>Zheng Tzer</v>
      </c>
      <c r="D8021" t="s">
        <v>4</v>
      </c>
      <c r="E8021">
        <v>1</v>
      </c>
    </row>
    <row r="8022" spans="1:5" x14ac:dyDescent="0.25">
      <c r="A8022">
        <v>8021</v>
      </c>
      <c r="B8022">
        <v>4987229</v>
      </c>
      <c r="C8022" s="1" t="str">
        <f>HYPERLINK("http://stackoverflow.com/users/4987229", "Haocheng Liu")</f>
        <v>Haocheng Liu</v>
      </c>
      <c r="D8022" t="s">
        <v>12</v>
      </c>
      <c r="E8022">
        <v>1</v>
      </c>
    </row>
    <row r="8023" spans="1:5" x14ac:dyDescent="0.25">
      <c r="A8023">
        <v>8022</v>
      </c>
      <c r="B8023">
        <v>10351247</v>
      </c>
      <c r="C8023" s="1" t="str">
        <f>HYPERLINK("http://stackoverflow.com/users/10351247", "Sai Du")</f>
        <v>Sai Du</v>
      </c>
      <c r="D8023" t="s">
        <v>28</v>
      </c>
      <c r="E8023">
        <v>1</v>
      </c>
    </row>
    <row r="8024" spans="1:5" x14ac:dyDescent="0.25">
      <c r="A8024">
        <v>8023</v>
      </c>
      <c r="B8024">
        <v>10351320</v>
      </c>
      <c r="C8024" s="1" t="str">
        <f>HYPERLINK("http://stackoverflow.com/users/10351320", "Wang Teddy")</f>
        <v>Wang Teddy</v>
      </c>
      <c r="D8024" t="s">
        <v>7</v>
      </c>
      <c r="E8024">
        <v>1</v>
      </c>
    </row>
    <row r="8025" spans="1:5" x14ac:dyDescent="0.25">
      <c r="A8025">
        <v>8024</v>
      </c>
      <c r="B8025">
        <v>8538446</v>
      </c>
      <c r="C8025" s="1" t="str">
        <f>HYPERLINK("http://stackoverflow.com/users/8538446", "kefei ren")</f>
        <v>kefei ren</v>
      </c>
      <c r="D8025" t="s">
        <v>5</v>
      </c>
      <c r="E8025">
        <v>1</v>
      </c>
    </row>
    <row r="8026" spans="1:5" x14ac:dyDescent="0.25">
      <c r="A8026">
        <v>8025</v>
      </c>
      <c r="B8026">
        <v>3177402</v>
      </c>
      <c r="C8026" s="1" t="str">
        <f>HYPERLINK("http://stackoverflow.com/users/3177402", "Isaac Yi")</f>
        <v>Isaac Yi</v>
      </c>
      <c r="D8026" t="s">
        <v>4</v>
      </c>
      <c r="E8026">
        <v>1</v>
      </c>
    </row>
    <row r="8027" spans="1:5" x14ac:dyDescent="0.25">
      <c r="A8027">
        <v>8026</v>
      </c>
      <c r="B8027">
        <v>8541787</v>
      </c>
      <c r="C8027" s="1" t="str">
        <f>HYPERLINK("http://stackoverflow.com/users/8541787", "SailWang ")</f>
        <v xml:space="preserve">SailWang </v>
      </c>
      <c r="D8027" t="s">
        <v>427</v>
      </c>
      <c r="E8027">
        <v>1</v>
      </c>
    </row>
    <row r="8028" spans="1:5" x14ac:dyDescent="0.25">
      <c r="A8028">
        <v>8027</v>
      </c>
      <c r="B8028">
        <v>8541827</v>
      </c>
      <c r="C8028" s="1" t="str">
        <f>HYPERLINK("http://stackoverflow.com/users/8541827", "typeR")</f>
        <v>typeR</v>
      </c>
      <c r="D8028" t="s">
        <v>15</v>
      </c>
      <c r="E8028">
        <v>1</v>
      </c>
    </row>
    <row r="8029" spans="1:5" x14ac:dyDescent="0.25">
      <c r="A8029">
        <v>8028</v>
      </c>
      <c r="B8029">
        <v>8541855</v>
      </c>
      <c r="C8029" s="1" t="str">
        <f>HYPERLINK("http://stackoverflow.com/users/8541855", "Yan Yujie")</f>
        <v>Yan Yujie</v>
      </c>
      <c r="D8029" t="s">
        <v>428</v>
      </c>
      <c r="E8029">
        <v>1</v>
      </c>
    </row>
    <row r="8030" spans="1:5" x14ac:dyDescent="0.25">
      <c r="A8030">
        <v>8029</v>
      </c>
      <c r="B8030">
        <v>8542041</v>
      </c>
      <c r="C8030" s="1" t="str">
        <f>HYPERLINK("http://stackoverflow.com/users/8542041", "Wang Yuan")</f>
        <v>Wang Yuan</v>
      </c>
      <c r="D8030" t="s">
        <v>52</v>
      </c>
      <c r="E8030">
        <v>1</v>
      </c>
    </row>
    <row r="8031" spans="1:5" x14ac:dyDescent="0.25">
      <c r="A8031">
        <v>8030</v>
      </c>
      <c r="B8031">
        <v>8525177</v>
      </c>
      <c r="C8031" s="1" t="str">
        <f>HYPERLINK("http://stackoverflow.com/users/8525177", "Currahee")</f>
        <v>Currahee</v>
      </c>
      <c r="D8031" t="s">
        <v>17</v>
      </c>
      <c r="E8031">
        <v>1</v>
      </c>
    </row>
    <row r="8032" spans="1:5" x14ac:dyDescent="0.25">
      <c r="A8032">
        <v>8031</v>
      </c>
      <c r="B8032">
        <v>8525193</v>
      </c>
      <c r="C8032" s="1" t="str">
        <f>HYPERLINK("http://stackoverflow.com/users/8525193", "lamei")</f>
        <v>lamei</v>
      </c>
      <c r="D8032" t="s">
        <v>7</v>
      </c>
      <c r="E8032">
        <v>1</v>
      </c>
    </row>
    <row r="8033" spans="1:5" x14ac:dyDescent="0.25">
      <c r="A8033">
        <v>8032</v>
      </c>
      <c r="B8033">
        <v>8525217</v>
      </c>
      <c r="C8033" s="1" t="str">
        <f>HYPERLINK("http://stackoverflow.com/users/8525217", "mandino")</f>
        <v>mandino</v>
      </c>
      <c r="D8033" t="s">
        <v>135</v>
      </c>
      <c r="E8033">
        <v>1</v>
      </c>
    </row>
    <row r="8034" spans="1:5" x14ac:dyDescent="0.25">
      <c r="A8034">
        <v>8033</v>
      </c>
      <c r="B8034">
        <v>8525263</v>
      </c>
      <c r="C8034" s="1" t="str">
        <f>HYPERLINK("http://stackoverflow.com/users/8525263", "hu xiao")</f>
        <v>hu xiao</v>
      </c>
      <c r="D8034" t="s">
        <v>28</v>
      </c>
      <c r="E8034">
        <v>1</v>
      </c>
    </row>
    <row r="8035" spans="1:5" x14ac:dyDescent="0.25">
      <c r="A8035">
        <v>8034</v>
      </c>
      <c r="B8035">
        <v>1237262</v>
      </c>
      <c r="C8035" s="1" t="str">
        <f>HYPERLINK("http://stackoverflow.com/users/1237262", "Zombiao")</f>
        <v>Zombiao</v>
      </c>
      <c r="D8035" t="s">
        <v>12</v>
      </c>
      <c r="E8035">
        <v>1</v>
      </c>
    </row>
    <row r="8036" spans="1:5" x14ac:dyDescent="0.25">
      <c r="A8036">
        <v>8035</v>
      </c>
      <c r="B8036">
        <v>3164495</v>
      </c>
      <c r="C8036" s="1" t="str">
        <f>HYPERLINK("http://stackoverflow.com/users/3164495", "NealLi")</f>
        <v>NealLi</v>
      </c>
      <c r="D8036" t="s">
        <v>22</v>
      </c>
      <c r="E8036">
        <v>1</v>
      </c>
    </row>
    <row r="8037" spans="1:5" x14ac:dyDescent="0.25">
      <c r="A8037">
        <v>8036</v>
      </c>
      <c r="B8037">
        <v>3164553</v>
      </c>
      <c r="C8037" s="1" t="str">
        <f>HYPERLINK("http://stackoverflow.com/users/3164553", "Jerry Jian Xu")</f>
        <v>Jerry Jian Xu</v>
      </c>
      <c r="D8037" t="s">
        <v>5</v>
      </c>
      <c r="E8037">
        <v>1</v>
      </c>
    </row>
    <row r="8038" spans="1:5" x14ac:dyDescent="0.25">
      <c r="A8038">
        <v>8037</v>
      </c>
      <c r="B8038">
        <v>1258290</v>
      </c>
      <c r="C8038" s="1" t="str">
        <f>HYPERLINK("http://stackoverflow.com/users/1258290", "Handsome Cheung")</f>
        <v>Handsome Cheung</v>
      </c>
      <c r="D8038" t="s">
        <v>22</v>
      </c>
      <c r="E8038">
        <v>1</v>
      </c>
    </row>
    <row r="8039" spans="1:5" x14ac:dyDescent="0.25">
      <c r="A8039">
        <v>8038</v>
      </c>
      <c r="B8039">
        <v>1258564</v>
      </c>
      <c r="C8039" s="1" t="str">
        <f>HYPERLINK("http://stackoverflow.com/users/1258564", "ghijnuuz")</f>
        <v>ghijnuuz</v>
      </c>
      <c r="D8039" t="s">
        <v>4</v>
      </c>
      <c r="E8039">
        <v>1</v>
      </c>
    </row>
    <row r="8040" spans="1:5" x14ac:dyDescent="0.25">
      <c r="A8040">
        <v>8039</v>
      </c>
      <c r="B8040">
        <v>10360382</v>
      </c>
      <c r="C8040" s="1" t="str">
        <f>HYPERLINK("http://stackoverflow.com/users/10360382", "mobileguru928")</f>
        <v>mobileguru928</v>
      </c>
      <c r="D8040" t="s">
        <v>33</v>
      </c>
      <c r="E8040">
        <v>1</v>
      </c>
    </row>
    <row r="8041" spans="1:5" x14ac:dyDescent="0.25">
      <c r="A8041">
        <v>8040</v>
      </c>
      <c r="B8041">
        <v>4994673</v>
      </c>
      <c r="C8041" s="1" t="str">
        <f>HYPERLINK("http://stackoverflow.com/users/4994673", "Robin Zhong")</f>
        <v>Robin Zhong</v>
      </c>
      <c r="D8041" t="s">
        <v>4</v>
      </c>
      <c r="E8041">
        <v>1</v>
      </c>
    </row>
    <row r="8042" spans="1:5" x14ac:dyDescent="0.25">
      <c r="A8042">
        <v>8041</v>
      </c>
      <c r="B8042">
        <v>8547816</v>
      </c>
      <c r="C8042" s="1" t="str">
        <f>HYPERLINK("http://stackoverflow.com/users/8547816", "DDDarin")</f>
        <v>DDDarin</v>
      </c>
      <c r="D8042" t="s">
        <v>266</v>
      </c>
      <c r="E8042">
        <v>1</v>
      </c>
    </row>
    <row r="8043" spans="1:5" x14ac:dyDescent="0.25">
      <c r="A8043">
        <v>8042</v>
      </c>
      <c r="B8043">
        <v>8547846</v>
      </c>
      <c r="C8043" s="1" t="str">
        <f>HYPERLINK("http://stackoverflow.com/users/8547846", "Jay Shuai")</f>
        <v>Jay Shuai</v>
      </c>
      <c r="D8043" t="s">
        <v>300</v>
      </c>
      <c r="E8043">
        <v>1</v>
      </c>
    </row>
    <row r="8044" spans="1:5" x14ac:dyDescent="0.25">
      <c r="A8044">
        <v>8043</v>
      </c>
      <c r="B8044">
        <v>8547989</v>
      </c>
      <c r="C8044" s="1" t="str">
        <f>HYPERLINK("http://stackoverflow.com/users/8547989", "Heyan")</f>
        <v>Heyan</v>
      </c>
      <c r="D8044" t="s">
        <v>4</v>
      </c>
      <c r="E8044">
        <v>1</v>
      </c>
    </row>
    <row r="8045" spans="1:5" x14ac:dyDescent="0.25">
      <c r="A8045">
        <v>8044</v>
      </c>
      <c r="B8045">
        <v>8548148</v>
      </c>
      <c r="C8045" s="1" t="str">
        <f>HYPERLINK("http://stackoverflow.com/users/8548148", "ZureaintC")</f>
        <v>ZureaintC</v>
      </c>
      <c r="D8045" t="s">
        <v>57</v>
      </c>
      <c r="E8045">
        <v>1</v>
      </c>
    </row>
    <row r="8046" spans="1:5" x14ac:dyDescent="0.25">
      <c r="A8046">
        <v>8045</v>
      </c>
      <c r="B8046">
        <v>8487991</v>
      </c>
      <c r="C8046" s="1" t="str">
        <f>HYPERLINK("http://stackoverflow.com/users/8487991", "136529545559622608840")</f>
        <v>136529545559622608840</v>
      </c>
      <c r="D8046" t="s">
        <v>429</v>
      </c>
      <c r="E8046">
        <v>1</v>
      </c>
    </row>
    <row r="8047" spans="1:5" x14ac:dyDescent="0.25">
      <c r="A8047">
        <v>8046</v>
      </c>
      <c r="B8047">
        <v>6665628</v>
      </c>
      <c r="C8047" s="1" t="str">
        <f>HYPERLINK("http://stackoverflow.com/users/6665628", "jason")</f>
        <v>jason</v>
      </c>
      <c r="D8047" t="s">
        <v>16</v>
      </c>
      <c r="E8047">
        <v>1</v>
      </c>
    </row>
    <row r="8048" spans="1:5" x14ac:dyDescent="0.25">
      <c r="A8048">
        <v>8047</v>
      </c>
      <c r="B8048">
        <v>6661275</v>
      </c>
      <c r="C8048" s="1" t="str">
        <f>HYPERLINK("http://stackoverflow.com/users/6661275", "dontbeuser123")</f>
        <v>dontbeuser123</v>
      </c>
      <c r="D8048" t="s">
        <v>4</v>
      </c>
      <c r="E8048">
        <v>1</v>
      </c>
    </row>
    <row r="8049" spans="1:5" x14ac:dyDescent="0.25">
      <c r="A8049">
        <v>8048</v>
      </c>
      <c r="B8049">
        <v>6661490</v>
      </c>
      <c r="C8049" s="1" t="str">
        <f>HYPERLINK("http://stackoverflow.com/users/6661490", "Stone Cheng")</f>
        <v>Stone Cheng</v>
      </c>
      <c r="D8049" t="s">
        <v>4</v>
      </c>
      <c r="E8049">
        <v>1</v>
      </c>
    </row>
    <row r="8050" spans="1:5" x14ac:dyDescent="0.25">
      <c r="A8050">
        <v>8049</v>
      </c>
      <c r="B8050">
        <v>3126383</v>
      </c>
      <c r="C8050" s="1" t="str">
        <f>HYPERLINK("http://stackoverflow.com/users/3126383", "Wei")</f>
        <v>Wei</v>
      </c>
      <c r="D8050" t="s">
        <v>5</v>
      </c>
      <c r="E8050">
        <v>1</v>
      </c>
    </row>
    <row r="8051" spans="1:5" x14ac:dyDescent="0.25">
      <c r="A8051">
        <v>8050</v>
      </c>
      <c r="B8051">
        <v>1179971</v>
      </c>
      <c r="C8051" s="1" t="str">
        <f>HYPERLINK("http://stackoverflow.com/users/1179971", "Yong W")</f>
        <v>Yong W</v>
      </c>
      <c r="D8051" t="s">
        <v>4</v>
      </c>
      <c r="E8051">
        <v>1</v>
      </c>
    </row>
    <row r="8052" spans="1:5" x14ac:dyDescent="0.25">
      <c r="A8052">
        <v>8051</v>
      </c>
      <c r="B8052">
        <v>1180373</v>
      </c>
      <c r="C8052" s="1" t="str">
        <f>HYPERLINK("http://stackoverflow.com/users/1180373", "lvdaqian")</f>
        <v>lvdaqian</v>
      </c>
      <c r="D8052" t="s">
        <v>12</v>
      </c>
      <c r="E8052">
        <v>1</v>
      </c>
    </row>
    <row r="8053" spans="1:5" x14ac:dyDescent="0.25">
      <c r="A8053">
        <v>8052</v>
      </c>
      <c r="B8053">
        <v>4948561</v>
      </c>
      <c r="C8053" s="1" t="str">
        <f>HYPERLINK("http://stackoverflow.com/users/4948561", "Jason Yu")</f>
        <v>Jason Yu</v>
      </c>
      <c r="D8053" t="s">
        <v>27</v>
      </c>
      <c r="E8053">
        <v>1</v>
      </c>
    </row>
    <row r="8054" spans="1:5" x14ac:dyDescent="0.25">
      <c r="A8054">
        <v>8053</v>
      </c>
      <c r="B8054">
        <v>10305354</v>
      </c>
      <c r="C8054" s="1" t="str">
        <f>HYPERLINK("http://stackoverflow.com/users/10305354", "Connie")</f>
        <v>Connie</v>
      </c>
      <c r="D8054" t="s">
        <v>5</v>
      </c>
      <c r="E8054">
        <v>1</v>
      </c>
    </row>
    <row r="8055" spans="1:5" x14ac:dyDescent="0.25">
      <c r="A8055">
        <v>8054</v>
      </c>
      <c r="B8055">
        <v>10305361</v>
      </c>
      <c r="C8055" s="1" t="str">
        <f>HYPERLINK("http://stackoverflow.com/users/10305361", "t xl")</f>
        <v>t xl</v>
      </c>
      <c r="D8055" t="s">
        <v>47</v>
      </c>
      <c r="E8055">
        <v>1</v>
      </c>
    </row>
    <row r="8056" spans="1:5" x14ac:dyDescent="0.25">
      <c r="A8056">
        <v>8055</v>
      </c>
      <c r="B8056">
        <v>3132482</v>
      </c>
      <c r="C8056" s="1" t="str">
        <f>HYPERLINK("http://stackoverflow.com/users/3132482", "xiangzhuyuan_shell")</f>
        <v>xiangzhuyuan_shell</v>
      </c>
      <c r="D8056" t="s">
        <v>5</v>
      </c>
      <c r="E8056">
        <v>1</v>
      </c>
    </row>
    <row r="8057" spans="1:5" x14ac:dyDescent="0.25">
      <c r="A8057">
        <v>8056</v>
      </c>
      <c r="B8057">
        <v>3132074</v>
      </c>
      <c r="C8057" s="1" t="str">
        <f>HYPERLINK("http://stackoverflow.com/users/3132074", "yinheli")</f>
        <v>yinheli</v>
      </c>
      <c r="D8057" t="s">
        <v>5</v>
      </c>
      <c r="E8057">
        <v>1</v>
      </c>
    </row>
    <row r="8058" spans="1:5" x14ac:dyDescent="0.25">
      <c r="A8058">
        <v>8057</v>
      </c>
      <c r="B8058">
        <v>4935466</v>
      </c>
      <c r="C8058" s="1" t="str">
        <f>HYPERLINK("http://stackoverflow.com/users/4935466", "Montagne")</f>
        <v>Montagne</v>
      </c>
      <c r="D8058" t="s">
        <v>43</v>
      </c>
      <c r="E8058">
        <v>1</v>
      </c>
    </row>
    <row r="8059" spans="1:5" x14ac:dyDescent="0.25">
      <c r="A8059">
        <v>8058</v>
      </c>
      <c r="B8059">
        <v>4935550</v>
      </c>
      <c r="C8059" s="1" t="str">
        <f>HYPERLINK("http://stackoverflow.com/users/4935550", "binbincai")</f>
        <v>binbincai</v>
      </c>
      <c r="D8059" t="s">
        <v>17</v>
      </c>
      <c r="E8059">
        <v>1</v>
      </c>
    </row>
    <row r="8060" spans="1:5" x14ac:dyDescent="0.25">
      <c r="A8060">
        <v>8059</v>
      </c>
      <c r="B8060">
        <v>4935838</v>
      </c>
      <c r="C8060" s="1" t="str">
        <f>HYPERLINK("http://stackoverflow.com/users/4935838", "QinBX")</f>
        <v>QinBX</v>
      </c>
      <c r="D8060" t="s">
        <v>6</v>
      </c>
      <c r="E8060">
        <v>1</v>
      </c>
    </row>
    <row r="8061" spans="1:5" x14ac:dyDescent="0.25">
      <c r="A8061">
        <v>8060</v>
      </c>
      <c r="B8061">
        <v>4935860</v>
      </c>
      <c r="C8061" s="1" t="str">
        <f>HYPERLINK("http://stackoverflow.com/users/4935860", "Mumoo")</f>
        <v>Mumoo</v>
      </c>
      <c r="D8061" t="s">
        <v>5</v>
      </c>
      <c r="E8061">
        <v>1</v>
      </c>
    </row>
    <row r="8062" spans="1:5" x14ac:dyDescent="0.25">
      <c r="A8062">
        <v>8061</v>
      </c>
      <c r="B8062">
        <v>4935397</v>
      </c>
      <c r="C8062" s="1" t="str">
        <f>HYPERLINK("http://stackoverflow.com/users/4935397", "Damon Ding")</f>
        <v>Damon Ding</v>
      </c>
      <c r="D8062" t="s">
        <v>4</v>
      </c>
      <c r="E8062">
        <v>1</v>
      </c>
    </row>
    <row r="8063" spans="1:5" x14ac:dyDescent="0.25">
      <c r="A8063">
        <v>8062</v>
      </c>
      <c r="B8063">
        <v>1153272</v>
      </c>
      <c r="C8063" s="1" t="str">
        <f>HYPERLINK("http://stackoverflow.com/users/1153272", "skier.peng")</f>
        <v>skier.peng</v>
      </c>
      <c r="D8063" t="s">
        <v>17</v>
      </c>
      <c r="E8063">
        <v>1</v>
      </c>
    </row>
    <row r="8064" spans="1:5" x14ac:dyDescent="0.25">
      <c r="A8064">
        <v>8063</v>
      </c>
      <c r="B8064">
        <v>6662003</v>
      </c>
      <c r="C8064" s="1" t="str">
        <f>HYPERLINK("http://stackoverflow.com/users/6662003", "stone")</f>
        <v>stone</v>
      </c>
      <c r="D8064" t="s">
        <v>430</v>
      </c>
      <c r="E8064">
        <v>1</v>
      </c>
    </row>
    <row r="8065" spans="1:5" x14ac:dyDescent="0.25">
      <c r="A8065">
        <v>8064</v>
      </c>
      <c r="B8065">
        <v>10296994</v>
      </c>
      <c r="C8065" s="1" t="str">
        <f>HYPERLINK("http://stackoverflow.com/users/10296994", "jiuzhuaxiong")</f>
        <v>jiuzhuaxiong</v>
      </c>
      <c r="D8065" t="s">
        <v>7</v>
      </c>
      <c r="E8065">
        <v>1</v>
      </c>
    </row>
    <row r="8066" spans="1:5" x14ac:dyDescent="0.25">
      <c r="A8066">
        <v>8065</v>
      </c>
      <c r="B8066">
        <v>8487663</v>
      </c>
      <c r="C8066" s="1" t="str">
        <f>HYPERLINK("http://stackoverflow.com/users/8487663", "Kai Xie")</f>
        <v>Kai Xie</v>
      </c>
      <c r="D8066" t="s">
        <v>5</v>
      </c>
      <c r="E8066">
        <v>1</v>
      </c>
    </row>
    <row r="8067" spans="1:5" x14ac:dyDescent="0.25">
      <c r="A8067">
        <v>8066</v>
      </c>
      <c r="B8067">
        <v>6672719</v>
      </c>
      <c r="C8067" s="1" t="str">
        <f>HYPERLINK("http://stackoverflow.com/users/6672719", "鹏凯雷")</f>
        <v>鹏凯雷</v>
      </c>
      <c r="D8067" t="s">
        <v>5</v>
      </c>
      <c r="E8067">
        <v>1</v>
      </c>
    </row>
    <row r="8068" spans="1:5" x14ac:dyDescent="0.25">
      <c r="A8068">
        <v>8067</v>
      </c>
      <c r="B8068">
        <v>10308651</v>
      </c>
      <c r="C8068" s="1" t="str">
        <f>HYPERLINK("http://stackoverflow.com/users/10308651", "Helin Liu")</f>
        <v>Helin Liu</v>
      </c>
      <c r="D8068" t="s">
        <v>62</v>
      </c>
      <c r="E8068">
        <v>1</v>
      </c>
    </row>
    <row r="8069" spans="1:5" x14ac:dyDescent="0.25">
      <c r="A8069">
        <v>8068</v>
      </c>
      <c r="B8069">
        <v>10308739</v>
      </c>
      <c r="C8069" s="1" t="str">
        <f>HYPERLINK("http://stackoverflow.com/users/10308739", "Jessie Lee")</f>
        <v>Jessie Lee</v>
      </c>
      <c r="D8069" t="s">
        <v>10</v>
      </c>
      <c r="E8069">
        <v>1</v>
      </c>
    </row>
    <row r="8070" spans="1:5" x14ac:dyDescent="0.25">
      <c r="A8070">
        <v>8069</v>
      </c>
      <c r="B8070">
        <v>10308759</v>
      </c>
      <c r="C8070" s="1" t="str">
        <f>HYPERLINK("http://stackoverflow.com/users/10308759", "x zw")</f>
        <v>x zw</v>
      </c>
      <c r="D8070" t="s">
        <v>10</v>
      </c>
      <c r="E8070">
        <v>1</v>
      </c>
    </row>
    <row r="8071" spans="1:5" x14ac:dyDescent="0.25">
      <c r="A8071">
        <v>8070</v>
      </c>
      <c r="B8071">
        <v>8498009</v>
      </c>
      <c r="C8071" s="1" t="str">
        <f>HYPERLINK("http://stackoverflow.com/users/8498009", "Vijay")</f>
        <v>Vijay</v>
      </c>
      <c r="D8071" t="s">
        <v>4</v>
      </c>
      <c r="E8071">
        <v>1</v>
      </c>
    </row>
    <row r="8072" spans="1:5" x14ac:dyDescent="0.25">
      <c r="A8072">
        <v>8071</v>
      </c>
      <c r="B8072">
        <v>8498469</v>
      </c>
      <c r="C8072" s="1" t="str">
        <f>HYPERLINK("http://stackoverflow.com/users/8498469", "Vong Hing")</f>
        <v>Vong Hing</v>
      </c>
      <c r="D8072" t="s">
        <v>25</v>
      </c>
      <c r="E8072">
        <v>1</v>
      </c>
    </row>
    <row r="8073" spans="1:5" x14ac:dyDescent="0.25">
      <c r="A8073">
        <v>8072</v>
      </c>
      <c r="B8073">
        <v>8498681</v>
      </c>
      <c r="C8073" s="1" t="str">
        <f>HYPERLINK("http://stackoverflow.com/users/8498681", "sinlight")</f>
        <v>sinlight</v>
      </c>
      <c r="D8073" t="s">
        <v>5</v>
      </c>
      <c r="E8073">
        <v>1</v>
      </c>
    </row>
    <row r="8074" spans="1:5" x14ac:dyDescent="0.25">
      <c r="A8074">
        <v>8073</v>
      </c>
      <c r="B8074">
        <v>8503313</v>
      </c>
      <c r="C8074" s="1" t="str">
        <f>HYPERLINK("http://stackoverflow.com/users/8503313", "hang chen")</f>
        <v>hang chen</v>
      </c>
      <c r="D8074" t="s">
        <v>52</v>
      </c>
      <c r="E8074">
        <v>1</v>
      </c>
    </row>
    <row r="8075" spans="1:5" x14ac:dyDescent="0.25">
      <c r="A8075">
        <v>8074</v>
      </c>
      <c r="B8075">
        <v>8503314</v>
      </c>
      <c r="C8075" s="1" t="str">
        <f>HYPERLINK("http://stackoverflow.com/users/8503314", "刘志强")</f>
        <v>刘志强</v>
      </c>
      <c r="D8075" t="s">
        <v>5</v>
      </c>
      <c r="E8075">
        <v>1</v>
      </c>
    </row>
    <row r="8076" spans="1:5" x14ac:dyDescent="0.25">
      <c r="A8076">
        <v>8075</v>
      </c>
      <c r="B8076">
        <v>8503503</v>
      </c>
      <c r="C8076" s="1" t="str">
        <f>HYPERLINK("http://stackoverflow.com/users/8503503", "Roy.Wang")</f>
        <v>Roy.Wang</v>
      </c>
      <c r="D8076" t="s">
        <v>55</v>
      </c>
      <c r="E8076">
        <v>1</v>
      </c>
    </row>
    <row r="8077" spans="1:5" x14ac:dyDescent="0.25">
      <c r="A8077">
        <v>8076</v>
      </c>
      <c r="B8077">
        <v>8503648</v>
      </c>
      <c r="C8077" s="1" t="str">
        <f>HYPERLINK("http://stackoverflow.com/users/8503648", "Robin Jiao")</f>
        <v>Robin Jiao</v>
      </c>
      <c r="D8077" t="s">
        <v>5</v>
      </c>
      <c r="E8077">
        <v>1</v>
      </c>
    </row>
    <row r="8078" spans="1:5" x14ac:dyDescent="0.25">
      <c r="A8078">
        <v>8077</v>
      </c>
      <c r="B8078">
        <v>3139902</v>
      </c>
      <c r="C8078" s="1" t="str">
        <f>HYPERLINK("http://stackoverflow.com/users/3139902", "Adolf Han")</f>
        <v>Adolf Han</v>
      </c>
      <c r="D8078" t="s">
        <v>5</v>
      </c>
      <c r="E8078">
        <v>1</v>
      </c>
    </row>
    <row r="8079" spans="1:5" x14ac:dyDescent="0.25">
      <c r="A8079">
        <v>8078</v>
      </c>
      <c r="B8079">
        <v>3144114</v>
      </c>
      <c r="C8079" s="1" t="str">
        <f>HYPERLINK("http://stackoverflow.com/users/3144114", "sososolomon")</f>
        <v>sososolomon</v>
      </c>
      <c r="D8079" t="s">
        <v>37</v>
      </c>
      <c r="E8079">
        <v>1</v>
      </c>
    </row>
    <row r="8080" spans="1:5" x14ac:dyDescent="0.25">
      <c r="A8080">
        <v>8079</v>
      </c>
      <c r="B8080">
        <v>6684656</v>
      </c>
      <c r="C8080" s="1" t="str">
        <f>HYPERLINK("http://stackoverflow.com/users/6684656", "ukiyoevega")</f>
        <v>ukiyoevega</v>
      </c>
      <c r="D8080" t="s">
        <v>25</v>
      </c>
      <c r="E8080">
        <v>1</v>
      </c>
    </row>
    <row r="8081" spans="1:5" x14ac:dyDescent="0.25">
      <c r="A8081">
        <v>8080</v>
      </c>
      <c r="B8081">
        <v>10321189</v>
      </c>
      <c r="C8081" s="1" t="str">
        <f>HYPERLINK("http://stackoverflow.com/users/10321189", "Leo Lam")</f>
        <v>Leo Lam</v>
      </c>
      <c r="D8081" t="s">
        <v>214</v>
      </c>
      <c r="E8081">
        <v>1</v>
      </c>
    </row>
    <row r="8082" spans="1:5" x14ac:dyDescent="0.25">
      <c r="A8082">
        <v>8081</v>
      </c>
      <c r="B8082">
        <v>6676224</v>
      </c>
      <c r="C8082" s="1" t="str">
        <f>HYPERLINK("http://stackoverflow.com/users/6676224", "MemetGhini")</f>
        <v>MemetGhini</v>
      </c>
      <c r="D8082" t="s">
        <v>5</v>
      </c>
      <c r="E8082">
        <v>1</v>
      </c>
    </row>
    <row r="8083" spans="1:5" x14ac:dyDescent="0.25">
      <c r="A8083">
        <v>8082</v>
      </c>
      <c r="B8083">
        <v>6680241</v>
      </c>
      <c r="C8083" s="1" t="str">
        <f>HYPERLINK("http://stackoverflow.com/users/6680241", "Xiaowen Li")</f>
        <v>Xiaowen Li</v>
      </c>
      <c r="D8083" t="s">
        <v>4</v>
      </c>
      <c r="E8083">
        <v>1</v>
      </c>
    </row>
    <row r="8084" spans="1:5" x14ac:dyDescent="0.25">
      <c r="A8084">
        <v>8083</v>
      </c>
      <c r="B8084">
        <v>8495733</v>
      </c>
      <c r="C8084" s="1" t="str">
        <f>HYPERLINK("http://stackoverflow.com/users/8495733", "Raptor4444")</f>
        <v>Raptor4444</v>
      </c>
      <c r="D8084" t="s">
        <v>47</v>
      </c>
      <c r="E8084">
        <v>1</v>
      </c>
    </row>
    <row r="8085" spans="1:5" x14ac:dyDescent="0.25">
      <c r="A8085">
        <v>8084</v>
      </c>
      <c r="B8085">
        <v>1205078</v>
      </c>
      <c r="C8085" s="1" t="str">
        <f>HYPERLINK("http://stackoverflow.com/users/1205078", "Wenda Fang")</f>
        <v>Wenda Fang</v>
      </c>
      <c r="D8085" t="s">
        <v>12</v>
      </c>
      <c r="E8085">
        <v>1</v>
      </c>
    </row>
    <row r="8086" spans="1:5" x14ac:dyDescent="0.25">
      <c r="A8086">
        <v>8085</v>
      </c>
      <c r="B8086">
        <v>3148790</v>
      </c>
      <c r="C8086" s="1" t="str">
        <f>HYPERLINK("http://stackoverflow.com/users/3148790", "BearPrideFlag")</f>
        <v>BearPrideFlag</v>
      </c>
      <c r="D8086" t="s">
        <v>5</v>
      </c>
      <c r="E8086">
        <v>1</v>
      </c>
    </row>
    <row r="8087" spans="1:5" x14ac:dyDescent="0.25">
      <c r="A8087">
        <v>8086</v>
      </c>
      <c r="B8087">
        <v>10325834</v>
      </c>
      <c r="C8087" s="1" t="str">
        <f>HYPERLINK("http://stackoverflow.com/users/10325834", "Wilvin Karimun")</f>
        <v>Wilvin Karimun</v>
      </c>
      <c r="D8087" t="s">
        <v>4</v>
      </c>
      <c r="E8087">
        <v>1</v>
      </c>
    </row>
    <row r="8088" spans="1:5" x14ac:dyDescent="0.25">
      <c r="A8088">
        <v>8087</v>
      </c>
      <c r="B8088">
        <v>8512851</v>
      </c>
      <c r="C8088" s="1" t="str">
        <f>HYPERLINK("http://stackoverflow.com/users/8512851", "Tian Ming")</f>
        <v>Tian Ming</v>
      </c>
      <c r="D8088" t="s">
        <v>4</v>
      </c>
      <c r="E8088">
        <v>1</v>
      </c>
    </row>
    <row r="8089" spans="1:5" x14ac:dyDescent="0.25">
      <c r="A8089">
        <v>8088</v>
      </c>
      <c r="B8089">
        <v>6688045</v>
      </c>
      <c r="C8089" s="1" t="str">
        <f>HYPERLINK("http://stackoverflow.com/users/6688045", "hehedanli")</f>
        <v>hehedanli</v>
      </c>
      <c r="D8089" t="s">
        <v>28</v>
      </c>
      <c r="E8089">
        <v>1</v>
      </c>
    </row>
    <row r="8090" spans="1:5" x14ac:dyDescent="0.25">
      <c r="A8090">
        <v>8089</v>
      </c>
      <c r="B8090">
        <v>1212829</v>
      </c>
      <c r="C8090" s="1" t="str">
        <f>HYPERLINK("http://stackoverflow.com/users/1212829", "sbso_1988")</f>
        <v>sbso_1988</v>
      </c>
      <c r="D8090" t="s">
        <v>5</v>
      </c>
      <c r="E8090">
        <v>1</v>
      </c>
    </row>
    <row r="8091" spans="1:5" x14ac:dyDescent="0.25">
      <c r="A8091">
        <v>8090</v>
      </c>
      <c r="B8091">
        <v>1213170</v>
      </c>
      <c r="C8091" s="1" t="str">
        <f>HYPERLINK("http://stackoverflow.com/users/1213170", "Robert Sun")</f>
        <v>Robert Sun</v>
      </c>
      <c r="D8091" t="s">
        <v>35</v>
      </c>
      <c r="E8091">
        <v>1</v>
      </c>
    </row>
    <row r="8092" spans="1:5" x14ac:dyDescent="0.25">
      <c r="A8092">
        <v>8091</v>
      </c>
      <c r="B8092">
        <v>8515799</v>
      </c>
      <c r="C8092" s="1" t="str">
        <f>HYPERLINK("http://stackoverflow.com/users/8515799", "bruce")</f>
        <v>bruce</v>
      </c>
      <c r="D8092" t="s">
        <v>96</v>
      </c>
      <c r="E8092">
        <v>1</v>
      </c>
    </row>
    <row r="8093" spans="1:5" x14ac:dyDescent="0.25">
      <c r="A8093">
        <v>8092</v>
      </c>
      <c r="B8093">
        <v>8515859</v>
      </c>
      <c r="C8093" s="1" t="str">
        <f>HYPERLINK("http://stackoverflow.com/users/8515859", "Richard Sears")</f>
        <v>Richard Sears</v>
      </c>
      <c r="D8093" t="s">
        <v>431</v>
      </c>
      <c r="E8093">
        <v>1</v>
      </c>
    </row>
    <row r="8094" spans="1:5" x14ac:dyDescent="0.25">
      <c r="A8094">
        <v>8093</v>
      </c>
      <c r="B8094">
        <v>8516128</v>
      </c>
      <c r="C8094" s="1" t="str">
        <f>HYPERLINK("http://stackoverflow.com/users/8516128", "JJ Chen")</f>
        <v>JJ Chen</v>
      </c>
      <c r="D8094" t="s">
        <v>25</v>
      </c>
      <c r="E8094">
        <v>1</v>
      </c>
    </row>
    <row r="8095" spans="1:5" x14ac:dyDescent="0.25">
      <c r="A8095">
        <v>8094</v>
      </c>
      <c r="B8095">
        <v>4969618</v>
      </c>
      <c r="C8095" s="1" t="str">
        <f>HYPERLINK("http://stackoverflow.com/users/4969618", "StanYe")</f>
        <v>StanYe</v>
      </c>
      <c r="D8095" t="s">
        <v>4</v>
      </c>
      <c r="E8095">
        <v>1</v>
      </c>
    </row>
    <row r="8096" spans="1:5" x14ac:dyDescent="0.25">
      <c r="A8096">
        <v>8095</v>
      </c>
      <c r="B8096">
        <v>4865380</v>
      </c>
      <c r="C8096" s="1" t="str">
        <f>HYPERLINK("http://stackoverflow.com/users/4865380", "Nitro")</f>
        <v>Nitro</v>
      </c>
      <c r="D8096" t="s">
        <v>5</v>
      </c>
      <c r="E8096">
        <v>1</v>
      </c>
    </row>
    <row r="8097" spans="1:5" x14ac:dyDescent="0.25">
      <c r="A8097">
        <v>8096</v>
      </c>
      <c r="B8097">
        <v>4865438</v>
      </c>
      <c r="C8097" s="1" t="str">
        <f>HYPERLINK("http://stackoverflow.com/users/4865438", "Guoxj")</f>
        <v>Guoxj</v>
      </c>
      <c r="D8097" t="s">
        <v>6</v>
      </c>
      <c r="E8097">
        <v>1</v>
      </c>
    </row>
    <row r="8098" spans="1:5" x14ac:dyDescent="0.25">
      <c r="A8098">
        <v>8097</v>
      </c>
      <c r="B8098">
        <v>4865581</v>
      </c>
      <c r="C8098" s="1" t="str">
        <f>HYPERLINK("http://stackoverflow.com/users/4865581", "江锦东")</f>
        <v>江锦东</v>
      </c>
      <c r="D8098" t="s">
        <v>21</v>
      </c>
      <c r="E8098">
        <v>1</v>
      </c>
    </row>
    <row r="8099" spans="1:5" x14ac:dyDescent="0.25">
      <c r="A8099">
        <v>8098</v>
      </c>
      <c r="B8099">
        <v>4865645</v>
      </c>
      <c r="C8099" s="1" t="str">
        <f>HYPERLINK("http://stackoverflow.com/users/4865645", "wangduanqing")</f>
        <v>wangduanqing</v>
      </c>
      <c r="D8099" t="s">
        <v>5</v>
      </c>
      <c r="E8099">
        <v>1</v>
      </c>
    </row>
    <row r="8100" spans="1:5" x14ac:dyDescent="0.25">
      <c r="A8100">
        <v>8099</v>
      </c>
      <c r="B8100">
        <v>4865782</v>
      </c>
      <c r="C8100" s="1" t="str">
        <f>HYPERLINK("http://stackoverflow.com/users/4865782", "X.M.H")</f>
        <v>X.M.H</v>
      </c>
      <c r="D8100" t="s">
        <v>16</v>
      </c>
      <c r="E8100">
        <v>1</v>
      </c>
    </row>
    <row r="8101" spans="1:5" x14ac:dyDescent="0.25">
      <c r="A8101">
        <v>8100</v>
      </c>
      <c r="B8101">
        <v>8402782</v>
      </c>
      <c r="C8101" s="1" t="str">
        <f>HYPERLINK("http://stackoverflow.com/users/8402782", "Zipei Lu")</f>
        <v>Zipei Lu</v>
      </c>
      <c r="D8101" t="s">
        <v>25</v>
      </c>
      <c r="E8101">
        <v>1</v>
      </c>
    </row>
    <row r="8102" spans="1:5" x14ac:dyDescent="0.25">
      <c r="A8102">
        <v>8101</v>
      </c>
      <c r="B8102">
        <v>3046323</v>
      </c>
      <c r="C8102" s="1" t="str">
        <f>HYPERLINK("http://stackoverflow.com/users/3046323", "Motto.Yin")</f>
        <v>Motto.Yin</v>
      </c>
      <c r="D8102" t="s">
        <v>5</v>
      </c>
      <c r="E8102">
        <v>1</v>
      </c>
    </row>
    <row r="8103" spans="1:5" x14ac:dyDescent="0.25">
      <c r="A8103">
        <v>8102</v>
      </c>
      <c r="B8103">
        <v>8403121</v>
      </c>
      <c r="C8103" s="1" t="str">
        <f>HYPERLINK("http://stackoverflow.com/users/8403121", "Yong Yang")</f>
        <v>Yong Yang</v>
      </c>
      <c r="D8103" t="s">
        <v>7</v>
      </c>
      <c r="E8103">
        <v>1</v>
      </c>
    </row>
    <row r="8104" spans="1:5" x14ac:dyDescent="0.25">
      <c r="A8104">
        <v>8103</v>
      </c>
      <c r="B8104">
        <v>1049281</v>
      </c>
      <c r="C8104" s="1" t="str">
        <f>HYPERLINK("http://stackoverflow.com/users/1049281", "Peter.CK")</f>
        <v>Peter.CK</v>
      </c>
      <c r="D8104" t="s">
        <v>4</v>
      </c>
      <c r="E8104">
        <v>1</v>
      </c>
    </row>
    <row r="8105" spans="1:5" x14ac:dyDescent="0.25">
      <c r="A8105">
        <v>8104</v>
      </c>
      <c r="B8105">
        <v>4868697</v>
      </c>
      <c r="C8105" s="1" t="str">
        <f>HYPERLINK("http://stackoverflow.com/users/4868697", "zylcold")</f>
        <v>zylcold</v>
      </c>
      <c r="D8105" t="s">
        <v>5</v>
      </c>
      <c r="E8105">
        <v>1</v>
      </c>
    </row>
    <row r="8106" spans="1:5" x14ac:dyDescent="0.25">
      <c r="A8106">
        <v>8105</v>
      </c>
      <c r="B8106">
        <v>4861415</v>
      </c>
      <c r="C8106" s="1" t="str">
        <f>HYPERLINK("http://stackoverflow.com/users/4861415", "Tonny Scorpius")</f>
        <v>Tonny Scorpius</v>
      </c>
      <c r="D8106" t="s">
        <v>5</v>
      </c>
      <c r="E8106">
        <v>1</v>
      </c>
    </row>
    <row r="8107" spans="1:5" x14ac:dyDescent="0.25">
      <c r="A8107">
        <v>8106</v>
      </c>
      <c r="B8107">
        <v>4861888</v>
      </c>
      <c r="C8107" s="1" t="str">
        <f>HYPERLINK("http://stackoverflow.com/users/4861888", "MarlonFan")</f>
        <v>MarlonFan</v>
      </c>
      <c r="D8107" t="s">
        <v>4</v>
      </c>
      <c r="E8107">
        <v>1</v>
      </c>
    </row>
    <row r="8108" spans="1:5" x14ac:dyDescent="0.25">
      <c r="A8108">
        <v>8107</v>
      </c>
      <c r="B8108">
        <v>8398302</v>
      </c>
      <c r="C8108" s="1" t="str">
        <f>HYPERLINK("http://stackoverflow.com/users/8398302", "Cozy")</f>
        <v>Cozy</v>
      </c>
      <c r="D8108" t="s">
        <v>16</v>
      </c>
      <c r="E8108">
        <v>1</v>
      </c>
    </row>
    <row r="8109" spans="1:5" x14ac:dyDescent="0.25">
      <c r="A8109">
        <v>8108</v>
      </c>
      <c r="B8109">
        <v>8398762</v>
      </c>
      <c r="C8109" s="1" t="str">
        <f>HYPERLINK("http://stackoverflow.com/users/8398762", "Univex Donter")</f>
        <v>Univex Donter</v>
      </c>
      <c r="D8109" t="s">
        <v>432</v>
      </c>
      <c r="E8109">
        <v>1</v>
      </c>
    </row>
    <row r="8110" spans="1:5" x14ac:dyDescent="0.25">
      <c r="A8110">
        <v>8109</v>
      </c>
      <c r="B8110">
        <v>8398836</v>
      </c>
      <c r="C8110" s="1" t="str">
        <f>HYPERLINK("http://stackoverflow.com/users/8398836", "Jackie")</f>
        <v>Jackie</v>
      </c>
      <c r="D8110" t="s">
        <v>118</v>
      </c>
      <c r="E8110">
        <v>1</v>
      </c>
    </row>
    <row r="8111" spans="1:5" x14ac:dyDescent="0.25">
      <c r="A8111">
        <v>8110</v>
      </c>
      <c r="B8111">
        <v>8398914</v>
      </c>
      <c r="C8111" s="1" t="str">
        <f>HYPERLINK("http://stackoverflow.com/users/8398914", "Jason Zlxfly")</f>
        <v>Jason Zlxfly</v>
      </c>
      <c r="D8111" t="s">
        <v>25</v>
      </c>
      <c r="E8111">
        <v>1</v>
      </c>
    </row>
    <row r="8112" spans="1:5" x14ac:dyDescent="0.25">
      <c r="A8112">
        <v>8111</v>
      </c>
      <c r="B8112">
        <v>8390193</v>
      </c>
      <c r="C8112" s="1" t="str">
        <f>HYPERLINK("http://stackoverflow.com/users/8390193", "Chad Navel")</f>
        <v>Chad Navel</v>
      </c>
      <c r="D8112" t="s">
        <v>4</v>
      </c>
      <c r="E8112">
        <v>1</v>
      </c>
    </row>
    <row r="8113" spans="1:5" x14ac:dyDescent="0.25">
      <c r="A8113">
        <v>8112</v>
      </c>
      <c r="B8113">
        <v>1023653</v>
      </c>
      <c r="C8113" s="1" t="str">
        <f>HYPERLINK("http://stackoverflow.com/users/1023653", "user1023653")</f>
        <v>user1023653</v>
      </c>
      <c r="D8113" t="s">
        <v>5</v>
      </c>
      <c r="E8113">
        <v>1</v>
      </c>
    </row>
    <row r="8114" spans="1:5" x14ac:dyDescent="0.25">
      <c r="A8114">
        <v>8113</v>
      </c>
      <c r="B8114">
        <v>10204803</v>
      </c>
      <c r="C8114" s="1" t="str">
        <f>HYPERLINK("http://stackoverflow.com/users/10204803", "ZhengXue Y.")</f>
        <v>ZhengXue Y.</v>
      </c>
      <c r="D8114" t="s">
        <v>33</v>
      </c>
      <c r="E8114">
        <v>1</v>
      </c>
    </row>
    <row r="8115" spans="1:5" x14ac:dyDescent="0.25">
      <c r="A8115">
        <v>8114</v>
      </c>
      <c r="B8115">
        <v>4858865</v>
      </c>
      <c r="C8115" s="1" t="str">
        <f>HYPERLINK("http://stackoverflow.com/users/4858865", "Chile_Boy")</f>
        <v>Chile_Boy</v>
      </c>
      <c r="D8115" t="s">
        <v>90</v>
      </c>
      <c r="E8115">
        <v>1</v>
      </c>
    </row>
    <row r="8116" spans="1:5" x14ac:dyDescent="0.25">
      <c r="A8116">
        <v>8115</v>
      </c>
      <c r="B8116">
        <v>4858900</v>
      </c>
      <c r="C8116" s="1" t="str">
        <f>HYPERLINK("http://stackoverflow.com/users/4858900", "Steven Shi")</f>
        <v>Steven Shi</v>
      </c>
      <c r="D8116" t="s">
        <v>3</v>
      </c>
      <c r="E8116">
        <v>1</v>
      </c>
    </row>
    <row r="8117" spans="1:5" x14ac:dyDescent="0.25">
      <c r="A8117">
        <v>8116</v>
      </c>
      <c r="B8117">
        <v>4859235</v>
      </c>
      <c r="C8117" s="1" t="str">
        <f>HYPERLINK("http://stackoverflow.com/users/4859235", "Classtag")</f>
        <v>Classtag</v>
      </c>
      <c r="D8117" t="s">
        <v>5</v>
      </c>
      <c r="E8117">
        <v>1</v>
      </c>
    </row>
    <row r="8118" spans="1:5" x14ac:dyDescent="0.25">
      <c r="A8118">
        <v>8117</v>
      </c>
      <c r="B8118">
        <v>1014333</v>
      </c>
      <c r="C8118" s="1" t="str">
        <f>HYPERLINK("http://stackoverflow.com/users/1014333", "colinchan")</f>
        <v>colinchan</v>
      </c>
      <c r="D8118" t="s">
        <v>5</v>
      </c>
      <c r="E8118">
        <v>1</v>
      </c>
    </row>
    <row r="8119" spans="1:5" x14ac:dyDescent="0.25">
      <c r="A8119">
        <v>8118</v>
      </c>
      <c r="B8119">
        <v>3025526</v>
      </c>
      <c r="C8119" s="1" t="str">
        <f>HYPERLINK("http://stackoverflow.com/users/3025526", "inukago")</f>
        <v>inukago</v>
      </c>
      <c r="D8119" t="s">
        <v>4</v>
      </c>
      <c r="E8119">
        <v>1</v>
      </c>
    </row>
    <row r="8120" spans="1:5" x14ac:dyDescent="0.25">
      <c r="A8120">
        <v>8119</v>
      </c>
      <c r="B8120">
        <v>3026446</v>
      </c>
      <c r="C8120" s="1" t="str">
        <f>HYPERLINK("http://stackoverflow.com/users/3026446", "漫步人生路")</f>
        <v>漫步人生路</v>
      </c>
      <c r="D8120" t="s">
        <v>8</v>
      </c>
      <c r="E8120">
        <v>1</v>
      </c>
    </row>
    <row r="8121" spans="1:5" x14ac:dyDescent="0.25">
      <c r="A8121">
        <v>8120</v>
      </c>
      <c r="B8121">
        <v>8385273</v>
      </c>
      <c r="C8121" s="1" t="str">
        <f>HYPERLINK("http://stackoverflow.com/users/8385273", "xyzleather")</f>
        <v>xyzleather</v>
      </c>
      <c r="D8121" t="s">
        <v>433</v>
      </c>
      <c r="E8121">
        <v>1</v>
      </c>
    </row>
    <row r="8122" spans="1:5" x14ac:dyDescent="0.25">
      <c r="A8122">
        <v>8121</v>
      </c>
      <c r="B8122">
        <v>8385348</v>
      </c>
      <c r="C8122" s="1" t="str">
        <f>HYPERLINK("http://stackoverflow.com/users/8385348", "fczj")</f>
        <v>fczj</v>
      </c>
      <c r="D8122" t="s">
        <v>5</v>
      </c>
      <c r="E8122">
        <v>1</v>
      </c>
    </row>
    <row r="8123" spans="1:5" x14ac:dyDescent="0.25">
      <c r="A8123">
        <v>8122</v>
      </c>
      <c r="B8123">
        <v>8385416</v>
      </c>
      <c r="C8123" s="1" t="str">
        <f>HYPERLINK("http://stackoverflow.com/users/8385416", "MrBig5012")</f>
        <v>MrBig5012</v>
      </c>
      <c r="D8123" t="s">
        <v>25</v>
      </c>
      <c r="E8123">
        <v>1</v>
      </c>
    </row>
    <row r="8124" spans="1:5" x14ac:dyDescent="0.25">
      <c r="A8124">
        <v>8123</v>
      </c>
      <c r="B8124">
        <v>8385677</v>
      </c>
      <c r="C8124" s="1" t="str">
        <f>HYPERLINK("http://stackoverflow.com/users/8385677", "bo xiong")</f>
        <v>bo xiong</v>
      </c>
      <c r="D8124" t="s">
        <v>52</v>
      </c>
      <c r="E8124">
        <v>1</v>
      </c>
    </row>
    <row r="8125" spans="1:5" x14ac:dyDescent="0.25">
      <c r="A8125">
        <v>8124</v>
      </c>
      <c r="B8125">
        <v>6573536</v>
      </c>
      <c r="C8125" s="1" t="str">
        <f>HYPERLINK("http://stackoverflow.com/users/6573536", "Mars.Bighead")</f>
        <v>Mars.Bighead</v>
      </c>
      <c r="D8125" t="s">
        <v>4</v>
      </c>
      <c r="E8125">
        <v>1</v>
      </c>
    </row>
    <row r="8126" spans="1:5" x14ac:dyDescent="0.25">
      <c r="A8126">
        <v>8125</v>
      </c>
      <c r="B8126">
        <v>6573579</v>
      </c>
      <c r="C8126" s="1" t="str">
        <f>HYPERLINK("http://stackoverflow.com/users/6573579", "Robin")</f>
        <v>Robin</v>
      </c>
      <c r="D8126" t="s">
        <v>25</v>
      </c>
      <c r="E8126">
        <v>1</v>
      </c>
    </row>
    <row r="8127" spans="1:5" x14ac:dyDescent="0.25">
      <c r="A8127">
        <v>8126</v>
      </c>
      <c r="B8127">
        <v>6573653</v>
      </c>
      <c r="C8127" s="1" t="str">
        <f>HYPERLINK("http://stackoverflow.com/users/6573653", "ssscen")</f>
        <v>ssscen</v>
      </c>
      <c r="D8127" t="s">
        <v>5</v>
      </c>
      <c r="E8127">
        <v>1</v>
      </c>
    </row>
    <row r="8128" spans="1:5" x14ac:dyDescent="0.25">
      <c r="A8128">
        <v>8127</v>
      </c>
      <c r="B8128">
        <v>6573657</v>
      </c>
      <c r="C8128" s="1" t="str">
        <f>HYPERLINK("http://stackoverflow.com/users/6573657", "Susan Su US - Advisory")</f>
        <v>Susan Su US - Advisory</v>
      </c>
      <c r="D8128" t="s">
        <v>4</v>
      </c>
      <c r="E8128">
        <v>1</v>
      </c>
    </row>
    <row r="8129" spans="1:5" x14ac:dyDescent="0.25">
      <c r="A8129">
        <v>8128</v>
      </c>
      <c r="B8129">
        <v>8373282</v>
      </c>
      <c r="C8129" s="1" t="str">
        <f>HYPERLINK("http://stackoverflow.com/users/8373282", "L.Kasper")</f>
        <v>L.Kasper</v>
      </c>
      <c r="D8129" t="s">
        <v>434</v>
      </c>
      <c r="E8129">
        <v>1</v>
      </c>
    </row>
    <row r="8130" spans="1:5" x14ac:dyDescent="0.25">
      <c r="A8130">
        <v>8129</v>
      </c>
      <c r="B8130">
        <v>8373347</v>
      </c>
      <c r="C8130" s="1" t="str">
        <f>HYPERLINK("http://stackoverflow.com/users/8373347", "melody gan")</f>
        <v>melody gan</v>
      </c>
      <c r="D8130" t="s">
        <v>5</v>
      </c>
      <c r="E8130">
        <v>1</v>
      </c>
    </row>
    <row r="8131" spans="1:5" x14ac:dyDescent="0.25">
      <c r="A8131">
        <v>8130</v>
      </c>
      <c r="B8131">
        <v>10186950</v>
      </c>
      <c r="C8131" s="1" t="str">
        <f>HYPERLINK("http://stackoverflow.com/users/10186950", "Justin Tang")</f>
        <v>Justin Tang</v>
      </c>
      <c r="D8131" t="s">
        <v>62</v>
      </c>
      <c r="E8131">
        <v>1</v>
      </c>
    </row>
    <row r="8132" spans="1:5" x14ac:dyDescent="0.25">
      <c r="A8132">
        <v>8131</v>
      </c>
      <c r="B8132">
        <v>3013175</v>
      </c>
      <c r="C8132" s="1" t="str">
        <f>HYPERLINK("http://stackoverflow.com/users/3013175", "user3013175")</f>
        <v>user3013175</v>
      </c>
      <c r="D8132" t="s">
        <v>5</v>
      </c>
      <c r="E8132">
        <v>1</v>
      </c>
    </row>
    <row r="8133" spans="1:5" x14ac:dyDescent="0.25">
      <c r="A8133">
        <v>8132</v>
      </c>
      <c r="B8133">
        <v>3013431</v>
      </c>
      <c r="C8133" s="1" t="str">
        <f>HYPERLINK("http://stackoverflow.com/users/3013431", "xhjcehust")</f>
        <v>xhjcehust</v>
      </c>
      <c r="D8133" t="s">
        <v>8</v>
      </c>
      <c r="E8133">
        <v>1</v>
      </c>
    </row>
    <row r="8134" spans="1:5" x14ac:dyDescent="0.25">
      <c r="A8134">
        <v>8133</v>
      </c>
      <c r="B8134">
        <v>3018302</v>
      </c>
      <c r="C8134" s="1" t="str">
        <f>HYPERLINK("http://stackoverflow.com/users/3018302", "jackson_chenhua")</f>
        <v>jackson_chenhua</v>
      </c>
      <c r="D8134" t="s">
        <v>5</v>
      </c>
      <c r="E8134">
        <v>1</v>
      </c>
    </row>
    <row r="8135" spans="1:5" x14ac:dyDescent="0.25">
      <c r="A8135">
        <v>8134</v>
      </c>
      <c r="B8135">
        <v>3018444</v>
      </c>
      <c r="C8135" s="1" t="str">
        <f>HYPERLINK("http://stackoverflow.com/users/3018444", "ffpwserver")</f>
        <v>ffpwserver</v>
      </c>
      <c r="D8135" t="s">
        <v>4</v>
      </c>
      <c r="E8135">
        <v>1</v>
      </c>
    </row>
    <row r="8136" spans="1:5" x14ac:dyDescent="0.25">
      <c r="A8136">
        <v>8135</v>
      </c>
      <c r="B8136">
        <v>3022171</v>
      </c>
      <c r="C8136" s="1" t="str">
        <f>HYPERLINK("http://stackoverflow.com/users/3022171", "littlesean")</f>
        <v>littlesean</v>
      </c>
      <c r="D8136" t="s">
        <v>21</v>
      </c>
      <c r="E8136">
        <v>1</v>
      </c>
    </row>
    <row r="8137" spans="1:5" x14ac:dyDescent="0.25">
      <c r="A8137">
        <v>8136</v>
      </c>
      <c r="B8137">
        <v>3022233</v>
      </c>
      <c r="C8137" s="1" t="str">
        <f>HYPERLINK("http://stackoverflow.com/users/3022233", "c0710204")</f>
        <v>c0710204</v>
      </c>
      <c r="D8137" t="s">
        <v>5</v>
      </c>
      <c r="E8137">
        <v>1</v>
      </c>
    </row>
    <row r="8138" spans="1:5" x14ac:dyDescent="0.25">
      <c r="A8138">
        <v>8137</v>
      </c>
      <c r="B8138">
        <v>10192389</v>
      </c>
      <c r="C8138" s="1" t="str">
        <f>HYPERLINK("http://stackoverflow.com/users/10192389", "骆永乐")</f>
        <v>骆永乐</v>
      </c>
      <c r="D8138" t="s">
        <v>118</v>
      </c>
      <c r="E8138">
        <v>1</v>
      </c>
    </row>
    <row r="8139" spans="1:5" x14ac:dyDescent="0.25">
      <c r="A8139">
        <v>8138</v>
      </c>
      <c r="B8139">
        <v>1001173</v>
      </c>
      <c r="C8139" s="1" t="str">
        <f>HYPERLINK("http://stackoverflow.com/users/1001173", "gxujin")</f>
        <v>gxujin</v>
      </c>
      <c r="D8139" t="s">
        <v>435</v>
      </c>
      <c r="E8139">
        <v>1</v>
      </c>
    </row>
    <row r="8140" spans="1:5" x14ac:dyDescent="0.25">
      <c r="A8140">
        <v>8139</v>
      </c>
      <c r="B8140">
        <v>6547904</v>
      </c>
      <c r="C8140" s="1" t="str">
        <f>HYPERLINK("http://stackoverflow.com/users/6547904", "Ken Chen")</f>
        <v>Ken Chen</v>
      </c>
      <c r="D8140" t="s">
        <v>4</v>
      </c>
      <c r="E8140">
        <v>1</v>
      </c>
    </row>
    <row r="8141" spans="1:5" x14ac:dyDescent="0.25">
      <c r="A8141">
        <v>8140</v>
      </c>
      <c r="B8141">
        <v>6550042</v>
      </c>
      <c r="C8141" s="1" t="str">
        <f>HYPERLINK("http://stackoverflow.com/users/6550042", "Zhou yuhan")</f>
        <v>Zhou yuhan</v>
      </c>
      <c r="D8141" t="s">
        <v>25</v>
      </c>
      <c r="E8141">
        <v>1</v>
      </c>
    </row>
    <row r="8142" spans="1:5" x14ac:dyDescent="0.25">
      <c r="A8142">
        <v>8141</v>
      </c>
      <c r="B8142">
        <v>6550064</v>
      </c>
      <c r="C8142" s="1" t="str">
        <f>HYPERLINK("http://stackoverflow.com/users/6550064", "XenonChau")</f>
        <v>XenonChau</v>
      </c>
      <c r="D8142" t="s">
        <v>16</v>
      </c>
      <c r="E8142">
        <v>1</v>
      </c>
    </row>
    <row r="8143" spans="1:5" x14ac:dyDescent="0.25">
      <c r="A8143">
        <v>8142</v>
      </c>
      <c r="B8143">
        <v>6550104</v>
      </c>
      <c r="C8143" s="1" t="str">
        <f>HYPERLINK("http://stackoverflow.com/users/6550104", "excited-john")</f>
        <v>excited-john</v>
      </c>
      <c r="D8143" t="s">
        <v>52</v>
      </c>
      <c r="E8143">
        <v>1</v>
      </c>
    </row>
    <row r="8144" spans="1:5" x14ac:dyDescent="0.25">
      <c r="A8144">
        <v>8143</v>
      </c>
      <c r="B8144">
        <v>6550258</v>
      </c>
      <c r="C8144" s="1" t="str">
        <f>HYPERLINK("http://stackoverflow.com/users/6550258", "Conan Steve")</f>
        <v>Conan Steve</v>
      </c>
      <c r="D8144" t="s">
        <v>95</v>
      </c>
      <c r="E8144">
        <v>1</v>
      </c>
    </row>
    <row r="8145" spans="1:5" x14ac:dyDescent="0.25">
      <c r="A8145">
        <v>8144</v>
      </c>
      <c r="B8145">
        <v>6550543</v>
      </c>
      <c r="C8145" s="1" t="str">
        <f>HYPERLINK("http://stackoverflow.com/users/6550543", "Deric Ye")</f>
        <v>Deric Ye</v>
      </c>
      <c r="D8145" t="s">
        <v>405</v>
      </c>
      <c r="E8145">
        <v>1</v>
      </c>
    </row>
    <row r="8146" spans="1:5" x14ac:dyDescent="0.25">
      <c r="A8146">
        <v>8145</v>
      </c>
      <c r="B8146">
        <v>4827437</v>
      </c>
      <c r="C8146" s="1" t="str">
        <f>HYPERLINK("http://stackoverflow.com/users/4827437", "wp3355168")</f>
        <v>wp3355168</v>
      </c>
      <c r="D8146" t="s">
        <v>5</v>
      </c>
      <c r="E8146">
        <v>1</v>
      </c>
    </row>
    <row r="8147" spans="1:5" x14ac:dyDescent="0.25">
      <c r="A8147">
        <v>8146</v>
      </c>
      <c r="B8147">
        <v>4831174</v>
      </c>
      <c r="C8147" s="1" t="str">
        <f>HYPERLINK("http://stackoverflow.com/users/4831174", "wujianqiang")</f>
        <v>wujianqiang</v>
      </c>
      <c r="D8147" t="s">
        <v>4</v>
      </c>
      <c r="E8147">
        <v>1</v>
      </c>
    </row>
    <row r="8148" spans="1:5" x14ac:dyDescent="0.25">
      <c r="A8148">
        <v>8147</v>
      </c>
      <c r="B8148">
        <v>8362814</v>
      </c>
      <c r="C8148" s="1" t="str">
        <f>HYPERLINK("http://stackoverflow.com/users/8362814", "tom")</f>
        <v>tom</v>
      </c>
      <c r="D8148" t="s">
        <v>5</v>
      </c>
      <c r="E8148">
        <v>1</v>
      </c>
    </row>
    <row r="8149" spans="1:5" x14ac:dyDescent="0.25">
      <c r="A8149">
        <v>8148</v>
      </c>
      <c r="B8149">
        <v>8363142</v>
      </c>
      <c r="C8149" s="1" t="str">
        <f>HYPERLINK("http://stackoverflow.com/users/8363142", "Qi.Yang")</f>
        <v>Qi.Yang</v>
      </c>
      <c r="D8149" t="s">
        <v>5</v>
      </c>
      <c r="E8149">
        <v>1</v>
      </c>
    </row>
    <row r="8150" spans="1:5" x14ac:dyDescent="0.25">
      <c r="A8150">
        <v>8149</v>
      </c>
      <c r="B8150">
        <v>3003533</v>
      </c>
      <c r="C8150" s="1" t="str">
        <f>HYPERLINK("http://stackoverflow.com/users/3003533", "ZiXiong")</f>
        <v>ZiXiong</v>
      </c>
      <c r="D8150" t="s">
        <v>21</v>
      </c>
      <c r="E8150">
        <v>1</v>
      </c>
    </row>
    <row r="8151" spans="1:5" x14ac:dyDescent="0.25">
      <c r="A8151">
        <v>8150</v>
      </c>
      <c r="B8151">
        <v>3003669</v>
      </c>
      <c r="C8151" s="1" t="str">
        <f>HYPERLINK("http://stackoverflow.com/users/3003669", "SASUKE")</f>
        <v>SASUKE</v>
      </c>
      <c r="D8151" t="s">
        <v>427</v>
      </c>
      <c r="E8151">
        <v>1</v>
      </c>
    </row>
    <row r="8152" spans="1:5" x14ac:dyDescent="0.25">
      <c r="A8152">
        <v>8151</v>
      </c>
      <c r="B8152">
        <v>3003809</v>
      </c>
      <c r="C8152" s="1" t="str">
        <f>HYPERLINK("http://stackoverflow.com/users/3003809", "yuwenhui")</f>
        <v>yuwenhui</v>
      </c>
      <c r="D8152" t="s">
        <v>54</v>
      </c>
      <c r="E8152">
        <v>1</v>
      </c>
    </row>
    <row r="8153" spans="1:5" x14ac:dyDescent="0.25">
      <c r="A8153">
        <v>8152</v>
      </c>
      <c r="B8153">
        <v>3003993</v>
      </c>
      <c r="C8153" s="1" t="str">
        <f>HYPERLINK("http://stackoverflow.com/users/3003993", "Liam Hu")</f>
        <v>Liam Hu</v>
      </c>
      <c r="D8153" t="s">
        <v>16</v>
      </c>
      <c r="E8153">
        <v>1</v>
      </c>
    </row>
    <row r="8154" spans="1:5" x14ac:dyDescent="0.25">
      <c r="A8154">
        <v>8153</v>
      </c>
      <c r="B8154">
        <v>3004028</v>
      </c>
      <c r="C8154" s="1" t="str">
        <f>HYPERLINK("http://stackoverflow.com/users/3004028", "Cody Yang")</f>
        <v>Cody Yang</v>
      </c>
      <c r="D8154" t="s">
        <v>57</v>
      </c>
      <c r="E8154">
        <v>1</v>
      </c>
    </row>
    <row r="8155" spans="1:5" x14ac:dyDescent="0.25">
      <c r="A8155">
        <v>8154</v>
      </c>
      <c r="B8155">
        <v>3004174</v>
      </c>
      <c r="C8155" s="1" t="str">
        <f>HYPERLINK("http://stackoverflow.com/users/3004174", "Erucy")</f>
        <v>Erucy</v>
      </c>
      <c r="D8155" t="s">
        <v>5</v>
      </c>
      <c r="E8155">
        <v>1</v>
      </c>
    </row>
    <row r="8156" spans="1:5" x14ac:dyDescent="0.25">
      <c r="A8156">
        <v>8155</v>
      </c>
      <c r="B8156">
        <v>3004324</v>
      </c>
      <c r="C8156" s="1" t="str">
        <f>HYPERLINK("http://stackoverflow.com/users/3004324", "Chen")</f>
        <v>Chen</v>
      </c>
      <c r="D8156" t="s">
        <v>5</v>
      </c>
      <c r="E8156">
        <v>1</v>
      </c>
    </row>
    <row r="8157" spans="1:5" x14ac:dyDescent="0.25">
      <c r="A8157">
        <v>8156</v>
      </c>
      <c r="B8157">
        <v>3004379</v>
      </c>
      <c r="C8157" s="1" t="str">
        <f>HYPERLINK("http://stackoverflow.com/users/3004379", "azxuwen")</f>
        <v>azxuwen</v>
      </c>
      <c r="D8157" t="s">
        <v>56</v>
      </c>
      <c r="E8157">
        <v>1</v>
      </c>
    </row>
    <row r="8158" spans="1:5" x14ac:dyDescent="0.25">
      <c r="A8158">
        <v>8157</v>
      </c>
      <c r="B8158">
        <v>6554044</v>
      </c>
      <c r="C8158" s="1" t="str">
        <f>HYPERLINK("http://stackoverflow.com/users/6554044", "曹晓波")</f>
        <v>曹晓波</v>
      </c>
      <c r="D8158" t="s">
        <v>4</v>
      </c>
      <c r="E8158">
        <v>1</v>
      </c>
    </row>
    <row r="8159" spans="1:5" x14ac:dyDescent="0.25">
      <c r="A8159">
        <v>8158</v>
      </c>
      <c r="B8159">
        <v>10181731</v>
      </c>
      <c r="C8159" s="1" t="str">
        <f>HYPERLINK("http://stackoverflow.com/users/10181731", "user10181731")</f>
        <v>user10181731</v>
      </c>
      <c r="D8159" t="s">
        <v>28</v>
      </c>
      <c r="E8159">
        <v>1</v>
      </c>
    </row>
    <row r="8160" spans="1:5" x14ac:dyDescent="0.25">
      <c r="A8160">
        <v>8159</v>
      </c>
      <c r="B8160">
        <v>10169840</v>
      </c>
      <c r="C8160" s="1" t="str">
        <f>HYPERLINK("http://stackoverflow.com/users/10169840", "zhiyi.z")</f>
        <v>zhiyi.z</v>
      </c>
      <c r="D8160" t="s">
        <v>4</v>
      </c>
      <c r="E8160">
        <v>1</v>
      </c>
    </row>
    <row r="8161" spans="1:5" x14ac:dyDescent="0.25">
      <c r="A8161">
        <v>8160</v>
      </c>
      <c r="B8161">
        <v>2998399</v>
      </c>
      <c r="C8161" s="1" t="str">
        <f>HYPERLINK("http://stackoverflow.com/users/2998399", "Sky")</f>
        <v>Sky</v>
      </c>
      <c r="D8161" t="s">
        <v>12</v>
      </c>
      <c r="E8161">
        <v>1</v>
      </c>
    </row>
    <row r="8162" spans="1:5" x14ac:dyDescent="0.25">
      <c r="A8162">
        <v>8161</v>
      </c>
      <c r="B8162">
        <v>8367917</v>
      </c>
      <c r="C8162" s="1" t="str">
        <f>HYPERLINK("http://stackoverflow.com/users/8367917", "Murphy")</f>
        <v>Murphy</v>
      </c>
      <c r="D8162" t="s">
        <v>74</v>
      </c>
      <c r="E8162">
        <v>1</v>
      </c>
    </row>
    <row r="8163" spans="1:5" x14ac:dyDescent="0.25">
      <c r="A8163">
        <v>8162</v>
      </c>
      <c r="B8163">
        <v>8367936</v>
      </c>
      <c r="C8163" s="1" t="str">
        <f>HYPERLINK("http://stackoverflow.com/users/8367936", "trustymmu")</f>
        <v>trustymmu</v>
      </c>
      <c r="D8163" t="s">
        <v>52</v>
      </c>
      <c r="E8163">
        <v>1</v>
      </c>
    </row>
    <row r="8164" spans="1:5" x14ac:dyDescent="0.25">
      <c r="A8164">
        <v>8163</v>
      </c>
      <c r="B8164">
        <v>8367994</v>
      </c>
      <c r="C8164" s="1" t="str">
        <f>HYPERLINK("http://stackoverflow.com/users/8367994", "Mingyu Zhao")</f>
        <v>Mingyu Zhao</v>
      </c>
      <c r="D8164" t="s">
        <v>4</v>
      </c>
      <c r="E8164">
        <v>1</v>
      </c>
    </row>
    <row r="8165" spans="1:5" x14ac:dyDescent="0.25">
      <c r="A8165">
        <v>8164</v>
      </c>
      <c r="B8165">
        <v>8368249</v>
      </c>
      <c r="C8165" s="1" t="str">
        <f>HYPERLINK("http://stackoverflow.com/users/8368249", "Sean Huang")</f>
        <v>Sean Huang</v>
      </c>
      <c r="D8165" t="s">
        <v>25</v>
      </c>
      <c r="E8165">
        <v>1</v>
      </c>
    </row>
    <row r="8166" spans="1:5" x14ac:dyDescent="0.25">
      <c r="A8166">
        <v>8165</v>
      </c>
      <c r="B8166">
        <v>8368252</v>
      </c>
      <c r="C8166" s="1" t="str">
        <f>HYPERLINK("http://stackoverflow.com/users/8368252", "Wang  Xiaoxin")</f>
        <v>Wang  Xiaoxin</v>
      </c>
      <c r="D8166" t="s">
        <v>4</v>
      </c>
      <c r="E8166">
        <v>1</v>
      </c>
    </row>
    <row r="8167" spans="1:5" x14ac:dyDescent="0.25">
      <c r="A8167">
        <v>8166</v>
      </c>
      <c r="B8167">
        <v>985019</v>
      </c>
      <c r="C8167" s="1" t="str">
        <f>HYPERLINK("http://stackoverflow.com/users/985019", "vencky")</f>
        <v>vencky</v>
      </c>
      <c r="D8167" t="s">
        <v>5</v>
      </c>
      <c r="E8167">
        <v>1</v>
      </c>
    </row>
    <row r="8168" spans="1:5" x14ac:dyDescent="0.25">
      <c r="A8168">
        <v>8167</v>
      </c>
      <c r="B8168">
        <v>4835881</v>
      </c>
      <c r="C8168" s="1" t="str">
        <f>HYPERLINK("http://stackoverflow.com/users/4835881", "richard")</f>
        <v>richard</v>
      </c>
      <c r="D8168" t="s">
        <v>5</v>
      </c>
      <c r="E8168">
        <v>1</v>
      </c>
    </row>
    <row r="8169" spans="1:5" x14ac:dyDescent="0.25">
      <c r="A8169">
        <v>8168</v>
      </c>
      <c r="B8169">
        <v>4835958</v>
      </c>
      <c r="C8169" s="1" t="str">
        <f>HYPERLINK("http://stackoverflow.com/users/4835958", "Jieke Choo")</f>
        <v>Jieke Choo</v>
      </c>
      <c r="D8169" t="s">
        <v>4</v>
      </c>
      <c r="E8169">
        <v>1</v>
      </c>
    </row>
    <row r="8170" spans="1:5" x14ac:dyDescent="0.25">
      <c r="A8170">
        <v>8169</v>
      </c>
      <c r="B8170">
        <v>4835979</v>
      </c>
      <c r="C8170" s="1" t="str">
        <f>HYPERLINK("http://stackoverflow.com/users/4835979", "Hindong Lee")</f>
        <v>Hindong Lee</v>
      </c>
      <c r="D8170" t="s">
        <v>4</v>
      </c>
      <c r="E8170">
        <v>1</v>
      </c>
    </row>
    <row r="8171" spans="1:5" x14ac:dyDescent="0.25">
      <c r="A8171">
        <v>8170</v>
      </c>
      <c r="B8171">
        <v>4836122</v>
      </c>
      <c r="C8171" s="1" t="str">
        <f>HYPERLINK("http://stackoverflow.com/users/4836122", "maginawin")</f>
        <v>maginawin</v>
      </c>
      <c r="D8171" t="s">
        <v>17</v>
      </c>
      <c r="E8171">
        <v>1</v>
      </c>
    </row>
    <row r="8172" spans="1:5" x14ac:dyDescent="0.25">
      <c r="A8172">
        <v>8171</v>
      </c>
      <c r="B8172">
        <v>4836158</v>
      </c>
      <c r="C8172" s="1" t="str">
        <f>HYPERLINK("http://stackoverflow.com/users/4836158", "mystzain")</f>
        <v>mystzain</v>
      </c>
      <c r="D8172" t="s">
        <v>5</v>
      </c>
      <c r="E8172">
        <v>1</v>
      </c>
    </row>
    <row r="8173" spans="1:5" x14ac:dyDescent="0.25">
      <c r="A8173">
        <v>8172</v>
      </c>
      <c r="B8173">
        <v>946685</v>
      </c>
      <c r="C8173" s="1" t="str">
        <f>HYPERLINK("http://stackoverflow.com/users/946685", "ZhengCai Xie")</f>
        <v>ZhengCai Xie</v>
      </c>
      <c r="D8173" t="s">
        <v>436</v>
      </c>
      <c r="E8173">
        <v>1</v>
      </c>
    </row>
    <row r="8174" spans="1:5" x14ac:dyDescent="0.25">
      <c r="A8174">
        <v>8173</v>
      </c>
      <c r="B8174">
        <v>8343047</v>
      </c>
      <c r="C8174" s="1" t="str">
        <f>HYPERLINK("http://stackoverflow.com/users/8343047", "Arctancotx")</f>
        <v>Arctancotx</v>
      </c>
      <c r="D8174" t="s">
        <v>180</v>
      </c>
      <c r="E8174">
        <v>1</v>
      </c>
    </row>
    <row r="8175" spans="1:5" x14ac:dyDescent="0.25">
      <c r="A8175">
        <v>8174</v>
      </c>
      <c r="B8175">
        <v>8348972</v>
      </c>
      <c r="C8175" s="1" t="str">
        <f>HYPERLINK("http://stackoverflow.com/users/8348972", "李兴正")</f>
        <v>李兴正</v>
      </c>
      <c r="D8175" t="s">
        <v>5</v>
      </c>
      <c r="E8175">
        <v>1</v>
      </c>
    </row>
    <row r="8176" spans="1:5" x14ac:dyDescent="0.25">
      <c r="A8176">
        <v>8175</v>
      </c>
      <c r="B8176">
        <v>2991212</v>
      </c>
      <c r="C8176" s="1" t="str">
        <f>HYPERLINK("http://stackoverflow.com/users/2991212", "KlausZL")</f>
        <v>KlausZL</v>
      </c>
      <c r="D8176" t="s">
        <v>5</v>
      </c>
      <c r="E8176">
        <v>1</v>
      </c>
    </row>
    <row r="8177" spans="1:5" x14ac:dyDescent="0.25">
      <c r="A8177">
        <v>8176</v>
      </c>
      <c r="B8177">
        <v>2991225</v>
      </c>
      <c r="C8177" s="1" t="str">
        <f>HYPERLINK("http://stackoverflow.com/users/2991225", "Casper")</f>
        <v>Casper</v>
      </c>
      <c r="D8177" t="s">
        <v>372</v>
      </c>
      <c r="E8177">
        <v>1</v>
      </c>
    </row>
    <row r="8178" spans="1:5" x14ac:dyDescent="0.25">
      <c r="A8178">
        <v>8177</v>
      </c>
      <c r="B8178">
        <v>2991263</v>
      </c>
      <c r="C8178" s="1" t="str">
        <f>HYPERLINK("http://stackoverflow.com/users/2991263", "Alan Yang")</f>
        <v>Alan Yang</v>
      </c>
      <c r="D8178" t="s">
        <v>5</v>
      </c>
      <c r="E8178">
        <v>1</v>
      </c>
    </row>
    <row r="8179" spans="1:5" x14ac:dyDescent="0.25">
      <c r="A8179">
        <v>8178</v>
      </c>
      <c r="B8179">
        <v>2991931</v>
      </c>
      <c r="C8179" s="1" t="str">
        <f>HYPERLINK("http://stackoverflow.com/users/2991931", "weixliu")</f>
        <v>weixliu</v>
      </c>
      <c r="D8179" t="s">
        <v>5</v>
      </c>
      <c r="E8179">
        <v>1</v>
      </c>
    </row>
    <row r="8180" spans="1:5" x14ac:dyDescent="0.25">
      <c r="A8180">
        <v>8179</v>
      </c>
      <c r="B8180">
        <v>953789</v>
      </c>
      <c r="C8180" s="1" t="str">
        <f>HYPERLINK("http://stackoverflow.com/users/953789", "magicsky")</f>
        <v>magicsky</v>
      </c>
      <c r="D8180" t="s">
        <v>12</v>
      </c>
      <c r="E8180">
        <v>1</v>
      </c>
    </row>
    <row r="8181" spans="1:5" x14ac:dyDescent="0.25">
      <c r="A8181">
        <v>8180</v>
      </c>
      <c r="B8181">
        <v>955146</v>
      </c>
      <c r="C8181" s="1" t="str">
        <f>HYPERLINK("http://stackoverflow.com/users/955146", "floatingRight")</f>
        <v>floatingRight</v>
      </c>
      <c r="D8181" t="s">
        <v>5</v>
      </c>
      <c r="E8181">
        <v>1</v>
      </c>
    </row>
    <row r="8182" spans="1:5" x14ac:dyDescent="0.25">
      <c r="A8182">
        <v>8181</v>
      </c>
      <c r="B8182">
        <v>10163294</v>
      </c>
      <c r="C8182" s="1" t="str">
        <f>HYPERLINK("http://stackoverflow.com/users/10163294", "Yanjie Li")</f>
        <v>Yanjie Li</v>
      </c>
      <c r="D8182" t="s">
        <v>437</v>
      </c>
      <c r="E8182">
        <v>1</v>
      </c>
    </row>
    <row r="8183" spans="1:5" x14ac:dyDescent="0.25">
      <c r="A8183">
        <v>8182</v>
      </c>
      <c r="B8183">
        <v>10163405</v>
      </c>
      <c r="C8183" s="1" t="str">
        <f>HYPERLINK("http://stackoverflow.com/users/10163405", "Raines")</f>
        <v>Raines</v>
      </c>
      <c r="D8183" t="s">
        <v>7</v>
      </c>
      <c r="E8183">
        <v>1</v>
      </c>
    </row>
    <row r="8184" spans="1:5" x14ac:dyDescent="0.25">
      <c r="A8184">
        <v>8183</v>
      </c>
      <c r="B8184">
        <v>8349205</v>
      </c>
      <c r="C8184" s="1" t="str">
        <f>HYPERLINK("http://stackoverflow.com/users/8349205", "Riton")</f>
        <v>Riton</v>
      </c>
      <c r="D8184" t="s">
        <v>19</v>
      </c>
      <c r="E8184">
        <v>1</v>
      </c>
    </row>
    <row r="8185" spans="1:5" x14ac:dyDescent="0.25">
      <c r="A8185">
        <v>8184</v>
      </c>
      <c r="B8185">
        <v>8349365</v>
      </c>
      <c r="C8185" s="1" t="str">
        <f>HYPERLINK("http://stackoverflow.com/users/8349365", "zzsczz")</f>
        <v>zzsczz</v>
      </c>
      <c r="D8185" t="s">
        <v>4</v>
      </c>
      <c r="E8185">
        <v>1</v>
      </c>
    </row>
    <row r="8186" spans="1:5" x14ac:dyDescent="0.25">
      <c r="A8186">
        <v>8185</v>
      </c>
      <c r="B8186">
        <v>2995258</v>
      </c>
      <c r="C8186" s="1" t="str">
        <f>HYPERLINK("http://stackoverflow.com/users/2995258", "luxixing")</f>
        <v>luxixing</v>
      </c>
      <c r="D8186" t="s">
        <v>5</v>
      </c>
      <c r="E8186">
        <v>1</v>
      </c>
    </row>
    <row r="8187" spans="1:5" x14ac:dyDescent="0.25">
      <c r="A8187">
        <v>8186</v>
      </c>
      <c r="B8187">
        <v>2995520</v>
      </c>
      <c r="C8187" s="1" t="str">
        <f>HYPERLINK("http://stackoverflow.com/users/2995520", "Leo Hito")</f>
        <v>Leo Hito</v>
      </c>
      <c r="D8187" t="s">
        <v>5</v>
      </c>
      <c r="E8187">
        <v>1</v>
      </c>
    </row>
    <row r="8188" spans="1:5" x14ac:dyDescent="0.25">
      <c r="A8188">
        <v>8187</v>
      </c>
      <c r="B8188">
        <v>6545418</v>
      </c>
      <c r="C8188" s="1" t="str">
        <f>HYPERLINK("http://stackoverflow.com/users/6545418", "lixueliu")</f>
        <v>lixueliu</v>
      </c>
      <c r="D8188" t="s">
        <v>7</v>
      </c>
      <c r="E8188">
        <v>1</v>
      </c>
    </row>
    <row r="8189" spans="1:5" x14ac:dyDescent="0.25">
      <c r="A8189">
        <v>8188</v>
      </c>
      <c r="B8189">
        <v>6545688</v>
      </c>
      <c r="C8189" s="1" t="str">
        <f>HYPERLINK("http://stackoverflow.com/users/6545688", "F.Gao")</f>
        <v>F.Gao</v>
      </c>
      <c r="D8189" t="s">
        <v>176</v>
      </c>
      <c r="E8189">
        <v>1</v>
      </c>
    </row>
    <row r="8190" spans="1:5" x14ac:dyDescent="0.25">
      <c r="A8190">
        <v>8189</v>
      </c>
      <c r="B8190">
        <v>6545863</v>
      </c>
      <c r="C8190" s="1" t="str">
        <f>HYPERLINK("http://stackoverflow.com/users/6545863", "TisonKun")</f>
        <v>TisonKun</v>
      </c>
      <c r="D8190" t="s">
        <v>5</v>
      </c>
      <c r="E8190">
        <v>1</v>
      </c>
    </row>
    <row r="8191" spans="1:5" x14ac:dyDescent="0.25">
      <c r="A8191">
        <v>8190</v>
      </c>
      <c r="B8191">
        <v>6545965</v>
      </c>
      <c r="C8191" s="1" t="str">
        <f>HYPERLINK("http://stackoverflow.com/users/6545965", "LUKE Bei")</f>
        <v>LUKE Bei</v>
      </c>
      <c r="D8191" t="s">
        <v>184</v>
      </c>
      <c r="E8191">
        <v>1</v>
      </c>
    </row>
    <row r="8192" spans="1:5" x14ac:dyDescent="0.25">
      <c r="A8192">
        <v>8191</v>
      </c>
      <c r="B8192">
        <v>4822273</v>
      </c>
      <c r="C8192" s="1" t="str">
        <f>HYPERLINK("http://stackoverflow.com/users/4822273", "bcotm")</f>
        <v>bcotm</v>
      </c>
      <c r="D8192" t="s">
        <v>8</v>
      </c>
      <c r="E8192">
        <v>1</v>
      </c>
    </row>
    <row r="8193" spans="1:5" x14ac:dyDescent="0.25">
      <c r="A8193">
        <v>8192</v>
      </c>
      <c r="B8193">
        <v>10168514</v>
      </c>
      <c r="C8193" s="1" t="str">
        <f>HYPERLINK("http://stackoverflow.com/users/10168514", "Ningbo Yang")</f>
        <v>Ningbo Yang</v>
      </c>
      <c r="D8193" t="s">
        <v>7</v>
      </c>
      <c r="E8193">
        <v>1</v>
      </c>
    </row>
    <row r="8194" spans="1:5" x14ac:dyDescent="0.25">
      <c r="A8194">
        <v>8193</v>
      </c>
      <c r="B8194">
        <v>10168597</v>
      </c>
      <c r="C8194" s="1" t="str">
        <f>HYPERLINK("http://stackoverflow.com/users/10168597", "w.z")</f>
        <v>w.z</v>
      </c>
      <c r="D8194" t="s">
        <v>4</v>
      </c>
      <c r="E8194">
        <v>1</v>
      </c>
    </row>
    <row r="8195" spans="1:5" x14ac:dyDescent="0.25">
      <c r="A8195">
        <v>8194</v>
      </c>
      <c r="B8195">
        <v>10168710</v>
      </c>
      <c r="C8195" s="1" t="str">
        <f>HYPERLINK("http://stackoverflow.com/users/10168710", "Yu Gao")</f>
        <v>Yu Gao</v>
      </c>
      <c r="D8195" t="s">
        <v>79</v>
      </c>
      <c r="E8195">
        <v>1</v>
      </c>
    </row>
    <row r="8196" spans="1:5" x14ac:dyDescent="0.25">
      <c r="A8196">
        <v>8195</v>
      </c>
      <c r="B8196">
        <v>10168778</v>
      </c>
      <c r="C8196" s="1" t="str">
        <f>HYPERLINK("http://stackoverflow.com/users/10168778", "youze liang")</f>
        <v>youze liang</v>
      </c>
      <c r="D8196" t="s">
        <v>5</v>
      </c>
      <c r="E8196">
        <v>1</v>
      </c>
    </row>
    <row r="8197" spans="1:5" x14ac:dyDescent="0.25">
      <c r="A8197">
        <v>8196</v>
      </c>
      <c r="B8197">
        <v>8442867</v>
      </c>
      <c r="C8197" s="1" t="str">
        <f>HYPERLINK("http://stackoverflow.com/users/8442867", "Johnny")</f>
        <v>Johnny</v>
      </c>
      <c r="D8197" t="s">
        <v>7</v>
      </c>
      <c r="E8197">
        <v>1</v>
      </c>
    </row>
    <row r="8198" spans="1:5" x14ac:dyDescent="0.25">
      <c r="A8198">
        <v>8197</v>
      </c>
      <c r="B8198">
        <v>8442908</v>
      </c>
      <c r="C8198" s="1" t="str">
        <f>HYPERLINK("http://stackoverflow.com/users/8442908", "Wu Shaoping")</f>
        <v>Wu Shaoping</v>
      </c>
      <c r="D8198" t="s">
        <v>4</v>
      </c>
      <c r="E8198">
        <v>1</v>
      </c>
    </row>
    <row r="8199" spans="1:5" x14ac:dyDescent="0.25">
      <c r="A8199">
        <v>8198</v>
      </c>
      <c r="B8199">
        <v>3086982</v>
      </c>
      <c r="C8199" s="1" t="str">
        <f>HYPERLINK("http://stackoverflow.com/users/3086982", "bigtian")</f>
        <v>bigtian</v>
      </c>
      <c r="D8199" t="s">
        <v>31</v>
      </c>
      <c r="E8199">
        <v>1</v>
      </c>
    </row>
    <row r="8200" spans="1:5" x14ac:dyDescent="0.25">
      <c r="A8200">
        <v>8199</v>
      </c>
      <c r="B8200">
        <v>1103065</v>
      </c>
      <c r="C8200" s="1" t="str">
        <f>HYPERLINK("http://stackoverflow.com/users/1103065", "Meathill")</f>
        <v>Meathill</v>
      </c>
      <c r="D8200" t="s">
        <v>5</v>
      </c>
      <c r="E8200">
        <v>1</v>
      </c>
    </row>
    <row r="8201" spans="1:5" x14ac:dyDescent="0.25">
      <c r="A8201">
        <v>8200</v>
      </c>
      <c r="B8201">
        <v>8446487</v>
      </c>
      <c r="C8201" s="1" t="str">
        <f>HYPERLINK("http://stackoverflow.com/users/8446487", "nanshaoxiong")</f>
        <v>nanshaoxiong</v>
      </c>
      <c r="D8201" t="s">
        <v>55</v>
      </c>
      <c r="E8201">
        <v>1</v>
      </c>
    </row>
    <row r="8202" spans="1:5" x14ac:dyDescent="0.25">
      <c r="A8202">
        <v>8201</v>
      </c>
      <c r="B8202">
        <v>8446823</v>
      </c>
      <c r="C8202" s="1" t="str">
        <f>HYPERLINK("http://stackoverflow.com/users/8446823", "Ethan Harris")</f>
        <v>Ethan Harris</v>
      </c>
      <c r="D8202" t="s">
        <v>57</v>
      </c>
      <c r="E8202">
        <v>1</v>
      </c>
    </row>
    <row r="8203" spans="1:5" x14ac:dyDescent="0.25">
      <c r="A8203">
        <v>8202</v>
      </c>
      <c r="B8203">
        <v>10253312</v>
      </c>
      <c r="C8203" s="1" t="str">
        <f>HYPERLINK("http://stackoverflow.com/users/10253312", "Bennett Yuan")</f>
        <v>Bennett Yuan</v>
      </c>
      <c r="D8203" t="s">
        <v>74</v>
      </c>
      <c r="E8203">
        <v>1</v>
      </c>
    </row>
    <row r="8204" spans="1:5" x14ac:dyDescent="0.25">
      <c r="A8204">
        <v>8203</v>
      </c>
      <c r="B8204">
        <v>8439120</v>
      </c>
      <c r="C8204" s="1" t="str">
        <f>HYPERLINK("http://stackoverflow.com/users/8439120", "Roman.Lao")</f>
        <v>Roman.Lao</v>
      </c>
      <c r="D8204" t="s">
        <v>15</v>
      </c>
      <c r="E8204">
        <v>1</v>
      </c>
    </row>
    <row r="8205" spans="1:5" x14ac:dyDescent="0.25">
      <c r="A8205">
        <v>8204</v>
      </c>
      <c r="B8205">
        <v>3079390</v>
      </c>
      <c r="C8205" s="1" t="str">
        <f>HYPERLINK("http://stackoverflow.com/users/3079390", "Kevin Xie")</f>
        <v>Kevin Xie</v>
      </c>
      <c r="D8205" t="s">
        <v>17</v>
      </c>
      <c r="E8205">
        <v>1</v>
      </c>
    </row>
    <row r="8206" spans="1:5" x14ac:dyDescent="0.25">
      <c r="A8206">
        <v>8205</v>
      </c>
      <c r="B8206">
        <v>3079807</v>
      </c>
      <c r="C8206" s="1" t="str">
        <f>HYPERLINK("http://stackoverflow.com/users/3079807", "user3079807")</f>
        <v>user3079807</v>
      </c>
      <c r="D8206" t="s">
        <v>21</v>
      </c>
      <c r="E8206">
        <v>1</v>
      </c>
    </row>
    <row r="8207" spans="1:5" x14ac:dyDescent="0.25">
      <c r="A8207">
        <v>8206</v>
      </c>
      <c r="B8207">
        <v>10252708</v>
      </c>
      <c r="C8207" s="1" t="str">
        <f>HYPERLINK("http://stackoverflow.com/users/10252708", "TDL3")</f>
        <v>TDL3</v>
      </c>
      <c r="D8207" t="s">
        <v>67</v>
      </c>
      <c r="E8207">
        <v>1</v>
      </c>
    </row>
    <row r="8208" spans="1:5" x14ac:dyDescent="0.25">
      <c r="A8208">
        <v>8207</v>
      </c>
      <c r="B8208">
        <v>10252840</v>
      </c>
      <c r="C8208" s="1" t="str">
        <f>HYPERLINK("http://stackoverflow.com/users/10252840", "杨归元")</f>
        <v>杨归元</v>
      </c>
      <c r="D8208" t="s">
        <v>4</v>
      </c>
      <c r="E8208">
        <v>1</v>
      </c>
    </row>
    <row r="8209" spans="1:5" x14ac:dyDescent="0.25">
      <c r="A8209">
        <v>8208</v>
      </c>
      <c r="B8209">
        <v>10253146</v>
      </c>
      <c r="C8209" s="1" t="str">
        <f>HYPERLINK("http://stackoverflow.com/users/10253146", "long wang")</f>
        <v>long wang</v>
      </c>
      <c r="D8209" t="s">
        <v>5</v>
      </c>
      <c r="E8209">
        <v>1</v>
      </c>
    </row>
    <row r="8210" spans="1:5" x14ac:dyDescent="0.25">
      <c r="A8210">
        <v>8209</v>
      </c>
      <c r="B8210">
        <v>1111377</v>
      </c>
      <c r="C8210" s="1" t="str">
        <f>HYPERLINK("http://stackoverflow.com/users/1111377", "chencassc")</f>
        <v>chencassc</v>
      </c>
      <c r="D8210" t="s">
        <v>17</v>
      </c>
      <c r="E8210">
        <v>1</v>
      </c>
    </row>
    <row r="8211" spans="1:5" x14ac:dyDescent="0.25">
      <c r="A8211">
        <v>8210</v>
      </c>
      <c r="B8211">
        <v>10259879</v>
      </c>
      <c r="C8211" s="1" t="str">
        <f>HYPERLINK("http://stackoverflow.com/users/10259879", "wei zhang")</f>
        <v>wei zhang</v>
      </c>
      <c r="D8211" t="s">
        <v>78</v>
      </c>
      <c r="E8211">
        <v>1</v>
      </c>
    </row>
    <row r="8212" spans="1:5" x14ac:dyDescent="0.25">
      <c r="A8212">
        <v>8211</v>
      </c>
      <c r="B8212">
        <v>10263829</v>
      </c>
      <c r="C8212" s="1" t="str">
        <f>HYPERLINK("http://stackoverflow.com/users/10263829", "Gui doublespring")</f>
        <v>Gui doublespring</v>
      </c>
      <c r="D8212" t="s">
        <v>78</v>
      </c>
      <c r="E8212">
        <v>1</v>
      </c>
    </row>
    <row r="8213" spans="1:5" x14ac:dyDescent="0.25">
      <c r="A8213">
        <v>8212</v>
      </c>
      <c r="B8213">
        <v>10263875</v>
      </c>
      <c r="C8213" s="1" t="str">
        <f>HYPERLINK("http://stackoverflow.com/users/10263875", "nameless6849")</f>
        <v>nameless6849</v>
      </c>
      <c r="D8213" t="s">
        <v>114</v>
      </c>
      <c r="E8213">
        <v>1</v>
      </c>
    </row>
    <row r="8214" spans="1:5" x14ac:dyDescent="0.25">
      <c r="A8214">
        <v>8213</v>
      </c>
      <c r="B8214">
        <v>10263902</v>
      </c>
      <c r="C8214" s="1" t="str">
        <f>HYPERLINK("http://stackoverflow.com/users/10263902", "fatyu")</f>
        <v>fatyu</v>
      </c>
      <c r="D8214" t="s">
        <v>16</v>
      </c>
      <c r="E8214">
        <v>1</v>
      </c>
    </row>
    <row r="8215" spans="1:5" x14ac:dyDescent="0.25">
      <c r="A8215">
        <v>8214</v>
      </c>
      <c r="B8215">
        <v>10264242</v>
      </c>
      <c r="C8215" s="1" t="str">
        <f>HYPERLINK("http://stackoverflow.com/users/10264242", "tempovoid")</f>
        <v>tempovoid</v>
      </c>
      <c r="D8215" t="s">
        <v>28</v>
      </c>
      <c r="E8215">
        <v>1</v>
      </c>
    </row>
    <row r="8216" spans="1:5" x14ac:dyDescent="0.25">
      <c r="A8216">
        <v>8215</v>
      </c>
      <c r="B8216">
        <v>6631706</v>
      </c>
      <c r="C8216" s="1" t="str">
        <f>HYPERLINK("http://stackoverflow.com/users/6631706", "whuroger")</f>
        <v>whuroger</v>
      </c>
      <c r="D8216" t="s">
        <v>25</v>
      </c>
      <c r="E8216">
        <v>1</v>
      </c>
    </row>
    <row r="8217" spans="1:5" x14ac:dyDescent="0.25">
      <c r="A8217">
        <v>8216</v>
      </c>
      <c r="B8217">
        <v>6631789</v>
      </c>
      <c r="C8217" s="1" t="str">
        <f>HYPERLINK("http://stackoverflow.com/users/6631789", "Sixu Hu")</f>
        <v>Sixu Hu</v>
      </c>
      <c r="D8217" t="s">
        <v>52</v>
      </c>
      <c r="E8217">
        <v>1</v>
      </c>
    </row>
    <row r="8218" spans="1:5" x14ac:dyDescent="0.25">
      <c r="A8218">
        <v>8217</v>
      </c>
      <c r="B8218">
        <v>8471101</v>
      </c>
      <c r="C8218" s="1" t="str">
        <f>HYPERLINK("http://stackoverflow.com/users/8471101", "Kyle")</f>
        <v>Kyle</v>
      </c>
      <c r="D8218" t="s">
        <v>108</v>
      </c>
      <c r="E8218">
        <v>1</v>
      </c>
    </row>
    <row r="8219" spans="1:5" x14ac:dyDescent="0.25">
      <c r="A8219">
        <v>8218</v>
      </c>
      <c r="B8219">
        <v>3106786</v>
      </c>
      <c r="C8219" s="1" t="str">
        <f>HYPERLINK("http://stackoverflow.com/users/3106786", "user3106786")</f>
        <v>user3106786</v>
      </c>
      <c r="D8219" t="s">
        <v>4</v>
      </c>
      <c r="E8219">
        <v>1</v>
      </c>
    </row>
    <row r="8220" spans="1:5" x14ac:dyDescent="0.25">
      <c r="A8220">
        <v>8219</v>
      </c>
      <c r="B8220">
        <v>4928181</v>
      </c>
      <c r="C8220" s="1" t="str">
        <f>HYPERLINK("http://stackoverflow.com/users/4928181", "Fry")</f>
        <v>Fry</v>
      </c>
      <c r="D8220" t="s">
        <v>17</v>
      </c>
      <c r="E8220">
        <v>1</v>
      </c>
    </row>
    <row r="8221" spans="1:5" x14ac:dyDescent="0.25">
      <c r="A8221">
        <v>8220</v>
      </c>
      <c r="B8221">
        <v>4928368</v>
      </c>
      <c r="C8221" s="1" t="str">
        <f>HYPERLINK("http://stackoverflow.com/users/4928368", "jiehu5114")</f>
        <v>jiehu5114</v>
      </c>
      <c r="D8221" t="s">
        <v>4</v>
      </c>
      <c r="E8221">
        <v>1</v>
      </c>
    </row>
    <row r="8222" spans="1:5" x14ac:dyDescent="0.25">
      <c r="A8222">
        <v>8221</v>
      </c>
      <c r="B8222">
        <v>3109909</v>
      </c>
      <c r="C8222" s="1" t="str">
        <f>HYPERLINK("http://stackoverflow.com/users/3109909", "Howard")</f>
        <v>Howard</v>
      </c>
      <c r="D8222" t="s">
        <v>22</v>
      </c>
      <c r="E8222">
        <v>1</v>
      </c>
    </row>
    <row r="8223" spans="1:5" x14ac:dyDescent="0.25">
      <c r="A8223">
        <v>8222</v>
      </c>
      <c r="B8223">
        <v>3113442</v>
      </c>
      <c r="C8223" s="1" t="str">
        <f>HYPERLINK("http://stackoverflow.com/users/3113442", "FlyingFish")</f>
        <v>FlyingFish</v>
      </c>
      <c r="D8223" t="s">
        <v>3</v>
      </c>
      <c r="E8223">
        <v>1</v>
      </c>
    </row>
    <row r="8224" spans="1:5" x14ac:dyDescent="0.25">
      <c r="A8224">
        <v>8223</v>
      </c>
      <c r="B8224">
        <v>8475291</v>
      </c>
      <c r="C8224" s="1" t="str">
        <f>HYPERLINK("http://stackoverflow.com/users/8475291", "M.Shen")</f>
        <v>M.Shen</v>
      </c>
      <c r="D8224" t="s">
        <v>16</v>
      </c>
      <c r="E8224">
        <v>1</v>
      </c>
    </row>
    <row r="8225" spans="1:5" x14ac:dyDescent="0.25">
      <c r="A8225">
        <v>8224</v>
      </c>
      <c r="B8225">
        <v>8475392</v>
      </c>
      <c r="C8225" s="1" t="str">
        <f>HYPERLINK("http://stackoverflow.com/users/8475392", "user8475392")</f>
        <v>user8475392</v>
      </c>
      <c r="D8225" t="s">
        <v>7</v>
      </c>
      <c r="E8225">
        <v>1</v>
      </c>
    </row>
    <row r="8226" spans="1:5" x14ac:dyDescent="0.25">
      <c r="A8226">
        <v>8225</v>
      </c>
      <c r="B8226">
        <v>8475404</v>
      </c>
      <c r="C8226" s="1" t="str">
        <f>HYPERLINK("http://stackoverflow.com/users/8475404", "Xiaohui Pang")</f>
        <v>Xiaohui Pang</v>
      </c>
      <c r="D8226" t="s">
        <v>4</v>
      </c>
      <c r="E8226">
        <v>1</v>
      </c>
    </row>
    <row r="8227" spans="1:5" x14ac:dyDescent="0.25">
      <c r="A8227">
        <v>8226</v>
      </c>
      <c r="B8227">
        <v>8475574</v>
      </c>
      <c r="C8227" s="1" t="str">
        <f>HYPERLINK("http://stackoverflow.com/users/8475574", "YMY")</f>
        <v>YMY</v>
      </c>
      <c r="D8227" t="s">
        <v>5</v>
      </c>
      <c r="E8227">
        <v>1</v>
      </c>
    </row>
    <row r="8228" spans="1:5" x14ac:dyDescent="0.25">
      <c r="A8228">
        <v>8227</v>
      </c>
      <c r="B8228">
        <v>10288386</v>
      </c>
      <c r="C8228" s="1" t="str">
        <f>HYPERLINK("http://stackoverflow.com/users/10288386", "ff4e20")</f>
        <v>ff4e20</v>
      </c>
      <c r="D8228" t="s">
        <v>7</v>
      </c>
      <c r="E8228">
        <v>1</v>
      </c>
    </row>
    <row r="8229" spans="1:5" x14ac:dyDescent="0.25">
      <c r="A8229">
        <v>8228</v>
      </c>
      <c r="B8229">
        <v>3110358</v>
      </c>
      <c r="C8229" s="1" t="str">
        <f>HYPERLINK("http://stackoverflow.com/users/3110358", "stiartsly")</f>
        <v>stiartsly</v>
      </c>
      <c r="D8229" t="s">
        <v>4</v>
      </c>
      <c r="E8229">
        <v>1</v>
      </c>
    </row>
    <row r="8230" spans="1:5" x14ac:dyDescent="0.25">
      <c r="A8230">
        <v>8229</v>
      </c>
      <c r="B8230">
        <v>10285241</v>
      </c>
      <c r="C8230" s="1" t="str">
        <f>HYPERLINK("http://stackoverflow.com/users/10285241", "Y Maple")</f>
        <v>Y Maple</v>
      </c>
      <c r="D8230" t="s">
        <v>28</v>
      </c>
      <c r="E8230">
        <v>1</v>
      </c>
    </row>
    <row r="8231" spans="1:5" x14ac:dyDescent="0.25">
      <c r="A8231">
        <v>8230</v>
      </c>
      <c r="B8231">
        <v>1153076</v>
      </c>
      <c r="C8231" s="1" t="str">
        <f>HYPERLINK("http://stackoverflow.com/users/1153076", "Ahlfors Lee")</f>
        <v>Ahlfors Lee</v>
      </c>
      <c r="D8231" t="s">
        <v>12</v>
      </c>
      <c r="E8231">
        <v>1</v>
      </c>
    </row>
    <row r="8232" spans="1:5" x14ac:dyDescent="0.25">
      <c r="A8232">
        <v>8231</v>
      </c>
      <c r="B8232">
        <v>3106549</v>
      </c>
      <c r="C8232" s="1" t="str">
        <f>HYPERLINK("http://stackoverflow.com/users/3106549", "Kelvin J.Fang")</f>
        <v>Kelvin J.Fang</v>
      </c>
      <c r="D8232" t="s">
        <v>22</v>
      </c>
      <c r="E8232">
        <v>1</v>
      </c>
    </row>
    <row r="8233" spans="1:5" x14ac:dyDescent="0.25">
      <c r="A8233">
        <v>8232</v>
      </c>
      <c r="B8233">
        <v>1117288</v>
      </c>
      <c r="C8233" s="1" t="str">
        <f>HYPERLINK("http://stackoverflow.com/users/1117288", "Moran")</f>
        <v>Moran</v>
      </c>
      <c r="D8233" t="s">
        <v>4</v>
      </c>
      <c r="E8233">
        <v>1</v>
      </c>
    </row>
    <row r="8234" spans="1:5" x14ac:dyDescent="0.25">
      <c r="A8234">
        <v>8233</v>
      </c>
      <c r="B8234">
        <v>1117405</v>
      </c>
      <c r="C8234" s="1" t="str">
        <f>HYPERLINK("http://stackoverflow.com/users/1117405", "finalanubis")</f>
        <v>finalanubis</v>
      </c>
      <c r="D8234" t="s">
        <v>4</v>
      </c>
      <c r="E8234">
        <v>1</v>
      </c>
    </row>
    <row r="8235" spans="1:5" x14ac:dyDescent="0.25">
      <c r="A8235">
        <v>8234</v>
      </c>
      <c r="B8235">
        <v>6643416</v>
      </c>
      <c r="C8235" s="1" t="str">
        <f>HYPERLINK("http://stackoverflow.com/users/6643416", "Helldweller")</f>
        <v>Helldweller</v>
      </c>
      <c r="D8235" t="s">
        <v>37</v>
      </c>
      <c r="E8235">
        <v>1</v>
      </c>
    </row>
    <row r="8236" spans="1:5" x14ac:dyDescent="0.25">
      <c r="A8236">
        <v>8235</v>
      </c>
      <c r="B8236">
        <v>8467409</v>
      </c>
      <c r="C8236" s="1" t="str">
        <f>HYPERLINK("http://stackoverflow.com/users/8467409", "lenglei")</f>
        <v>lenglei</v>
      </c>
      <c r="D8236" t="s">
        <v>52</v>
      </c>
      <c r="E8236">
        <v>1</v>
      </c>
    </row>
    <row r="8237" spans="1:5" x14ac:dyDescent="0.25">
      <c r="A8237">
        <v>8236</v>
      </c>
      <c r="B8237">
        <v>8467656</v>
      </c>
      <c r="C8237" s="1" t="str">
        <f>HYPERLINK("http://stackoverflow.com/users/8467656", "rouor red")</f>
        <v>rouor red</v>
      </c>
      <c r="D8237" t="s">
        <v>5</v>
      </c>
      <c r="E8237">
        <v>1</v>
      </c>
    </row>
    <row r="8238" spans="1:5" x14ac:dyDescent="0.25">
      <c r="A8238">
        <v>8237</v>
      </c>
      <c r="B8238">
        <v>6647337</v>
      </c>
      <c r="C8238" s="1" t="str">
        <f>HYPERLINK("http://stackoverflow.com/users/6647337", "Jason Meng")</f>
        <v>Jason Meng</v>
      </c>
      <c r="D8238" t="s">
        <v>74</v>
      </c>
      <c r="E8238">
        <v>1</v>
      </c>
    </row>
    <row r="8239" spans="1:5" x14ac:dyDescent="0.25">
      <c r="A8239">
        <v>8238</v>
      </c>
      <c r="B8239">
        <v>10268325</v>
      </c>
      <c r="C8239" s="1" t="str">
        <f>HYPERLINK("http://stackoverflow.com/users/10268325", "Yiming YIn")</f>
        <v>Yiming YIn</v>
      </c>
      <c r="D8239" t="s">
        <v>10</v>
      </c>
      <c r="E8239">
        <v>1</v>
      </c>
    </row>
    <row r="8240" spans="1:5" x14ac:dyDescent="0.25">
      <c r="A8240">
        <v>8239</v>
      </c>
      <c r="B8240">
        <v>10268402</v>
      </c>
      <c r="C8240" s="1" t="str">
        <f>HYPERLINK("http://stackoverflow.com/users/10268402", "Shao Joe")</f>
        <v>Shao Joe</v>
      </c>
      <c r="D8240" t="s">
        <v>4</v>
      </c>
      <c r="E8240">
        <v>1</v>
      </c>
    </row>
    <row r="8241" spans="1:5" x14ac:dyDescent="0.25">
      <c r="A8241">
        <v>8240</v>
      </c>
      <c r="B8241">
        <v>10268495</v>
      </c>
      <c r="C8241" s="1" t="str">
        <f>HYPERLINK("http://stackoverflow.com/users/10268495", "Chen General")</f>
        <v>Chen General</v>
      </c>
      <c r="D8241" t="s">
        <v>52</v>
      </c>
      <c r="E8241">
        <v>1</v>
      </c>
    </row>
    <row r="8242" spans="1:5" x14ac:dyDescent="0.25">
      <c r="A8242">
        <v>8241</v>
      </c>
      <c r="B8242">
        <v>3098489</v>
      </c>
      <c r="C8242" s="1" t="str">
        <f>HYPERLINK("http://stackoverflow.com/users/3098489", "chuzhibin")</f>
        <v>chuzhibin</v>
      </c>
      <c r="D8242" t="s">
        <v>5</v>
      </c>
      <c r="E8242">
        <v>1</v>
      </c>
    </row>
    <row r="8243" spans="1:5" x14ac:dyDescent="0.25">
      <c r="A8243">
        <v>8242</v>
      </c>
      <c r="B8243">
        <v>10273019</v>
      </c>
      <c r="C8243" s="1" t="str">
        <f>HYPERLINK("http://stackoverflow.com/users/10273019", "VincentXu")</f>
        <v>VincentXu</v>
      </c>
      <c r="D8243" t="s">
        <v>4</v>
      </c>
      <c r="E8243">
        <v>1</v>
      </c>
    </row>
    <row r="8244" spans="1:5" x14ac:dyDescent="0.25">
      <c r="A8244">
        <v>8243</v>
      </c>
      <c r="B8244">
        <v>3098686</v>
      </c>
      <c r="C8244" s="1" t="str">
        <f>HYPERLINK("http://stackoverflow.com/users/3098686", "parker")</f>
        <v>parker</v>
      </c>
      <c r="D8244" t="s">
        <v>21</v>
      </c>
      <c r="E8244">
        <v>1</v>
      </c>
    </row>
    <row r="8245" spans="1:5" x14ac:dyDescent="0.25">
      <c r="A8245">
        <v>8244</v>
      </c>
      <c r="B8245">
        <v>6642914</v>
      </c>
      <c r="C8245" s="1" t="str">
        <f>HYPERLINK("http://stackoverflow.com/users/6642914", "ZhangJian")</f>
        <v>ZhangJian</v>
      </c>
      <c r="D8245" t="s">
        <v>5</v>
      </c>
      <c r="E8245">
        <v>1</v>
      </c>
    </row>
    <row r="8246" spans="1:5" x14ac:dyDescent="0.25">
      <c r="A8246">
        <v>8245</v>
      </c>
      <c r="B8246">
        <v>6642959</v>
      </c>
      <c r="C8246" s="1" t="str">
        <f>HYPERLINK("http://stackoverflow.com/users/6642959", "luke Lu")</f>
        <v>luke Lu</v>
      </c>
      <c r="D8246" t="s">
        <v>7</v>
      </c>
      <c r="E8246">
        <v>1</v>
      </c>
    </row>
    <row r="8247" spans="1:5" x14ac:dyDescent="0.25">
      <c r="A8247">
        <v>8246</v>
      </c>
      <c r="B8247">
        <v>6616750</v>
      </c>
      <c r="C8247" s="1" t="str">
        <f>HYPERLINK("http://stackoverflow.com/users/6616750", "Vander Chen")</f>
        <v>Vander Chen</v>
      </c>
      <c r="D8247" t="s">
        <v>131</v>
      </c>
      <c r="E8247">
        <v>1</v>
      </c>
    </row>
    <row r="8248" spans="1:5" x14ac:dyDescent="0.25">
      <c r="A8248">
        <v>8247</v>
      </c>
      <c r="B8248">
        <v>6616818</v>
      </c>
      <c r="C8248" s="1" t="str">
        <f>HYPERLINK("http://stackoverflow.com/users/6616818", "Jinglei Gu")</f>
        <v>Jinglei Gu</v>
      </c>
      <c r="D8248" t="s">
        <v>4</v>
      </c>
      <c r="E8248">
        <v>1</v>
      </c>
    </row>
    <row r="8249" spans="1:5" x14ac:dyDescent="0.25">
      <c r="A8249">
        <v>8248</v>
      </c>
      <c r="B8249">
        <v>8433913</v>
      </c>
      <c r="C8249" s="1" t="str">
        <f>HYPERLINK("http://stackoverflow.com/users/8433913", "Jiazhen Liu")</f>
        <v>Jiazhen Liu</v>
      </c>
      <c r="D8249" t="s">
        <v>52</v>
      </c>
      <c r="E8249">
        <v>1</v>
      </c>
    </row>
    <row r="8250" spans="1:5" x14ac:dyDescent="0.25">
      <c r="A8250">
        <v>8249</v>
      </c>
      <c r="B8250">
        <v>8434560</v>
      </c>
      <c r="C8250" s="1" t="str">
        <f>HYPERLINK("http://stackoverflow.com/users/8434560", "Emad Khan")</f>
        <v>Emad Khan</v>
      </c>
      <c r="D8250" t="s">
        <v>269</v>
      </c>
      <c r="E8250">
        <v>1</v>
      </c>
    </row>
    <row r="8251" spans="1:5" x14ac:dyDescent="0.25">
      <c r="A8251">
        <v>8250</v>
      </c>
      <c r="B8251">
        <v>4897991</v>
      </c>
      <c r="C8251" s="1" t="str">
        <f>HYPERLINK("http://stackoverflow.com/users/4897991", "xiuwei zhu")</f>
        <v>xiuwei zhu</v>
      </c>
      <c r="D8251" t="s">
        <v>5</v>
      </c>
      <c r="E8251">
        <v>1</v>
      </c>
    </row>
    <row r="8252" spans="1:5" x14ac:dyDescent="0.25">
      <c r="A8252">
        <v>8251</v>
      </c>
      <c r="B8252">
        <v>4898162</v>
      </c>
      <c r="C8252" s="1" t="str">
        <f>HYPERLINK("http://stackoverflow.com/users/4898162", "Jack Chen")</f>
        <v>Jack Chen</v>
      </c>
      <c r="D8252" t="s">
        <v>5</v>
      </c>
      <c r="E8252">
        <v>1</v>
      </c>
    </row>
    <row r="8253" spans="1:5" x14ac:dyDescent="0.25">
      <c r="A8253">
        <v>8252</v>
      </c>
      <c r="B8253">
        <v>8427599</v>
      </c>
      <c r="C8253" s="1" t="str">
        <f>HYPERLINK("http://stackoverflow.com/users/8427599", "user8427599")</f>
        <v>user8427599</v>
      </c>
      <c r="D8253" t="s">
        <v>5</v>
      </c>
      <c r="E8253">
        <v>1</v>
      </c>
    </row>
    <row r="8254" spans="1:5" x14ac:dyDescent="0.25">
      <c r="A8254">
        <v>8253</v>
      </c>
      <c r="B8254">
        <v>10243930</v>
      </c>
      <c r="C8254" s="1" t="str">
        <f>HYPERLINK("http://stackoverflow.com/users/10243930", "Zepu Zhang")</f>
        <v>Zepu Zhang</v>
      </c>
      <c r="D8254" t="s">
        <v>4</v>
      </c>
      <c r="E8254">
        <v>1</v>
      </c>
    </row>
    <row r="8255" spans="1:5" x14ac:dyDescent="0.25">
      <c r="A8255">
        <v>8254</v>
      </c>
      <c r="B8255">
        <v>10247681</v>
      </c>
      <c r="C8255" s="1" t="str">
        <f>HYPERLINK("http://stackoverflow.com/users/10247681", "Dr. Yongsheng")</f>
        <v>Dr. Yongsheng</v>
      </c>
      <c r="D8255" t="s">
        <v>16</v>
      </c>
      <c r="E8255">
        <v>1</v>
      </c>
    </row>
    <row r="8256" spans="1:5" x14ac:dyDescent="0.25">
      <c r="A8256">
        <v>8255</v>
      </c>
      <c r="B8256">
        <v>10247726</v>
      </c>
      <c r="C8256" s="1" t="str">
        <f>HYPERLINK("http://stackoverflow.com/users/10247726", "JohnFortune")</f>
        <v>JohnFortune</v>
      </c>
      <c r="D8256" t="s">
        <v>5</v>
      </c>
      <c r="E8256">
        <v>1</v>
      </c>
    </row>
    <row r="8257" spans="1:5" x14ac:dyDescent="0.25">
      <c r="A8257">
        <v>8256</v>
      </c>
      <c r="B8257">
        <v>6616384</v>
      </c>
      <c r="C8257" s="1" t="str">
        <f>HYPERLINK("http://stackoverflow.com/users/6616384", "yueliang")</f>
        <v>yueliang</v>
      </c>
      <c r="D8257" t="s">
        <v>5</v>
      </c>
      <c r="E8257">
        <v>1</v>
      </c>
    </row>
    <row r="8258" spans="1:5" x14ac:dyDescent="0.25">
      <c r="A8258">
        <v>8257</v>
      </c>
      <c r="B8258">
        <v>6616386</v>
      </c>
      <c r="C8258" s="1" t="str">
        <f>HYPERLINK("http://stackoverflow.com/users/6616386", "Goldfire")</f>
        <v>Goldfire</v>
      </c>
      <c r="D8258" t="s">
        <v>438</v>
      </c>
      <c r="E8258">
        <v>1</v>
      </c>
    </row>
    <row r="8259" spans="1:5" x14ac:dyDescent="0.25">
      <c r="A8259">
        <v>8258</v>
      </c>
      <c r="B8259">
        <v>8426529</v>
      </c>
      <c r="C8259" s="1" t="str">
        <f>HYPERLINK("http://stackoverflow.com/users/8426529", "Leon Xu")</f>
        <v>Leon Xu</v>
      </c>
      <c r="D8259" t="s">
        <v>52</v>
      </c>
      <c r="E8259">
        <v>1</v>
      </c>
    </row>
    <row r="8260" spans="1:5" x14ac:dyDescent="0.25">
      <c r="A8260">
        <v>8259</v>
      </c>
      <c r="B8260">
        <v>8426700</v>
      </c>
      <c r="C8260" s="1" t="str">
        <f>HYPERLINK("http://stackoverflow.com/users/8426700", "仇振涛")</f>
        <v>仇振涛</v>
      </c>
      <c r="D8260" t="s">
        <v>5</v>
      </c>
      <c r="E8260">
        <v>1</v>
      </c>
    </row>
    <row r="8261" spans="1:5" x14ac:dyDescent="0.25">
      <c r="A8261">
        <v>8260</v>
      </c>
      <c r="B8261">
        <v>8426819</v>
      </c>
      <c r="C8261" s="1" t="str">
        <f>HYPERLINK("http://stackoverflow.com/users/8426819", "Steven Li")</f>
        <v>Steven Li</v>
      </c>
      <c r="D8261" t="s">
        <v>4</v>
      </c>
      <c r="E8261">
        <v>1</v>
      </c>
    </row>
    <row r="8262" spans="1:5" x14ac:dyDescent="0.25">
      <c r="A8262">
        <v>8261</v>
      </c>
      <c r="B8262">
        <v>8426988</v>
      </c>
      <c r="C8262" s="1" t="str">
        <f>HYPERLINK("http://stackoverflow.com/users/8426988", "xhfstackoverflow")</f>
        <v>xhfstackoverflow</v>
      </c>
      <c r="D8262" t="s">
        <v>5</v>
      </c>
      <c r="E8262">
        <v>1</v>
      </c>
    </row>
    <row r="8263" spans="1:5" x14ac:dyDescent="0.25">
      <c r="A8263">
        <v>8262</v>
      </c>
      <c r="B8263">
        <v>4886128</v>
      </c>
      <c r="C8263" s="1" t="str">
        <f>HYPERLINK("http://stackoverflow.com/users/4886128", "windwise")</f>
        <v>windwise</v>
      </c>
      <c r="D8263" t="s">
        <v>21</v>
      </c>
      <c r="E8263">
        <v>1</v>
      </c>
    </row>
    <row r="8264" spans="1:5" x14ac:dyDescent="0.25">
      <c r="A8264">
        <v>8263</v>
      </c>
      <c r="B8264">
        <v>4886424</v>
      </c>
      <c r="C8264" s="1" t="str">
        <f>HYPERLINK("http://stackoverflow.com/users/4886424", "kyowang")</f>
        <v>kyowang</v>
      </c>
      <c r="D8264" t="s">
        <v>4</v>
      </c>
      <c r="E8264">
        <v>1</v>
      </c>
    </row>
    <row r="8265" spans="1:5" x14ac:dyDescent="0.25">
      <c r="A8265">
        <v>8264</v>
      </c>
      <c r="B8265">
        <v>8427250</v>
      </c>
      <c r="C8265" s="1" t="str">
        <f>HYPERLINK("http://stackoverflow.com/users/8427250", "zogodo")</f>
        <v>zogodo</v>
      </c>
      <c r="D8265" t="s">
        <v>439</v>
      </c>
      <c r="E8265">
        <v>1</v>
      </c>
    </row>
    <row r="8266" spans="1:5" x14ac:dyDescent="0.25">
      <c r="A8266">
        <v>8265</v>
      </c>
      <c r="B8266">
        <v>8427283</v>
      </c>
      <c r="C8266" s="1" t="str">
        <f>HYPERLINK("http://stackoverflow.com/users/8427283", "Yikun Zhang")</f>
        <v>Yikun Zhang</v>
      </c>
      <c r="D8266" t="s">
        <v>4</v>
      </c>
      <c r="E8266">
        <v>1</v>
      </c>
    </row>
    <row r="8267" spans="1:5" x14ac:dyDescent="0.25">
      <c r="A8267">
        <v>8266</v>
      </c>
      <c r="B8267">
        <v>8422885</v>
      </c>
      <c r="C8267" s="1" t="str">
        <f>HYPERLINK("http://stackoverflow.com/users/8422885", "lieber_herrzhao")</f>
        <v>lieber_herrzhao</v>
      </c>
      <c r="D8267" t="s">
        <v>4</v>
      </c>
      <c r="E8267">
        <v>1</v>
      </c>
    </row>
    <row r="8268" spans="1:5" x14ac:dyDescent="0.25">
      <c r="A8268">
        <v>8267</v>
      </c>
      <c r="B8268">
        <v>6606386</v>
      </c>
      <c r="C8268" s="1" t="str">
        <f>HYPERLINK("http://stackoverflow.com/users/6606386", "HeartArea")</f>
        <v>HeartArea</v>
      </c>
      <c r="D8268" t="s">
        <v>33</v>
      </c>
      <c r="E8268">
        <v>1</v>
      </c>
    </row>
    <row r="8269" spans="1:5" x14ac:dyDescent="0.25">
      <c r="A8269">
        <v>8268</v>
      </c>
      <c r="B8269">
        <v>6606416</v>
      </c>
      <c r="C8269" s="1" t="str">
        <f>HYPERLINK("http://stackoverflow.com/users/6606416", "Grayson")</f>
        <v>Grayson</v>
      </c>
      <c r="D8269" t="s">
        <v>5</v>
      </c>
      <c r="E8269">
        <v>1</v>
      </c>
    </row>
    <row r="8270" spans="1:5" x14ac:dyDescent="0.25">
      <c r="A8270">
        <v>8269</v>
      </c>
      <c r="B8270">
        <v>3068423</v>
      </c>
      <c r="C8270" s="1" t="str">
        <f>HYPERLINK("http://stackoverflow.com/users/3068423", "xForMe")</f>
        <v>xForMe</v>
      </c>
      <c r="D8270" t="s">
        <v>4</v>
      </c>
      <c r="E8270">
        <v>1</v>
      </c>
    </row>
    <row r="8271" spans="1:5" x14ac:dyDescent="0.25">
      <c r="A8271">
        <v>8270</v>
      </c>
      <c r="B8271">
        <v>1063166</v>
      </c>
      <c r="C8271" s="1" t="str">
        <f>HYPERLINK("http://stackoverflow.com/users/1063166", "showkilling")</f>
        <v>showkilling</v>
      </c>
      <c r="D8271" t="s">
        <v>5</v>
      </c>
      <c r="E8271">
        <v>1</v>
      </c>
    </row>
    <row r="8272" spans="1:5" x14ac:dyDescent="0.25">
      <c r="A8272">
        <v>8271</v>
      </c>
      <c r="B8272">
        <v>1063265</v>
      </c>
      <c r="C8272" s="1" t="str">
        <f>HYPERLINK("http://stackoverflow.com/users/1063265", "LambdaTea")</f>
        <v>LambdaTea</v>
      </c>
      <c r="D8272" t="s">
        <v>37</v>
      </c>
      <c r="E8272">
        <v>1</v>
      </c>
    </row>
    <row r="8273" spans="1:5" x14ac:dyDescent="0.25">
      <c r="A8273">
        <v>8272</v>
      </c>
      <c r="B8273">
        <v>1062067</v>
      </c>
      <c r="C8273" s="1" t="str">
        <f>HYPERLINK("http://stackoverflow.com/users/1062067", "JJLang")</f>
        <v>JJLang</v>
      </c>
      <c r="D8273" t="s">
        <v>5</v>
      </c>
      <c r="E8273">
        <v>1</v>
      </c>
    </row>
    <row r="8274" spans="1:5" x14ac:dyDescent="0.25">
      <c r="A8274">
        <v>8273</v>
      </c>
      <c r="B8274">
        <v>8414998</v>
      </c>
      <c r="C8274" s="1" t="str">
        <f>HYPERLINK("http://stackoverflow.com/users/8414998", "Jie.He")</f>
        <v>Jie.He</v>
      </c>
      <c r="D8274" t="s">
        <v>4</v>
      </c>
      <c r="E8274">
        <v>1</v>
      </c>
    </row>
    <row r="8275" spans="1:5" x14ac:dyDescent="0.25">
      <c r="A8275">
        <v>8274</v>
      </c>
      <c r="B8275">
        <v>8415006</v>
      </c>
      <c r="C8275" s="1" t="str">
        <f>HYPERLINK("http://stackoverflow.com/users/8415006", "Do.J")</f>
        <v>Do.J</v>
      </c>
      <c r="D8275" t="s">
        <v>12</v>
      </c>
      <c r="E8275">
        <v>1</v>
      </c>
    </row>
    <row r="8276" spans="1:5" x14ac:dyDescent="0.25">
      <c r="A8276">
        <v>8275</v>
      </c>
      <c r="B8276">
        <v>8415212</v>
      </c>
      <c r="C8276" s="1" t="str">
        <f>HYPERLINK("http://stackoverflow.com/users/8415212", "zhtest000")</f>
        <v>zhtest000</v>
      </c>
      <c r="D8276" t="s">
        <v>52</v>
      </c>
      <c r="E8276">
        <v>1</v>
      </c>
    </row>
    <row r="8277" spans="1:5" x14ac:dyDescent="0.25">
      <c r="A8277">
        <v>8276</v>
      </c>
      <c r="B8277">
        <v>8415435</v>
      </c>
      <c r="C8277" s="1" t="str">
        <f>HYPERLINK("http://stackoverflow.com/users/8415435", "Dylan")</f>
        <v>Dylan</v>
      </c>
      <c r="D8277" t="s">
        <v>135</v>
      </c>
      <c r="E8277">
        <v>1</v>
      </c>
    </row>
    <row r="8278" spans="1:5" x14ac:dyDescent="0.25">
      <c r="A8278">
        <v>8277</v>
      </c>
      <c r="B8278">
        <v>8415459</v>
      </c>
      <c r="C8278" s="1" t="str">
        <f>HYPERLINK("http://stackoverflow.com/users/8415459", "liang li")</f>
        <v>liang li</v>
      </c>
      <c r="D8278" t="s">
        <v>4</v>
      </c>
      <c r="E8278">
        <v>1</v>
      </c>
    </row>
    <row r="8279" spans="1:5" x14ac:dyDescent="0.25">
      <c r="A8279">
        <v>8278</v>
      </c>
      <c r="B8279">
        <v>8415495</v>
      </c>
      <c r="C8279" s="1" t="str">
        <f>HYPERLINK("http://stackoverflow.com/users/8415495", "Cindy Yuan")</f>
        <v>Cindy Yuan</v>
      </c>
      <c r="D8279" t="s">
        <v>5</v>
      </c>
      <c r="E8279">
        <v>1</v>
      </c>
    </row>
    <row r="8280" spans="1:5" x14ac:dyDescent="0.25">
      <c r="A8280">
        <v>8279</v>
      </c>
      <c r="B8280">
        <v>8415525</v>
      </c>
      <c r="C8280" s="1" t="str">
        <f>HYPERLINK("http://stackoverflow.com/users/8415525", "Ruohui.Chen")</f>
        <v>Ruohui.Chen</v>
      </c>
      <c r="D8280" t="s">
        <v>440</v>
      </c>
      <c r="E8280">
        <v>1</v>
      </c>
    </row>
    <row r="8281" spans="1:5" x14ac:dyDescent="0.25">
      <c r="A8281">
        <v>8280</v>
      </c>
      <c r="B8281">
        <v>6599257</v>
      </c>
      <c r="C8281" s="1" t="str">
        <f>HYPERLINK("http://stackoverflow.com/users/6599257", "ejikuangren")</f>
        <v>ejikuangren</v>
      </c>
      <c r="D8281" t="s">
        <v>7</v>
      </c>
      <c r="E8281">
        <v>1</v>
      </c>
    </row>
    <row r="8282" spans="1:5" x14ac:dyDescent="0.25">
      <c r="A8282">
        <v>8281</v>
      </c>
      <c r="B8282">
        <v>6599568</v>
      </c>
      <c r="C8282" s="1" t="str">
        <f>HYPERLINK("http://stackoverflow.com/users/6599568", "郑聪聪")</f>
        <v>郑聪聪</v>
      </c>
      <c r="D8282" t="s">
        <v>55</v>
      </c>
      <c r="E8282">
        <v>1</v>
      </c>
    </row>
    <row r="8283" spans="1:5" x14ac:dyDescent="0.25">
      <c r="A8283">
        <v>8282</v>
      </c>
      <c r="B8283">
        <v>6599575</v>
      </c>
      <c r="C8283" s="1" t="str">
        <f>HYPERLINK("http://stackoverflow.com/users/6599575", "Ksboy")</f>
        <v>Ksboy</v>
      </c>
      <c r="D8283" t="s">
        <v>19</v>
      </c>
      <c r="E8283">
        <v>1</v>
      </c>
    </row>
    <row r="8284" spans="1:5" x14ac:dyDescent="0.25">
      <c r="A8284">
        <v>8283</v>
      </c>
      <c r="B8284">
        <v>1055139</v>
      </c>
      <c r="C8284" s="1" t="str">
        <f>HYPERLINK("http://stackoverflow.com/users/1055139", "fungo")</f>
        <v>fungo</v>
      </c>
      <c r="D8284" t="s">
        <v>12</v>
      </c>
      <c r="E8284">
        <v>1</v>
      </c>
    </row>
    <row r="8285" spans="1:5" x14ac:dyDescent="0.25">
      <c r="A8285">
        <v>8284</v>
      </c>
      <c r="B8285">
        <v>3053750</v>
      </c>
      <c r="C8285" s="1" t="str">
        <f>HYPERLINK("http://stackoverflow.com/users/3053750", "daniel")</f>
        <v>daniel</v>
      </c>
      <c r="D8285" t="s">
        <v>5</v>
      </c>
      <c r="E8285">
        <v>1</v>
      </c>
    </row>
    <row r="8286" spans="1:5" x14ac:dyDescent="0.25">
      <c r="A8286">
        <v>8285</v>
      </c>
      <c r="B8286">
        <v>1056107</v>
      </c>
      <c r="C8286" s="1" t="str">
        <f>HYPERLINK("http://stackoverflow.com/users/1056107", "Super Li")</f>
        <v>Super Li</v>
      </c>
      <c r="D8286" t="s">
        <v>12</v>
      </c>
      <c r="E8286">
        <v>1</v>
      </c>
    </row>
    <row r="8287" spans="1:5" x14ac:dyDescent="0.25">
      <c r="A8287">
        <v>8286</v>
      </c>
      <c r="B8287">
        <v>10229224</v>
      </c>
      <c r="C8287" s="1" t="str">
        <f>HYPERLINK("http://stackoverflow.com/users/10229224", "Freddy")</f>
        <v>Freddy</v>
      </c>
      <c r="D8287" t="s">
        <v>4</v>
      </c>
      <c r="E8287">
        <v>1</v>
      </c>
    </row>
    <row r="8288" spans="1:5" x14ac:dyDescent="0.25">
      <c r="A8288">
        <v>8287</v>
      </c>
      <c r="B8288">
        <v>3061973</v>
      </c>
      <c r="C8288" s="1" t="str">
        <f>HYPERLINK("http://stackoverflow.com/users/3061973", "winterback")</f>
        <v>winterback</v>
      </c>
      <c r="D8288" t="s">
        <v>5</v>
      </c>
      <c r="E8288">
        <v>1</v>
      </c>
    </row>
    <row r="8289" spans="1:5" x14ac:dyDescent="0.25">
      <c r="A8289">
        <v>8288</v>
      </c>
      <c r="B8289">
        <v>8419983</v>
      </c>
      <c r="C8289" s="1" t="str">
        <f>HYPERLINK("http://stackoverflow.com/users/8419983", "Brithbutter")</f>
        <v>Brithbutter</v>
      </c>
      <c r="D8289" t="s">
        <v>108</v>
      </c>
      <c r="E8289">
        <v>1</v>
      </c>
    </row>
    <row r="8290" spans="1:5" x14ac:dyDescent="0.25">
      <c r="A8290">
        <v>8289</v>
      </c>
      <c r="B8290">
        <v>10233420</v>
      </c>
      <c r="C8290" s="1" t="str">
        <f>HYPERLINK("http://stackoverflow.com/users/10233420", "Beaman")</f>
        <v>Beaman</v>
      </c>
      <c r="D8290" t="s">
        <v>441</v>
      </c>
      <c r="E8290">
        <v>1</v>
      </c>
    </row>
    <row r="8291" spans="1:5" x14ac:dyDescent="0.25">
      <c r="A8291">
        <v>8290</v>
      </c>
      <c r="B8291">
        <v>10233652</v>
      </c>
      <c r="C8291" s="1" t="str">
        <f>HYPERLINK("http://stackoverflow.com/users/10233652", "Migrateur Flamant")</f>
        <v>Migrateur Flamant</v>
      </c>
      <c r="D8291" t="s">
        <v>442</v>
      </c>
      <c r="E8291">
        <v>1</v>
      </c>
    </row>
    <row r="8292" spans="1:5" x14ac:dyDescent="0.25">
      <c r="A8292">
        <v>8291</v>
      </c>
      <c r="B8292">
        <v>10236914</v>
      </c>
      <c r="C8292" s="1" t="str">
        <f>HYPERLINK("http://stackoverflow.com/users/10236914", "razzle Z")</f>
        <v>razzle Z</v>
      </c>
      <c r="D8292" t="s">
        <v>33</v>
      </c>
      <c r="E8292">
        <v>1</v>
      </c>
    </row>
    <row r="8293" spans="1:5" x14ac:dyDescent="0.25">
      <c r="A8293">
        <v>8292</v>
      </c>
      <c r="B8293">
        <v>3054056</v>
      </c>
      <c r="C8293" s="1" t="str">
        <f>HYPERLINK("http://stackoverflow.com/users/3054056", "Tyler Lee")</f>
        <v>Tyler Lee</v>
      </c>
      <c r="D8293" t="s">
        <v>5</v>
      </c>
      <c r="E8293">
        <v>1</v>
      </c>
    </row>
    <row r="8294" spans="1:5" x14ac:dyDescent="0.25">
      <c r="A8294">
        <v>8293</v>
      </c>
      <c r="B8294">
        <v>1061691</v>
      </c>
      <c r="C8294" s="1" t="str">
        <f>HYPERLINK("http://stackoverflow.com/users/1061691", "lichsword")</f>
        <v>lichsword</v>
      </c>
      <c r="D8294" t="s">
        <v>8</v>
      </c>
      <c r="E8294">
        <v>1</v>
      </c>
    </row>
    <row r="8295" spans="1:5" x14ac:dyDescent="0.25">
      <c r="A8295">
        <v>8294</v>
      </c>
      <c r="B8295">
        <v>3054519</v>
      </c>
      <c r="C8295" s="1" t="str">
        <f>HYPERLINK("http://stackoverflow.com/users/3054519", "yehualiu")</f>
        <v>yehualiu</v>
      </c>
      <c r="D8295" t="s">
        <v>22</v>
      </c>
      <c r="E8295">
        <v>1</v>
      </c>
    </row>
    <row r="8296" spans="1:5" x14ac:dyDescent="0.25">
      <c r="A8296">
        <v>8295</v>
      </c>
      <c r="B8296">
        <v>3054698</v>
      </c>
      <c r="C8296" s="1" t="str">
        <f>HYPERLINK("http://stackoverflow.com/users/3054698", "DylanLiang")</f>
        <v>DylanLiang</v>
      </c>
      <c r="D8296" t="s">
        <v>37</v>
      </c>
      <c r="E8296">
        <v>1</v>
      </c>
    </row>
    <row r="8297" spans="1:5" x14ac:dyDescent="0.25">
      <c r="A8297">
        <v>8296</v>
      </c>
      <c r="B8297">
        <v>4872899</v>
      </c>
      <c r="C8297" s="1" t="str">
        <f>HYPERLINK("http://stackoverflow.com/users/4872899", "Jeff")</f>
        <v>Jeff</v>
      </c>
      <c r="D8297" t="s">
        <v>37</v>
      </c>
      <c r="E8297">
        <v>1</v>
      </c>
    </row>
    <row r="8298" spans="1:5" x14ac:dyDescent="0.25">
      <c r="A8298">
        <v>8297</v>
      </c>
      <c r="B8298">
        <v>4872934</v>
      </c>
      <c r="C8298" s="1" t="str">
        <f>HYPERLINK("http://stackoverflow.com/users/4872934", "di jiang")</f>
        <v>di jiang</v>
      </c>
      <c r="D8298" t="s">
        <v>443</v>
      </c>
      <c r="E8298">
        <v>1</v>
      </c>
    </row>
    <row r="8299" spans="1:5" x14ac:dyDescent="0.25">
      <c r="A8299">
        <v>8298</v>
      </c>
      <c r="B8299">
        <v>4872967</v>
      </c>
      <c r="C8299" s="1" t="str">
        <f>HYPERLINK("http://stackoverflow.com/users/4872967", "Billows")</f>
        <v>Billows</v>
      </c>
      <c r="D8299" t="s">
        <v>5</v>
      </c>
      <c r="E8299">
        <v>1</v>
      </c>
    </row>
    <row r="8300" spans="1:5" x14ac:dyDescent="0.25">
      <c r="A8300">
        <v>8299</v>
      </c>
      <c r="B8300">
        <v>4873010</v>
      </c>
      <c r="C8300" s="1" t="str">
        <f>HYPERLINK("http://stackoverflow.com/users/4873010", "Chris.D")</f>
        <v>Chris.D</v>
      </c>
      <c r="D8300" t="s">
        <v>37</v>
      </c>
      <c r="E8300">
        <v>1</v>
      </c>
    </row>
    <row r="8301" spans="1:5" x14ac:dyDescent="0.25">
      <c r="A8301">
        <v>8300</v>
      </c>
      <c r="B8301">
        <v>5119808</v>
      </c>
      <c r="C8301" s="1" t="str">
        <f>HYPERLINK("http://stackoverflow.com/users/5119808", "Hao Ren")</f>
        <v>Hao Ren</v>
      </c>
      <c r="D8301" t="s">
        <v>79</v>
      </c>
      <c r="E8301">
        <v>1</v>
      </c>
    </row>
    <row r="8302" spans="1:5" x14ac:dyDescent="0.25">
      <c r="A8302">
        <v>8301</v>
      </c>
      <c r="B8302">
        <v>1453081</v>
      </c>
      <c r="C8302" s="1" t="str">
        <f>HYPERLINK("http://stackoverflow.com/users/1453081", "ericli1983")</f>
        <v>ericli1983</v>
      </c>
      <c r="D8302" t="s">
        <v>5</v>
      </c>
      <c r="E8302">
        <v>1</v>
      </c>
    </row>
    <row r="8303" spans="1:5" x14ac:dyDescent="0.25">
      <c r="A8303">
        <v>8302</v>
      </c>
      <c r="B8303">
        <v>8696593</v>
      </c>
      <c r="C8303" s="1" t="str">
        <f>HYPERLINK("http://stackoverflow.com/users/8696593", "Chris.")</f>
        <v>Chris.</v>
      </c>
      <c r="D8303" t="s">
        <v>5</v>
      </c>
      <c r="E8303">
        <v>1</v>
      </c>
    </row>
    <row r="8304" spans="1:5" x14ac:dyDescent="0.25">
      <c r="A8304">
        <v>8303</v>
      </c>
      <c r="B8304">
        <v>5131425</v>
      </c>
      <c r="C8304" s="1" t="str">
        <f>HYPERLINK("http://stackoverflow.com/users/5131425", "Vincent Tang")</f>
        <v>Vincent Tang</v>
      </c>
      <c r="D8304" t="s">
        <v>17</v>
      </c>
      <c r="E8304">
        <v>1</v>
      </c>
    </row>
    <row r="8305" spans="1:5" x14ac:dyDescent="0.25">
      <c r="A8305">
        <v>8304</v>
      </c>
      <c r="B8305">
        <v>5131510</v>
      </c>
      <c r="C8305" s="1" t="str">
        <f>HYPERLINK("http://stackoverflow.com/users/5131510", "Jason Yang")</f>
        <v>Jason Yang</v>
      </c>
      <c r="D8305" t="s">
        <v>37</v>
      </c>
      <c r="E8305">
        <v>1</v>
      </c>
    </row>
    <row r="8306" spans="1:5" x14ac:dyDescent="0.25">
      <c r="A8306">
        <v>8305</v>
      </c>
      <c r="B8306">
        <v>5131582</v>
      </c>
      <c r="C8306" s="1" t="str">
        <f>HYPERLINK("http://stackoverflow.com/users/5131582", "xfmax")</f>
        <v>xfmax</v>
      </c>
      <c r="D8306" t="s">
        <v>5</v>
      </c>
      <c r="E8306">
        <v>1</v>
      </c>
    </row>
    <row r="8307" spans="1:5" x14ac:dyDescent="0.25">
      <c r="A8307">
        <v>8306</v>
      </c>
      <c r="B8307">
        <v>1457645</v>
      </c>
      <c r="C8307" s="1" t="str">
        <f>HYPERLINK("http://stackoverflow.com/users/1457645", "IanJiang")</f>
        <v>IanJiang</v>
      </c>
      <c r="D8307" t="s">
        <v>5</v>
      </c>
      <c r="E8307">
        <v>1</v>
      </c>
    </row>
    <row r="8308" spans="1:5" x14ac:dyDescent="0.25">
      <c r="A8308">
        <v>8307</v>
      </c>
      <c r="B8308">
        <v>1457687</v>
      </c>
      <c r="C8308" s="1" t="str">
        <f>HYPERLINK("http://stackoverflow.com/users/1457687", "xtdumpling")</f>
        <v>xtdumpling</v>
      </c>
      <c r="D8308" t="s">
        <v>4</v>
      </c>
      <c r="E8308">
        <v>1</v>
      </c>
    </row>
    <row r="8309" spans="1:5" x14ac:dyDescent="0.25">
      <c r="A8309">
        <v>8308</v>
      </c>
      <c r="B8309">
        <v>1458087</v>
      </c>
      <c r="C8309" s="1" t="str">
        <f>HYPERLINK("http://stackoverflow.com/users/1458087", "davidphper")</f>
        <v>davidphper</v>
      </c>
      <c r="D8309" t="s">
        <v>61</v>
      </c>
      <c r="E8309">
        <v>1</v>
      </c>
    </row>
    <row r="8310" spans="1:5" x14ac:dyDescent="0.25">
      <c r="A8310">
        <v>8309</v>
      </c>
      <c r="B8310">
        <v>1458172</v>
      </c>
      <c r="C8310" s="1" t="str">
        <f>HYPERLINK("http://stackoverflow.com/users/1458172", "SemiHum")</f>
        <v>SemiHum</v>
      </c>
      <c r="D8310" t="s">
        <v>4</v>
      </c>
      <c r="E8310">
        <v>1</v>
      </c>
    </row>
    <row r="8311" spans="1:5" x14ac:dyDescent="0.25">
      <c r="A8311">
        <v>8310</v>
      </c>
      <c r="B8311">
        <v>1458188</v>
      </c>
      <c r="C8311" s="1" t="str">
        <f>HYPERLINK("http://stackoverflow.com/users/1458188", "Raindreams")</f>
        <v>Raindreams</v>
      </c>
      <c r="D8311" t="s">
        <v>444</v>
      </c>
      <c r="E8311">
        <v>1</v>
      </c>
    </row>
    <row r="8312" spans="1:5" x14ac:dyDescent="0.25">
      <c r="A8312">
        <v>8311</v>
      </c>
      <c r="B8312">
        <v>1458264</v>
      </c>
      <c r="C8312" s="1" t="str">
        <f>HYPERLINK("http://stackoverflow.com/users/1458264", "wei gang")</f>
        <v>wei gang</v>
      </c>
      <c r="D8312" t="s">
        <v>4</v>
      </c>
      <c r="E8312">
        <v>1</v>
      </c>
    </row>
    <row r="8313" spans="1:5" x14ac:dyDescent="0.25">
      <c r="A8313">
        <v>8312</v>
      </c>
      <c r="B8313">
        <v>1458338</v>
      </c>
      <c r="C8313" s="1" t="str">
        <f>HYPERLINK("http://stackoverflow.com/users/1458338", "zhuhp")</f>
        <v>zhuhp</v>
      </c>
      <c r="D8313" t="s">
        <v>5</v>
      </c>
      <c r="E8313">
        <v>1</v>
      </c>
    </row>
    <row r="8314" spans="1:5" x14ac:dyDescent="0.25">
      <c r="A8314">
        <v>8313</v>
      </c>
      <c r="B8314">
        <v>5127345</v>
      </c>
      <c r="C8314" s="1" t="str">
        <f>HYPERLINK("http://stackoverflow.com/users/5127345", "cesmoon")</f>
        <v>cesmoon</v>
      </c>
      <c r="D8314" t="s">
        <v>22</v>
      </c>
      <c r="E8314">
        <v>1</v>
      </c>
    </row>
    <row r="8315" spans="1:5" x14ac:dyDescent="0.25">
      <c r="A8315">
        <v>8314</v>
      </c>
      <c r="B8315">
        <v>10504968</v>
      </c>
      <c r="C8315" s="1" t="str">
        <f>HYPERLINK("http://stackoverflow.com/users/10504968", "Howie Won")</f>
        <v>Howie Won</v>
      </c>
      <c r="D8315" t="s">
        <v>118</v>
      </c>
      <c r="E8315">
        <v>1</v>
      </c>
    </row>
    <row r="8316" spans="1:5" x14ac:dyDescent="0.25">
      <c r="A8316">
        <v>8315</v>
      </c>
      <c r="B8316">
        <v>10505015</v>
      </c>
      <c r="C8316" s="1" t="str">
        <f>HYPERLINK("http://stackoverflow.com/users/10505015", "June")</f>
        <v>June</v>
      </c>
      <c r="D8316" t="s">
        <v>5</v>
      </c>
      <c r="E8316">
        <v>1</v>
      </c>
    </row>
    <row r="8317" spans="1:5" x14ac:dyDescent="0.25">
      <c r="A8317">
        <v>8316</v>
      </c>
      <c r="B8317">
        <v>10505021</v>
      </c>
      <c r="C8317" s="1" t="str">
        <f>HYPERLINK("http://stackoverflow.com/users/10505021", "Feiwuu Zheng")</f>
        <v>Feiwuu Zheng</v>
      </c>
      <c r="D8317" t="s">
        <v>5</v>
      </c>
      <c r="E8317">
        <v>1</v>
      </c>
    </row>
    <row r="8318" spans="1:5" x14ac:dyDescent="0.25">
      <c r="A8318">
        <v>8317</v>
      </c>
      <c r="B8318">
        <v>10505135</v>
      </c>
      <c r="C8318" s="1" t="str">
        <f>HYPERLINK("http://stackoverflow.com/users/10505135", "zhaoxinliu")</f>
        <v>zhaoxinliu</v>
      </c>
      <c r="D8318" t="s">
        <v>5</v>
      </c>
      <c r="E8318">
        <v>1</v>
      </c>
    </row>
    <row r="8319" spans="1:5" x14ac:dyDescent="0.25">
      <c r="A8319">
        <v>8318</v>
      </c>
      <c r="B8319">
        <v>10505434</v>
      </c>
      <c r="C8319" s="1" t="str">
        <f>HYPERLINK("http://stackoverflow.com/users/10505434", "Work Panda")</f>
        <v>Work Panda</v>
      </c>
      <c r="D8319" t="s">
        <v>33</v>
      </c>
      <c r="E8319">
        <v>1</v>
      </c>
    </row>
    <row r="8320" spans="1:5" x14ac:dyDescent="0.25">
      <c r="A8320">
        <v>8319</v>
      </c>
      <c r="B8320">
        <v>10505618</v>
      </c>
      <c r="C8320" s="1" t="str">
        <f>HYPERLINK("http://stackoverflow.com/users/10505618", "ty cai")</f>
        <v>ty cai</v>
      </c>
      <c r="D8320" t="s">
        <v>445</v>
      </c>
      <c r="E8320">
        <v>1</v>
      </c>
    </row>
    <row r="8321" spans="1:5" x14ac:dyDescent="0.25">
      <c r="A8321">
        <v>8320</v>
      </c>
      <c r="B8321">
        <v>10505688</v>
      </c>
      <c r="C8321" s="1" t="str">
        <f>HYPERLINK("http://stackoverflow.com/users/10505688", "刘佩瑶")</f>
        <v>刘佩瑶</v>
      </c>
      <c r="D8321" t="s">
        <v>5</v>
      </c>
      <c r="E8321">
        <v>1</v>
      </c>
    </row>
    <row r="8322" spans="1:5" x14ac:dyDescent="0.25">
      <c r="A8322">
        <v>8321</v>
      </c>
      <c r="B8322">
        <v>3319249</v>
      </c>
      <c r="C8322" s="1" t="str">
        <f>HYPERLINK("http://stackoverflow.com/users/3319249", "andyzyy")</f>
        <v>andyzyy</v>
      </c>
      <c r="D8322" t="s">
        <v>5</v>
      </c>
      <c r="E8322">
        <v>1</v>
      </c>
    </row>
    <row r="8323" spans="1:5" x14ac:dyDescent="0.25">
      <c r="A8323">
        <v>8322</v>
      </c>
      <c r="B8323">
        <v>6851191</v>
      </c>
      <c r="C8323" s="1" t="str">
        <f>HYPERLINK("http://stackoverflow.com/users/6851191", "codersm")</f>
        <v>codersm</v>
      </c>
      <c r="D8323" t="s">
        <v>12</v>
      </c>
      <c r="E8323">
        <v>1</v>
      </c>
    </row>
    <row r="8324" spans="1:5" x14ac:dyDescent="0.25">
      <c r="A8324">
        <v>8323</v>
      </c>
      <c r="B8324">
        <v>6851204</v>
      </c>
      <c r="C8324" s="1" t="str">
        <f>HYPERLINK("http://stackoverflow.com/users/6851204", "ShaoLi_ly")</f>
        <v>ShaoLi_ly</v>
      </c>
      <c r="D8324" t="s">
        <v>407</v>
      </c>
      <c r="E8324">
        <v>1</v>
      </c>
    </row>
    <row r="8325" spans="1:5" x14ac:dyDescent="0.25">
      <c r="A8325">
        <v>8324</v>
      </c>
      <c r="B8325">
        <v>6851209</v>
      </c>
      <c r="C8325" s="1" t="str">
        <f>HYPERLINK("http://stackoverflow.com/users/6851209", "Mojoo")</f>
        <v>Mojoo</v>
      </c>
      <c r="D8325" t="s">
        <v>4</v>
      </c>
      <c r="E8325">
        <v>1</v>
      </c>
    </row>
    <row r="8326" spans="1:5" x14ac:dyDescent="0.25">
      <c r="A8326">
        <v>8325</v>
      </c>
      <c r="B8326">
        <v>1439527</v>
      </c>
      <c r="C8326" s="1" t="str">
        <f>HYPERLINK("http://stackoverflow.com/users/1439527", "Bin Wang")</f>
        <v>Bin Wang</v>
      </c>
      <c r="D8326" t="s">
        <v>5</v>
      </c>
      <c r="E8326">
        <v>1</v>
      </c>
    </row>
    <row r="8327" spans="1:5" x14ac:dyDescent="0.25">
      <c r="A8327">
        <v>8326</v>
      </c>
      <c r="B8327">
        <v>8687546</v>
      </c>
      <c r="C8327" s="1" t="str">
        <f>HYPERLINK("http://stackoverflow.com/users/8687546", "鄂得俊")</f>
        <v>鄂得俊</v>
      </c>
      <c r="D8327" t="s">
        <v>367</v>
      </c>
      <c r="E8327">
        <v>1</v>
      </c>
    </row>
    <row r="8328" spans="1:5" x14ac:dyDescent="0.25">
      <c r="A8328">
        <v>8327</v>
      </c>
      <c r="B8328">
        <v>8687720</v>
      </c>
      <c r="C8328" s="1" t="str">
        <f>HYPERLINK("http://stackoverflow.com/users/8687720", "Chris Cao")</f>
        <v>Chris Cao</v>
      </c>
      <c r="D8328" t="s">
        <v>16</v>
      </c>
      <c r="E8328">
        <v>1</v>
      </c>
    </row>
    <row r="8329" spans="1:5" x14ac:dyDescent="0.25">
      <c r="A8329">
        <v>8328</v>
      </c>
      <c r="B8329">
        <v>10501214</v>
      </c>
      <c r="C8329" s="1" t="str">
        <f>HYPERLINK("http://stackoverflow.com/users/10501214", "MichaelMa")</f>
        <v>MichaelMa</v>
      </c>
      <c r="D8329" t="s">
        <v>5</v>
      </c>
      <c r="E8329">
        <v>1</v>
      </c>
    </row>
    <row r="8330" spans="1:5" x14ac:dyDescent="0.25">
      <c r="A8330">
        <v>8329</v>
      </c>
      <c r="B8330">
        <v>10482996</v>
      </c>
      <c r="C8330" s="1" t="str">
        <f>HYPERLINK("http://stackoverflow.com/users/10482996", "年轻的阿甘")</f>
        <v>年轻的阿甘</v>
      </c>
      <c r="D8330" t="s">
        <v>5</v>
      </c>
      <c r="E8330">
        <v>1</v>
      </c>
    </row>
    <row r="8331" spans="1:5" x14ac:dyDescent="0.25">
      <c r="A8331">
        <v>8330</v>
      </c>
      <c r="B8331">
        <v>10483384</v>
      </c>
      <c r="C8331" s="1" t="str">
        <f>HYPERLINK("http://stackoverflow.com/users/10483384", "Yaqiong")</f>
        <v>Yaqiong</v>
      </c>
      <c r="D8331" t="s">
        <v>5</v>
      </c>
      <c r="E8331">
        <v>1</v>
      </c>
    </row>
    <row r="8332" spans="1:5" x14ac:dyDescent="0.25">
      <c r="A8332">
        <v>8331</v>
      </c>
      <c r="B8332">
        <v>8661552</v>
      </c>
      <c r="C8332" s="1" t="str">
        <f>HYPERLINK("http://stackoverflow.com/users/8661552", "itabas")</f>
        <v>itabas</v>
      </c>
      <c r="D8332" t="s">
        <v>4</v>
      </c>
      <c r="E8332">
        <v>1</v>
      </c>
    </row>
    <row r="8333" spans="1:5" x14ac:dyDescent="0.25">
      <c r="A8333">
        <v>8332</v>
      </c>
      <c r="B8333">
        <v>10474500</v>
      </c>
      <c r="C8333" s="1" t="str">
        <f>HYPERLINK("http://stackoverflow.com/users/10474500", "Chuckie H")</f>
        <v>Chuckie H</v>
      </c>
      <c r="D8333" t="s">
        <v>7</v>
      </c>
      <c r="E8333">
        <v>1</v>
      </c>
    </row>
    <row r="8334" spans="1:5" x14ac:dyDescent="0.25">
      <c r="A8334">
        <v>8333</v>
      </c>
      <c r="B8334">
        <v>3291177</v>
      </c>
      <c r="C8334" s="1" t="str">
        <f>HYPERLINK("http://stackoverflow.com/users/3291177", "imisslovelove")</f>
        <v>imisslovelove</v>
      </c>
      <c r="D8334" t="s">
        <v>4</v>
      </c>
      <c r="E8334">
        <v>1</v>
      </c>
    </row>
    <row r="8335" spans="1:5" x14ac:dyDescent="0.25">
      <c r="A8335">
        <v>8334</v>
      </c>
      <c r="B8335">
        <v>3291197</v>
      </c>
      <c r="C8335" s="1" t="str">
        <f>HYPERLINK("http://stackoverflow.com/users/3291197", "Amoyi")</f>
        <v>Amoyi</v>
      </c>
      <c r="D8335" t="s">
        <v>38</v>
      </c>
      <c r="E8335">
        <v>1</v>
      </c>
    </row>
    <row r="8336" spans="1:5" x14ac:dyDescent="0.25">
      <c r="A8336">
        <v>8335</v>
      </c>
      <c r="B8336">
        <v>3291317</v>
      </c>
      <c r="C8336" s="1" t="str">
        <f>HYPERLINK("http://stackoverflow.com/users/3291317", "Louis Chow")</f>
        <v>Louis Chow</v>
      </c>
      <c r="D8336" t="s">
        <v>21</v>
      </c>
      <c r="E8336">
        <v>1</v>
      </c>
    </row>
    <row r="8337" spans="1:5" x14ac:dyDescent="0.25">
      <c r="A8337">
        <v>8336</v>
      </c>
      <c r="B8337">
        <v>3291937</v>
      </c>
      <c r="C8337" s="1" t="str">
        <f>HYPERLINK("http://stackoverflow.com/users/3291937", "tiger")</f>
        <v>tiger</v>
      </c>
      <c r="D8337" t="s">
        <v>17</v>
      </c>
      <c r="E8337">
        <v>1</v>
      </c>
    </row>
    <row r="8338" spans="1:5" x14ac:dyDescent="0.25">
      <c r="A8338">
        <v>8337</v>
      </c>
      <c r="B8338">
        <v>1424973</v>
      </c>
      <c r="C8338" s="1" t="str">
        <f>HYPERLINK("http://stackoverflow.com/users/1424973", "xf1980")</f>
        <v>xf1980</v>
      </c>
      <c r="D8338" t="s">
        <v>12</v>
      </c>
      <c r="E8338">
        <v>1</v>
      </c>
    </row>
    <row r="8339" spans="1:5" x14ac:dyDescent="0.25">
      <c r="A8339">
        <v>8338</v>
      </c>
      <c r="B8339">
        <v>1425005</v>
      </c>
      <c r="C8339" s="1" t="str">
        <f>HYPERLINK("http://stackoverflow.com/users/1425005", "Millson")</f>
        <v>Millson</v>
      </c>
      <c r="D8339" t="s">
        <v>37</v>
      </c>
      <c r="E8339">
        <v>1</v>
      </c>
    </row>
    <row r="8340" spans="1:5" x14ac:dyDescent="0.25">
      <c r="A8340">
        <v>8339</v>
      </c>
      <c r="B8340">
        <v>1425297</v>
      </c>
      <c r="C8340" s="1" t="str">
        <f>HYPERLINK("http://stackoverflow.com/users/1425297", "pi1ot")</f>
        <v>pi1ot</v>
      </c>
      <c r="D8340" t="s">
        <v>5</v>
      </c>
      <c r="E8340">
        <v>1</v>
      </c>
    </row>
    <row r="8341" spans="1:5" x14ac:dyDescent="0.25">
      <c r="A8341">
        <v>8340</v>
      </c>
      <c r="B8341">
        <v>1425315</v>
      </c>
      <c r="C8341" s="1" t="str">
        <f>HYPERLINK("http://stackoverflow.com/users/1425315", "Tao Lee")</f>
        <v>Tao Lee</v>
      </c>
      <c r="D8341" t="s">
        <v>5</v>
      </c>
      <c r="E8341">
        <v>1</v>
      </c>
    </row>
    <row r="8342" spans="1:5" x14ac:dyDescent="0.25">
      <c r="A8342">
        <v>8341</v>
      </c>
      <c r="B8342">
        <v>8675783</v>
      </c>
      <c r="C8342" s="1" t="str">
        <f>HYPERLINK("http://stackoverflow.com/users/8675783", "Lucifer.YU")</f>
        <v>Lucifer.YU</v>
      </c>
      <c r="D8342" t="s">
        <v>5</v>
      </c>
      <c r="E8342">
        <v>1</v>
      </c>
    </row>
    <row r="8343" spans="1:5" x14ac:dyDescent="0.25">
      <c r="A8343">
        <v>8342</v>
      </c>
      <c r="B8343">
        <v>10492568</v>
      </c>
      <c r="C8343" s="1" t="str">
        <f>HYPERLINK("http://stackoverflow.com/users/10492568", "zhili guo")</f>
        <v>zhili guo</v>
      </c>
      <c r="D8343" t="s">
        <v>5</v>
      </c>
      <c r="E8343">
        <v>1</v>
      </c>
    </row>
    <row r="8344" spans="1:5" x14ac:dyDescent="0.25">
      <c r="A8344">
        <v>8343</v>
      </c>
      <c r="B8344">
        <v>10492639</v>
      </c>
      <c r="C8344" s="1" t="str">
        <f>HYPERLINK("http://stackoverflow.com/users/10492639", "Yin Hu")</f>
        <v>Yin Hu</v>
      </c>
      <c r="D8344" t="s">
        <v>5</v>
      </c>
      <c r="E8344">
        <v>1</v>
      </c>
    </row>
    <row r="8345" spans="1:5" x14ac:dyDescent="0.25">
      <c r="A8345">
        <v>8344</v>
      </c>
      <c r="B8345">
        <v>10492728</v>
      </c>
      <c r="C8345" s="1" t="str">
        <f>HYPERLINK("http://stackoverflow.com/users/10492728", "HongZhu.W")</f>
        <v>HongZhu.W</v>
      </c>
      <c r="D8345" t="s">
        <v>5</v>
      </c>
      <c r="E8345">
        <v>1</v>
      </c>
    </row>
    <row r="8346" spans="1:5" x14ac:dyDescent="0.25">
      <c r="A8346">
        <v>8345</v>
      </c>
      <c r="B8346">
        <v>8683446</v>
      </c>
      <c r="C8346" s="1" t="str">
        <f>HYPERLINK("http://stackoverflow.com/users/8683446", "Qi Yan")</f>
        <v>Qi Yan</v>
      </c>
      <c r="D8346" t="s">
        <v>4</v>
      </c>
      <c r="E8346">
        <v>1</v>
      </c>
    </row>
    <row r="8347" spans="1:5" x14ac:dyDescent="0.25">
      <c r="A8347">
        <v>8346</v>
      </c>
      <c r="B8347">
        <v>1438765</v>
      </c>
      <c r="C8347" s="1" t="str">
        <f>HYPERLINK("http://stackoverflow.com/users/1438765", "Rubik")</f>
        <v>Rubik</v>
      </c>
      <c r="D8347" t="s">
        <v>5</v>
      </c>
      <c r="E8347">
        <v>1</v>
      </c>
    </row>
    <row r="8348" spans="1:5" x14ac:dyDescent="0.25">
      <c r="A8348">
        <v>8347</v>
      </c>
      <c r="B8348">
        <v>1438818</v>
      </c>
      <c r="C8348" s="1" t="str">
        <f>HYPERLINK("http://stackoverflow.com/users/1438818", "ftwcpc")</f>
        <v>ftwcpc</v>
      </c>
      <c r="D8348" t="s">
        <v>5</v>
      </c>
      <c r="E8348">
        <v>1</v>
      </c>
    </row>
    <row r="8349" spans="1:5" x14ac:dyDescent="0.25">
      <c r="A8349">
        <v>8348</v>
      </c>
      <c r="B8349">
        <v>10483629</v>
      </c>
      <c r="C8349" s="1" t="str">
        <f>HYPERLINK("http://stackoverflow.com/users/10483629", "jack wang")</f>
        <v>jack wang</v>
      </c>
      <c r="D8349" t="s">
        <v>4</v>
      </c>
      <c r="E8349">
        <v>1</v>
      </c>
    </row>
    <row r="8350" spans="1:5" x14ac:dyDescent="0.25">
      <c r="A8350">
        <v>8349</v>
      </c>
      <c r="B8350">
        <v>10483867</v>
      </c>
      <c r="C8350" s="1" t="str">
        <f>HYPERLINK("http://stackoverflow.com/users/10483867", "srpatron")</f>
        <v>srpatron</v>
      </c>
      <c r="D8350" t="s">
        <v>16</v>
      </c>
      <c r="E8350">
        <v>1</v>
      </c>
    </row>
    <row r="8351" spans="1:5" x14ac:dyDescent="0.25">
      <c r="A8351">
        <v>8350</v>
      </c>
      <c r="B8351">
        <v>10484048</v>
      </c>
      <c r="C8351" s="1" t="str">
        <f>HYPERLINK("http://stackoverflow.com/users/10484048", "user10484048")</f>
        <v>user10484048</v>
      </c>
      <c r="D8351" t="s">
        <v>29</v>
      </c>
      <c r="E8351">
        <v>1</v>
      </c>
    </row>
    <row r="8352" spans="1:5" x14ac:dyDescent="0.25">
      <c r="A8352">
        <v>8351</v>
      </c>
      <c r="B8352">
        <v>3299240</v>
      </c>
      <c r="C8352" s="1" t="str">
        <f>HYPERLINK("http://stackoverflow.com/users/3299240", "user3299240")</f>
        <v>user3299240</v>
      </c>
      <c r="D8352" t="s">
        <v>8</v>
      </c>
      <c r="E8352">
        <v>1</v>
      </c>
    </row>
    <row r="8353" spans="1:5" x14ac:dyDescent="0.25">
      <c r="A8353">
        <v>8352</v>
      </c>
      <c r="B8353">
        <v>5111829</v>
      </c>
      <c r="C8353" s="1" t="str">
        <f>HYPERLINK("http://stackoverflow.com/users/5111829", "Sunny Rao")</f>
        <v>Sunny Rao</v>
      </c>
      <c r="D8353" t="s">
        <v>8</v>
      </c>
      <c r="E8353">
        <v>1</v>
      </c>
    </row>
    <row r="8354" spans="1:5" x14ac:dyDescent="0.25">
      <c r="A8354">
        <v>8353</v>
      </c>
      <c r="B8354">
        <v>8675079</v>
      </c>
      <c r="C8354" s="1" t="str">
        <f>HYPERLINK("http://stackoverflow.com/users/8675079", "user8675079")</f>
        <v>user8675079</v>
      </c>
      <c r="D8354" t="s">
        <v>5</v>
      </c>
      <c r="E8354">
        <v>1</v>
      </c>
    </row>
    <row r="8355" spans="1:5" x14ac:dyDescent="0.25">
      <c r="A8355">
        <v>8354</v>
      </c>
      <c r="B8355">
        <v>8675163</v>
      </c>
      <c r="C8355" s="1" t="str">
        <f>HYPERLINK("http://stackoverflow.com/users/8675163", "Winter")</f>
        <v>Winter</v>
      </c>
      <c r="D8355" t="s">
        <v>446</v>
      </c>
      <c r="E8355">
        <v>1</v>
      </c>
    </row>
    <row r="8356" spans="1:5" x14ac:dyDescent="0.25">
      <c r="A8356">
        <v>8355</v>
      </c>
      <c r="B8356">
        <v>8675283</v>
      </c>
      <c r="C8356" s="1" t="str">
        <f>HYPERLINK("http://stackoverflow.com/users/8675283", "ZhangJian")</f>
        <v>ZhangJian</v>
      </c>
      <c r="D8356" t="s">
        <v>5</v>
      </c>
      <c r="E8356">
        <v>1</v>
      </c>
    </row>
    <row r="8357" spans="1:5" x14ac:dyDescent="0.25">
      <c r="A8357">
        <v>8356</v>
      </c>
      <c r="B8357">
        <v>10429072</v>
      </c>
      <c r="C8357" s="1" t="str">
        <f>HYPERLINK("http://stackoverflow.com/users/10429072", "Jiadong Li")</f>
        <v>Jiadong Li</v>
      </c>
      <c r="D8357" t="s">
        <v>5</v>
      </c>
      <c r="E8357">
        <v>1</v>
      </c>
    </row>
    <row r="8358" spans="1:5" x14ac:dyDescent="0.25">
      <c r="A8358">
        <v>8357</v>
      </c>
      <c r="B8358">
        <v>6778862</v>
      </c>
      <c r="C8358" s="1" t="str">
        <f>HYPERLINK("http://stackoverflow.com/users/6778862", "Allen Wang")</f>
        <v>Allen Wang</v>
      </c>
      <c r="D8358" t="s">
        <v>4</v>
      </c>
      <c r="E8358">
        <v>1</v>
      </c>
    </row>
    <row r="8359" spans="1:5" x14ac:dyDescent="0.25">
      <c r="A8359">
        <v>8358</v>
      </c>
      <c r="B8359">
        <v>5055760</v>
      </c>
      <c r="C8359" s="1" t="str">
        <f>HYPERLINK("http://stackoverflow.com/users/5055760", "Sakula Xiong")</f>
        <v>Sakula Xiong</v>
      </c>
      <c r="D8359" t="s">
        <v>4</v>
      </c>
      <c r="E8359">
        <v>1</v>
      </c>
    </row>
    <row r="8360" spans="1:5" x14ac:dyDescent="0.25">
      <c r="A8360">
        <v>8359</v>
      </c>
      <c r="B8360">
        <v>1353180</v>
      </c>
      <c r="C8360" s="1" t="str">
        <f>HYPERLINK("http://stackoverflow.com/users/1353180", "user1353180")</f>
        <v>user1353180</v>
      </c>
      <c r="D8360" t="s">
        <v>5</v>
      </c>
      <c r="E8360">
        <v>1</v>
      </c>
    </row>
    <row r="8361" spans="1:5" x14ac:dyDescent="0.25">
      <c r="A8361">
        <v>8360</v>
      </c>
      <c r="B8361">
        <v>1353348</v>
      </c>
      <c r="C8361" s="1" t="str">
        <f>HYPERLINK("http://stackoverflow.com/users/1353348", "MonteCarlo")</f>
        <v>MonteCarlo</v>
      </c>
      <c r="D8361" t="s">
        <v>3</v>
      </c>
      <c r="E8361">
        <v>1</v>
      </c>
    </row>
    <row r="8362" spans="1:5" x14ac:dyDescent="0.25">
      <c r="A8362">
        <v>8361</v>
      </c>
      <c r="B8362">
        <v>1354220</v>
      </c>
      <c r="C8362" s="1" t="str">
        <f>HYPERLINK("http://stackoverflow.com/users/1354220", "micah.shi")</f>
        <v>micah.shi</v>
      </c>
      <c r="D8362" t="s">
        <v>12</v>
      </c>
      <c r="E8362">
        <v>1</v>
      </c>
    </row>
    <row r="8363" spans="1:5" x14ac:dyDescent="0.25">
      <c r="A8363">
        <v>8362</v>
      </c>
      <c r="B8363">
        <v>1362314</v>
      </c>
      <c r="C8363" s="1" t="str">
        <f>HYPERLINK("http://stackoverflow.com/users/1362314", "Xsank")</f>
        <v>Xsank</v>
      </c>
      <c r="D8363" t="s">
        <v>5</v>
      </c>
      <c r="E8363">
        <v>1</v>
      </c>
    </row>
    <row r="8364" spans="1:5" x14ac:dyDescent="0.25">
      <c r="A8364">
        <v>8363</v>
      </c>
      <c r="B8364">
        <v>1362830</v>
      </c>
      <c r="C8364" s="1" t="str">
        <f>HYPERLINK("http://stackoverflow.com/users/1362830", "Ramzi")</f>
        <v>Ramzi</v>
      </c>
      <c r="D8364" t="s">
        <v>4</v>
      </c>
      <c r="E8364">
        <v>1</v>
      </c>
    </row>
    <row r="8365" spans="1:5" x14ac:dyDescent="0.25">
      <c r="A8365">
        <v>8364</v>
      </c>
      <c r="B8365">
        <v>5069428</v>
      </c>
      <c r="C8365" s="1" t="str">
        <f>HYPERLINK("http://stackoverflow.com/users/5069428", "unbirdlikebird")</f>
        <v>unbirdlikebird</v>
      </c>
      <c r="D8365" t="s">
        <v>35</v>
      </c>
      <c r="E8365">
        <v>1</v>
      </c>
    </row>
    <row r="8366" spans="1:5" x14ac:dyDescent="0.25">
      <c r="A8366">
        <v>8365</v>
      </c>
      <c r="B8366">
        <v>1385842</v>
      </c>
      <c r="C8366" s="1" t="str">
        <f>HYPERLINK("http://stackoverflow.com/users/1385842", "leeveenee")</f>
        <v>leeveenee</v>
      </c>
      <c r="D8366" t="s">
        <v>5</v>
      </c>
      <c r="E8366">
        <v>1</v>
      </c>
    </row>
    <row r="8367" spans="1:5" x14ac:dyDescent="0.25">
      <c r="A8367">
        <v>8366</v>
      </c>
      <c r="B8367">
        <v>1386035</v>
      </c>
      <c r="C8367" s="1" t="str">
        <f>HYPERLINK("http://stackoverflow.com/users/1386035", "Gary")</f>
        <v>Gary</v>
      </c>
      <c r="D8367" t="s">
        <v>4</v>
      </c>
      <c r="E8367">
        <v>1</v>
      </c>
    </row>
    <row r="8368" spans="1:5" x14ac:dyDescent="0.25">
      <c r="A8368">
        <v>8367</v>
      </c>
      <c r="B8368">
        <v>8632701</v>
      </c>
      <c r="C8368" s="1" t="str">
        <f>HYPERLINK("http://stackoverflow.com/users/8632701", "贾培超")</f>
        <v>贾培超</v>
      </c>
      <c r="D8368" t="s">
        <v>5</v>
      </c>
      <c r="E8368">
        <v>1</v>
      </c>
    </row>
    <row r="8369" spans="1:5" x14ac:dyDescent="0.25">
      <c r="A8369">
        <v>8368</v>
      </c>
      <c r="B8369">
        <v>8632973</v>
      </c>
      <c r="C8369" s="1" t="str">
        <f>HYPERLINK("http://stackoverflow.com/users/8632973", "Qinwen")</f>
        <v>Qinwen</v>
      </c>
      <c r="D8369" t="s">
        <v>4</v>
      </c>
      <c r="E8369">
        <v>1</v>
      </c>
    </row>
    <row r="8370" spans="1:5" x14ac:dyDescent="0.25">
      <c r="A8370">
        <v>8369</v>
      </c>
      <c r="B8370">
        <v>8633507</v>
      </c>
      <c r="C8370" s="1" t="str">
        <f>HYPERLINK("http://stackoverflow.com/users/8633507", "张坤楠")</f>
        <v>张坤楠</v>
      </c>
      <c r="D8370" t="s">
        <v>29</v>
      </c>
      <c r="E8370">
        <v>1</v>
      </c>
    </row>
    <row r="8371" spans="1:5" x14ac:dyDescent="0.25">
      <c r="A8371">
        <v>8370</v>
      </c>
      <c r="B8371">
        <v>10433354</v>
      </c>
      <c r="C8371" s="1" t="str">
        <f>HYPERLINK("http://stackoverflow.com/users/10433354", "bingkun li")</f>
        <v>bingkun li</v>
      </c>
      <c r="D8371" t="s">
        <v>7</v>
      </c>
      <c r="E8371">
        <v>1</v>
      </c>
    </row>
    <row r="8372" spans="1:5" x14ac:dyDescent="0.25">
      <c r="A8372">
        <v>8371</v>
      </c>
      <c r="B8372">
        <v>8620767</v>
      </c>
      <c r="C8372" s="1" t="str">
        <f>HYPERLINK("http://stackoverflow.com/users/8620767", "cristianadam")</f>
        <v>cristianadam</v>
      </c>
      <c r="D8372" t="s">
        <v>5</v>
      </c>
      <c r="E8372">
        <v>1</v>
      </c>
    </row>
    <row r="8373" spans="1:5" x14ac:dyDescent="0.25">
      <c r="A8373">
        <v>8372</v>
      </c>
      <c r="B8373">
        <v>8619597</v>
      </c>
      <c r="C8373" s="1" t="str">
        <f>HYPERLINK("http://stackoverflow.com/users/8619597", "林海城")</f>
        <v>林海城</v>
      </c>
      <c r="D8373" t="s">
        <v>447</v>
      </c>
      <c r="E8373">
        <v>1</v>
      </c>
    </row>
    <row r="8374" spans="1:5" x14ac:dyDescent="0.25">
      <c r="A8374">
        <v>8373</v>
      </c>
      <c r="B8374">
        <v>5059637</v>
      </c>
      <c r="C8374" s="1" t="str">
        <f>HYPERLINK("http://stackoverflow.com/users/5059637", "ericwen229")</f>
        <v>ericwen229</v>
      </c>
      <c r="D8374" t="s">
        <v>448</v>
      </c>
      <c r="E8374">
        <v>1</v>
      </c>
    </row>
    <row r="8375" spans="1:5" x14ac:dyDescent="0.25">
      <c r="A8375">
        <v>8374</v>
      </c>
      <c r="B8375">
        <v>6802822</v>
      </c>
      <c r="C8375" s="1" t="str">
        <f>HYPERLINK("http://stackoverflow.com/users/6802822", "YQ.Huang")</f>
        <v>YQ.Huang</v>
      </c>
      <c r="D8375" t="s">
        <v>5</v>
      </c>
      <c r="E8375">
        <v>1</v>
      </c>
    </row>
    <row r="8376" spans="1:5" x14ac:dyDescent="0.25">
      <c r="A8376">
        <v>8375</v>
      </c>
      <c r="B8376">
        <v>10455136</v>
      </c>
      <c r="C8376" s="1" t="str">
        <f>HYPERLINK("http://stackoverflow.com/users/10455136", "user10455136")</f>
        <v>user10455136</v>
      </c>
      <c r="D8376" t="s">
        <v>4</v>
      </c>
      <c r="E8376">
        <v>1</v>
      </c>
    </row>
    <row r="8377" spans="1:5" x14ac:dyDescent="0.25">
      <c r="A8377">
        <v>8376</v>
      </c>
      <c r="B8377">
        <v>5087675</v>
      </c>
      <c r="C8377" s="1" t="str">
        <f>HYPERLINK("http://stackoverflow.com/users/5087675", "黄成达")</f>
        <v>黄成达</v>
      </c>
      <c r="D8377" t="s">
        <v>22</v>
      </c>
      <c r="E8377">
        <v>1</v>
      </c>
    </row>
    <row r="8378" spans="1:5" x14ac:dyDescent="0.25">
      <c r="A8378">
        <v>8377</v>
      </c>
      <c r="B8378">
        <v>5084122</v>
      </c>
      <c r="C8378" s="1" t="str">
        <f>HYPERLINK("http://stackoverflow.com/users/5084122", "Henry Zhang")</f>
        <v>Henry Zhang</v>
      </c>
      <c r="D8378" t="s">
        <v>4</v>
      </c>
      <c r="E8378">
        <v>1</v>
      </c>
    </row>
    <row r="8379" spans="1:5" x14ac:dyDescent="0.25">
      <c r="A8379">
        <v>8378</v>
      </c>
      <c r="B8379">
        <v>5084298</v>
      </c>
      <c r="C8379" s="1" t="str">
        <f>HYPERLINK("http://stackoverflow.com/users/5084298", "chaojiang")</f>
        <v>chaojiang</v>
      </c>
      <c r="D8379" t="s">
        <v>21</v>
      </c>
      <c r="E8379">
        <v>1</v>
      </c>
    </row>
    <row r="8380" spans="1:5" x14ac:dyDescent="0.25">
      <c r="A8380">
        <v>8379</v>
      </c>
      <c r="B8380">
        <v>5084364</v>
      </c>
      <c r="C8380" s="1" t="str">
        <f>HYPERLINK("http://stackoverflow.com/users/5084364", "Yinan You")</f>
        <v>Yinan You</v>
      </c>
      <c r="D8380" t="s">
        <v>4</v>
      </c>
      <c r="E8380">
        <v>1</v>
      </c>
    </row>
    <row r="8381" spans="1:5" x14ac:dyDescent="0.25">
      <c r="A8381">
        <v>8380</v>
      </c>
      <c r="B8381">
        <v>6806004</v>
      </c>
      <c r="C8381" s="1" t="str">
        <f>HYPERLINK("http://stackoverflow.com/users/6806004", "jin yingmin")</f>
        <v>jin yingmin</v>
      </c>
      <c r="D8381" t="s">
        <v>320</v>
      </c>
      <c r="E8381">
        <v>1</v>
      </c>
    </row>
    <row r="8382" spans="1:5" x14ac:dyDescent="0.25">
      <c r="A8382">
        <v>8381</v>
      </c>
      <c r="B8382">
        <v>8646457</v>
      </c>
      <c r="C8382" s="1" t="str">
        <f>HYPERLINK("http://stackoverflow.com/users/8646457", "Wells")</f>
        <v>Wells</v>
      </c>
      <c r="D8382" t="s">
        <v>21</v>
      </c>
      <c r="E8382">
        <v>1</v>
      </c>
    </row>
    <row r="8383" spans="1:5" x14ac:dyDescent="0.25">
      <c r="A8383">
        <v>8382</v>
      </c>
      <c r="B8383">
        <v>5087491</v>
      </c>
      <c r="C8383" s="1" t="str">
        <f>HYPERLINK("http://stackoverflow.com/users/5087491", "Sabrina Xu")</f>
        <v>Sabrina Xu</v>
      </c>
      <c r="D8383" t="s">
        <v>5</v>
      </c>
      <c r="E8383">
        <v>1</v>
      </c>
    </row>
    <row r="8384" spans="1:5" x14ac:dyDescent="0.25">
      <c r="A8384">
        <v>8383</v>
      </c>
      <c r="B8384">
        <v>5091743</v>
      </c>
      <c r="C8384" s="1" t="str">
        <f>HYPERLINK("http://stackoverflow.com/users/5091743", "Mark")</f>
        <v>Mark</v>
      </c>
      <c r="D8384" t="s">
        <v>16</v>
      </c>
      <c r="E8384">
        <v>1</v>
      </c>
    </row>
    <row r="8385" spans="1:5" x14ac:dyDescent="0.25">
      <c r="A8385">
        <v>8384</v>
      </c>
      <c r="B8385">
        <v>8653755</v>
      </c>
      <c r="C8385" s="1" t="str">
        <f>HYPERLINK("http://stackoverflow.com/users/8653755", "threeSevenTree")</f>
        <v>threeSevenTree</v>
      </c>
      <c r="D8385" t="s">
        <v>93</v>
      </c>
      <c r="E8385">
        <v>1</v>
      </c>
    </row>
    <row r="8386" spans="1:5" x14ac:dyDescent="0.25">
      <c r="A8386">
        <v>8385</v>
      </c>
      <c r="B8386">
        <v>8653826</v>
      </c>
      <c r="C8386" s="1" t="str">
        <f>HYPERLINK("http://stackoverflow.com/users/8653826", "shinexsf")</f>
        <v>shinexsf</v>
      </c>
      <c r="D8386" t="s">
        <v>55</v>
      </c>
      <c r="E8386">
        <v>1</v>
      </c>
    </row>
    <row r="8387" spans="1:5" x14ac:dyDescent="0.25">
      <c r="A8387">
        <v>8386</v>
      </c>
      <c r="B8387">
        <v>8654304</v>
      </c>
      <c r="C8387" s="1" t="str">
        <f>HYPERLINK("http://stackoverflow.com/users/8654304", "kotori")</f>
        <v>kotori</v>
      </c>
      <c r="D8387" t="s">
        <v>4</v>
      </c>
      <c r="E8387">
        <v>1</v>
      </c>
    </row>
    <row r="8388" spans="1:5" x14ac:dyDescent="0.25">
      <c r="A8388">
        <v>8387</v>
      </c>
      <c r="B8388">
        <v>10467163</v>
      </c>
      <c r="C8388" s="1" t="str">
        <f>HYPERLINK("http://stackoverflow.com/users/10467163", "jwzhanggy")</f>
        <v>jwzhanggy</v>
      </c>
      <c r="D8388" t="s">
        <v>4</v>
      </c>
      <c r="E8388">
        <v>1</v>
      </c>
    </row>
    <row r="8389" spans="1:5" x14ac:dyDescent="0.25">
      <c r="A8389">
        <v>8388</v>
      </c>
      <c r="B8389">
        <v>5091955</v>
      </c>
      <c r="C8389" s="1" t="str">
        <f>HYPERLINK("http://stackoverflow.com/users/5091955", "AllanZhang")</f>
        <v>AllanZhang</v>
      </c>
      <c r="D8389" t="s">
        <v>17</v>
      </c>
      <c r="E8389">
        <v>1</v>
      </c>
    </row>
    <row r="8390" spans="1:5" x14ac:dyDescent="0.25">
      <c r="A8390">
        <v>8389</v>
      </c>
      <c r="B8390">
        <v>5092102</v>
      </c>
      <c r="C8390" s="1" t="str">
        <f>HYPERLINK("http://stackoverflow.com/users/5092102", "Frank Liu")</f>
        <v>Frank Liu</v>
      </c>
      <c r="D8390" t="s">
        <v>17</v>
      </c>
      <c r="E8390">
        <v>1</v>
      </c>
    </row>
    <row r="8391" spans="1:5" x14ac:dyDescent="0.25">
      <c r="A8391">
        <v>8390</v>
      </c>
      <c r="B8391">
        <v>10471335</v>
      </c>
      <c r="C8391" s="1" t="str">
        <f>HYPERLINK("http://stackoverflow.com/users/10471335", "xinyu lan")</f>
        <v>xinyu lan</v>
      </c>
      <c r="D8391" t="s">
        <v>22</v>
      </c>
      <c r="E8391">
        <v>1</v>
      </c>
    </row>
    <row r="8392" spans="1:5" x14ac:dyDescent="0.25">
      <c r="A8392">
        <v>8391</v>
      </c>
      <c r="B8392">
        <v>5068995</v>
      </c>
      <c r="C8392" s="1" t="str">
        <f>HYPERLINK("http://stackoverflow.com/users/5068995", "Zhaode Wang")</f>
        <v>Zhaode Wang</v>
      </c>
      <c r="D8392" t="s">
        <v>34</v>
      </c>
      <c r="E8392">
        <v>1</v>
      </c>
    </row>
    <row r="8393" spans="1:5" x14ac:dyDescent="0.25">
      <c r="A8393">
        <v>8392</v>
      </c>
      <c r="B8393">
        <v>5072760</v>
      </c>
      <c r="C8393" s="1" t="str">
        <f>HYPERLINK("http://stackoverflow.com/users/5072760", "Leeon")</f>
        <v>Leeon</v>
      </c>
      <c r="D8393" t="s">
        <v>31</v>
      </c>
      <c r="E8393">
        <v>1</v>
      </c>
    </row>
    <row r="8394" spans="1:5" x14ac:dyDescent="0.25">
      <c r="A8394">
        <v>8393</v>
      </c>
      <c r="B8394">
        <v>8637512</v>
      </c>
      <c r="C8394" s="1" t="str">
        <f>HYPERLINK("http://stackoverflow.com/users/8637512", "Jone")</f>
        <v>Jone</v>
      </c>
      <c r="D8394" t="s">
        <v>5</v>
      </c>
      <c r="E8394">
        <v>1</v>
      </c>
    </row>
    <row r="8395" spans="1:5" x14ac:dyDescent="0.25">
      <c r="A8395">
        <v>8394</v>
      </c>
      <c r="B8395">
        <v>8637637</v>
      </c>
      <c r="C8395" s="1" t="str">
        <f>HYPERLINK("http://stackoverflow.com/users/8637637", "SIA SXi")</f>
        <v>SIA SXi</v>
      </c>
      <c r="D8395" t="s">
        <v>25</v>
      </c>
      <c r="E8395">
        <v>1</v>
      </c>
    </row>
    <row r="8396" spans="1:5" x14ac:dyDescent="0.25">
      <c r="A8396">
        <v>8395</v>
      </c>
      <c r="B8396">
        <v>1391073</v>
      </c>
      <c r="C8396" s="1" t="str">
        <f>HYPERLINK("http://stackoverflow.com/users/1391073", "Jenkinv")</f>
        <v>Jenkinv</v>
      </c>
      <c r="D8396" t="s">
        <v>12</v>
      </c>
      <c r="E8396">
        <v>1</v>
      </c>
    </row>
    <row r="8397" spans="1:5" x14ac:dyDescent="0.25">
      <c r="A8397">
        <v>8396</v>
      </c>
      <c r="B8397">
        <v>1390619</v>
      </c>
      <c r="C8397" s="1" t="str">
        <f>HYPERLINK("http://stackoverflow.com/users/1390619", "sunyanfei")</f>
        <v>sunyanfei</v>
      </c>
      <c r="D8397" t="s">
        <v>5</v>
      </c>
      <c r="E8397">
        <v>1</v>
      </c>
    </row>
    <row r="8398" spans="1:5" x14ac:dyDescent="0.25">
      <c r="A8398">
        <v>8397</v>
      </c>
      <c r="B8398">
        <v>1391331</v>
      </c>
      <c r="C8398" s="1" t="str">
        <f>HYPERLINK("http://stackoverflow.com/users/1391331", "Arjun Majumdar")</f>
        <v>Arjun Majumdar</v>
      </c>
      <c r="D8398" t="s">
        <v>35</v>
      </c>
      <c r="E8398">
        <v>1</v>
      </c>
    </row>
    <row r="8399" spans="1:5" x14ac:dyDescent="0.25">
      <c r="A8399">
        <v>8398</v>
      </c>
      <c r="B8399">
        <v>5076058</v>
      </c>
      <c r="C8399" s="1" t="str">
        <f>HYPERLINK("http://stackoverflow.com/users/5076058", "Rocky Hu")</f>
        <v>Rocky Hu</v>
      </c>
      <c r="D8399" t="s">
        <v>6</v>
      </c>
      <c r="E8399">
        <v>1</v>
      </c>
    </row>
    <row r="8400" spans="1:5" x14ac:dyDescent="0.25">
      <c r="A8400">
        <v>8399</v>
      </c>
      <c r="B8400">
        <v>5076099</v>
      </c>
      <c r="C8400" s="1" t="str">
        <f>HYPERLINK("http://stackoverflow.com/users/5076099", "BamBoo")</f>
        <v>BamBoo</v>
      </c>
      <c r="D8400" t="s">
        <v>21</v>
      </c>
      <c r="E8400">
        <v>1</v>
      </c>
    </row>
    <row r="8401" spans="1:5" x14ac:dyDescent="0.25">
      <c r="A8401">
        <v>8400</v>
      </c>
      <c r="B8401">
        <v>5076740</v>
      </c>
      <c r="C8401" s="1" t="str">
        <f>HYPERLINK("http://stackoverflow.com/users/5076740", "WangJiale")</f>
        <v>WangJiale</v>
      </c>
      <c r="D8401" t="s">
        <v>5</v>
      </c>
      <c r="E8401">
        <v>1</v>
      </c>
    </row>
    <row r="8402" spans="1:5" x14ac:dyDescent="0.25">
      <c r="A8402">
        <v>8401</v>
      </c>
      <c r="B8402">
        <v>6798155</v>
      </c>
      <c r="C8402" s="1" t="str">
        <f>HYPERLINK("http://stackoverflow.com/users/6798155", "Sean.Lee")</f>
        <v>Sean.Lee</v>
      </c>
      <c r="D8402" t="s">
        <v>5</v>
      </c>
      <c r="E8402">
        <v>1</v>
      </c>
    </row>
    <row r="8403" spans="1:5" x14ac:dyDescent="0.25">
      <c r="A8403">
        <v>8402</v>
      </c>
      <c r="B8403">
        <v>8642120</v>
      </c>
      <c r="C8403" s="1" t="str">
        <f>HYPERLINK("http://stackoverflow.com/users/8642120", "user8642120")</f>
        <v>user8642120</v>
      </c>
      <c r="D8403" t="s">
        <v>25</v>
      </c>
      <c r="E8403">
        <v>1</v>
      </c>
    </row>
    <row r="8404" spans="1:5" x14ac:dyDescent="0.25">
      <c r="A8404">
        <v>8403</v>
      </c>
      <c r="B8404">
        <v>10533367</v>
      </c>
      <c r="C8404" s="1" t="str">
        <f>HYPERLINK("http://stackoverflow.com/users/10533367", "K.Xi")</f>
        <v>K.Xi</v>
      </c>
      <c r="D8404" t="s">
        <v>5</v>
      </c>
      <c r="E8404">
        <v>1</v>
      </c>
    </row>
    <row r="8405" spans="1:5" x14ac:dyDescent="0.25">
      <c r="A8405">
        <v>8404</v>
      </c>
      <c r="B8405">
        <v>8720901</v>
      </c>
      <c r="C8405" s="1" t="str">
        <f>HYPERLINK("http://stackoverflow.com/users/8720901", "梁志坚")</f>
        <v>梁志坚</v>
      </c>
      <c r="D8405" t="s">
        <v>449</v>
      </c>
      <c r="E8405">
        <v>1</v>
      </c>
    </row>
    <row r="8406" spans="1:5" x14ac:dyDescent="0.25">
      <c r="A8406">
        <v>8405</v>
      </c>
      <c r="B8406">
        <v>1478952</v>
      </c>
      <c r="C8406" s="1" t="str">
        <f>HYPERLINK("http://stackoverflow.com/users/1478952", "Lavrock")</f>
        <v>Lavrock</v>
      </c>
      <c r="D8406" t="s">
        <v>4</v>
      </c>
      <c r="E8406">
        <v>1</v>
      </c>
    </row>
    <row r="8407" spans="1:5" x14ac:dyDescent="0.25">
      <c r="A8407">
        <v>8406</v>
      </c>
      <c r="B8407">
        <v>1478963</v>
      </c>
      <c r="C8407" s="1" t="str">
        <f>HYPERLINK("http://stackoverflow.com/users/1478963", "aiyaiya")</f>
        <v>aiyaiya</v>
      </c>
      <c r="D8407" t="s">
        <v>4</v>
      </c>
      <c r="E8407">
        <v>1</v>
      </c>
    </row>
    <row r="8408" spans="1:5" x14ac:dyDescent="0.25">
      <c r="A8408">
        <v>8407</v>
      </c>
      <c r="B8408">
        <v>10533165</v>
      </c>
      <c r="C8408" s="1" t="str">
        <f>HYPERLINK("http://stackoverflow.com/users/10533165", "Nurik")</f>
        <v>Nurik</v>
      </c>
      <c r="D8408" t="s">
        <v>7</v>
      </c>
      <c r="E8408">
        <v>1</v>
      </c>
    </row>
    <row r="8409" spans="1:5" x14ac:dyDescent="0.25">
      <c r="A8409">
        <v>8408</v>
      </c>
      <c r="B8409">
        <v>3332192</v>
      </c>
      <c r="C8409" s="1" t="str">
        <f>HYPERLINK("http://stackoverflow.com/users/3332192", "Sulisu")</f>
        <v>Sulisu</v>
      </c>
      <c r="D8409" t="s">
        <v>4</v>
      </c>
      <c r="E8409">
        <v>1</v>
      </c>
    </row>
    <row r="8410" spans="1:5" x14ac:dyDescent="0.25">
      <c r="A8410">
        <v>8409</v>
      </c>
      <c r="B8410">
        <v>10528513</v>
      </c>
      <c r="C8410" s="1" t="str">
        <f>HYPERLINK("http://stackoverflow.com/users/10528513", "summer")</f>
        <v>summer</v>
      </c>
      <c r="D8410" t="s">
        <v>426</v>
      </c>
      <c r="E8410">
        <v>1</v>
      </c>
    </row>
    <row r="8411" spans="1:5" x14ac:dyDescent="0.25">
      <c r="A8411">
        <v>8410</v>
      </c>
      <c r="B8411">
        <v>1468500</v>
      </c>
      <c r="C8411" s="1" t="str">
        <f>HYPERLINK("http://stackoverflow.com/users/1468500", "jabberwocky")</f>
        <v>jabberwocky</v>
      </c>
      <c r="D8411" t="s">
        <v>4</v>
      </c>
      <c r="E8411">
        <v>1</v>
      </c>
    </row>
    <row r="8412" spans="1:5" x14ac:dyDescent="0.25">
      <c r="A8412">
        <v>8411</v>
      </c>
      <c r="B8412">
        <v>1468511</v>
      </c>
      <c r="C8412" s="1" t="str">
        <f>HYPERLINK("http://stackoverflow.com/users/1468511", "Mengz You")</f>
        <v>Mengz You</v>
      </c>
      <c r="D8412" t="s">
        <v>4</v>
      </c>
      <c r="E8412">
        <v>1</v>
      </c>
    </row>
    <row r="8413" spans="1:5" x14ac:dyDescent="0.25">
      <c r="A8413">
        <v>8412</v>
      </c>
      <c r="B8413">
        <v>1468622</v>
      </c>
      <c r="C8413" s="1" t="str">
        <f>HYPERLINK("http://stackoverflow.com/users/1468622", "chemmate")</f>
        <v>chemmate</v>
      </c>
      <c r="D8413" t="s">
        <v>4</v>
      </c>
      <c r="E8413">
        <v>1</v>
      </c>
    </row>
    <row r="8414" spans="1:5" x14ac:dyDescent="0.25">
      <c r="A8414">
        <v>8413</v>
      </c>
      <c r="B8414">
        <v>1464074</v>
      </c>
      <c r="C8414" s="1" t="str">
        <f>HYPERLINK("http://stackoverflow.com/users/1464074", "Kun")</f>
        <v>Kun</v>
      </c>
      <c r="D8414" t="s">
        <v>5</v>
      </c>
      <c r="E8414">
        <v>1</v>
      </c>
    </row>
    <row r="8415" spans="1:5" x14ac:dyDescent="0.25">
      <c r="A8415">
        <v>8414</v>
      </c>
      <c r="B8415">
        <v>1458641</v>
      </c>
      <c r="C8415" s="1" t="str">
        <f>HYPERLINK("http://stackoverflow.com/users/1458641", "heath9")</f>
        <v>heath9</v>
      </c>
      <c r="D8415" t="s">
        <v>17</v>
      </c>
      <c r="E8415">
        <v>1</v>
      </c>
    </row>
    <row r="8416" spans="1:5" x14ac:dyDescent="0.25">
      <c r="A8416">
        <v>8415</v>
      </c>
      <c r="B8416">
        <v>1453257</v>
      </c>
      <c r="C8416" s="1" t="str">
        <f>HYPERLINK("http://stackoverflow.com/users/1453257", "Connor")</f>
        <v>Connor</v>
      </c>
      <c r="D8416" t="s">
        <v>17</v>
      </c>
      <c r="E8416">
        <v>1</v>
      </c>
    </row>
    <row r="8417" spans="1:5" x14ac:dyDescent="0.25">
      <c r="A8417">
        <v>8416</v>
      </c>
      <c r="B8417">
        <v>1468041</v>
      </c>
      <c r="C8417" s="1" t="str">
        <f>HYPERLINK("http://stackoverflow.com/users/1468041", "Hill Chan")</f>
        <v>Hill Chan</v>
      </c>
      <c r="D8417" t="s">
        <v>5</v>
      </c>
      <c r="E8417">
        <v>1</v>
      </c>
    </row>
    <row r="8418" spans="1:5" x14ac:dyDescent="0.25">
      <c r="A8418">
        <v>8417</v>
      </c>
      <c r="B8418">
        <v>1468056</v>
      </c>
      <c r="C8418" s="1" t="str">
        <f>HYPERLINK("http://stackoverflow.com/users/1468056", "Claude Zhang")</f>
        <v>Claude Zhang</v>
      </c>
      <c r="D8418" t="s">
        <v>5</v>
      </c>
      <c r="E8418">
        <v>1</v>
      </c>
    </row>
    <row r="8419" spans="1:5" x14ac:dyDescent="0.25">
      <c r="A8419">
        <v>8418</v>
      </c>
      <c r="B8419">
        <v>1468197</v>
      </c>
      <c r="C8419" s="1" t="str">
        <f>HYPERLINK("http://stackoverflow.com/users/1468197", "Yaguo Zhou")</f>
        <v>Yaguo Zhou</v>
      </c>
      <c r="D8419" t="s">
        <v>4</v>
      </c>
      <c r="E8419">
        <v>1</v>
      </c>
    </row>
    <row r="8420" spans="1:5" x14ac:dyDescent="0.25">
      <c r="A8420">
        <v>8419</v>
      </c>
      <c r="B8420">
        <v>8706232</v>
      </c>
      <c r="C8420" s="1" t="str">
        <f>HYPERLINK("http://stackoverflow.com/users/8706232", "he du")</f>
        <v>he du</v>
      </c>
      <c r="D8420" t="s">
        <v>5</v>
      </c>
      <c r="E8420">
        <v>1</v>
      </c>
    </row>
    <row r="8421" spans="1:5" x14ac:dyDescent="0.25">
      <c r="A8421">
        <v>8420</v>
      </c>
      <c r="B8421">
        <v>3328057</v>
      </c>
      <c r="C8421" s="1" t="str">
        <f>HYPERLINK("http://stackoverflow.com/users/3328057", "mateno meng")</f>
        <v>mateno meng</v>
      </c>
      <c r="D8421" t="s">
        <v>4</v>
      </c>
      <c r="E8421">
        <v>1</v>
      </c>
    </row>
    <row r="8422" spans="1:5" x14ac:dyDescent="0.25">
      <c r="A8422">
        <v>8421</v>
      </c>
      <c r="B8422">
        <v>3328341</v>
      </c>
      <c r="C8422" s="1" t="str">
        <f>HYPERLINK("http://stackoverflow.com/users/3328341", "meshaog")</f>
        <v>meshaog</v>
      </c>
      <c r="D8422" t="s">
        <v>63</v>
      </c>
      <c r="E8422">
        <v>1</v>
      </c>
    </row>
    <row r="8423" spans="1:5" x14ac:dyDescent="0.25">
      <c r="A8423">
        <v>8422</v>
      </c>
      <c r="B8423">
        <v>5143149</v>
      </c>
      <c r="C8423" s="1" t="str">
        <f>HYPERLINK("http://stackoverflow.com/users/5143149", "Ryan")</f>
        <v>Ryan</v>
      </c>
      <c r="D8423" t="s">
        <v>5</v>
      </c>
      <c r="E8423">
        <v>1</v>
      </c>
    </row>
    <row r="8424" spans="1:5" x14ac:dyDescent="0.25">
      <c r="A8424">
        <v>8423</v>
      </c>
      <c r="B8424">
        <v>10544904</v>
      </c>
      <c r="C8424" s="1" t="str">
        <f>HYPERLINK("http://stackoverflow.com/users/10544904", "Michael")</f>
        <v>Michael</v>
      </c>
      <c r="D8424" t="s">
        <v>108</v>
      </c>
      <c r="E8424">
        <v>1</v>
      </c>
    </row>
    <row r="8425" spans="1:5" x14ac:dyDescent="0.25">
      <c r="A8425">
        <v>8424</v>
      </c>
      <c r="B8425">
        <v>10545167</v>
      </c>
      <c r="C8425" s="1" t="str">
        <f>HYPERLINK("http://stackoverflow.com/users/10545167", "Ayers")</f>
        <v>Ayers</v>
      </c>
      <c r="D8425" t="s">
        <v>4</v>
      </c>
      <c r="E8425">
        <v>1</v>
      </c>
    </row>
    <row r="8426" spans="1:5" x14ac:dyDescent="0.25">
      <c r="A8426">
        <v>8425</v>
      </c>
      <c r="B8426">
        <v>10545278</v>
      </c>
      <c r="C8426" s="1" t="str">
        <f>HYPERLINK("http://stackoverflow.com/users/10545278", "user10545278")</f>
        <v>user10545278</v>
      </c>
      <c r="D8426" t="s">
        <v>5</v>
      </c>
      <c r="E8426">
        <v>1</v>
      </c>
    </row>
    <row r="8427" spans="1:5" x14ac:dyDescent="0.25">
      <c r="A8427">
        <v>8426</v>
      </c>
      <c r="B8427">
        <v>3349852</v>
      </c>
      <c r="C8427" s="1" t="str">
        <f>HYPERLINK("http://stackoverflow.com/users/3349852", "Vincent.Man")</f>
        <v>Vincent.Man</v>
      </c>
      <c r="D8427" t="s">
        <v>17</v>
      </c>
      <c r="E8427">
        <v>1</v>
      </c>
    </row>
    <row r="8428" spans="1:5" x14ac:dyDescent="0.25">
      <c r="A8428">
        <v>8427</v>
      </c>
      <c r="B8428">
        <v>3349739</v>
      </c>
      <c r="C8428" s="1" t="str">
        <f>HYPERLINK("http://stackoverflow.com/users/3349739", "Miao Han")</f>
        <v>Miao Han</v>
      </c>
      <c r="D8428" t="s">
        <v>4</v>
      </c>
      <c r="E8428">
        <v>1</v>
      </c>
    </row>
    <row r="8429" spans="1:5" x14ac:dyDescent="0.25">
      <c r="A8429">
        <v>8428</v>
      </c>
      <c r="B8429">
        <v>6886951</v>
      </c>
      <c r="C8429" s="1" t="str">
        <f>HYPERLINK("http://stackoverflow.com/users/6886951", "Lakehousedavid")</f>
        <v>Lakehousedavid</v>
      </c>
      <c r="D8429" t="s">
        <v>4</v>
      </c>
      <c r="E8429">
        <v>1</v>
      </c>
    </row>
    <row r="8430" spans="1:5" x14ac:dyDescent="0.25">
      <c r="A8430">
        <v>8429</v>
      </c>
      <c r="B8430">
        <v>5172889</v>
      </c>
      <c r="C8430" s="1" t="str">
        <f>HYPERLINK("http://stackoverflow.com/users/5172889", "Albert")</f>
        <v>Albert</v>
      </c>
      <c r="D8430" t="s">
        <v>3</v>
      </c>
      <c r="E8430">
        <v>1</v>
      </c>
    </row>
    <row r="8431" spans="1:5" x14ac:dyDescent="0.25">
      <c r="A8431">
        <v>8430</v>
      </c>
      <c r="B8431">
        <v>5164905</v>
      </c>
      <c r="C8431" s="1" t="str">
        <f>HYPERLINK("http://stackoverflow.com/users/5164905", "张永宏")</f>
        <v>张永宏</v>
      </c>
      <c r="D8431" t="s">
        <v>450</v>
      </c>
      <c r="E8431">
        <v>1</v>
      </c>
    </row>
    <row r="8432" spans="1:5" x14ac:dyDescent="0.25">
      <c r="A8432">
        <v>8431</v>
      </c>
      <c r="B8432">
        <v>10549448</v>
      </c>
      <c r="C8432" s="1" t="str">
        <f>HYPERLINK("http://stackoverflow.com/users/10549448", "LinWang")</f>
        <v>LinWang</v>
      </c>
      <c r="D8432" t="s">
        <v>91</v>
      </c>
      <c r="E8432">
        <v>1</v>
      </c>
    </row>
    <row r="8433" spans="1:5" x14ac:dyDescent="0.25">
      <c r="A8433">
        <v>8432</v>
      </c>
      <c r="B8433">
        <v>10549517</v>
      </c>
      <c r="C8433" s="1" t="str">
        <f>HYPERLINK("http://stackoverflow.com/users/10549517", "Chang Day")</f>
        <v>Chang Day</v>
      </c>
      <c r="D8433" t="s">
        <v>78</v>
      </c>
      <c r="E8433">
        <v>1</v>
      </c>
    </row>
    <row r="8434" spans="1:5" x14ac:dyDescent="0.25">
      <c r="A8434">
        <v>8433</v>
      </c>
      <c r="B8434">
        <v>8738144</v>
      </c>
      <c r="C8434" s="1" t="str">
        <f>HYPERLINK("http://stackoverflow.com/users/8738144", "Icy")</f>
        <v>Icy</v>
      </c>
      <c r="D8434" t="s">
        <v>5</v>
      </c>
      <c r="E8434">
        <v>1</v>
      </c>
    </row>
    <row r="8435" spans="1:5" x14ac:dyDescent="0.25">
      <c r="A8435">
        <v>8434</v>
      </c>
      <c r="B8435">
        <v>5168514</v>
      </c>
      <c r="C8435" s="1" t="str">
        <f>HYPERLINK("http://stackoverflow.com/users/5168514", "王兆昱")</f>
        <v>王兆昱</v>
      </c>
      <c r="D8435" t="s">
        <v>5</v>
      </c>
      <c r="E8435">
        <v>1</v>
      </c>
    </row>
    <row r="8436" spans="1:5" x14ac:dyDescent="0.25">
      <c r="A8436">
        <v>8435</v>
      </c>
      <c r="B8436">
        <v>3349452</v>
      </c>
      <c r="C8436" s="1" t="str">
        <f>HYPERLINK("http://stackoverflow.com/users/3349452", "bryan")</f>
        <v>bryan</v>
      </c>
      <c r="D8436" t="s">
        <v>4</v>
      </c>
      <c r="E8436">
        <v>1</v>
      </c>
    </row>
    <row r="8437" spans="1:5" x14ac:dyDescent="0.25">
      <c r="A8437">
        <v>8436</v>
      </c>
      <c r="B8437">
        <v>3349547</v>
      </c>
      <c r="C8437" s="1" t="str">
        <f>HYPERLINK("http://stackoverflow.com/users/3349547", "immorlee")</f>
        <v>immorlee</v>
      </c>
      <c r="D8437" t="s">
        <v>5</v>
      </c>
      <c r="E8437">
        <v>1</v>
      </c>
    </row>
    <row r="8438" spans="1:5" x14ac:dyDescent="0.25">
      <c r="A8438">
        <v>8437</v>
      </c>
      <c r="B8438">
        <v>3349193</v>
      </c>
      <c r="C8438" s="1" t="str">
        <f>HYPERLINK("http://stackoverflow.com/users/3349193", "ufomzd")</f>
        <v>ufomzd</v>
      </c>
      <c r="D8438" t="s">
        <v>17</v>
      </c>
      <c r="E8438">
        <v>1</v>
      </c>
    </row>
    <row r="8439" spans="1:5" x14ac:dyDescent="0.25">
      <c r="A8439">
        <v>8438</v>
      </c>
      <c r="B8439">
        <v>3349305</v>
      </c>
      <c r="C8439" s="1" t="str">
        <f>HYPERLINK("http://stackoverflow.com/users/3349305", "rogerjiang")</f>
        <v>rogerjiang</v>
      </c>
      <c r="D8439" t="s">
        <v>4</v>
      </c>
      <c r="E8439">
        <v>1</v>
      </c>
    </row>
    <row r="8440" spans="1:5" x14ac:dyDescent="0.25">
      <c r="A8440">
        <v>8439</v>
      </c>
      <c r="B8440">
        <v>3349313</v>
      </c>
      <c r="C8440" s="1" t="str">
        <f>HYPERLINK("http://stackoverflow.com/users/3349313", "zeyuan")</f>
        <v>zeyuan</v>
      </c>
      <c r="D8440" t="s">
        <v>12</v>
      </c>
      <c r="E8440">
        <v>1</v>
      </c>
    </row>
    <row r="8441" spans="1:5" x14ac:dyDescent="0.25">
      <c r="A8441">
        <v>8440</v>
      </c>
      <c r="B8441">
        <v>1479612</v>
      </c>
      <c r="C8441" s="1" t="str">
        <f>HYPERLINK("http://stackoverflow.com/users/1479612", "Steve Xu")</f>
        <v>Steve Xu</v>
      </c>
      <c r="D8441" t="s">
        <v>22</v>
      </c>
      <c r="E8441">
        <v>1</v>
      </c>
    </row>
    <row r="8442" spans="1:5" x14ac:dyDescent="0.25">
      <c r="A8442">
        <v>8441</v>
      </c>
      <c r="B8442">
        <v>3344892</v>
      </c>
      <c r="C8442" s="1" t="str">
        <f>HYPERLINK("http://stackoverflow.com/users/3344892", "ChrisJ")</f>
        <v>ChrisJ</v>
      </c>
      <c r="D8442" t="s">
        <v>4</v>
      </c>
      <c r="E8442">
        <v>1</v>
      </c>
    </row>
    <row r="8443" spans="1:5" x14ac:dyDescent="0.25">
      <c r="A8443">
        <v>8442</v>
      </c>
      <c r="B8443">
        <v>3344942</v>
      </c>
      <c r="C8443" s="1" t="str">
        <f>HYPERLINK("http://stackoverflow.com/users/3344942", "icepy")</f>
        <v>icepy</v>
      </c>
      <c r="D8443" t="s">
        <v>5</v>
      </c>
      <c r="E8443">
        <v>1</v>
      </c>
    </row>
    <row r="8444" spans="1:5" x14ac:dyDescent="0.25">
      <c r="A8444">
        <v>8443</v>
      </c>
      <c r="B8444">
        <v>3345113</v>
      </c>
      <c r="C8444" s="1" t="str">
        <f>HYPERLINK("http://stackoverflow.com/users/3345113", "米饭happy")</f>
        <v>米饭happy</v>
      </c>
      <c r="D8444" t="s">
        <v>5</v>
      </c>
      <c r="E8444">
        <v>1</v>
      </c>
    </row>
    <row r="8445" spans="1:5" x14ac:dyDescent="0.25">
      <c r="A8445">
        <v>8444</v>
      </c>
      <c r="B8445">
        <v>3345357</v>
      </c>
      <c r="C8445" s="1" t="str">
        <f>HYPERLINK("http://stackoverflow.com/users/3345357", "user3345357")</f>
        <v>user3345357</v>
      </c>
      <c r="D8445" t="s">
        <v>21</v>
      </c>
      <c r="E8445">
        <v>1</v>
      </c>
    </row>
    <row r="8446" spans="1:5" x14ac:dyDescent="0.25">
      <c r="A8446">
        <v>8445</v>
      </c>
      <c r="B8446">
        <v>10537125</v>
      </c>
      <c r="C8446" s="1" t="str">
        <f>HYPERLINK("http://stackoverflow.com/users/10537125", "Anson Wong")</f>
        <v>Anson Wong</v>
      </c>
      <c r="D8446" t="s">
        <v>192</v>
      </c>
      <c r="E8446">
        <v>1</v>
      </c>
    </row>
    <row r="8447" spans="1:5" x14ac:dyDescent="0.25">
      <c r="A8447">
        <v>8446</v>
      </c>
      <c r="B8447">
        <v>8724384</v>
      </c>
      <c r="C8447" s="1" t="str">
        <f>HYPERLINK("http://stackoverflow.com/users/8724384", "MingJiang")</f>
        <v>MingJiang</v>
      </c>
      <c r="D8447" t="s">
        <v>320</v>
      </c>
      <c r="E8447">
        <v>1</v>
      </c>
    </row>
    <row r="8448" spans="1:5" x14ac:dyDescent="0.25">
      <c r="A8448">
        <v>8447</v>
      </c>
      <c r="B8448">
        <v>1536650</v>
      </c>
      <c r="C8448" s="1" t="str">
        <f>HYPERLINK("http://stackoverflow.com/users/1536650", "Lepo.Zuk")</f>
        <v>Lepo.Zuk</v>
      </c>
      <c r="D8448" t="s">
        <v>4</v>
      </c>
      <c r="E8448">
        <v>1</v>
      </c>
    </row>
    <row r="8449" spans="1:5" x14ac:dyDescent="0.25">
      <c r="A8449">
        <v>8448</v>
      </c>
      <c r="B8449">
        <v>1536704</v>
      </c>
      <c r="C8449" s="1" t="str">
        <f>HYPERLINK("http://stackoverflow.com/users/1536704", "LiBo")</f>
        <v>LiBo</v>
      </c>
      <c r="D8449" t="s">
        <v>451</v>
      </c>
      <c r="E8449">
        <v>1</v>
      </c>
    </row>
    <row r="8450" spans="1:5" x14ac:dyDescent="0.25">
      <c r="A8450">
        <v>8449</v>
      </c>
      <c r="B8450">
        <v>10561431</v>
      </c>
      <c r="C8450" s="1" t="str">
        <f>HYPERLINK("http://stackoverflow.com/users/10561431", "Rocair Huang")</f>
        <v>Rocair Huang</v>
      </c>
      <c r="D8450" t="s">
        <v>5</v>
      </c>
      <c r="E8450">
        <v>1</v>
      </c>
    </row>
    <row r="8451" spans="1:5" x14ac:dyDescent="0.25">
      <c r="A8451">
        <v>8450</v>
      </c>
      <c r="B8451">
        <v>10561455</v>
      </c>
      <c r="C8451" s="1" t="str">
        <f>HYPERLINK("http://stackoverflow.com/users/10561455", "Zhiyong Yang")</f>
        <v>Zhiyong Yang</v>
      </c>
      <c r="D8451" t="s">
        <v>4</v>
      </c>
      <c r="E8451">
        <v>1</v>
      </c>
    </row>
    <row r="8452" spans="1:5" x14ac:dyDescent="0.25">
      <c r="A8452">
        <v>8451</v>
      </c>
      <c r="B8452">
        <v>3398336</v>
      </c>
      <c r="C8452" s="1" t="str">
        <f>HYPERLINK("http://stackoverflow.com/users/3398336", "SONG")</f>
        <v>SONG</v>
      </c>
      <c r="D8452" t="s">
        <v>4</v>
      </c>
      <c r="E8452">
        <v>1</v>
      </c>
    </row>
    <row r="8453" spans="1:5" x14ac:dyDescent="0.25">
      <c r="A8453">
        <v>8452</v>
      </c>
      <c r="B8453">
        <v>10591251</v>
      </c>
      <c r="C8453" s="1" t="str">
        <f>HYPERLINK("http://stackoverflow.com/users/10591251", "Jinglun  Li")</f>
        <v>Jinglun  Li</v>
      </c>
      <c r="D8453" t="s">
        <v>4</v>
      </c>
      <c r="E8453">
        <v>1</v>
      </c>
    </row>
    <row r="8454" spans="1:5" x14ac:dyDescent="0.25">
      <c r="A8454">
        <v>8453</v>
      </c>
      <c r="B8454">
        <v>10591310</v>
      </c>
      <c r="C8454" s="1" t="str">
        <f>HYPERLINK("http://stackoverflow.com/users/10591310", "Yu Jiang")</f>
        <v>Yu Jiang</v>
      </c>
      <c r="D8454" t="s">
        <v>16</v>
      </c>
      <c r="E8454">
        <v>1</v>
      </c>
    </row>
    <row r="8455" spans="1:5" x14ac:dyDescent="0.25">
      <c r="A8455">
        <v>8454</v>
      </c>
      <c r="B8455">
        <v>3397574</v>
      </c>
      <c r="C8455" s="1" t="str">
        <f>HYPERLINK("http://stackoverflow.com/users/3397574", "steven")</f>
        <v>steven</v>
      </c>
      <c r="D8455" t="s">
        <v>17</v>
      </c>
      <c r="E8455">
        <v>1</v>
      </c>
    </row>
    <row r="8456" spans="1:5" x14ac:dyDescent="0.25">
      <c r="A8456">
        <v>8455</v>
      </c>
      <c r="B8456">
        <v>8781008</v>
      </c>
      <c r="C8456" s="1" t="str">
        <f>HYPERLINK("http://stackoverflow.com/users/8781008", "BlackBaldes")</f>
        <v>BlackBaldes</v>
      </c>
      <c r="D8456" t="s">
        <v>16</v>
      </c>
      <c r="E8456">
        <v>1</v>
      </c>
    </row>
    <row r="8457" spans="1:5" x14ac:dyDescent="0.25">
      <c r="A8457">
        <v>8456</v>
      </c>
      <c r="B8457">
        <v>3400375</v>
      </c>
      <c r="C8457" s="1" t="str">
        <f>HYPERLINK("http://stackoverflow.com/users/3400375", "user3400375")</f>
        <v>user3400375</v>
      </c>
      <c r="D8457" t="s">
        <v>17</v>
      </c>
      <c r="E8457">
        <v>1</v>
      </c>
    </row>
    <row r="8458" spans="1:5" x14ac:dyDescent="0.25">
      <c r="A8458">
        <v>8457</v>
      </c>
      <c r="B8458">
        <v>3400473</v>
      </c>
      <c r="C8458" s="1" t="str">
        <f>HYPERLINK("http://stackoverflow.com/users/3400473", "shoeslot")</f>
        <v>shoeslot</v>
      </c>
      <c r="D8458" t="s">
        <v>38</v>
      </c>
      <c r="E8458">
        <v>1</v>
      </c>
    </row>
    <row r="8459" spans="1:5" x14ac:dyDescent="0.25">
      <c r="A8459">
        <v>8458</v>
      </c>
      <c r="B8459">
        <v>1540957</v>
      </c>
      <c r="C8459" s="1" t="str">
        <f>HYPERLINK("http://stackoverflow.com/users/1540957", "Soap")</f>
        <v>Soap</v>
      </c>
      <c r="D8459" t="s">
        <v>12</v>
      </c>
      <c r="E8459">
        <v>1</v>
      </c>
    </row>
    <row r="8460" spans="1:5" x14ac:dyDescent="0.25">
      <c r="A8460">
        <v>8459</v>
      </c>
      <c r="B8460">
        <v>1540968</v>
      </c>
      <c r="C8460" s="1" t="str">
        <f>HYPERLINK("http://stackoverflow.com/users/1540968", "Tiger")</f>
        <v>Tiger</v>
      </c>
      <c r="D8460" t="s">
        <v>8</v>
      </c>
      <c r="E8460">
        <v>1</v>
      </c>
    </row>
    <row r="8461" spans="1:5" x14ac:dyDescent="0.25">
      <c r="A8461">
        <v>8460</v>
      </c>
      <c r="B8461">
        <v>1540993</v>
      </c>
      <c r="C8461" s="1" t="str">
        <f>HYPERLINK("http://stackoverflow.com/users/1540993", "leongao")</f>
        <v>leongao</v>
      </c>
      <c r="D8461" t="s">
        <v>4</v>
      </c>
      <c r="E8461">
        <v>1</v>
      </c>
    </row>
    <row r="8462" spans="1:5" x14ac:dyDescent="0.25">
      <c r="A8462">
        <v>8461</v>
      </c>
      <c r="B8462">
        <v>8775039</v>
      </c>
      <c r="C8462" s="1" t="str">
        <f>HYPERLINK("http://stackoverflow.com/users/8775039", "曾家楦")</f>
        <v>曾家楦</v>
      </c>
      <c r="D8462" t="s">
        <v>452</v>
      </c>
      <c r="E8462">
        <v>1</v>
      </c>
    </row>
    <row r="8463" spans="1:5" x14ac:dyDescent="0.25">
      <c r="A8463">
        <v>8462</v>
      </c>
      <c r="B8463">
        <v>8775330</v>
      </c>
      <c r="C8463" s="1" t="str">
        <f>HYPERLINK("http://stackoverflow.com/users/8775330", "朱红阳")</f>
        <v>朱红阳</v>
      </c>
      <c r="D8463" t="s">
        <v>52</v>
      </c>
      <c r="E8463">
        <v>1</v>
      </c>
    </row>
    <row r="8464" spans="1:5" x14ac:dyDescent="0.25">
      <c r="A8464">
        <v>8463</v>
      </c>
      <c r="B8464">
        <v>8775486</v>
      </c>
      <c r="C8464" s="1" t="str">
        <f>HYPERLINK("http://stackoverflow.com/users/8775486", "Brady Dou")</f>
        <v>Brady Dou</v>
      </c>
      <c r="D8464" t="s">
        <v>79</v>
      </c>
      <c r="E8464">
        <v>1</v>
      </c>
    </row>
    <row r="8465" spans="1:5" x14ac:dyDescent="0.25">
      <c r="A8465">
        <v>8464</v>
      </c>
      <c r="B8465">
        <v>6918458</v>
      </c>
      <c r="C8465" s="1" t="str">
        <f>HYPERLINK("http://stackoverflow.com/users/6918458", "Doc")</f>
        <v>Doc</v>
      </c>
      <c r="D8465" t="s">
        <v>4</v>
      </c>
      <c r="E8465">
        <v>1</v>
      </c>
    </row>
    <row r="8466" spans="1:5" x14ac:dyDescent="0.25">
      <c r="A8466">
        <v>8465</v>
      </c>
      <c r="B8466">
        <v>6918511</v>
      </c>
      <c r="C8466" s="1" t="str">
        <f>HYPERLINK("http://stackoverflow.com/users/6918511", "galois")</f>
        <v>galois</v>
      </c>
      <c r="D8466" t="s">
        <v>5</v>
      </c>
      <c r="E8466">
        <v>1</v>
      </c>
    </row>
    <row r="8467" spans="1:5" x14ac:dyDescent="0.25">
      <c r="A8467">
        <v>8466</v>
      </c>
      <c r="B8467">
        <v>3397432</v>
      </c>
      <c r="C8467" s="1" t="str">
        <f>HYPERLINK("http://stackoverflow.com/users/3397432", "user3397432")</f>
        <v>user3397432</v>
      </c>
      <c r="D8467" t="s">
        <v>54</v>
      </c>
      <c r="E8467">
        <v>1</v>
      </c>
    </row>
    <row r="8468" spans="1:5" x14ac:dyDescent="0.25">
      <c r="A8468">
        <v>8467</v>
      </c>
      <c r="B8468">
        <v>1536785</v>
      </c>
      <c r="C8468" s="1" t="str">
        <f>HYPERLINK("http://stackoverflow.com/users/1536785", "fjcheney")</f>
        <v>fjcheney</v>
      </c>
      <c r="D8468" t="s">
        <v>24</v>
      </c>
      <c r="E8468">
        <v>1</v>
      </c>
    </row>
    <row r="8469" spans="1:5" x14ac:dyDescent="0.25">
      <c r="A8469">
        <v>8468</v>
      </c>
      <c r="B8469">
        <v>1536825</v>
      </c>
      <c r="C8469" s="1" t="str">
        <f>HYPERLINK("http://stackoverflow.com/users/1536825", "liuz")</f>
        <v>liuz</v>
      </c>
      <c r="D8469" t="s">
        <v>5</v>
      </c>
      <c r="E8469">
        <v>1</v>
      </c>
    </row>
    <row r="8470" spans="1:5" x14ac:dyDescent="0.25">
      <c r="A8470">
        <v>8469</v>
      </c>
      <c r="B8470">
        <v>8770635</v>
      </c>
      <c r="C8470" s="1" t="str">
        <f>HYPERLINK("http://stackoverflow.com/users/8770635", "Allen Xiang")</f>
        <v>Allen Xiang</v>
      </c>
      <c r="D8470" t="s">
        <v>5</v>
      </c>
      <c r="E8470">
        <v>1</v>
      </c>
    </row>
    <row r="8471" spans="1:5" x14ac:dyDescent="0.25">
      <c r="A8471">
        <v>8470</v>
      </c>
      <c r="B8471">
        <v>5196782</v>
      </c>
      <c r="C8471" s="1" t="str">
        <f>HYPERLINK("http://stackoverflow.com/users/5196782", "Johnson Chern")</f>
        <v>Johnson Chern</v>
      </c>
      <c r="D8471" t="s">
        <v>31</v>
      </c>
      <c r="E8471">
        <v>1</v>
      </c>
    </row>
    <row r="8472" spans="1:5" x14ac:dyDescent="0.25">
      <c r="A8472">
        <v>8471</v>
      </c>
      <c r="B8472">
        <v>5196883</v>
      </c>
      <c r="C8472" s="1" t="str">
        <f>HYPERLINK("http://stackoverflow.com/users/5196883", "Winfred Chen")</f>
        <v>Winfred Chen</v>
      </c>
      <c r="D8472" t="s">
        <v>4</v>
      </c>
      <c r="E8472">
        <v>1</v>
      </c>
    </row>
    <row r="8473" spans="1:5" x14ac:dyDescent="0.25">
      <c r="A8473">
        <v>8472</v>
      </c>
      <c r="B8473">
        <v>5197347</v>
      </c>
      <c r="C8473" s="1" t="str">
        <f>HYPERLINK("http://stackoverflow.com/users/5197347", "L.Wei")</f>
        <v>L.Wei</v>
      </c>
      <c r="D8473" t="s">
        <v>8</v>
      </c>
      <c r="E8473">
        <v>1</v>
      </c>
    </row>
    <row r="8474" spans="1:5" x14ac:dyDescent="0.25">
      <c r="A8474">
        <v>8473</v>
      </c>
      <c r="B8474">
        <v>5200750</v>
      </c>
      <c r="C8474" s="1" t="str">
        <f>HYPERLINK("http://stackoverflow.com/users/5200750", "张德通")</f>
        <v>张德通</v>
      </c>
      <c r="D8474" t="s">
        <v>5</v>
      </c>
      <c r="E8474">
        <v>1</v>
      </c>
    </row>
    <row r="8475" spans="1:5" x14ac:dyDescent="0.25">
      <c r="A8475">
        <v>8474</v>
      </c>
      <c r="B8475">
        <v>3364838</v>
      </c>
      <c r="C8475" s="1" t="str">
        <f>HYPERLINK("http://stackoverflow.com/users/3364838", "santur")</f>
        <v>santur</v>
      </c>
      <c r="D8475" t="s">
        <v>4</v>
      </c>
      <c r="E8475">
        <v>1</v>
      </c>
    </row>
    <row r="8476" spans="1:5" x14ac:dyDescent="0.25">
      <c r="A8476">
        <v>8475</v>
      </c>
      <c r="B8476">
        <v>8749174</v>
      </c>
      <c r="C8476" s="1" t="str">
        <f>HYPERLINK("http://stackoverflow.com/users/8749174", "nicholas")</f>
        <v>nicholas</v>
      </c>
      <c r="D8476" t="s">
        <v>5</v>
      </c>
      <c r="E8476">
        <v>1</v>
      </c>
    </row>
    <row r="8477" spans="1:5" x14ac:dyDescent="0.25">
      <c r="A8477">
        <v>8476</v>
      </c>
      <c r="B8477">
        <v>8749742</v>
      </c>
      <c r="C8477" s="1" t="str">
        <f>HYPERLINK("http://stackoverflow.com/users/8749742", "CoraMa")</f>
        <v>CoraMa</v>
      </c>
      <c r="D8477" t="s">
        <v>120</v>
      </c>
      <c r="E8477">
        <v>1</v>
      </c>
    </row>
    <row r="8478" spans="1:5" x14ac:dyDescent="0.25">
      <c r="A8478">
        <v>8477</v>
      </c>
      <c r="B8478">
        <v>1511276</v>
      </c>
      <c r="C8478" s="1" t="str">
        <f>HYPERLINK("http://stackoverflow.com/users/1511276", "shusl")</f>
        <v>shusl</v>
      </c>
      <c r="D8478" t="s">
        <v>5</v>
      </c>
      <c r="E8478">
        <v>1</v>
      </c>
    </row>
    <row r="8479" spans="1:5" x14ac:dyDescent="0.25">
      <c r="A8479">
        <v>8478</v>
      </c>
      <c r="B8479">
        <v>1511527</v>
      </c>
      <c r="C8479" s="1" t="str">
        <f>HYPERLINK("http://stackoverflow.com/users/1511527", "jinqun.hong")</f>
        <v>jinqun.hong</v>
      </c>
      <c r="D8479" t="s">
        <v>21</v>
      </c>
      <c r="E8479">
        <v>1</v>
      </c>
    </row>
    <row r="8480" spans="1:5" x14ac:dyDescent="0.25">
      <c r="A8480">
        <v>8479</v>
      </c>
      <c r="B8480">
        <v>1511904</v>
      </c>
      <c r="C8480" s="1" t="str">
        <f>HYPERLINK("http://stackoverflow.com/users/1511904", "Bruce")</f>
        <v>Bruce</v>
      </c>
      <c r="D8480" t="s">
        <v>5</v>
      </c>
      <c r="E8480">
        <v>1</v>
      </c>
    </row>
    <row r="8481" spans="1:5" x14ac:dyDescent="0.25">
      <c r="A8481">
        <v>8480</v>
      </c>
      <c r="B8481">
        <v>1512251</v>
      </c>
      <c r="C8481" s="1" t="str">
        <f>HYPERLINK("http://stackoverflow.com/users/1512251", "SpriteTail")</f>
        <v>SpriteTail</v>
      </c>
      <c r="D8481" t="s">
        <v>5</v>
      </c>
      <c r="E8481">
        <v>1</v>
      </c>
    </row>
    <row r="8482" spans="1:5" x14ac:dyDescent="0.25">
      <c r="A8482">
        <v>8481</v>
      </c>
      <c r="B8482">
        <v>6897096</v>
      </c>
      <c r="C8482" s="1" t="str">
        <f>HYPERLINK("http://stackoverflow.com/users/6897096", "Focus")</f>
        <v>Focus</v>
      </c>
      <c r="D8482" t="s">
        <v>43</v>
      </c>
      <c r="E8482">
        <v>1</v>
      </c>
    </row>
    <row r="8483" spans="1:5" x14ac:dyDescent="0.25">
      <c r="A8483">
        <v>8482</v>
      </c>
      <c r="B8483">
        <v>10560767</v>
      </c>
      <c r="C8483" s="1" t="str">
        <f>HYPERLINK("http://stackoverflow.com/users/10560767", "rokey martin")</f>
        <v>rokey martin</v>
      </c>
      <c r="D8483" t="s">
        <v>453</v>
      </c>
      <c r="E8483">
        <v>1</v>
      </c>
    </row>
    <row r="8484" spans="1:5" x14ac:dyDescent="0.25">
      <c r="A8484">
        <v>8483</v>
      </c>
      <c r="B8484">
        <v>10560886</v>
      </c>
      <c r="C8484" s="1" t="str">
        <f>HYPERLINK("http://stackoverflow.com/users/10560886", "NoBody")</f>
        <v>NoBody</v>
      </c>
      <c r="D8484" t="s">
        <v>118</v>
      </c>
      <c r="E8484">
        <v>1</v>
      </c>
    </row>
    <row r="8485" spans="1:5" x14ac:dyDescent="0.25">
      <c r="A8485">
        <v>8484</v>
      </c>
      <c r="B8485">
        <v>10561268</v>
      </c>
      <c r="C8485" s="1" t="str">
        <f>HYPERLINK("http://stackoverflow.com/users/10561268", "June Du")</f>
        <v>June Du</v>
      </c>
      <c r="D8485" t="s">
        <v>4</v>
      </c>
      <c r="E8485">
        <v>1</v>
      </c>
    </row>
    <row r="8486" spans="1:5" x14ac:dyDescent="0.25">
      <c r="A8486">
        <v>8485</v>
      </c>
      <c r="B8486">
        <v>5182971</v>
      </c>
      <c r="C8486" s="1" t="str">
        <f>HYPERLINK("http://stackoverflow.com/users/5182971", "L.Chen")</f>
        <v>L.Chen</v>
      </c>
      <c r="D8486" t="s">
        <v>5</v>
      </c>
      <c r="E8486">
        <v>1</v>
      </c>
    </row>
    <row r="8487" spans="1:5" x14ac:dyDescent="0.25">
      <c r="A8487">
        <v>8486</v>
      </c>
      <c r="B8487">
        <v>8759171</v>
      </c>
      <c r="C8487" s="1" t="str">
        <f>HYPERLINK("http://stackoverflow.com/users/8759171", "H_mobile001")</f>
        <v>H_mobile001</v>
      </c>
      <c r="D8487" t="s">
        <v>33</v>
      </c>
      <c r="E8487">
        <v>1</v>
      </c>
    </row>
    <row r="8488" spans="1:5" x14ac:dyDescent="0.25">
      <c r="A8488">
        <v>8487</v>
      </c>
      <c r="B8488">
        <v>8762613</v>
      </c>
      <c r="C8488" s="1" t="str">
        <f>HYPERLINK("http://stackoverflow.com/users/8762613", "Abin")</f>
        <v>Abin</v>
      </c>
      <c r="D8488" t="s">
        <v>10</v>
      </c>
      <c r="E8488">
        <v>1</v>
      </c>
    </row>
    <row r="8489" spans="1:5" x14ac:dyDescent="0.25">
      <c r="A8489">
        <v>8488</v>
      </c>
      <c r="B8489">
        <v>8762692</v>
      </c>
      <c r="C8489" s="1" t="str">
        <f>HYPERLINK("http://stackoverflow.com/users/8762692", "headchen")</f>
        <v>headchen</v>
      </c>
      <c r="D8489" t="s">
        <v>123</v>
      </c>
      <c r="E8489">
        <v>1</v>
      </c>
    </row>
    <row r="8490" spans="1:5" x14ac:dyDescent="0.25">
      <c r="A8490">
        <v>8489</v>
      </c>
      <c r="B8490">
        <v>8762772</v>
      </c>
      <c r="C8490" s="1" t="str">
        <f>HYPERLINK("http://stackoverflow.com/users/8762772", "lcgkm")</f>
        <v>lcgkm</v>
      </c>
      <c r="D8490" t="s">
        <v>4</v>
      </c>
      <c r="E8490">
        <v>1</v>
      </c>
    </row>
    <row r="8491" spans="1:5" x14ac:dyDescent="0.25">
      <c r="A8491">
        <v>8490</v>
      </c>
      <c r="B8491">
        <v>8762845</v>
      </c>
      <c r="C8491" s="1" t="str">
        <f>HYPERLINK("http://stackoverflow.com/users/8762845", "Wang Jane")</f>
        <v>Wang Jane</v>
      </c>
      <c r="D8491" t="s">
        <v>5</v>
      </c>
      <c r="E8491">
        <v>1</v>
      </c>
    </row>
    <row r="8492" spans="1:5" x14ac:dyDescent="0.25">
      <c r="A8492">
        <v>8491</v>
      </c>
      <c r="B8492">
        <v>5190357</v>
      </c>
      <c r="C8492" s="1" t="str">
        <f>HYPERLINK("http://stackoverflow.com/users/5190357", "yannsun")</f>
        <v>yannsun</v>
      </c>
      <c r="D8492" t="s">
        <v>5</v>
      </c>
      <c r="E8492">
        <v>1</v>
      </c>
    </row>
    <row r="8493" spans="1:5" x14ac:dyDescent="0.25">
      <c r="A8493">
        <v>8492</v>
      </c>
      <c r="B8493">
        <v>3381471</v>
      </c>
      <c r="C8493" s="1" t="str">
        <f>HYPERLINK("http://stackoverflow.com/users/3381471", "Also")</f>
        <v>Also</v>
      </c>
      <c r="D8493" t="s">
        <v>5</v>
      </c>
      <c r="E8493">
        <v>1</v>
      </c>
    </row>
    <row r="8494" spans="1:5" x14ac:dyDescent="0.25">
      <c r="A8494">
        <v>8493</v>
      </c>
      <c r="B8494">
        <v>10578086</v>
      </c>
      <c r="C8494" s="1" t="str">
        <f>HYPERLINK("http://stackoverflow.com/users/10578086", "haowei shen")</f>
        <v>haowei shen</v>
      </c>
      <c r="D8494" t="s">
        <v>4</v>
      </c>
      <c r="E8494">
        <v>1</v>
      </c>
    </row>
    <row r="8495" spans="1:5" x14ac:dyDescent="0.25">
      <c r="A8495">
        <v>8494</v>
      </c>
      <c r="B8495">
        <v>10578155</v>
      </c>
      <c r="C8495" s="1" t="str">
        <f>HYPERLINK("http://stackoverflow.com/users/10578155", "Jian Chen")</f>
        <v>Jian Chen</v>
      </c>
      <c r="D8495" t="s">
        <v>4</v>
      </c>
      <c r="E8495">
        <v>1</v>
      </c>
    </row>
    <row r="8496" spans="1:5" x14ac:dyDescent="0.25">
      <c r="A8496">
        <v>8495</v>
      </c>
      <c r="B8496">
        <v>10578480</v>
      </c>
      <c r="C8496" s="1" t="str">
        <f>HYPERLINK("http://stackoverflow.com/users/10578480", "Lukas Leong")</f>
        <v>Lukas Leong</v>
      </c>
      <c r="D8496" t="s">
        <v>4</v>
      </c>
      <c r="E8496">
        <v>1</v>
      </c>
    </row>
    <row r="8497" spans="1:5" x14ac:dyDescent="0.25">
      <c r="A8497">
        <v>8496</v>
      </c>
      <c r="B8497">
        <v>10581406</v>
      </c>
      <c r="C8497" s="1" t="str">
        <f>HYPERLINK("http://stackoverflow.com/users/10581406", "li kangkang")</f>
        <v>li kangkang</v>
      </c>
      <c r="D8497" t="s">
        <v>5</v>
      </c>
      <c r="E8497">
        <v>1</v>
      </c>
    </row>
    <row r="8498" spans="1:5" x14ac:dyDescent="0.25">
      <c r="A8498">
        <v>8497</v>
      </c>
      <c r="B8498">
        <v>1536578</v>
      </c>
      <c r="C8498" s="1" t="str">
        <f>HYPERLINK("http://stackoverflow.com/users/1536578", "chinavane")</f>
        <v>chinavane</v>
      </c>
      <c r="D8498" t="s">
        <v>12</v>
      </c>
      <c r="E8498">
        <v>1</v>
      </c>
    </row>
    <row r="8499" spans="1:5" x14ac:dyDescent="0.25">
      <c r="A8499">
        <v>8498</v>
      </c>
      <c r="B8499">
        <v>1536586</v>
      </c>
      <c r="C8499" s="1" t="str">
        <f>HYPERLINK("http://stackoverflow.com/users/1536586", "Jimmy.liu")</f>
        <v>Jimmy.liu</v>
      </c>
      <c r="D8499" t="s">
        <v>4</v>
      </c>
      <c r="E8499">
        <v>1</v>
      </c>
    </row>
    <row r="8500" spans="1:5" x14ac:dyDescent="0.25">
      <c r="A8500">
        <v>8499</v>
      </c>
      <c r="B8500">
        <v>1536597</v>
      </c>
      <c r="C8500" s="1" t="str">
        <f>HYPERLINK("http://stackoverflow.com/users/1536597", "pilihou")</f>
        <v>pilihou</v>
      </c>
      <c r="D8500" t="s">
        <v>38</v>
      </c>
      <c r="E8500">
        <v>1</v>
      </c>
    </row>
    <row r="8501" spans="1:5" x14ac:dyDescent="0.25">
      <c r="A8501">
        <v>8500</v>
      </c>
      <c r="B8501">
        <v>1536613</v>
      </c>
      <c r="C8501" s="1" t="str">
        <f>HYPERLINK("http://stackoverflow.com/users/1536613", "EricChenShuQin")</f>
        <v>EricChenShuQin</v>
      </c>
      <c r="D8501" t="s">
        <v>4</v>
      </c>
      <c r="E8501">
        <v>1</v>
      </c>
    </row>
    <row r="8502" spans="1:5" x14ac:dyDescent="0.25">
      <c r="A8502">
        <v>8501</v>
      </c>
      <c r="B8502">
        <v>1621508</v>
      </c>
      <c r="C8502" s="1" t="str">
        <f>HYPERLINK("http://stackoverflow.com/users/1621508", "Daniel Hui")</f>
        <v>Daniel Hui</v>
      </c>
      <c r="D8502" t="s">
        <v>8</v>
      </c>
      <c r="E8502">
        <v>1</v>
      </c>
    </row>
    <row r="8503" spans="1:5" x14ac:dyDescent="0.25">
      <c r="A8503">
        <v>8502</v>
      </c>
      <c r="B8503">
        <v>1621361</v>
      </c>
      <c r="C8503" s="1" t="str">
        <f>HYPERLINK("http://stackoverflow.com/users/1621361", "孙建闯")</f>
        <v>孙建闯</v>
      </c>
      <c r="D8503" t="s">
        <v>35</v>
      </c>
      <c r="E8503">
        <v>1</v>
      </c>
    </row>
    <row r="8504" spans="1:5" x14ac:dyDescent="0.25">
      <c r="A8504">
        <v>8503</v>
      </c>
      <c r="B8504">
        <v>1616509</v>
      </c>
      <c r="C8504" s="1" t="str">
        <f>HYPERLINK("http://stackoverflow.com/users/1616509", "Randy")</f>
        <v>Randy</v>
      </c>
      <c r="D8504" t="s">
        <v>5</v>
      </c>
      <c r="E8504">
        <v>1</v>
      </c>
    </row>
    <row r="8505" spans="1:5" x14ac:dyDescent="0.25">
      <c r="A8505">
        <v>8504</v>
      </c>
      <c r="B8505">
        <v>1616537</v>
      </c>
      <c r="C8505" s="1" t="str">
        <f>HYPERLINK("http://stackoverflow.com/users/1616537", "Kriswang24")</f>
        <v>Kriswang24</v>
      </c>
      <c r="D8505" t="s">
        <v>5</v>
      </c>
      <c r="E8505">
        <v>1</v>
      </c>
    </row>
    <row r="8506" spans="1:5" x14ac:dyDescent="0.25">
      <c r="A8506">
        <v>8505</v>
      </c>
      <c r="B8506">
        <v>7023757</v>
      </c>
      <c r="C8506" s="1" t="str">
        <f>HYPERLINK("http://stackoverflow.com/users/7023757", "P.wizard")</f>
        <v>P.wizard</v>
      </c>
      <c r="D8506" t="s">
        <v>42</v>
      </c>
      <c r="E8506">
        <v>1</v>
      </c>
    </row>
    <row r="8507" spans="1:5" x14ac:dyDescent="0.25">
      <c r="A8507">
        <v>8506</v>
      </c>
      <c r="B8507">
        <v>1625842</v>
      </c>
      <c r="C8507" s="1" t="str">
        <f>HYPERLINK("http://stackoverflow.com/users/1625842", "KDr2")</f>
        <v>KDr2</v>
      </c>
      <c r="D8507" t="s">
        <v>454</v>
      </c>
      <c r="E8507">
        <v>1</v>
      </c>
    </row>
    <row r="8508" spans="1:5" x14ac:dyDescent="0.25">
      <c r="A8508">
        <v>8507</v>
      </c>
      <c r="B8508">
        <v>1626677</v>
      </c>
      <c r="C8508" s="1" t="str">
        <f>HYPERLINK("http://stackoverflow.com/users/1626677", "Taokey")</f>
        <v>Taokey</v>
      </c>
      <c r="D8508" t="s">
        <v>5</v>
      </c>
      <c r="E8508">
        <v>1</v>
      </c>
    </row>
    <row r="8509" spans="1:5" x14ac:dyDescent="0.25">
      <c r="A8509">
        <v>8508</v>
      </c>
      <c r="B8509">
        <v>10683420</v>
      </c>
      <c r="C8509" s="1" t="str">
        <f>HYPERLINK("http://stackoverflow.com/users/10683420", "caden")</f>
        <v>caden</v>
      </c>
      <c r="D8509" t="s">
        <v>28</v>
      </c>
      <c r="E8509">
        <v>1</v>
      </c>
    </row>
    <row r="8510" spans="1:5" x14ac:dyDescent="0.25">
      <c r="A8510">
        <v>8509</v>
      </c>
      <c r="B8510">
        <v>10683496</v>
      </c>
      <c r="C8510" s="1" t="str">
        <f>HYPERLINK("http://stackoverflow.com/users/10683496", "Minhu Wang")</f>
        <v>Minhu Wang</v>
      </c>
      <c r="D8510" t="s">
        <v>5</v>
      </c>
      <c r="E8510">
        <v>1</v>
      </c>
    </row>
    <row r="8511" spans="1:5" x14ac:dyDescent="0.25">
      <c r="A8511">
        <v>8510</v>
      </c>
      <c r="B8511">
        <v>10683573</v>
      </c>
      <c r="C8511" s="1" t="str">
        <f>HYPERLINK("http://stackoverflow.com/users/10683573", "Alex Jacky")</f>
        <v>Alex Jacky</v>
      </c>
      <c r="D8511" t="s">
        <v>455</v>
      </c>
      <c r="E8511">
        <v>1</v>
      </c>
    </row>
    <row r="8512" spans="1:5" x14ac:dyDescent="0.25">
      <c r="A8512">
        <v>8511</v>
      </c>
      <c r="B8512">
        <v>10683711</v>
      </c>
      <c r="C8512" s="1" t="str">
        <f>HYPERLINK("http://stackoverflow.com/users/10683711", "xaxa claver")</f>
        <v>xaxa claver</v>
      </c>
      <c r="D8512" t="s">
        <v>16</v>
      </c>
      <c r="E8512">
        <v>1</v>
      </c>
    </row>
    <row r="8513" spans="1:5" x14ac:dyDescent="0.25">
      <c r="A8513">
        <v>8512</v>
      </c>
      <c r="B8513">
        <v>7046474</v>
      </c>
      <c r="C8513" s="1" t="str">
        <f>HYPERLINK("http://stackoverflow.com/users/7046474", "Wukong")</f>
        <v>Wukong</v>
      </c>
      <c r="D8513" t="s">
        <v>5</v>
      </c>
      <c r="E8513">
        <v>1</v>
      </c>
    </row>
    <row r="8514" spans="1:5" x14ac:dyDescent="0.25">
      <c r="A8514">
        <v>8513</v>
      </c>
      <c r="B8514">
        <v>5272275</v>
      </c>
      <c r="C8514" s="1" t="str">
        <f>HYPERLINK("http://stackoverflow.com/users/5272275", "Yong Wang")</f>
        <v>Yong Wang</v>
      </c>
      <c r="D8514" t="s">
        <v>5</v>
      </c>
      <c r="E8514">
        <v>1</v>
      </c>
    </row>
    <row r="8515" spans="1:5" x14ac:dyDescent="0.25">
      <c r="A8515">
        <v>8514</v>
      </c>
      <c r="B8515">
        <v>8861393</v>
      </c>
      <c r="C8515" s="1" t="str">
        <f>HYPERLINK("http://stackoverflow.com/users/8861393", "Jake Zou")</f>
        <v>Jake Zou</v>
      </c>
      <c r="D8515" t="s">
        <v>4</v>
      </c>
      <c r="E8515">
        <v>1</v>
      </c>
    </row>
    <row r="8516" spans="1:5" x14ac:dyDescent="0.25">
      <c r="A8516">
        <v>8515</v>
      </c>
      <c r="B8516">
        <v>5279378</v>
      </c>
      <c r="C8516" s="1" t="str">
        <f>HYPERLINK("http://stackoverflow.com/users/5279378", "Jayden")</f>
        <v>Jayden</v>
      </c>
      <c r="D8516" t="s">
        <v>4</v>
      </c>
      <c r="E8516">
        <v>1</v>
      </c>
    </row>
    <row r="8517" spans="1:5" x14ac:dyDescent="0.25">
      <c r="A8517">
        <v>8516</v>
      </c>
      <c r="B8517">
        <v>7042170</v>
      </c>
      <c r="C8517" s="1" t="str">
        <f>HYPERLINK("http://stackoverflow.com/users/7042170", "Myron")</f>
        <v>Myron</v>
      </c>
      <c r="D8517" t="s">
        <v>7</v>
      </c>
      <c r="E8517">
        <v>1</v>
      </c>
    </row>
    <row r="8518" spans="1:5" x14ac:dyDescent="0.25">
      <c r="A8518">
        <v>8517</v>
      </c>
      <c r="B8518">
        <v>7042955</v>
      </c>
      <c r="C8518" s="1" t="str">
        <f>HYPERLINK("http://stackoverflow.com/users/7042955", "StarSky")</f>
        <v>StarSky</v>
      </c>
      <c r="D8518" t="s">
        <v>19</v>
      </c>
      <c r="E8518">
        <v>1</v>
      </c>
    </row>
    <row r="8519" spans="1:5" x14ac:dyDescent="0.25">
      <c r="A8519">
        <v>8518</v>
      </c>
      <c r="B8519">
        <v>5283556</v>
      </c>
      <c r="C8519" s="1" t="str">
        <f>HYPERLINK("http://stackoverflow.com/users/5283556", "caicoder")</f>
        <v>caicoder</v>
      </c>
      <c r="D8519" t="s">
        <v>5</v>
      </c>
      <c r="E8519">
        <v>1</v>
      </c>
    </row>
    <row r="8520" spans="1:5" x14ac:dyDescent="0.25">
      <c r="A8520">
        <v>8519</v>
      </c>
      <c r="B8520">
        <v>5283671</v>
      </c>
      <c r="C8520" s="1" t="str">
        <f>HYPERLINK("http://stackoverflow.com/users/5283671", "onefiter")</f>
        <v>onefiter</v>
      </c>
      <c r="D8520" t="s">
        <v>5</v>
      </c>
      <c r="E8520">
        <v>1</v>
      </c>
    </row>
    <row r="8521" spans="1:5" x14ac:dyDescent="0.25">
      <c r="A8521">
        <v>8520</v>
      </c>
      <c r="B8521">
        <v>5283792</v>
      </c>
      <c r="C8521" s="1" t="str">
        <f>HYPERLINK("http://stackoverflow.com/users/5283792", "cn00")</f>
        <v>cn00</v>
      </c>
      <c r="D8521" t="s">
        <v>4</v>
      </c>
      <c r="E8521">
        <v>1</v>
      </c>
    </row>
    <row r="8522" spans="1:5" x14ac:dyDescent="0.25">
      <c r="A8522">
        <v>8521</v>
      </c>
      <c r="B8522">
        <v>8816897</v>
      </c>
      <c r="C8522" s="1" t="str">
        <f>HYPERLINK("http://stackoverflow.com/users/8816897", "lianmin")</f>
        <v>lianmin</v>
      </c>
      <c r="D8522" t="s">
        <v>16</v>
      </c>
      <c r="E8522">
        <v>1</v>
      </c>
    </row>
    <row r="8523" spans="1:5" x14ac:dyDescent="0.25">
      <c r="A8523">
        <v>8522</v>
      </c>
      <c r="B8523">
        <v>8816971</v>
      </c>
      <c r="C8523" s="1" t="str">
        <f>HYPERLINK("http://stackoverflow.com/users/8816971", "user8816971")</f>
        <v>user8816971</v>
      </c>
      <c r="D8523" t="s">
        <v>4</v>
      </c>
      <c r="E8523">
        <v>1</v>
      </c>
    </row>
    <row r="8524" spans="1:5" x14ac:dyDescent="0.25">
      <c r="A8524">
        <v>8523</v>
      </c>
      <c r="B8524">
        <v>5246176</v>
      </c>
      <c r="C8524" s="1" t="str">
        <f>HYPERLINK("http://stackoverflow.com/users/5246176", "David Xu")</f>
        <v>David Xu</v>
      </c>
      <c r="D8524" t="s">
        <v>298</v>
      </c>
      <c r="E8524">
        <v>1</v>
      </c>
    </row>
    <row r="8525" spans="1:5" x14ac:dyDescent="0.25">
      <c r="A8525">
        <v>8524</v>
      </c>
      <c r="B8525">
        <v>10640640</v>
      </c>
      <c r="C8525" s="1" t="str">
        <f>HYPERLINK("http://stackoverflow.com/users/10640640", "Albert7")</f>
        <v>Albert7</v>
      </c>
      <c r="D8525" t="s">
        <v>4</v>
      </c>
      <c r="E8525">
        <v>1</v>
      </c>
    </row>
    <row r="8526" spans="1:5" x14ac:dyDescent="0.25">
      <c r="A8526">
        <v>8525</v>
      </c>
      <c r="B8526">
        <v>3442147</v>
      </c>
      <c r="C8526" s="1" t="str">
        <f>HYPERLINK("http://stackoverflow.com/users/3442147", "CholeTsui")</f>
        <v>CholeTsui</v>
      </c>
      <c r="D8526" t="s">
        <v>8</v>
      </c>
      <c r="E8526">
        <v>1</v>
      </c>
    </row>
    <row r="8527" spans="1:5" x14ac:dyDescent="0.25">
      <c r="A8527">
        <v>8526</v>
      </c>
      <c r="B8527">
        <v>5250024</v>
      </c>
      <c r="C8527" s="1" t="str">
        <f>HYPERLINK("http://stackoverflow.com/users/5250024", "bitstring")</f>
        <v>bitstring</v>
      </c>
      <c r="D8527" t="s">
        <v>4</v>
      </c>
      <c r="E8527">
        <v>1</v>
      </c>
    </row>
    <row r="8528" spans="1:5" x14ac:dyDescent="0.25">
      <c r="A8528">
        <v>8527</v>
      </c>
      <c r="B8528">
        <v>5250127</v>
      </c>
      <c r="C8528" s="1" t="str">
        <f>HYPERLINK("http://stackoverflow.com/users/5250127", "Steward")</f>
        <v>Steward</v>
      </c>
      <c r="D8528" t="s">
        <v>54</v>
      </c>
      <c r="E8528">
        <v>1</v>
      </c>
    </row>
    <row r="8529" spans="1:5" x14ac:dyDescent="0.25">
      <c r="A8529">
        <v>8528</v>
      </c>
      <c r="B8529">
        <v>1606476</v>
      </c>
      <c r="C8529" s="1" t="str">
        <f>HYPERLINK("http://stackoverflow.com/users/1606476", "lanhuai")</f>
        <v>lanhuai</v>
      </c>
      <c r="D8529" t="s">
        <v>57</v>
      </c>
      <c r="E8529">
        <v>1</v>
      </c>
    </row>
    <row r="8530" spans="1:5" x14ac:dyDescent="0.25">
      <c r="A8530">
        <v>8529</v>
      </c>
      <c r="B8530">
        <v>1606765</v>
      </c>
      <c r="C8530" s="1" t="str">
        <f>HYPERLINK("http://stackoverflow.com/users/1606765", "Wenbin")</f>
        <v>Wenbin</v>
      </c>
      <c r="D8530" t="s">
        <v>12</v>
      </c>
      <c r="E8530">
        <v>1</v>
      </c>
    </row>
    <row r="8531" spans="1:5" x14ac:dyDescent="0.25">
      <c r="A8531">
        <v>8530</v>
      </c>
      <c r="B8531">
        <v>7002854</v>
      </c>
      <c r="C8531" s="1" t="str">
        <f>HYPERLINK("http://stackoverflow.com/users/7002854", "蒲东村帅")</f>
        <v>蒲东村帅</v>
      </c>
      <c r="D8531" t="s">
        <v>456</v>
      </c>
      <c r="E8531">
        <v>1</v>
      </c>
    </row>
    <row r="8532" spans="1:5" x14ac:dyDescent="0.25">
      <c r="A8532">
        <v>8531</v>
      </c>
      <c r="B8532">
        <v>7005999</v>
      </c>
      <c r="C8532" s="1" t="str">
        <f>HYPERLINK("http://stackoverflow.com/users/7005999", "titus")</f>
        <v>titus</v>
      </c>
      <c r="D8532" t="s">
        <v>7</v>
      </c>
      <c r="E8532">
        <v>1</v>
      </c>
    </row>
    <row r="8533" spans="1:5" x14ac:dyDescent="0.25">
      <c r="A8533">
        <v>8532</v>
      </c>
      <c r="B8533">
        <v>5246034</v>
      </c>
      <c r="C8533" s="1" t="str">
        <f>HYPERLINK("http://stackoverflow.com/users/5246034", "Good Lee")</f>
        <v>Good Lee</v>
      </c>
      <c r="D8533" t="s">
        <v>5</v>
      </c>
      <c r="E8533">
        <v>1</v>
      </c>
    </row>
    <row r="8534" spans="1:5" x14ac:dyDescent="0.25">
      <c r="A8534">
        <v>8533</v>
      </c>
      <c r="B8534">
        <v>5238600</v>
      </c>
      <c r="C8534" s="1" t="str">
        <f>HYPERLINK("http://stackoverflow.com/users/5238600", "Cristiano")</f>
        <v>Cristiano</v>
      </c>
      <c r="D8534" t="s">
        <v>4</v>
      </c>
      <c r="E8534">
        <v>1</v>
      </c>
    </row>
    <row r="8535" spans="1:5" x14ac:dyDescent="0.25">
      <c r="A8535">
        <v>8534</v>
      </c>
      <c r="B8535">
        <v>5238812</v>
      </c>
      <c r="C8535" s="1" t="str">
        <f>HYPERLINK("http://stackoverflow.com/users/5238812", "steven")</f>
        <v>steven</v>
      </c>
      <c r="D8535" t="s">
        <v>43</v>
      </c>
      <c r="E8535">
        <v>1</v>
      </c>
    </row>
    <row r="8536" spans="1:5" x14ac:dyDescent="0.25">
      <c r="A8536">
        <v>8535</v>
      </c>
      <c r="B8536">
        <v>8816788</v>
      </c>
      <c r="C8536" s="1" t="str">
        <f>HYPERLINK("http://stackoverflow.com/users/8816788", "lizhijun")</f>
        <v>lizhijun</v>
      </c>
      <c r="D8536" t="s">
        <v>177</v>
      </c>
      <c r="E8536">
        <v>1</v>
      </c>
    </row>
    <row r="8537" spans="1:5" x14ac:dyDescent="0.25">
      <c r="A8537">
        <v>8536</v>
      </c>
      <c r="B8537">
        <v>1616096</v>
      </c>
      <c r="C8537" s="1" t="str">
        <f>HYPERLINK("http://stackoverflow.com/users/1616096", "Blocked")</f>
        <v>Blocked</v>
      </c>
      <c r="D8537" t="s">
        <v>37</v>
      </c>
      <c r="E8537">
        <v>1</v>
      </c>
    </row>
    <row r="8538" spans="1:5" x14ac:dyDescent="0.25">
      <c r="A8538">
        <v>8537</v>
      </c>
      <c r="B8538">
        <v>1607053</v>
      </c>
      <c r="C8538" s="1" t="str">
        <f>HYPERLINK("http://stackoverflow.com/users/1607053", "Shen Ye")</f>
        <v>Shen Ye</v>
      </c>
      <c r="D8538" t="s">
        <v>28</v>
      </c>
      <c r="E8538">
        <v>1</v>
      </c>
    </row>
    <row r="8539" spans="1:5" x14ac:dyDescent="0.25">
      <c r="A8539">
        <v>8538</v>
      </c>
      <c r="B8539">
        <v>3453863</v>
      </c>
      <c r="C8539" s="1" t="str">
        <f>HYPERLINK("http://stackoverflow.com/users/3453863", "Endone")</f>
        <v>Endone</v>
      </c>
      <c r="D8539" t="s">
        <v>12</v>
      </c>
      <c r="E8539">
        <v>1</v>
      </c>
    </row>
    <row r="8540" spans="1:5" x14ac:dyDescent="0.25">
      <c r="A8540">
        <v>8539</v>
      </c>
      <c r="B8540">
        <v>3453938</v>
      </c>
      <c r="C8540" s="1" t="str">
        <f>HYPERLINK("http://stackoverflow.com/users/3453938", "SHANG")</f>
        <v>SHANG</v>
      </c>
      <c r="D8540" t="s">
        <v>5</v>
      </c>
      <c r="E8540">
        <v>1</v>
      </c>
    </row>
    <row r="8541" spans="1:5" x14ac:dyDescent="0.25">
      <c r="A8541">
        <v>8540</v>
      </c>
      <c r="B8541">
        <v>10653405</v>
      </c>
      <c r="C8541" s="1" t="str">
        <f>HYPERLINK("http://stackoverflow.com/users/10653405", "leon Vinci")</f>
        <v>leon Vinci</v>
      </c>
      <c r="D8541" t="s">
        <v>320</v>
      </c>
      <c r="E8541">
        <v>1</v>
      </c>
    </row>
    <row r="8542" spans="1:5" x14ac:dyDescent="0.25">
      <c r="A8542">
        <v>8541</v>
      </c>
      <c r="B8542">
        <v>10657669</v>
      </c>
      <c r="C8542" s="1" t="str">
        <f>HYPERLINK("http://stackoverflow.com/users/10657669", "yinni")</f>
        <v>yinni</v>
      </c>
      <c r="D8542" t="s">
        <v>37</v>
      </c>
      <c r="E8542">
        <v>1</v>
      </c>
    </row>
    <row r="8543" spans="1:5" x14ac:dyDescent="0.25">
      <c r="A8543">
        <v>8542</v>
      </c>
      <c r="B8543">
        <v>8834710</v>
      </c>
      <c r="C8543" s="1" t="str">
        <f>HYPERLINK("http://stackoverflow.com/users/8834710", "Tienyin Rien")</f>
        <v>Tienyin Rien</v>
      </c>
      <c r="D8543" t="s">
        <v>5</v>
      </c>
      <c r="E8543">
        <v>1</v>
      </c>
    </row>
    <row r="8544" spans="1:5" x14ac:dyDescent="0.25">
      <c r="A8544">
        <v>8543</v>
      </c>
      <c r="B8544">
        <v>8834774</v>
      </c>
      <c r="C8544" s="1" t="str">
        <f>HYPERLINK("http://stackoverflow.com/users/8834774", "Tina Bao")</f>
        <v>Tina Bao</v>
      </c>
      <c r="D8544" t="s">
        <v>4</v>
      </c>
      <c r="E8544">
        <v>1</v>
      </c>
    </row>
    <row r="8545" spans="1:5" x14ac:dyDescent="0.25">
      <c r="A8545">
        <v>8544</v>
      </c>
      <c r="B8545">
        <v>8834796</v>
      </c>
      <c r="C8545" s="1" t="str">
        <f>HYPERLINK("http://stackoverflow.com/users/8834796", "Blue Comet")</f>
        <v>Blue Comet</v>
      </c>
      <c r="D8545" t="s">
        <v>87</v>
      </c>
      <c r="E8545">
        <v>1</v>
      </c>
    </row>
    <row r="8546" spans="1:5" x14ac:dyDescent="0.25">
      <c r="A8546">
        <v>8545</v>
      </c>
      <c r="B8546">
        <v>8834827</v>
      </c>
      <c r="C8546" s="1" t="str">
        <f>HYPERLINK("http://stackoverflow.com/users/8834827", "John")</f>
        <v>John</v>
      </c>
      <c r="D8546" t="s">
        <v>4</v>
      </c>
      <c r="E8546">
        <v>1</v>
      </c>
    </row>
    <row r="8547" spans="1:5" x14ac:dyDescent="0.25">
      <c r="A8547">
        <v>8546</v>
      </c>
      <c r="B8547">
        <v>7016636</v>
      </c>
      <c r="C8547" s="1" t="str">
        <f>HYPERLINK("http://stackoverflow.com/users/7016636", "Quan Zhao")</f>
        <v>Quan Zhao</v>
      </c>
      <c r="D8547" t="s">
        <v>5</v>
      </c>
      <c r="E8547">
        <v>1</v>
      </c>
    </row>
    <row r="8548" spans="1:5" x14ac:dyDescent="0.25">
      <c r="A8548">
        <v>8547</v>
      </c>
      <c r="B8548">
        <v>10649387</v>
      </c>
      <c r="C8548" s="1" t="str">
        <f>HYPERLINK("http://stackoverflow.com/users/10649387", "jay lee")</f>
        <v>jay lee</v>
      </c>
      <c r="D8548" t="s">
        <v>5</v>
      </c>
      <c r="E8548">
        <v>1</v>
      </c>
    </row>
    <row r="8549" spans="1:5" x14ac:dyDescent="0.25">
      <c r="A8549">
        <v>8548</v>
      </c>
      <c r="B8549">
        <v>8838510</v>
      </c>
      <c r="C8549" s="1" t="str">
        <f>HYPERLINK("http://stackoverflow.com/users/8838510", "文世金")</f>
        <v>文世金</v>
      </c>
      <c r="D8549" t="s">
        <v>457</v>
      </c>
      <c r="E8549">
        <v>1</v>
      </c>
    </row>
    <row r="8550" spans="1:5" x14ac:dyDescent="0.25">
      <c r="A8550">
        <v>8549</v>
      </c>
      <c r="B8550">
        <v>8838609</v>
      </c>
      <c r="C8550" s="1" t="str">
        <f>HYPERLINK("http://stackoverflow.com/users/8838609", "Bin Zhang")</f>
        <v>Bin Zhang</v>
      </c>
      <c r="D8550" t="s">
        <v>4</v>
      </c>
      <c r="E8550">
        <v>1</v>
      </c>
    </row>
    <row r="8551" spans="1:5" x14ac:dyDescent="0.25">
      <c r="A8551">
        <v>8550</v>
      </c>
      <c r="B8551">
        <v>8838878</v>
      </c>
      <c r="C8551" s="1" t="str">
        <f>HYPERLINK("http://stackoverflow.com/users/8838878", "Mian Yasir")</f>
        <v>Mian Yasir</v>
      </c>
      <c r="D8551" t="s">
        <v>5</v>
      </c>
      <c r="E8551">
        <v>1</v>
      </c>
    </row>
    <row r="8552" spans="1:5" x14ac:dyDescent="0.25">
      <c r="A8552">
        <v>8551</v>
      </c>
      <c r="B8552">
        <v>5256762</v>
      </c>
      <c r="C8552" s="1" t="str">
        <f>HYPERLINK("http://stackoverflow.com/users/5256762", "Aixtuz")</f>
        <v>Aixtuz</v>
      </c>
      <c r="D8552" t="s">
        <v>5</v>
      </c>
      <c r="E8552">
        <v>1</v>
      </c>
    </row>
    <row r="8553" spans="1:5" x14ac:dyDescent="0.25">
      <c r="A8553">
        <v>8552</v>
      </c>
      <c r="B8553">
        <v>10627432</v>
      </c>
      <c r="C8553" s="1" t="str">
        <f>HYPERLINK("http://stackoverflow.com/users/10627432", "Z.Wang")</f>
        <v>Z.Wang</v>
      </c>
      <c r="D8553" t="s">
        <v>4</v>
      </c>
      <c r="E8553">
        <v>1</v>
      </c>
    </row>
    <row r="8554" spans="1:5" x14ac:dyDescent="0.25">
      <c r="A8554">
        <v>8553</v>
      </c>
      <c r="B8554">
        <v>10627587</v>
      </c>
      <c r="C8554" s="1" t="str">
        <f>HYPERLINK("http://stackoverflow.com/users/10627587", "Cerrado M. Xu")</f>
        <v>Cerrado M. Xu</v>
      </c>
      <c r="D8554" t="s">
        <v>28</v>
      </c>
      <c r="E8554">
        <v>1</v>
      </c>
    </row>
    <row r="8555" spans="1:5" x14ac:dyDescent="0.25">
      <c r="A8555">
        <v>8554</v>
      </c>
      <c r="B8555">
        <v>10627705</v>
      </c>
      <c r="C8555" s="1" t="str">
        <f>HYPERLINK("http://stackoverflow.com/users/10627705", "gelbottle")</f>
        <v>gelbottle</v>
      </c>
      <c r="D8555" t="s">
        <v>458</v>
      </c>
      <c r="E8555">
        <v>1</v>
      </c>
    </row>
    <row r="8556" spans="1:5" x14ac:dyDescent="0.25">
      <c r="A8556">
        <v>8555</v>
      </c>
      <c r="B8556">
        <v>1586419</v>
      </c>
      <c r="C8556" s="1" t="str">
        <f>HYPERLINK("http://stackoverflow.com/users/1586419", "fengzee")</f>
        <v>fengzee</v>
      </c>
      <c r="D8556" t="s">
        <v>5</v>
      </c>
      <c r="E8556">
        <v>1</v>
      </c>
    </row>
    <row r="8557" spans="1:5" x14ac:dyDescent="0.25">
      <c r="A8557">
        <v>8556</v>
      </c>
      <c r="B8557">
        <v>5230281</v>
      </c>
      <c r="C8557" s="1" t="str">
        <f>HYPERLINK("http://stackoverflow.com/users/5230281", "L_Zealot")</f>
        <v>L_Zealot</v>
      </c>
      <c r="D8557" t="s">
        <v>21</v>
      </c>
      <c r="E8557">
        <v>1</v>
      </c>
    </row>
    <row r="8558" spans="1:5" x14ac:dyDescent="0.25">
      <c r="A8558">
        <v>8557</v>
      </c>
      <c r="B8558">
        <v>6947806</v>
      </c>
      <c r="C8558" s="1" t="str">
        <f>HYPERLINK("http://stackoverflow.com/users/6947806", "Hazel")</f>
        <v>Hazel</v>
      </c>
      <c r="D8558" t="s">
        <v>16</v>
      </c>
      <c r="E8558">
        <v>1</v>
      </c>
    </row>
    <row r="8559" spans="1:5" x14ac:dyDescent="0.25">
      <c r="A8559">
        <v>8558</v>
      </c>
      <c r="B8559">
        <v>5233662</v>
      </c>
      <c r="C8559" s="1" t="str">
        <f>HYPERLINK("http://stackoverflow.com/users/5233662", "ChuAnLiu")</f>
        <v>ChuAnLiu</v>
      </c>
      <c r="D8559" t="s">
        <v>5</v>
      </c>
      <c r="E8559">
        <v>1</v>
      </c>
    </row>
    <row r="8560" spans="1:5" x14ac:dyDescent="0.25">
      <c r="A8560">
        <v>8559</v>
      </c>
      <c r="B8560">
        <v>5233707</v>
      </c>
      <c r="C8560" s="1" t="str">
        <f>HYPERLINK("http://stackoverflow.com/users/5233707", "M.Sun")</f>
        <v>M.Sun</v>
      </c>
      <c r="D8560" t="s">
        <v>37</v>
      </c>
      <c r="E8560">
        <v>1</v>
      </c>
    </row>
    <row r="8561" spans="1:5" x14ac:dyDescent="0.25">
      <c r="A8561">
        <v>8560</v>
      </c>
      <c r="B8561">
        <v>5233759</v>
      </c>
      <c r="C8561" s="1" t="str">
        <f>HYPERLINK("http://stackoverflow.com/users/5233759", "NMWang")</f>
        <v>NMWang</v>
      </c>
      <c r="D8561" t="s">
        <v>12</v>
      </c>
      <c r="E8561">
        <v>1</v>
      </c>
    </row>
    <row r="8562" spans="1:5" x14ac:dyDescent="0.25">
      <c r="A8562">
        <v>8561</v>
      </c>
      <c r="B8562">
        <v>10627228</v>
      </c>
      <c r="C8562" s="1" t="str">
        <f>HYPERLINK("http://stackoverflow.com/users/10627228", "Long Lee")</f>
        <v>Long Lee</v>
      </c>
      <c r="D8562" t="s">
        <v>5</v>
      </c>
      <c r="E8562">
        <v>1</v>
      </c>
    </row>
    <row r="8563" spans="1:5" x14ac:dyDescent="0.25">
      <c r="A8563">
        <v>8562</v>
      </c>
      <c r="B8563">
        <v>5226135</v>
      </c>
      <c r="C8563" s="1" t="str">
        <f>HYPERLINK("http://stackoverflow.com/users/5226135", "genixiao")</f>
        <v>genixiao</v>
      </c>
      <c r="D8563" t="s">
        <v>4</v>
      </c>
      <c r="E8563">
        <v>1</v>
      </c>
    </row>
    <row r="8564" spans="1:5" x14ac:dyDescent="0.25">
      <c r="A8564">
        <v>8563</v>
      </c>
      <c r="B8564">
        <v>1570491</v>
      </c>
      <c r="C8564" s="1" t="str">
        <f>HYPERLINK("http://stackoverflow.com/users/1570491", "vinlon")</f>
        <v>vinlon</v>
      </c>
      <c r="D8564" t="s">
        <v>5</v>
      </c>
      <c r="E8564">
        <v>1</v>
      </c>
    </row>
    <row r="8565" spans="1:5" x14ac:dyDescent="0.25">
      <c r="A8565">
        <v>8564</v>
      </c>
      <c r="B8565">
        <v>1570565</v>
      </c>
      <c r="C8565" s="1" t="str">
        <f>HYPERLINK("http://stackoverflow.com/users/1570565", "loser")</f>
        <v>loser</v>
      </c>
      <c r="D8565" t="s">
        <v>4</v>
      </c>
      <c r="E8565">
        <v>1</v>
      </c>
    </row>
    <row r="8566" spans="1:5" x14ac:dyDescent="0.25">
      <c r="A8566">
        <v>8565</v>
      </c>
      <c r="B8566">
        <v>1570385</v>
      </c>
      <c r="C8566" s="1" t="str">
        <f>HYPERLINK("http://stackoverflow.com/users/1570385", "cuihua")</f>
        <v>cuihua</v>
      </c>
      <c r="D8566" t="s">
        <v>5</v>
      </c>
      <c r="E8566">
        <v>1</v>
      </c>
    </row>
    <row r="8567" spans="1:5" x14ac:dyDescent="0.25">
      <c r="A8567">
        <v>8566</v>
      </c>
      <c r="B8567">
        <v>1570239</v>
      </c>
      <c r="C8567" s="1" t="str">
        <f>HYPERLINK("http://stackoverflow.com/users/1570239", "exlimit")</f>
        <v>exlimit</v>
      </c>
      <c r="D8567" t="s">
        <v>37</v>
      </c>
      <c r="E8567">
        <v>1</v>
      </c>
    </row>
    <row r="8568" spans="1:5" x14ac:dyDescent="0.25">
      <c r="A8568">
        <v>8567</v>
      </c>
      <c r="B8568">
        <v>10621980</v>
      </c>
      <c r="C8568" s="1" t="str">
        <f>HYPERLINK("http://stackoverflow.com/users/10621980", "Md Rashed Bin Kuddus")</f>
        <v>Md Rashed Bin Kuddus</v>
      </c>
      <c r="D8568" t="s">
        <v>115</v>
      </c>
      <c r="E8568">
        <v>1</v>
      </c>
    </row>
    <row r="8569" spans="1:5" x14ac:dyDescent="0.25">
      <c r="A8569">
        <v>8568</v>
      </c>
      <c r="B8569">
        <v>10622325</v>
      </c>
      <c r="C8569" s="1" t="str">
        <f>HYPERLINK("http://stackoverflow.com/users/10622325", "Dongyang Hu")</f>
        <v>Dongyang Hu</v>
      </c>
      <c r="D8569" t="s">
        <v>5</v>
      </c>
      <c r="E8569">
        <v>1</v>
      </c>
    </row>
    <row r="8570" spans="1:5" x14ac:dyDescent="0.25">
      <c r="A8570">
        <v>8569</v>
      </c>
      <c r="B8570">
        <v>10622355</v>
      </c>
      <c r="C8570" s="1" t="str">
        <f>HYPERLINK("http://stackoverflow.com/users/10622355", "Carl-W")</f>
        <v>Carl-W</v>
      </c>
      <c r="D8570" t="s">
        <v>16</v>
      </c>
      <c r="E8570">
        <v>1</v>
      </c>
    </row>
    <row r="8571" spans="1:5" x14ac:dyDescent="0.25">
      <c r="A8571">
        <v>8570</v>
      </c>
      <c r="B8571">
        <v>10622404</v>
      </c>
      <c r="C8571" s="1" t="str">
        <f>HYPERLINK("http://stackoverflow.com/users/10622404", "kevin")</f>
        <v>kevin</v>
      </c>
      <c r="D8571" t="s">
        <v>4</v>
      </c>
      <c r="E8571">
        <v>1</v>
      </c>
    </row>
    <row r="8572" spans="1:5" x14ac:dyDescent="0.25">
      <c r="A8572">
        <v>8571</v>
      </c>
      <c r="B8572">
        <v>8811398</v>
      </c>
      <c r="C8572" s="1" t="str">
        <f>HYPERLINK("http://stackoverflow.com/users/8811398", "Jerry ")</f>
        <v xml:space="preserve">Jerry </v>
      </c>
      <c r="D8572" t="s">
        <v>4</v>
      </c>
      <c r="E8572">
        <v>1</v>
      </c>
    </row>
    <row r="8573" spans="1:5" x14ac:dyDescent="0.25">
      <c r="A8573">
        <v>8572</v>
      </c>
      <c r="B8573">
        <v>8811612</v>
      </c>
      <c r="C8573" s="1" t="str">
        <f>HYPERLINK("http://stackoverflow.com/users/8811612", "Erick")</f>
        <v>Erick</v>
      </c>
      <c r="D8573" t="s">
        <v>33</v>
      </c>
      <c r="E8573">
        <v>1</v>
      </c>
    </row>
    <row r="8574" spans="1:5" x14ac:dyDescent="0.25">
      <c r="A8574">
        <v>8573</v>
      </c>
      <c r="B8574">
        <v>8811786</v>
      </c>
      <c r="C8574" s="1" t="str">
        <f>HYPERLINK("http://stackoverflow.com/users/8811786", "leetailoong")</f>
        <v>leetailoong</v>
      </c>
      <c r="D8574" t="s">
        <v>74</v>
      </c>
      <c r="E8574">
        <v>1</v>
      </c>
    </row>
    <row r="8575" spans="1:5" x14ac:dyDescent="0.25">
      <c r="A8575">
        <v>8574</v>
      </c>
      <c r="B8575">
        <v>3400831</v>
      </c>
      <c r="C8575" s="1" t="str">
        <f>HYPERLINK("http://stackoverflow.com/users/3400831", "Bill Zhang")</f>
        <v>Bill Zhang</v>
      </c>
      <c r="D8575" t="s">
        <v>17</v>
      </c>
      <c r="E8575">
        <v>1</v>
      </c>
    </row>
    <row r="8576" spans="1:5" x14ac:dyDescent="0.25">
      <c r="A8576">
        <v>8575</v>
      </c>
      <c r="B8576">
        <v>3400756</v>
      </c>
      <c r="C8576" s="1" t="str">
        <f>HYPERLINK("http://stackoverflow.com/users/3400756", "sgzhang")</f>
        <v>sgzhang</v>
      </c>
      <c r="D8576" t="s">
        <v>8</v>
      </c>
      <c r="E8576">
        <v>1</v>
      </c>
    </row>
    <row r="8577" spans="1:5" x14ac:dyDescent="0.25">
      <c r="A8577">
        <v>8576</v>
      </c>
      <c r="B8577">
        <v>3401312</v>
      </c>
      <c r="C8577" s="1" t="str">
        <f>HYPERLINK("http://stackoverflow.com/users/3401312", "find_my_way")</f>
        <v>find_my_way</v>
      </c>
      <c r="D8577" t="s">
        <v>5</v>
      </c>
      <c r="E8577">
        <v>1</v>
      </c>
    </row>
    <row r="8578" spans="1:5" x14ac:dyDescent="0.25">
      <c r="A8578">
        <v>8577</v>
      </c>
      <c r="B8578">
        <v>1551431</v>
      </c>
      <c r="C8578" s="1" t="str">
        <f>HYPERLINK("http://stackoverflow.com/users/1551431", "kid")</f>
        <v>kid</v>
      </c>
      <c r="D8578" t="s">
        <v>21</v>
      </c>
      <c r="E8578">
        <v>1</v>
      </c>
    </row>
    <row r="8579" spans="1:5" x14ac:dyDescent="0.25">
      <c r="A8579">
        <v>8578</v>
      </c>
      <c r="B8579">
        <v>3409391</v>
      </c>
      <c r="C8579" s="1" t="str">
        <f>HYPERLINK("http://stackoverflow.com/users/3409391", "Ice-Moka")</f>
        <v>Ice-Moka</v>
      </c>
      <c r="D8579" t="s">
        <v>17</v>
      </c>
      <c r="E8579">
        <v>1</v>
      </c>
    </row>
    <row r="8580" spans="1:5" x14ac:dyDescent="0.25">
      <c r="A8580">
        <v>8579</v>
      </c>
      <c r="B8580">
        <v>1557868</v>
      </c>
      <c r="C8580" s="1" t="str">
        <f>HYPERLINK("http://stackoverflow.com/users/1557868", "Jixin Huang")</f>
        <v>Jixin Huang</v>
      </c>
      <c r="D8580" t="s">
        <v>5</v>
      </c>
      <c r="E8580">
        <v>1</v>
      </c>
    </row>
    <row r="8581" spans="1:5" x14ac:dyDescent="0.25">
      <c r="A8581">
        <v>8580</v>
      </c>
      <c r="B8581">
        <v>10600825</v>
      </c>
      <c r="C8581" s="1" t="str">
        <f>HYPERLINK("http://stackoverflow.com/users/10600825", "Alvin Hemal ")</f>
        <v xml:space="preserve">Alvin Hemal </v>
      </c>
      <c r="D8581" t="s">
        <v>348</v>
      </c>
      <c r="E8581">
        <v>1</v>
      </c>
    </row>
    <row r="8582" spans="1:5" x14ac:dyDescent="0.25">
      <c r="A8582">
        <v>8581</v>
      </c>
      <c r="B8582">
        <v>10600955</v>
      </c>
      <c r="C8582" s="1" t="str">
        <f>HYPERLINK("http://stackoverflow.com/users/10600955", "thzhao")</f>
        <v>thzhao</v>
      </c>
      <c r="D8582" t="s">
        <v>4</v>
      </c>
      <c r="E8582">
        <v>1</v>
      </c>
    </row>
    <row r="8583" spans="1:5" x14ac:dyDescent="0.25">
      <c r="A8583">
        <v>8582</v>
      </c>
      <c r="B8583">
        <v>8794368</v>
      </c>
      <c r="C8583" s="1" t="str">
        <f>HYPERLINK("http://stackoverflow.com/users/8794368", "MX Xuan")</f>
        <v>MX Xuan</v>
      </c>
      <c r="D8583" t="s">
        <v>5</v>
      </c>
      <c r="E8583">
        <v>1</v>
      </c>
    </row>
    <row r="8584" spans="1:5" x14ac:dyDescent="0.25">
      <c r="A8584">
        <v>8583</v>
      </c>
      <c r="B8584">
        <v>6944145</v>
      </c>
      <c r="C8584" s="1" t="str">
        <f>HYPERLINK("http://stackoverflow.com/users/6944145", "Baiweihong")</f>
        <v>Baiweihong</v>
      </c>
      <c r="D8584" t="s">
        <v>133</v>
      </c>
      <c r="E8584">
        <v>1</v>
      </c>
    </row>
    <row r="8585" spans="1:5" x14ac:dyDescent="0.25">
      <c r="A8585">
        <v>8584</v>
      </c>
      <c r="B8585">
        <v>3409665</v>
      </c>
      <c r="C8585" s="1" t="str">
        <f>HYPERLINK("http://stackoverflow.com/users/3409665", "jrjian")</f>
        <v>jrjian</v>
      </c>
      <c r="D8585" t="s">
        <v>17</v>
      </c>
      <c r="E8585">
        <v>1</v>
      </c>
    </row>
    <row r="8586" spans="1:5" x14ac:dyDescent="0.25">
      <c r="A8586">
        <v>8585</v>
      </c>
      <c r="B8586">
        <v>3409678</v>
      </c>
      <c r="C8586" s="1" t="str">
        <f>HYPERLINK("http://stackoverflow.com/users/3409678", "zgQU")</f>
        <v>zgQU</v>
      </c>
      <c r="D8586" t="s">
        <v>5</v>
      </c>
      <c r="E8586">
        <v>1</v>
      </c>
    </row>
    <row r="8587" spans="1:5" x14ac:dyDescent="0.25">
      <c r="A8587">
        <v>8586</v>
      </c>
      <c r="B8587">
        <v>3409772</v>
      </c>
      <c r="C8587" s="1" t="str">
        <f>HYPERLINK("http://stackoverflow.com/users/3409772", "ReVanTis")</f>
        <v>ReVanTis</v>
      </c>
      <c r="D8587" t="s">
        <v>5</v>
      </c>
      <c r="E8587">
        <v>1</v>
      </c>
    </row>
    <row r="8588" spans="1:5" x14ac:dyDescent="0.25">
      <c r="A8588">
        <v>8587</v>
      </c>
      <c r="B8588">
        <v>10605777</v>
      </c>
      <c r="C8588" s="1" t="str">
        <f>HYPERLINK("http://stackoverflow.com/users/10605777", "sober")</f>
        <v>sober</v>
      </c>
      <c r="D8588" t="s">
        <v>42</v>
      </c>
      <c r="E8588">
        <v>1</v>
      </c>
    </row>
    <row r="8589" spans="1:5" x14ac:dyDescent="0.25">
      <c r="A8589">
        <v>8588</v>
      </c>
      <c r="B8589">
        <v>10605852</v>
      </c>
      <c r="C8589" s="1" t="str">
        <f>HYPERLINK("http://stackoverflow.com/users/10605852", "Sura")</f>
        <v>Sura</v>
      </c>
      <c r="D8589" t="s">
        <v>4</v>
      </c>
      <c r="E8589">
        <v>1</v>
      </c>
    </row>
    <row r="8590" spans="1:5" x14ac:dyDescent="0.25">
      <c r="A8590">
        <v>8589</v>
      </c>
      <c r="B8590">
        <v>10605862</v>
      </c>
      <c r="C8590" s="1" t="str">
        <f>HYPERLINK("http://stackoverflow.com/users/10605862", "portablefridges")</f>
        <v>portablefridges</v>
      </c>
      <c r="D8590" t="s">
        <v>459</v>
      </c>
      <c r="E8590">
        <v>1</v>
      </c>
    </row>
    <row r="8591" spans="1:5" x14ac:dyDescent="0.25">
      <c r="A8591">
        <v>8590</v>
      </c>
      <c r="B8591">
        <v>10605894</v>
      </c>
      <c r="C8591" s="1" t="str">
        <f>HYPERLINK("http://stackoverflow.com/users/10605894", "春雷倪")</f>
        <v>春雷倪</v>
      </c>
      <c r="D8591" t="s">
        <v>4</v>
      </c>
      <c r="E8591">
        <v>1</v>
      </c>
    </row>
    <row r="8592" spans="1:5" x14ac:dyDescent="0.25">
      <c r="A8592">
        <v>8591</v>
      </c>
      <c r="B8592">
        <v>6940103</v>
      </c>
      <c r="C8592" s="1" t="str">
        <f>HYPERLINK("http://stackoverflow.com/users/6940103", "Don")</f>
        <v>Don</v>
      </c>
      <c r="D8592" t="s">
        <v>25</v>
      </c>
      <c r="E8592">
        <v>1</v>
      </c>
    </row>
    <row r="8593" spans="1:5" x14ac:dyDescent="0.25">
      <c r="A8593">
        <v>8592</v>
      </c>
      <c r="B8593">
        <v>6940321</v>
      </c>
      <c r="C8593" s="1" t="str">
        <f>HYPERLINK("http://stackoverflow.com/users/6940321", "Xin Gao")</f>
        <v>Xin Gao</v>
      </c>
      <c r="D8593" t="s">
        <v>17</v>
      </c>
      <c r="E8593">
        <v>1</v>
      </c>
    </row>
    <row r="8594" spans="1:5" x14ac:dyDescent="0.25">
      <c r="A8594">
        <v>8593</v>
      </c>
      <c r="B8594">
        <v>5222769</v>
      </c>
      <c r="C8594" s="1" t="str">
        <f>HYPERLINK("http://stackoverflow.com/users/5222769", "蒋大帅")</f>
        <v>蒋大帅</v>
      </c>
      <c r="D8594" t="s">
        <v>5</v>
      </c>
      <c r="E8594">
        <v>1</v>
      </c>
    </row>
    <row r="8595" spans="1:5" x14ac:dyDescent="0.25">
      <c r="A8595">
        <v>8594</v>
      </c>
      <c r="B8595">
        <v>8798975</v>
      </c>
      <c r="C8595" s="1" t="str">
        <f>HYPERLINK("http://stackoverflow.com/users/8798975", "Haihua.M")</f>
        <v>Haihua.M</v>
      </c>
      <c r="D8595" t="s">
        <v>4</v>
      </c>
      <c r="E8595">
        <v>1</v>
      </c>
    </row>
    <row r="8596" spans="1:5" x14ac:dyDescent="0.25">
      <c r="A8596">
        <v>8595</v>
      </c>
      <c r="B8596">
        <v>8799157</v>
      </c>
      <c r="C8596" s="1" t="str">
        <f>HYPERLINK("http://stackoverflow.com/users/8799157", "Naughty")</f>
        <v>Naughty</v>
      </c>
      <c r="D8596" t="s">
        <v>110</v>
      </c>
      <c r="E8596">
        <v>1</v>
      </c>
    </row>
    <row r="8597" spans="1:5" x14ac:dyDescent="0.25">
      <c r="A8597">
        <v>8596</v>
      </c>
      <c r="B8597">
        <v>1683520</v>
      </c>
      <c r="C8597" s="1" t="str">
        <f>HYPERLINK("http://stackoverflow.com/users/1683520", "Xiuquan Lv")</f>
        <v>Xiuquan Lv</v>
      </c>
      <c r="D8597" t="s">
        <v>16</v>
      </c>
      <c r="E8597">
        <v>1</v>
      </c>
    </row>
    <row r="8598" spans="1:5" x14ac:dyDescent="0.25">
      <c r="A8598">
        <v>8597</v>
      </c>
      <c r="B8598">
        <v>8907481</v>
      </c>
      <c r="C8598" s="1" t="str">
        <f>HYPERLINK("http://stackoverflow.com/users/8907481", "陈进泽")</f>
        <v>陈进泽</v>
      </c>
      <c r="D8598" t="s">
        <v>118</v>
      </c>
      <c r="E8598">
        <v>1</v>
      </c>
    </row>
    <row r="8599" spans="1:5" x14ac:dyDescent="0.25">
      <c r="A8599">
        <v>8598</v>
      </c>
      <c r="B8599">
        <v>8911867</v>
      </c>
      <c r="C8599" s="1" t="str">
        <f>HYPERLINK("http://stackoverflow.com/users/8911867", "Openy Tonny")</f>
        <v>Openy Tonny</v>
      </c>
      <c r="D8599" t="s">
        <v>156</v>
      </c>
      <c r="E8599">
        <v>1</v>
      </c>
    </row>
    <row r="8600" spans="1:5" x14ac:dyDescent="0.25">
      <c r="A8600">
        <v>8599</v>
      </c>
      <c r="B8600">
        <v>8912314</v>
      </c>
      <c r="C8600" s="1" t="str">
        <f>HYPERLINK("http://stackoverflow.com/users/8912314", "Ryan Kwok")</f>
        <v>Ryan Kwok</v>
      </c>
      <c r="D8600" t="s">
        <v>5</v>
      </c>
      <c r="E8600">
        <v>1</v>
      </c>
    </row>
    <row r="8601" spans="1:5" x14ac:dyDescent="0.25">
      <c r="A8601">
        <v>8600</v>
      </c>
      <c r="B8601">
        <v>5303267</v>
      </c>
      <c r="C8601" s="1" t="str">
        <f>HYPERLINK("http://stackoverflow.com/users/5303267", "andymi")</f>
        <v>andymi</v>
      </c>
      <c r="D8601" t="s">
        <v>460</v>
      </c>
      <c r="E8601">
        <v>1</v>
      </c>
    </row>
    <row r="8602" spans="1:5" x14ac:dyDescent="0.25">
      <c r="A8602">
        <v>8601</v>
      </c>
      <c r="B8602">
        <v>8898681</v>
      </c>
      <c r="C8602" s="1" t="str">
        <f>HYPERLINK("http://stackoverflow.com/users/8898681", "lzwei")</f>
        <v>lzwei</v>
      </c>
      <c r="D8602" t="s">
        <v>25</v>
      </c>
      <c r="E8602">
        <v>1</v>
      </c>
    </row>
    <row r="8603" spans="1:5" x14ac:dyDescent="0.25">
      <c r="A8603">
        <v>8602</v>
      </c>
      <c r="B8603">
        <v>8898721</v>
      </c>
      <c r="C8603" s="1" t="str">
        <f>HYPERLINK("http://stackoverflow.com/users/8898721", "eric")</f>
        <v>eric</v>
      </c>
      <c r="D8603" t="s">
        <v>193</v>
      </c>
      <c r="E8603">
        <v>1</v>
      </c>
    </row>
    <row r="8604" spans="1:5" x14ac:dyDescent="0.25">
      <c r="A8604">
        <v>8603</v>
      </c>
      <c r="B8604">
        <v>8898741</v>
      </c>
      <c r="C8604" s="1" t="str">
        <f>HYPERLINK("http://stackoverflow.com/users/8898741", "xianshi.yang")</f>
        <v>xianshi.yang</v>
      </c>
      <c r="D8604" t="s">
        <v>52</v>
      </c>
      <c r="E8604">
        <v>1</v>
      </c>
    </row>
    <row r="8605" spans="1:5" x14ac:dyDescent="0.25">
      <c r="A8605">
        <v>8604</v>
      </c>
      <c r="B8605">
        <v>5312262</v>
      </c>
      <c r="C8605" s="1" t="str">
        <f>HYPERLINK("http://stackoverflow.com/users/5312262", "Dige Qiao")</f>
        <v>Dige Qiao</v>
      </c>
      <c r="D8605" t="s">
        <v>22</v>
      </c>
      <c r="E8605">
        <v>1</v>
      </c>
    </row>
    <row r="8606" spans="1:5" x14ac:dyDescent="0.25">
      <c r="A8606">
        <v>8605</v>
      </c>
      <c r="B8606">
        <v>5312313</v>
      </c>
      <c r="C8606" s="1" t="str">
        <f>HYPERLINK("http://stackoverflow.com/users/5312313", "cuijiabin")</f>
        <v>cuijiabin</v>
      </c>
      <c r="D8606" t="s">
        <v>5</v>
      </c>
      <c r="E8606">
        <v>1</v>
      </c>
    </row>
    <row r="8607" spans="1:5" x14ac:dyDescent="0.25">
      <c r="A8607">
        <v>8606</v>
      </c>
      <c r="B8607">
        <v>5312629</v>
      </c>
      <c r="C8607" s="1" t="str">
        <f>HYPERLINK("http://stackoverflow.com/users/5312629", "iHz")</f>
        <v>iHz</v>
      </c>
      <c r="D8607" t="s">
        <v>4</v>
      </c>
      <c r="E8607">
        <v>1</v>
      </c>
    </row>
    <row r="8608" spans="1:5" x14ac:dyDescent="0.25">
      <c r="A8608">
        <v>8607</v>
      </c>
      <c r="B8608">
        <v>3505207</v>
      </c>
      <c r="C8608" s="1" t="str">
        <f>HYPERLINK("http://stackoverflow.com/users/3505207", "g2ud2i")</f>
        <v>g2ud2i</v>
      </c>
      <c r="D8608" t="s">
        <v>8</v>
      </c>
      <c r="E8608">
        <v>1</v>
      </c>
    </row>
    <row r="8609" spans="1:5" x14ac:dyDescent="0.25">
      <c r="A8609">
        <v>8608</v>
      </c>
      <c r="B8609">
        <v>10701129</v>
      </c>
      <c r="C8609" s="1" t="str">
        <f>HYPERLINK("http://stackoverflow.com/users/10701129", "fooool")</f>
        <v>fooool</v>
      </c>
      <c r="D8609" t="s">
        <v>461</v>
      </c>
      <c r="E8609">
        <v>1</v>
      </c>
    </row>
    <row r="8610" spans="1:5" x14ac:dyDescent="0.25">
      <c r="A8610">
        <v>8609</v>
      </c>
      <c r="B8610">
        <v>10701276</v>
      </c>
      <c r="C8610" s="1" t="str">
        <f>HYPERLINK("http://stackoverflow.com/users/10701276", "Quan YongGuang")</f>
        <v>Quan YongGuang</v>
      </c>
      <c r="D8610" t="s">
        <v>33</v>
      </c>
      <c r="E8610">
        <v>1</v>
      </c>
    </row>
    <row r="8611" spans="1:5" x14ac:dyDescent="0.25">
      <c r="A8611">
        <v>8610</v>
      </c>
      <c r="B8611">
        <v>10701437</v>
      </c>
      <c r="C8611" s="1" t="str">
        <f>HYPERLINK("http://stackoverflow.com/users/10701437", "Barry Li")</f>
        <v>Barry Li</v>
      </c>
      <c r="D8611" t="s">
        <v>91</v>
      </c>
      <c r="E8611">
        <v>1</v>
      </c>
    </row>
    <row r="8612" spans="1:5" x14ac:dyDescent="0.25">
      <c r="A8612">
        <v>8611</v>
      </c>
      <c r="B8612">
        <v>10701928</v>
      </c>
      <c r="C8612" s="1" t="str">
        <f>HYPERLINK("http://stackoverflow.com/users/10701928", "Xinfeng Wei")</f>
        <v>Xinfeng Wei</v>
      </c>
      <c r="D8612" t="s">
        <v>5</v>
      </c>
      <c r="E8612">
        <v>1</v>
      </c>
    </row>
    <row r="8613" spans="1:5" x14ac:dyDescent="0.25">
      <c r="A8613">
        <v>8612</v>
      </c>
      <c r="B8613">
        <v>1670140</v>
      </c>
      <c r="C8613" s="1" t="str">
        <f>HYPERLINK("http://stackoverflow.com/users/1670140", "user1670140")</f>
        <v>user1670140</v>
      </c>
      <c r="D8613" t="s">
        <v>5</v>
      </c>
      <c r="E8613">
        <v>1</v>
      </c>
    </row>
    <row r="8614" spans="1:5" x14ac:dyDescent="0.25">
      <c r="A8614">
        <v>8613</v>
      </c>
      <c r="B8614">
        <v>1670327</v>
      </c>
      <c r="C8614" s="1" t="str">
        <f>HYPERLINK("http://stackoverflow.com/users/1670327", "petter zhu")</f>
        <v>petter zhu</v>
      </c>
      <c r="D8614" t="s">
        <v>4</v>
      </c>
      <c r="E8614">
        <v>1</v>
      </c>
    </row>
    <row r="8615" spans="1:5" x14ac:dyDescent="0.25">
      <c r="A8615">
        <v>8614</v>
      </c>
      <c r="B8615">
        <v>7065209</v>
      </c>
      <c r="C8615" s="1" t="str">
        <f>HYPERLINK("http://stackoverflow.com/users/7065209", "Jerry")</f>
        <v>Jerry</v>
      </c>
      <c r="D8615" t="s">
        <v>55</v>
      </c>
      <c r="E8615">
        <v>1</v>
      </c>
    </row>
    <row r="8616" spans="1:5" x14ac:dyDescent="0.25">
      <c r="A8616">
        <v>8615</v>
      </c>
      <c r="B8616">
        <v>10705122</v>
      </c>
      <c r="C8616" s="1" t="str">
        <f>HYPERLINK("http://stackoverflow.com/users/10705122", "little shark")</f>
        <v>little shark</v>
      </c>
      <c r="D8616" t="s">
        <v>462</v>
      </c>
      <c r="E8616">
        <v>1</v>
      </c>
    </row>
    <row r="8617" spans="1:5" x14ac:dyDescent="0.25">
      <c r="A8617">
        <v>8616</v>
      </c>
      <c r="B8617">
        <v>10705123</v>
      </c>
      <c r="C8617" s="1" t="str">
        <f>HYPERLINK("http://stackoverflow.com/users/10705123", "chao_giao")</f>
        <v>chao_giao</v>
      </c>
      <c r="D8617" t="s">
        <v>5</v>
      </c>
      <c r="E8617">
        <v>1</v>
      </c>
    </row>
    <row r="8618" spans="1:5" x14ac:dyDescent="0.25">
      <c r="A8618">
        <v>8617</v>
      </c>
      <c r="B8618">
        <v>10705267</v>
      </c>
      <c r="C8618" s="1" t="str">
        <f>HYPERLINK("http://stackoverflow.com/users/10705267", "Rudy")</f>
        <v>Rudy</v>
      </c>
      <c r="D8618" t="s">
        <v>4</v>
      </c>
      <c r="E8618">
        <v>1</v>
      </c>
    </row>
    <row r="8619" spans="1:5" x14ac:dyDescent="0.25">
      <c r="A8619">
        <v>8618</v>
      </c>
      <c r="B8619">
        <v>8894412</v>
      </c>
      <c r="C8619" s="1" t="str">
        <f>HYPERLINK("http://stackoverflow.com/users/8894412", "JinCity Kasto")</f>
        <v>JinCity Kasto</v>
      </c>
      <c r="D8619" t="s">
        <v>5</v>
      </c>
      <c r="E8619">
        <v>1</v>
      </c>
    </row>
    <row r="8620" spans="1:5" x14ac:dyDescent="0.25">
      <c r="A8620">
        <v>8619</v>
      </c>
      <c r="B8620">
        <v>8894773</v>
      </c>
      <c r="C8620" s="1" t="str">
        <f>HYPERLINK("http://stackoverflow.com/users/8894773", "Songlin_Li")</f>
        <v>Songlin_Li</v>
      </c>
      <c r="D8620" t="s">
        <v>55</v>
      </c>
      <c r="E8620">
        <v>1</v>
      </c>
    </row>
    <row r="8621" spans="1:5" x14ac:dyDescent="0.25">
      <c r="A8621">
        <v>8620</v>
      </c>
      <c r="B8621">
        <v>7067831</v>
      </c>
      <c r="C8621" s="1" t="str">
        <f>HYPERLINK("http://stackoverflow.com/users/7067831", "Chongyang")</f>
        <v>Chongyang</v>
      </c>
      <c r="D8621" t="s">
        <v>31</v>
      </c>
      <c r="E8621">
        <v>1</v>
      </c>
    </row>
    <row r="8622" spans="1:5" x14ac:dyDescent="0.25">
      <c r="A8622">
        <v>8621</v>
      </c>
      <c r="B8622">
        <v>7067927</v>
      </c>
      <c r="C8622" s="1" t="str">
        <f>HYPERLINK("http://stackoverflow.com/users/7067927", "Phanith Bin")</f>
        <v>Phanith Bin</v>
      </c>
      <c r="D8622" t="s">
        <v>4</v>
      </c>
      <c r="E8622">
        <v>1</v>
      </c>
    </row>
    <row r="8623" spans="1:5" x14ac:dyDescent="0.25">
      <c r="A8623">
        <v>8622</v>
      </c>
      <c r="B8623">
        <v>7068282</v>
      </c>
      <c r="C8623" s="1" t="str">
        <f>HYPERLINK("http://stackoverflow.com/users/7068282", "Yusan.k")</f>
        <v>Yusan.k</v>
      </c>
      <c r="D8623" t="s">
        <v>5</v>
      </c>
      <c r="E8623">
        <v>1</v>
      </c>
    </row>
    <row r="8624" spans="1:5" x14ac:dyDescent="0.25">
      <c r="A8624">
        <v>8623</v>
      </c>
      <c r="B8624">
        <v>10708964</v>
      </c>
      <c r="C8624" s="1" t="str">
        <f>HYPERLINK("http://stackoverflow.com/users/10708964", "mengxia")</f>
        <v>mengxia</v>
      </c>
      <c r="D8624" t="s">
        <v>90</v>
      </c>
      <c r="E8624">
        <v>1</v>
      </c>
    </row>
    <row r="8625" spans="1:5" x14ac:dyDescent="0.25">
      <c r="A8625">
        <v>8624</v>
      </c>
      <c r="B8625">
        <v>10709094</v>
      </c>
      <c r="C8625" s="1" t="str">
        <f>HYPERLINK("http://stackoverflow.com/users/10709094", "来思扬")</f>
        <v>来思扬</v>
      </c>
      <c r="D8625" t="s">
        <v>78</v>
      </c>
      <c r="E8625">
        <v>1</v>
      </c>
    </row>
    <row r="8626" spans="1:5" x14ac:dyDescent="0.25">
      <c r="A8626">
        <v>8625</v>
      </c>
      <c r="B8626">
        <v>10709384</v>
      </c>
      <c r="C8626" s="1" t="str">
        <f>HYPERLINK("http://stackoverflow.com/users/10709384", "Weijie Su")</f>
        <v>Weijie Su</v>
      </c>
      <c r="D8626" t="s">
        <v>5</v>
      </c>
      <c r="E8626">
        <v>1</v>
      </c>
    </row>
    <row r="8627" spans="1:5" x14ac:dyDescent="0.25">
      <c r="A8627">
        <v>8626</v>
      </c>
      <c r="B8627">
        <v>10709548</v>
      </c>
      <c r="C8627" s="1" t="str">
        <f>HYPERLINK("http://stackoverflow.com/users/10709548", "CaptainHanQ")</f>
        <v>CaptainHanQ</v>
      </c>
      <c r="D8627" t="s">
        <v>4</v>
      </c>
      <c r="E8627">
        <v>1</v>
      </c>
    </row>
    <row r="8628" spans="1:5" x14ac:dyDescent="0.25">
      <c r="A8628">
        <v>8627</v>
      </c>
      <c r="B8628">
        <v>10688746</v>
      </c>
      <c r="C8628" s="1" t="str">
        <f>HYPERLINK("http://stackoverflow.com/users/10688746", "mdcs")</f>
        <v>mdcs</v>
      </c>
      <c r="D8628" t="s">
        <v>5</v>
      </c>
      <c r="E8628">
        <v>1</v>
      </c>
    </row>
    <row r="8629" spans="1:5" x14ac:dyDescent="0.25">
      <c r="A8629">
        <v>8628</v>
      </c>
      <c r="B8629">
        <v>10688784</v>
      </c>
      <c r="C8629" s="1" t="str">
        <f>HYPERLINK("http://stackoverflow.com/users/10688784", "L.Summer")</f>
        <v>L.Summer</v>
      </c>
      <c r="D8629" t="s">
        <v>4</v>
      </c>
      <c r="E8629">
        <v>1</v>
      </c>
    </row>
    <row r="8630" spans="1:5" x14ac:dyDescent="0.25">
      <c r="A8630">
        <v>8629</v>
      </c>
      <c r="B8630">
        <v>10688876</v>
      </c>
      <c r="C8630" s="1" t="str">
        <f>HYPERLINK("http://stackoverflow.com/users/10688876", "Chris")</f>
        <v>Chris</v>
      </c>
      <c r="D8630" t="s">
        <v>5</v>
      </c>
      <c r="E8630">
        <v>1</v>
      </c>
    </row>
    <row r="8631" spans="1:5" x14ac:dyDescent="0.25">
      <c r="A8631">
        <v>8630</v>
      </c>
      <c r="B8631">
        <v>8877808</v>
      </c>
      <c r="C8631" s="1" t="str">
        <f>HYPERLINK("http://stackoverflow.com/users/8877808", "Stang")</f>
        <v>Stang</v>
      </c>
      <c r="D8631" t="s">
        <v>7</v>
      </c>
      <c r="E8631">
        <v>1</v>
      </c>
    </row>
    <row r="8632" spans="1:5" x14ac:dyDescent="0.25">
      <c r="A8632">
        <v>8631</v>
      </c>
      <c r="B8632">
        <v>8878104</v>
      </c>
      <c r="C8632" s="1" t="str">
        <f>HYPERLINK("http://stackoverflow.com/users/8878104", "Daniel.W")</f>
        <v>Daniel.W</v>
      </c>
      <c r="D8632" t="s">
        <v>4</v>
      </c>
      <c r="E8632">
        <v>1</v>
      </c>
    </row>
    <row r="8633" spans="1:5" x14ac:dyDescent="0.25">
      <c r="A8633">
        <v>8632</v>
      </c>
      <c r="B8633">
        <v>3483365</v>
      </c>
      <c r="C8633" s="1" t="str">
        <f>HYPERLINK("http://stackoverflow.com/users/3483365", "Zeping Lee")</f>
        <v>Zeping Lee</v>
      </c>
      <c r="D8633" t="s">
        <v>5</v>
      </c>
      <c r="E8633">
        <v>1</v>
      </c>
    </row>
    <row r="8634" spans="1:5" x14ac:dyDescent="0.25">
      <c r="A8634">
        <v>8633</v>
      </c>
      <c r="B8634">
        <v>3483367</v>
      </c>
      <c r="C8634" s="1" t="str">
        <f>HYPERLINK("http://stackoverflow.com/users/3483367", "Elf-mousE")</f>
        <v>Elf-mousE</v>
      </c>
      <c r="D8634" t="s">
        <v>4</v>
      </c>
      <c r="E8634">
        <v>1</v>
      </c>
    </row>
    <row r="8635" spans="1:5" x14ac:dyDescent="0.25">
      <c r="A8635">
        <v>8634</v>
      </c>
      <c r="B8635">
        <v>3483977</v>
      </c>
      <c r="C8635" s="1" t="str">
        <f>HYPERLINK("http://stackoverflow.com/users/3483977", "Trevor")</f>
        <v>Trevor</v>
      </c>
      <c r="D8635" t="s">
        <v>5</v>
      </c>
      <c r="E8635">
        <v>1</v>
      </c>
    </row>
    <row r="8636" spans="1:5" x14ac:dyDescent="0.25">
      <c r="A8636">
        <v>8635</v>
      </c>
      <c r="B8636">
        <v>8872891</v>
      </c>
      <c r="C8636" s="1" t="str">
        <f>HYPERLINK("http://stackoverflow.com/users/8872891", "liuxiaoxiaochen")</f>
        <v>liuxiaoxiaochen</v>
      </c>
      <c r="D8636" t="s">
        <v>4</v>
      </c>
      <c r="E8636">
        <v>1</v>
      </c>
    </row>
    <row r="8637" spans="1:5" x14ac:dyDescent="0.25">
      <c r="A8637">
        <v>8636</v>
      </c>
      <c r="B8637">
        <v>10683979</v>
      </c>
      <c r="C8637" s="1" t="str">
        <f>HYPERLINK("http://stackoverflow.com/users/10683979", "jxilong")</f>
        <v>jxilong</v>
      </c>
      <c r="D8637" t="s">
        <v>4</v>
      </c>
      <c r="E8637">
        <v>1</v>
      </c>
    </row>
    <row r="8638" spans="1:5" x14ac:dyDescent="0.25">
      <c r="A8638">
        <v>8637</v>
      </c>
      <c r="B8638">
        <v>10684032</v>
      </c>
      <c r="C8638" s="1" t="str">
        <f>HYPERLINK("http://stackoverflow.com/users/10684032", "Even Cai")</f>
        <v>Even Cai</v>
      </c>
      <c r="D8638" t="s">
        <v>11</v>
      </c>
      <c r="E8638">
        <v>1</v>
      </c>
    </row>
    <row r="8639" spans="1:5" x14ac:dyDescent="0.25">
      <c r="A8639">
        <v>8638</v>
      </c>
      <c r="B8639">
        <v>10684091</v>
      </c>
      <c r="C8639" s="1" t="str">
        <f>HYPERLINK("http://stackoverflow.com/users/10684091", "storesodalimeglassballs")</f>
        <v>storesodalimeglassballs</v>
      </c>
      <c r="D8639" t="s">
        <v>463</v>
      </c>
      <c r="E8639">
        <v>1</v>
      </c>
    </row>
    <row r="8640" spans="1:5" x14ac:dyDescent="0.25">
      <c r="A8640">
        <v>8639</v>
      </c>
      <c r="B8640">
        <v>7046712</v>
      </c>
      <c r="C8640" s="1" t="str">
        <f>HYPERLINK("http://stackoverflow.com/users/7046712", "J. Louis")</f>
        <v>J. Louis</v>
      </c>
      <c r="D8640" t="s">
        <v>154</v>
      </c>
      <c r="E8640">
        <v>1</v>
      </c>
    </row>
    <row r="8641" spans="1:5" x14ac:dyDescent="0.25">
      <c r="A8641">
        <v>8640</v>
      </c>
      <c r="B8641">
        <v>7046867</v>
      </c>
      <c r="C8641" s="1" t="str">
        <f>HYPERLINK("http://stackoverflow.com/users/7046867", "wjjwkwindy")</f>
        <v>wjjwkwindy</v>
      </c>
      <c r="D8641" t="s">
        <v>22</v>
      </c>
      <c r="E8641">
        <v>1</v>
      </c>
    </row>
    <row r="8642" spans="1:5" x14ac:dyDescent="0.25">
      <c r="A8642">
        <v>8641</v>
      </c>
      <c r="B8642">
        <v>7047299</v>
      </c>
      <c r="C8642" s="1" t="str">
        <f>HYPERLINK("http://stackoverflow.com/users/7047299", "Joe Li")</f>
        <v>Joe Li</v>
      </c>
      <c r="D8642" t="s">
        <v>4</v>
      </c>
      <c r="E8642">
        <v>1</v>
      </c>
    </row>
    <row r="8643" spans="1:5" x14ac:dyDescent="0.25">
      <c r="A8643">
        <v>8642</v>
      </c>
      <c r="B8643">
        <v>5291109</v>
      </c>
      <c r="C8643" s="1" t="str">
        <f>HYPERLINK("http://stackoverflow.com/users/5291109", "lichcay")</f>
        <v>lichcay</v>
      </c>
      <c r="D8643" t="s">
        <v>253</v>
      </c>
      <c r="E8643">
        <v>1</v>
      </c>
    </row>
    <row r="8644" spans="1:5" x14ac:dyDescent="0.25">
      <c r="A8644">
        <v>8643</v>
      </c>
      <c r="B8644">
        <v>5284380</v>
      </c>
      <c r="C8644" s="1" t="str">
        <f>HYPERLINK("http://stackoverflow.com/users/5284380", "Terence")</f>
        <v>Terence</v>
      </c>
      <c r="D8644" t="s">
        <v>7</v>
      </c>
      <c r="E8644">
        <v>1</v>
      </c>
    </row>
    <row r="8645" spans="1:5" x14ac:dyDescent="0.25">
      <c r="A8645">
        <v>8644</v>
      </c>
      <c r="B8645">
        <v>10683410</v>
      </c>
      <c r="C8645" s="1" t="str">
        <f>HYPERLINK("http://stackoverflow.com/users/10683410", "robert")</f>
        <v>robert</v>
      </c>
      <c r="D8645" t="s">
        <v>5</v>
      </c>
      <c r="E8645">
        <v>1</v>
      </c>
    </row>
    <row r="8646" spans="1:5" x14ac:dyDescent="0.25">
      <c r="A8646">
        <v>8645</v>
      </c>
      <c r="B8646">
        <v>5291183</v>
      </c>
      <c r="C8646" s="1" t="str">
        <f>HYPERLINK("http://stackoverflow.com/users/5291183", "user5291183")</f>
        <v>user5291183</v>
      </c>
      <c r="D8646" t="s">
        <v>5</v>
      </c>
      <c r="E8646">
        <v>1</v>
      </c>
    </row>
    <row r="8647" spans="1:5" x14ac:dyDescent="0.25">
      <c r="A8647">
        <v>8646</v>
      </c>
      <c r="B8647">
        <v>5291241</v>
      </c>
      <c r="C8647" s="1" t="str">
        <f>HYPERLINK("http://stackoverflow.com/users/5291241", "Zhang Yuanhang")</f>
        <v>Zhang Yuanhang</v>
      </c>
      <c r="D8647" t="s">
        <v>5</v>
      </c>
      <c r="E8647">
        <v>1</v>
      </c>
    </row>
    <row r="8648" spans="1:5" x14ac:dyDescent="0.25">
      <c r="A8648">
        <v>8647</v>
      </c>
      <c r="B8648">
        <v>7050976</v>
      </c>
      <c r="C8648" s="1" t="str">
        <f>HYPERLINK("http://stackoverflow.com/users/7050976", "jimmy xue")</f>
        <v>jimmy xue</v>
      </c>
      <c r="D8648" t="s">
        <v>131</v>
      </c>
      <c r="E8648">
        <v>1</v>
      </c>
    </row>
    <row r="8649" spans="1:5" x14ac:dyDescent="0.25">
      <c r="A8649">
        <v>8648</v>
      </c>
      <c r="B8649">
        <v>7051106</v>
      </c>
      <c r="C8649" s="1" t="str">
        <f>HYPERLINK("http://stackoverflow.com/users/7051106", "Nickson Zhu")</f>
        <v>Nickson Zhu</v>
      </c>
      <c r="D8649" t="s">
        <v>25</v>
      </c>
      <c r="E8649">
        <v>1</v>
      </c>
    </row>
    <row r="8650" spans="1:5" x14ac:dyDescent="0.25">
      <c r="A8650">
        <v>8649</v>
      </c>
      <c r="B8650">
        <v>7051200</v>
      </c>
      <c r="C8650" s="1" t="str">
        <f>HYPERLINK("http://stackoverflow.com/users/7051200", "Tim")</f>
        <v>Tim</v>
      </c>
      <c r="D8650" t="s">
        <v>4</v>
      </c>
      <c r="E8650">
        <v>1</v>
      </c>
    </row>
    <row r="8651" spans="1:5" x14ac:dyDescent="0.25">
      <c r="A8651">
        <v>8650</v>
      </c>
      <c r="B8651">
        <v>7051343</v>
      </c>
      <c r="C8651" s="1" t="str">
        <f>HYPERLINK("http://stackoverflow.com/users/7051343", "Ray Chan")</f>
        <v>Ray Chan</v>
      </c>
      <c r="D8651" t="s">
        <v>464</v>
      </c>
      <c r="E8651">
        <v>1</v>
      </c>
    </row>
    <row r="8652" spans="1:5" x14ac:dyDescent="0.25">
      <c r="A8652">
        <v>8651</v>
      </c>
      <c r="B8652">
        <v>1659991</v>
      </c>
      <c r="C8652" s="1" t="str">
        <f>HYPERLINK("http://stackoverflow.com/users/1659991", "hades")</f>
        <v>hades</v>
      </c>
      <c r="D8652" t="s">
        <v>4</v>
      </c>
      <c r="E8652">
        <v>1</v>
      </c>
    </row>
    <row r="8653" spans="1:5" x14ac:dyDescent="0.25">
      <c r="A8653">
        <v>8652</v>
      </c>
      <c r="B8653">
        <v>8885692</v>
      </c>
      <c r="C8653" s="1" t="str">
        <f>HYPERLINK("http://stackoverflow.com/users/8885692", "Forrest Zhang")</f>
        <v>Forrest Zhang</v>
      </c>
      <c r="D8653" t="s">
        <v>57</v>
      </c>
      <c r="E8653">
        <v>1</v>
      </c>
    </row>
    <row r="8654" spans="1:5" x14ac:dyDescent="0.25">
      <c r="A8654">
        <v>8653</v>
      </c>
      <c r="B8654">
        <v>8885875</v>
      </c>
      <c r="C8654" s="1" t="str">
        <f>HYPERLINK("http://stackoverflow.com/users/8885875", "Xiaozhe Yao")</f>
        <v>Xiaozhe Yao</v>
      </c>
      <c r="D8654" t="s">
        <v>7</v>
      </c>
      <c r="E8654">
        <v>1</v>
      </c>
    </row>
    <row r="8655" spans="1:5" x14ac:dyDescent="0.25">
      <c r="A8655">
        <v>8654</v>
      </c>
      <c r="B8655">
        <v>7057903</v>
      </c>
      <c r="C8655" s="1" t="str">
        <f>HYPERLINK("http://stackoverflow.com/users/7057903", "AKA坏学生")</f>
        <v>AKA坏学生</v>
      </c>
      <c r="D8655" t="s">
        <v>55</v>
      </c>
      <c r="E8655">
        <v>1</v>
      </c>
    </row>
    <row r="8656" spans="1:5" x14ac:dyDescent="0.25">
      <c r="A8656">
        <v>8655</v>
      </c>
      <c r="B8656">
        <v>7062238</v>
      </c>
      <c r="C8656" s="1" t="str">
        <f>HYPERLINK("http://stackoverflow.com/users/7062238", "Kolesnyk Maksym")</f>
        <v>Kolesnyk Maksym</v>
      </c>
      <c r="D8656" t="s">
        <v>43</v>
      </c>
      <c r="E8656">
        <v>1</v>
      </c>
    </row>
    <row r="8657" spans="1:5" x14ac:dyDescent="0.25">
      <c r="A8657">
        <v>8656</v>
      </c>
      <c r="B8657">
        <v>7062343</v>
      </c>
      <c r="C8657" s="1" t="str">
        <f>HYPERLINK("http://stackoverflow.com/users/7062343", "jxxiangwen")</f>
        <v>jxxiangwen</v>
      </c>
      <c r="D8657" t="s">
        <v>4</v>
      </c>
      <c r="E8657">
        <v>1</v>
      </c>
    </row>
    <row r="8658" spans="1:5" x14ac:dyDescent="0.25">
      <c r="A8658">
        <v>8657</v>
      </c>
      <c r="B8658">
        <v>7062399</v>
      </c>
      <c r="C8658" s="1" t="str">
        <f>HYPERLINK("http://stackoverflow.com/users/7062399", "shihou xiao")</f>
        <v>shihou xiao</v>
      </c>
      <c r="D8658" t="s">
        <v>27</v>
      </c>
      <c r="E8658">
        <v>1</v>
      </c>
    </row>
    <row r="8659" spans="1:5" x14ac:dyDescent="0.25">
      <c r="A8659">
        <v>8658</v>
      </c>
      <c r="B8659">
        <v>7103223</v>
      </c>
      <c r="C8659" s="1" t="str">
        <f>HYPERLINK("http://stackoverflow.com/users/7103223", "Chan Puinan")</f>
        <v>Chan Puinan</v>
      </c>
      <c r="D8659" t="s">
        <v>16</v>
      </c>
      <c r="E8659">
        <v>1</v>
      </c>
    </row>
    <row r="8660" spans="1:5" x14ac:dyDescent="0.25">
      <c r="A8660">
        <v>8659</v>
      </c>
      <c r="B8660">
        <v>7103225</v>
      </c>
      <c r="C8660" s="1" t="str">
        <f>HYPERLINK("http://stackoverflow.com/users/7103225", "bazali")</f>
        <v>bazali</v>
      </c>
      <c r="D8660" t="s">
        <v>5</v>
      </c>
      <c r="E8660">
        <v>1</v>
      </c>
    </row>
    <row r="8661" spans="1:5" x14ac:dyDescent="0.25">
      <c r="A8661">
        <v>8660</v>
      </c>
      <c r="B8661">
        <v>5345185</v>
      </c>
      <c r="C8661" s="1" t="str">
        <f>HYPERLINK("http://stackoverflow.com/users/5345185", "Hendrik")</f>
        <v>Hendrik</v>
      </c>
      <c r="D8661" t="s">
        <v>4</v>
      </c>
      <c r="E8661">
        <v>1</v>
      </c>
    </row>
    <row r="8662" spans="1:5" x14ac:dyDescent="0.25">
      <c r="A8662">
        <v>8661</v>
      </c>
      <c r="B8662">
        <v>5345244</v>
      </c>
      <c r="C8662" s="1" t="str">
        <f>HYPERLINK("http://stackoverflow.com/users/5345244", "Owenzh")</f>
        <v>Owenzh</v>
      </c>
      <c r="D8662" t="s">
        <v>35</v>
      </c>
      <c r="E8662">
        <v>1</v>
      </c>
    </row>
    <row r="8663" spans="1:5" x14ac:dyDescent="0.25">
      <c r="A8663">
        <v>8662</v>
      </c>
      <c r="B8663">
        <v>5348729</v>
      </c>
      <c r="C8663" s="1" t="str">
        <f>HYPERLINK("http://stackoverflow.com/users/5348729", "ArcherZheng")</f>
        <v>ArcherZheng</v>
      </c>
      <c r="D8663" t="s">
        <v>7</v>
      </c>
      <c r="E8663">
        <v>1</v>
      </c>
    </row>
    <row r="8664" spans="1:5" x14ac:dyDescent="0.25">
      <c r="A8664">
        <v>8663</v>
      </c>
      <c r="B8664">
        <v>8943278</v>
      </c>
      <c r="C8664" s="1" t="str">
        <f>HYPERLINK("http://stackoverflow.com/users/8943278", "tenglove")</f>
        <v>tenglove</v>
      </c>
      <c r="D8664" t="s">
        <v>465</v>
      </c>
      <c r="E8664">
        <v>1</v>
      </c>
    </row>
    <row r="8665" spans="1:5" x14ac:dyDescent="0.25">
      <c r="A8665">
        <v>8664</v>
      </c>
      <c r="B8665">
        <v>3534242</v>
      </c>
      <c r="C8665" s="1" t="str">
        <f>HYPERLINK("http://stackoverflow.com/users/3534242", "oizz01")</f>
        <v>oizz01</v>
      </c>
      <c r="D8665" t="s">
        <v>4</v>
      </c>
      <c r="E8665">
        <v>1</v>
      </c>
    </row>
    <row r="8666" spans="1:5" x14ac:dyDescent="0.25">
      <c r="A8666">
        <v>8665</v>
      </c>
      <c r="B8666">
        <v>8936136</v>
      </c>
      <c r="C8666" s="1" t="str">
        <f>HYPERLINK("http://stackoverflow.com/users/8936136", "hunter.huang")</f>
        <v>hunter.huang</v>
      </c>
      <c r="D8666" t="s">
        <v>7</v>
      </c>
      <c r="E8666">
        <v>1</v>
      </c>
    </row>
    <row r="8667" spans="1:5" x14ac:dyDescent="0.25">
      <c r="A8667">
        <v>8666</v>
      </c>
      <c r="B8667">
        <v>5345060</v>
      </c>
      <c r="C8667" s="1" t="str">
        <f>HYPERLINK("http://stackoverflow.com/users/5345060", "PeeNut")</f>
        <v>PeeNut</v>
      </c>
      <c r="D8667" t="s">
        <v>8</v>
      </c>
      <c r="E8667">
        <v>1</v>
      </c>
    </row>
    <row r="8668" spans="1:5" x14ac:dyDescent="0.25">
      <c r="A8668">
        <v>8667</v>
      </c>
      <c r="B8668">
        <v>3534433</v>
      </c>
      <c r="C8668" s="1" t="str">
        <f>HYPERLINK("http://stackoverflow.com/users/3534433", "Milo")</f>
        <v>Milo</v>
      </c>
      <c r="D8668" t="s">
        <v>17</v>
      </c>
      <c r="E8668">
        <v>1</v>
      </c>
    </row>
    <row r="8669" spans="1:5" x14ac:dyDescent="0.25">
      <c r="A8669">
        <v>8668</v>
      </c>
      <c r="B8669">
        <v>7099062</v>
      </c>
      <c r="C8669" s="1" t="str">
        <f>HYPERLINK("http://stackoverflow.com/users/7099062", "leon chen")</f>
        <v>leon chen</v>
      </c>
      <c r="D8669" t="s">
        <v>15</v>
      </c>
      <c r="E8669">
        <v>1</v>
      </c>
    </row>
    <row r="8670" spans="1:5" x14ac:dyDescent="0.25">
      <c r="A8670">
        <v>8669</v>
      </c>
      <c r="B8670">
        <v>7099175</v>
      </c>
      <c r="C8670" s="1" t="str">
        <f>HYPERLINK("http://stackoverflow.com/users/7099175", "Archer Chu")</f>
        <v>Archer Chu</v>
      </c>
      <c r="D8670" t="s">
        <v>466</v>
      </c>
      <c r="E8670">
        <v>1</v>
      </c>
    </row>
    <row r="8671" spans="1:5" x14ac:dyDescent="0.25">
      <c r="A8671">
        <v>8670</v>
      </c>
      <c r="B8671">
        <v>10766405</v>
      </c>
      <c r="C8671" s="1" t="str">
        <f>HYPERLINK("http://stackoverflow.com/users/10766405", "Greg")</f>
        <v>Greg</v>
      </c>
      <c r="D8671" t="s">
        <v>5</v>
      </c>
      <c r="E8671">
        <v>1</v>
      </c>
    </row>
    <row r="8672" spans="1:5" x14ac:dyDescent="0.25">
      <c r="A8672">
        <v>8671</v>
      </c>
      <c r="B8672">
        <v>10766600</v>
      </c>
      <c r="C8672" s="1" t="str">
        <f>HYPERLINK("http://stackoverflow.com/users/10766600", "Sharaz")</f>
        <v>Sharaz</v>
      </c>
      <c r="D8672" t="s">
        <v>4</v>
      </c>
      <c r="E8672">
        <v>1</v>
      </c>
    </row>
    <row r="8673" spans="1:5" x14ac:dyDescent="0.25">
      <c r="A8673">
        <v>8672</v>
      </c>
      <c r="B8673">
        <v>5361423</v>
      </c>
      <c r="C8673" s="1" t="str">
        <f>HYPERLINK("http://stackoverflow.com/users/5361423", "Kaili")</f>
        <v>Kaili</v>
      </c>
      <c r="D8673" t="s">
        <v>298</v>
      </c>
      <c r="E8673">
        <v>1</v>
      </c>
    </row>
    <row r="8674" spans="1:5" x14ac:dyDescent="0.25">
      <c r="A8674">
        <v>8673</v>
      </c>
      <c r="B8674">
        <v>1736616</v>
      </c>
      <c r="C8674" s="1" t="str">
        <f>HYPERLINK("http://stackoverflow.com/users/1736616", "hussion")</f>
        <v>hussion</v>
      </c>
      <c r="D8674" t="s">
        <v>5</v>
      </c>
      <c r="E8674">
        <v>1</v>
      </c>
    </row>
    <row r="8675" spans="1:5" x14ac:dyDescent="0.25">
      <c r="A8675">
        <v>8674</v>
      </c>
      <c r="B8675">
        <v>1736636</v>
      </c>
      <c r="C8675" s="1" t="str">
        <f>HYPERLINK("http://stackoverflow.com/users/1736636", "Antmanler")</f>
        <v>Antmanler</v>
      </c>
      <c r="D8675" t="s">
        <v>5</v>
      </c>
      <c r="E8675">
        <v>1</v>
      </c>
    </row>
    <row r="8676" spans="1:5" x14ac:dyDescent="0.25">
      <c r="A8676">
        <v>8675</v>
      </c>
      <c r="B8676">
        <v>1736750</v>
      </c>
      <c r="C8676" s="1" t="str">
        <f>HYPERLINK("http://stackoverflow.com/users/1736750", "airbird121")</f>
        <v>airbird121</v>
      </c>
      <c r="D8676" t="s">
        <v>54</v>
      </c>
      <c r="E8676">
        <v>1</v>
      </c>
    </row>
    <row r="8677" spans="1:5" x14ac:dyDescent="0.25">
      <c r="A8677">
        <v>8676</v>
      </c>
      <c r="B8677">
        <v>7113793</v>
      </c>
      <c r="C8677" s="1" t="str">
        <f>HYPERLINK("http://stackoverflow.com/users/7113793", "T.Li")</f>
        <v>T.Li</v>
      </c>
      <c r="D8677" t="s">
        <v>5</v>
      </c>
      <c r="E8677">
        <v>1</v>
      </c>
    </row>
    <row r="8678" spans="1:5" x14ac:dyDescent="0.25">
      <c r="A8678">
        <v>8677</v>
      </c>
      <c r="B8678">
        <v>7113815</v>
      </c>
      <c r="C8678" s="1" t="str">
        <f>HYPERLINK("http://stackoverflow.com/users/7113815", "C.Tao")</f>
        <v>C.Tao</v>
      </c>
      <c r="D8678" t="s">
        <v>55</v>
      </c>
      <c r="E8678">
        <v>1</v>
      </c>
    </row>
    <row r="8679" spans="1:5" x14ac:dyDescent="0.25">
      <c r="A8679">
        <v>8678</v>
      </c>
      <c r="B8679">
        <v>8952446</v>
      </c>
      <c r="C8679" s="1" t="str">
        <f>HYPERLINK("http://stackoverflow.com/users/8952446", "Davis Hoo")</f>
        <v>Davis Hoo</v>
      </c>
      <c r="D8679" t="s">
        <v>16</v>
      </c>
      <c r="E8679">
        <v>1</v>
      </c>
    </row>
    <row r="8680" spans="1:5" x14ac:dyDescent="0.25">
      <c r="A8680">
        <v>8679</v>
      </c>
      <c r="B8680">
        <v>3555215</v>
      </c>
      <c r="C8680" s="1" t="str">
        <f>HYPERLINK("http://stackoverflow.com/users/3555215", "Jane.Wang")</f>
        <v>Jane.Wang</v>
      </c>
      <c r="D8680" t="s">
        <v>4</v>
      </c>
      <c r="E8680">
        <v>1</v>
      </c>
    </row>
    <row r="8681" spans="1:5" x14ac:dyDescent="0.25">
      <c r="A8681">
        <v>8680</v>
      </c>
      <c r="B8681">
        <v>1730628</v>
      </c>
      <c r="C8681" s="1" t="str">
        <f>HYPERLINK("http://stackoverflow.com/users/1730628", "jatsz")</f>
        <v>jatsz</v>
      </c>
      <c r="D8681" t="s">
        <v>3</v>
      </c>
      <c r="E8681">
        <v>1</v>
      </c>
    </row>
    <row r="8682" spans="1:5" x14ac:dyDescent="0.25">
      <c r="A8682">
        <v>8681</v>
      </c>
      <c r="B8682">
        <v>1730697</v>
      </c>
      <c r="C8682" s="1" t="str">
        <f>HYPERLINK("http://stackoverflow.com/users/1730697", "guanqunYue")</f>
        <v>guanqunYue</v>
      </c>
      <c r="D8682" t="s">
        <v>5</v>
      </c>
      <c r="E8682">
        <v>1</v>
      </c>
    </row>
    <row r="8683" spans="1:5" x14ac:dyDescent="0.25">
      <c r="A8683">
        <v>8682</v>
      </c>
      <c r="B8683">
        <v>1730776</v>
      </c>
      <c r="C8683" s="1" t="str">
        <f>HYPERLINK("http://stackoverflow.com/users/1730776", "JoeCheung")</f>
        <v>JoeCheung</v>
      </c>
      <c r="D8683" t="s">
        <v>4</v>
      </c>
      <c r="E8683">
        <v>1</v>
      </c>
    </row>
    <row r="8684" spans="1:5" x14ac:dyDescent="0.25">
      <c r="A8684">
        <v>8683</v>
      </c>
      <c r="B8684">
        <v>1731017</v>
      </c>
      <c r="C8684" s="1" t="str">
        <f>HYPERLINK("http://stackoverflow.com/users/1731017", "addjava")</f>
        <v>addjava</v>
      </c>
      <c r="D8684" t="s">
        <v>5</v>
      </c>
      <c r="E8684">
        <v>1</v>
      </c>
    </row>
    <row r="8685" spans="1:5" x14ac:dyDescent="0.25">
      <c r="A8685">
        <v>8684</v>
      </c>
      <c r="B8685">
        <v>10752982</v>
      </c>
      <c r="C8685" s="1" t="str">
        <f>HYPERLINK("http://stackoverflow.com/users/10752982", "yechen")</f>
        <v>yechen</v>
      </c>
      <c r="D8685" t="s">
        <v>4</v>
      </c>
      <c r="E8685">
        <v>1</v>
      </c>
    </row>
    <row r="8686" spans="1:5" x14ac:dyDescent="0.25">
      <c r="A8686">
        <v>8685</v>
      </c>
      <c r="B8686">
        <v>10753166</v>
      </c>
      <c r="C8686" s="1" t="str">
        <f>HYPERLINK("http://stackoverflow.com/users/10753166", "Dima")</f>
        <v>Dima</v>
      </c>
      <c r="D8686" t="s">
        <v>7</v>
      </c>
      <c r="E8686">
        <v>1</v>
      </c>
    </row>
    <row r="8687" spans="1:5" x14ac:dyDescent="0.25">
      <c r="A8687">
        <v>8686</v>
      </c>
      <c r="B8687">
        <v>10753247</v>
      </c>
      <c r="C8687" s="1" t="str">
        <f>HYPERLINK("http://stackoverflow.com/users/10753247", "linjhon")</f>
        <v>linjhon</v>
      </c>
      <c r="D8687" t="s">
        <v>16</v>
      </c>
      <c r="E8687">
        <v>1</v>
      </c>
    </row>
    <row r="8688" spans="1:5" x14ac:dyDescent="0.25">
      <c r="A8688">
        <v>8687</v>
      </c>
      <c r="B8688">
        <v>1709189</v>
      </c>
      <c r="C8688" s="1" t="str">
        <f>HYPERLINK("http://stackoverflow.com/users/1709189", "trekking_cai")</f>
        <v>trekking_cai</v>
      </c>
      <c r="D8688" t="s">
        <v>38</v>
      </c>
      <c r="E8688">
        <v>1</v>
      </c>
    </row>
    <row r="8689" spans="1:5" x14ac:dyDescent="0.25">
      <c r="A8689">
        <v>8688</v>
      </c>
      <c r="B8689">
        <v>3518237</v>
      </c>
      <c r="C8689" s="1" t="str">
        <f>HYPERLINK("http://stackoverflow.com/users/3518237", "laserx")</f>
        <v>laserx</v>
      </c>
      <c r="D8689" t="s">
        <v>5</v>
      </c>
      <c r="E8689">
        <v>1</v>
      </c>
    </row>
    <row r="8690" spans="1:5" x14ac:dyDescent="0.25">
      <c r="A8690">
        <v>8689</v>
      </c>
      <c r="B8690">
        <v>3518416</v>
      </c>
      <c r="C8690" s="1" t="str">
        <f>HYPERLINK("http://stackoverflow.com/users/3518416", "bingham")</f>
        <v>bingham</v>
      </c>
      <c r="D8690" t="s">
        <v>5</v>
      </c>
      <c r="E8690">
        <v>1</v>
      </c>
    </row>
    <row r="8691" spans="1:5" x14ac:dyDescent="0.25">
      <c r="A8691">
        <v>8690</v>
      </c>
      <c r="B8691">
        <v>10730615</v>
      </c>
      <c r="C8691" s="1" t="str">
        <f>HYPERLINK("http://stackoverflow.com/users/10730615", "clyde jiang")</f>
        <v>clyde jiang</v>
      </c>
      <c r="D8691" t="s">
        <v>4</v>
      </c>
      <c r="E8691">
        <v>1</v>
      </c>
    </row>
    <row r="8692" spans="1:5" x14ac:dyDescent="0.25">
      <c r="A8692">
        <v>8691</v>
      </c>
      <c r="B8692">
        <v>3522253</v>
      </c>
      <c r="C8692" s="1" t="str">
        <f>HYPERLINK("http://stackoverflow.com/users/3522253", "wang16")</f>
        <v>wang16</v>
      </c>
      <c r="D8692" t="s">
        <v>4</v>
      </c>
      <c r="E8692">
        <v>1</v>
      </c>
    </row>
    <row r="8693" spans="1:5" x14ac:dyDescent="0.25">
      <c r="A8693">
        <v>8692</v>
      </c>
      <c r="B8693">
        <v>5333066</v>
      </c>
      <c r="C8693" s="1" t="str">
        <f>HYPERLINK("http://stackoverflow.com/users/5333066", "Sid")</f>
        <v>Sid</v>
      </c>
      <c r="D8693" t="s">
        <v>5</v>
      </c>
      <c r="E8693">
        <v>1</v>
      </c>
    </row>
    <row r="8694" spans="1:5" x14ac:dyDescent="0.25">
      <c r="A8694">
        <v>8693</v>
      </c>
      <c r="B8694">
        <v>5333141</v>
      </c>
      <c r="C8694" s="1" t="str">
        <f>HYPERLINK("http://stackoverflow.com/users/5333141", "PianoCat")</f>
        <v>PianoCat</v>
      </c>
      <c r="D8694" t="s">
        <v>38</v>
      </c>
      <c r="E8694">
        <v>1</v>
      </c>
    </row>
    <row r="8695" spans="1:5" x14ac:dyDescent="0.25">
      <c r="A8695">
        <v>8694</v>
      </c>
      <c r="B8695">
        <v>5333167</v>
      </c>
      <c r="C8695" s="1" t="str">
        <f>HYPERLINK("http://stackoverflow.com/users/5333167", "SureWinter")</f>
        <v>SureWinter</v>
      </c>
      <c r="D8695" t="s">
        <v>5</v>
      </c>
      <c r="E8695">
        <v>1</v>
      </c>
    </row>
    <row r="8696" spans="1:5" x14ac:dyDescent="0.25">
      <c r="A8696">
        <v>8695</v>
      </c>
      <c r="B8696">
        <v>7095496</v>
      </c>
      <c r="C8696" s="1" t="str">
        <f>HYPERLINK("http://stackoverflow.com/users/7095496", "yuansen wu")</f>
        <v>yuansen wu</v>
      </c>
      <c r="D8696" t="s">
        <v>87</v>
      </c>
      <c r="E8696">
        <v>1</v>
      </c>
    </row>
    <row r="8697" spans="1:5" x14ac:dyDescent="0.25">
      <c r="A8697">
        <v>8696</v>
      </c>
      <c r="B8697">
        <v>8931222</v>
      </c>
      <c r="C8697" s="1" t="str">
        <f>HYPERLINK("http://stackoverflow.com/users/8931222", "Setsoafia Adzraku")</f>
        <v>Setsoafia Adzraku</v>
      </c>
      <c r="D8697" t="s">
        <v>108</v>
      </c>
      <c r="E8697">
        <v>1</v>
      </c>
    </row>
    <row r="8698" spans="1:5" x14ac:dyDescent="0.25">
      <c r="A8698">
        <v>8697</v>
      </c>
      <c r="B8698">
        <v>3530633</v>
      </c>
      <c r="C8698" s="1" t="str">
        <f>HYPERLINK("http://stackoverflow.com/users/3530633", "Gui Yan-Zhong")</f>
        <v>Gui Yan-Zhong</v>
      </c>
      <c r="D8698" t="s">
        <v>4</v>
      </c>
      <c r="E8698">
        <v>1</v>
      </c>
    </row>
    <row r="8699" spans="1:5" x14ac:dyDescent="0.25">
      <c r="A8699">
        <v>8698</v>
      </c>
      <c r="B8699">
        <v>3530864</v>
      </c>
      <c r="C8699" s="1" t="str">
        <f>HYPERLINK("http://stackoverflow.com/users/3530864", "JohnZheng")</f>
        <v>JohnZheng</v>
      </c>
      <c r="D8699" t="s">
        <v>7</v>
      </c>
      <c r="E8699">
        <v>1</v>
      </c>
    </row>
    <row r="8700" spans="1:5" x14ac:dyDescent="0.25">
      <c r="A8700">
        <v>8699</v>
      </c>
      <c r="B8700">
        <v>7083465</v>
      </c>
      <c r="C8700" s="1" t="str">
        <f>HYPERLINK("http://stackoverflow.com/users/7083465", "chen jia")</f>
        <v>chen jia</v>
      </c>
      <c r="D8700" t="s">
        <v>467</v>
      </c>
      <c r="E8700">
        <v>1</v>
      </c>
    </row>
    <row r="8701" spans="1:5" x14ac:dyDescent="0.25">
      <c r="A8701">
        <v>8700</v>
      </c>
      <c r="B8701">
        <v>5313172</v>
      </c>
      <c r="C8701" s="1" t="str">
        <f>HYPERLINK("http://stackoverflow.com/users/5313172", "Brian")</f>
        <v>Brian</v>
      </c>
      <c r="D8701" t="s">
        <v>52</v>
      </c>
      <c r="E8701">
        <v>1</v>
      </c>
    </row>
    <row r="8702" spans="1:5" x14ac:dyDescent="0.25">
      <c r="A8702">
        <v>8701</v>
      </c>
      <c r="B8702">
        <v>1696123</v>
      </c>
      <c r="C8702" s="1" t="str">
        <f>HYPERLINK("http://stackoverflow.com/users/1696123", "chenjin")</f>
        <v>chenjin</v>
      </c>
      <c r="D8702" t="s">
        <v>4</v>
      </c>
      <c r="E8702">
        <v>1</v>
      </c>
    </row>
    <row r="8703" spans="1:5" x14ac:dyDescent="0.25">
      <c r="A8703">
        <v>8702</v>
      </c>
      <c r="B8703">
        <v>1690167</v>
      </c>
      <c r="C8703" s="1" t="str">
        <f>HYPERLINK("http://stackoverflow.com/users/1690167", "dsalice")</f>
        <v>dsalice</v>
      </c>
      <c r="D8703" t="s">
        <v>63</v>
      </c>
      <c r="E8703">
        <v>1</v>
      </c>
    </row>
    <row r="8704" spans="1:5" x14ac:dyDescent="0.25">
      <c r="A8704">
        <v>8703</v>
      </c>
      <c r="B8704">
        <v>7079408</v>
      </c>
      <c r="C8704" s="1" t="str">
        <f>HYPERLINK("http://stackoverflow.com/users/7079408", "Panda Guo")</f>
        <v>Panda Guo</v>
      </c>
      <c r="D8704" t="s">
        <v>4</v>
      </c>
      <c r="E8704">
        <v>1</v>
      </c>
    </row>
    <row r="8705" spans="1:5" x14ac:dyDescent="0.25">
      <c r="A8705">
        <v>8704</v>
      </c>
      <c r="B8705">
        <v>10721726</v>
      </c>
      <c r="C8705" s="1" t="str">
        <f>HYPERLINK("http://stackoverflow.com/users/10721726", "user10721726")</f>
        <v>user10721726</v>
      </c>
      <c r="D8705" t="s">
        <v>7</v>
      </c>
      <c r="E8705">
        <v>1</v>
      </c>
    </row>
    <row r="8706" spans="1:5" x14ac:dyDescent="0.25">
      <c r="A8706">
        <v>8705</v>
      </c>
      <c r="B8706">
        <v>10722224</v>
      </c>
      <c r="C8706" s="1" t="str">
        <f>HYPERLINK("http://stackoverflow.com/users/10722224", "Inno Jia")</f>
        <v>Inno Jia</v>
      </c>
      <c r="D8706" t="s">
        <v>114</v>
      </c>
      <c r="E8706">
        <v>1</v>
      </c>
    </row>
    <row r="8707" spans="1:5" x14ac:dyDescent="0.25">
      <c r="A8707">
        <v>8706</v>
      </c>
      <c r="B8707">
        <v>8912676</v>
      </c>
      <c r="C8707" s="1" t="str">
        <f>HYPERLINK("http://stackoverflow.com/users/8912676", "F Zhang")</f>
        <v>F Zhang</v>
      </c>
      <c r="D8707" t="s">
        <v>5</v>
      </c>
      <c r="E8707">
        <v>1</v>
      </c>
    </row>
    <row r="8708" spans="1:5" x14ac:dyDescent="0.25">
      <c r="A8708">
        <v>8707</v>
      </c>
      <c r="B8708">
        <v>8912689</v>
      </c>
      <c r="C8708" s="1" t="str">
        <f>HYPERLINK("http://stackoverflow.com/users/8912689", "SherryOever18")</f>
        <v>SherryOever18</v>
      </c>
      <c r="D8708" t="s">
        <v>16</v>
      </c>
      <c r="E8708">
        <v>1</v>
      </c>
    </row>
    <row r="8709" spans="1:5" x14ac:dyDescent="0.25">
      <c r="A8709">
        <v>8708</v>
      </c>
      <c r="B8709">
        <v>8912736</v>
      </c>
      <c r="C8709" s="1" t="str">
        <f>HYPERLINK("http://stackoverflow.com/users/8912736", "Noodle Fish")</f>
        <v>Noodle Fish</v>
      </c>
      <c r="D8709" t="s">
        <v>5</v>
      </c>
      <c r="E8709">
        <v>1</v>
      </c>
    </row>
    <row r="8710" spans="1:5" x14ac:dyDescent="0.25">
      <c r="A8710">
        <v>8709</v>
      </c>
      <c r="B8710">
        <v>7083234</v>
      </c>
      <c r="C8710" s="1" t="str">
        <f>HYPERLINK("http://stackoverflow.com/users/7083234", "Feng Xue")</f>
        <v>Feng Xue</v>
      </c>
      <c r="D8710" t="s">
        <v>5</v>
      </c>
      <c r="E8710">
        <v>1</v>
      </c>
    </row>
    <row r="8711" spans="1:5" x14ac:dyDescent="0.25">
      <c r="A8711">
        <v>8710</v>
      </c>
      <c r="B8711">
        <v>6096312</v>
      </c>
      <c r="C8711" s="1" t="str">
        <f>HYPERLINK("http://stackoverflow.com/users/6096312", "xiaomeng")</f>
        <v>xiaomeng</v>
      </c>
      <c r="D8711" t="s">
        <v>4</v>
      </c>
      <c r="E8711">
        <v>1</v>
      </c>
    </row>
    <row r="8712" spans="1:5" x14ac:dyDescent="0.25">
      <c r="A8712">
        <v>8711</v>
      </c>
      <c r="B8712">
        <v>6096424</v>
      </c>
      <c r="C8712" s="1" t="str">
        <f>HYPERLINK("http://stackoverflow.com/users/6096424", "ivan")</f>
        <v>ivan</v>
      </c>
      <c r="D8712" t="s">
        <v>4</v>
      </c>
      <c r="E8712">
        <v>1</v>
      </c>
    </row>
    <row r="8713" spans="1:5" x14ac:dyDescent="0.25">
      <c r="A8713">
        <v>8712</v>
      </c>
      <c r="B8713">
        <v>6092664</v>
      </c>
      <c r="C8713" s="1" t="str">
        <f>HYPERLINK("http://stackoverflow.com/users/6092664", "junior")</f>
        <v>junior</v>
      </c>
      <c r="D8713" t="s">
        <v>5</v>
      </c>
      <c r="E8713">
        <v>1</v>
      </c>
    </row>
    <row r="8714" spans="1:5" x14ac:dyDescent="0.25">
      <c r="A8714">
        <v>8713</v>
      </c>
      <c r="B8714">
        <v>6092910</v>
      </c>
      <c r="C8714" s="1" t="str">
        <f>HYPERLINK("http://stackoverflow.com/users/6092910", "chenfei")</f>
        <v>chenfei</v>
      </c>
      <c r="D8714" t="s">
        <v>5</v>
      </c>
      <c r="E8714">
        <v>1</v>
      </c>
    </row>
    <row r="8715" spans="1:5" x14ac:dyDescent="0.25">
      <c r="A8715">
        <v>8714</v>
      </c>
      <c r="B8715">
        <v>2495201</v>
      </c>
      <c r="C8715" s="1" t="str">
        <f>HYPERLINK("http://stackoverflow.com/users/2495201", "sunrui")</f>
        <v>sunrui</v>
      </c>
      <c r="D8715" t="s">
        <v>22</v>
      </c>
      <c r="E8715">
        <v>1</v>
      </c>
    </row>
    <row r="8716" spans="1:5" x14ac:dyDescent="0.25">
      <c r="A8716">
        <v>8715</v>
      </c>
      <c r="B8716">
        <v>4362298</v>
      </c>
      <c r="C8716" s="1" t="str">
        <f>HYPERLINK("http://stackoverflow.com/users/4362298", "Junwei Cui")</f>
        <v>Junwei Cui</v>
      </c>
      <c r="D8716" t="s">
        <v>338</v>
      </c>
      <c r="E8716">
        <v>1</v>
      </c>
    </row>
    <row r="8717" spans="1:5" x14ac:dyDescent="0.25">
      <c r="A8717">
        <v>8716</v>
      </c>
      <c r="B8717">
        <v>4362584</v>
      </c>
      <c r="C8717" s="1" t="str">
        <f>HYPERLINK("http://stackoverflow.com/users/4362584", "何腾龙")</f>
        <v>何腾龙</v>
      </c>
      <c r="D8717" t="s">
        <v>17</v>
      </c>
      <c r="E8717">
        <v>1</v>
      </c>
    </row>
    <row r="8718" spans="1:5" x14ac:dyDescent="0.25">
      <c r="A8718">
        <v>8717</v>
      </c>
      <c r="B8718">
        <v>6092319</v>
      </c>
      <c r="C8718" s="1" t="str">
        <f>HYPERLINK("http://stackoverflow.com/users/6092319", "XYCWeb")</f>
        <v>XYCWeb</v>
      </c>
      <c r="D8718" t="s">
        <v>468</v>
      </c>
      <c r="E8718">
        <v>1</v>
      </c>
    </row>
    <row r="8719" spans="1:5" x14ac:dyDescent="0.25">
      <c r="A8719">
        <v>8718</v>
      </c>
      <c r="B8719">
        <v>6092368</v>
      </c>
      <c r="C8719" s="1" t="str">
        <f>HYPERLINK("http://stackoverflow.com/users/6092368", "Raymond_jc")</f>
        <v>Raymond_jc</v>
      </c>
      <c r="D8719" t="s">
        <v>5</v>
      </c>
      <c r="E8719">
        <v>1</v>
      </c>
    </row>
    <row r="8720" spans="1:5" x14ac:dyDescent="0.25">
      <c r="A8720">
        <v>8719</v>
      </c>
      <c r="B8720">
        <v>6096513</v>
      </c>
      <c r="C8720" s="1" t="str">
        <f>HYPERLINK("http://stackoverflow.com/users/6096513", "张亚飞")</f>
        <v>张亚飞</v>
      </c>
      <c r="D8720" t="s">
        <v>52</v>
      </c>
      <c r="E8720">
        <v>1</v>
      </c>
    </row>
    <row r="8721" spans="1:5" x14ac:dyDescent="0.25">
      <c r="A8721">
        <v>8720</v>
      </c>
      <c r="B8721">
        <v>6098199</v>
      </c>
      <c r="C8721" s="1" t="str">
        <f>HYPERLINK("http://stackoverflow.com/users/6098199", "wangbin")</f>
        <v>wangbin</v>
      </c>
      <c r="D8721" t="s">
        <v>195</v>
      </c>
      <c r="E8721">
        <v>1</v>
      </c>
    </row>
    <row r="8722" spans="1:5" x14ac:dyDescent="0.25">
      <c r="A8722">
        <v>8721</v>
      </c>
      <c r="B8722">
        <v>7864737</v>
      </c>
      <c r="C8722" s="1" t="str">
        <f>HYPERLINK("http://stackoverflow.com/users/7864737", "liyangang")</f>
        <v>liyangang</v>
      </c>
      <c r="D8722" t="s">
        <v>4</v>
      </c>
      <c r="E8722">
        <v>1</v>
      </c>
    </row>
    <row r="8723" spans="1:5" x14ac:dyDescent="0.25">
      <c r="A8723">
        <v>8722</v>
      </c>
      <c r="B8723">
        <v>6096566</v>
      </c>
      <c r="C8723" s="1" t="str">
        <f>HYPERLINK("http://stackoverflow.com/users/6096566", "shenzhigang")</f>
        <v>shenzhigang</v>
      </c>
      <c r="D8723" t="s">
        <v>4</v>
      </c>
      <c r="E8723">
        <v>1</v>
      </c>
    </row>
    <row r="8724" spans="1:5" x14ac:dyDescent="0.25">
      <c r="A8724">
        <v>8723</v>
      </c>
      <c r="B8724">
        <v>6096761</v>
      </c>
      <c r="C8724" s="1" t="str">
        <f>HYPERLINK("http://stackoverflow.com/users/6096761", "chunix zyc")</f>
        <v>chunix zyc</v>
      </c>
      <c r="D8724" t="s">
        <v>4</v>
      </c>
      <c r="E8724">
        <v>1</v>
      </c>
    </row>
    <row r="8725" spans="1:5" x14ac:dyDescent="0.25">
      <c r="A8725">
        <v>8724</v>
      </c>
      <c r="B8725">
        <v>6097875</v>
      </c>
      <c r="C8725" s="1" t="str">
        <f>HYPERLINK("http://stackoverflow.com/users/6097875", "区汇君")</f>
        <v>区汇君</v>
      </c>
      <c r="D8725" t="s">
        <v>25</v>
      </c>
      <c r="E8725">
        <v>1</v>
      </c>
    </row>
    <row r="8726" spans="1:5" x14ac:dyDescent="0.25">
      <c r="A8726">
        <v>8725</v>
      </c>
      <c r="B8726">
        <v>6097981</v>
      </c>
      <c r="C8726" s="1" t="str">
        <f>HYPERLINK("http://stackoverflow.com/users/6097981", "fafer")</f>
        <v>fafer</v>
      </c>
      <c r="D8726" t="s">
        <v>66</v>
      </c>
      <c r="E8726">
        <v>1</v>
      </c>
    </row>
    <row r="8727" spans="1:5" x14ac:dyDescent="0.25">
      <c r="A8727">
        <v>8726</v>
      </c>
      <c r="B8727">
        <v>6098078</v>
      </c>
      <c r="C8727" s="1" t="str">
        <f>HYPERLINK("http://stackoverflow.com/users/6098078", "shenhailuanma")</f>
        <v>shenhailuanma</v>
      </c>
      <c r="D8727" t="s">
        <v>5</v>
      </c>
      <c r="E8727">
        <v>1</v>
      </c>
    </row>
    <row r="8728" spans="1:5" x14ac:dyDescent="0.25">
      <c r="A8728">
        <v>8727</v>
      </c>
      <c r="B8728">
        <v>7865172</v>
      </c>
      <c r="C8728" s="1" t="str">
        <f>HYPERLINK("http://stackoverflow.com/users/7865172", "Lonely")</f>
        <v>Lonely</v>
      </c>
      <c r="D8728" t="s">
        <v>4</v>
      </c>
      <c r="E8728">
        <v>1</v>
      </c>
    </row>
    <row r="8729" spans="1:5" x14ac:dyDescent="0.25">
      <c r="A8729">
        <v>8728</v>
      </c>
      <c r="B8729">
        <v>7865282</v>
      </c>
      <c r="C8729" s="1" t="str">
        <f>HYPERLINK("http://stackoverflow.com/users/7865282", "tony")</f>
        <v>tony</v>
      </c>
      <c r="D8729" t="s">
        <v>469</v>
      </c>
      <c r="E8729">
        <v>1</v>
      </c>
    </row>
    <row r="8730" spans="1:5" x14ac:dyDescent="0.25">
      <c r="A8730">
        <v>8729</v>
      </c>
      <c r="B8730">
        <v>6101804</v>
      </c>
      <c r="C8730" s="1" t="str">
        <f>HYPERLINK("http://stackoverflow.com/users/6101804", "Ruby")</f>
        <v>Ruby</v>
      </c>
      <c r="D8730" t="s">
        <v>4</v>
      </c>
      <c r="E8730">
        <v>1</v>
      </c>
    </row>
    <row r="8731" spans="1:5" x14ac:dyDescent="0.25">
      <c r="A8731">
        <v>8730</v>
      </c>
      <c r="B8731">
        <v>7869746</v>
      </c>
      <c r="C8731" s="1" t="str">
        <f>HYPERLINK("http://stackoverflow.com/users/7869746", "Bob")</f>
        <v>Bob</v>
      </c>
      <c r="D8731" t="s">
        <v>79</v>
      </c>
      <c r="E8731">
        <v>1</v>
      </c>
    </row>
    <row r="8732" spans="1:5" x14ac:dyDescent="0.25">
      <c r="A8732">
        <v>8731</v>
      </c>
      <c r="B8732">
        <v>7869817</v>
      </c>
      <c r="C8732" s="1" t="str">
        <f>HYPERLINK("http://stackoverflow.com/users/7869817", "hnc")</f>
        <v>hnc</v>
      </c>
      <c r="D8732" t="s">
        <v>74</v>
      </c>
      <c r="E8732">
        <v>1</v>
      </c>
    </row>
    <row r="8733" spans="1:5" x14ac:dyDescent="0.25">
      <c r="A8733">
        <v>8732</v>
      </c>
      <c r="B8733">
        <v>2486649</v>
      </c>
      <c r="C8733" s="1" t="str">
        <f>HYPERLINK("http://stackoverflow.com/users/2486649", "Jeremy Ma")</f>
        <v>Jeremy Ma</v>
      </c>
      <c r="D8733" t="s">
        <v>4</v>
      </c>
      <c r="E8733">
        <v>1</v>
      </c>
    </row>
    <row r="8734" spans="1:5" x14ac:dyDescent="0.25">
      <c r="A8734">
        <v>8733</v>
      </c>
      <c r="B8734">
        <v>2486667</v>
      </c>
      <c r="C8734" s="1" t="str">
        <f>HYPERLINK("http://stackoverflow.com/users/2486667", "lunny")</f>
        <v>lunny</v>
      </c>
      <c r="D8734" t="s">
        <v>4</v>
      </c>
      <c r="E8734">
        <v>1</v>
      </c>
    </row>
    <row r="8735" spans="1:5" x14ac:dyDescent="0.25">
      <c r="A8735">
        <v>8734</v>
      </c>
      <c r="B8735">
        <v>4359660</v>
      </c>
      <c r="C8735" s="1" t="str">
        <f>HYPERLINK("http://stackoverflow.com/users/4359660", "whinc")</f>
        <v>whinc</v>
      </c>
      <c r="D8735" t="s">
        <v>21</v>
      </c>
      <c r="E8735">
        <v>1</v>
      </c>
    </row>
    <row r="8736" spans="1:5" x14ac:dyDescent="0.25">
      <c r="A8736">
        <v>8735</v>
      </c>
      <c r="B8736">
        <v>4354684</v>
      </c>
      <c r="C8736" s="1" t="str">
        <f>HYPERLINK("http://stackoverflow.com/users/4354684", "victor")</f>
        <v>victor</v>
      </c>
      <c r="D8736" t="s">
        <v>5</v>
      </c>
      <c r="E8736">
        <v>1</v>
      </c>
    </row>
    <row r="8737" spans="1:5" x14ac:dyDescent="0.25">
      <c r="A8737">
        <v>8736</v>
      </c>
      <c r="B8737">
        <v>7850394</v>
      </c>
      <c r="C8737" s="1" t="str">
        <f>HYPERLINK("http://stackoverflow.com/users/7850394", "ZhongLiang Lu")</f>
        <v>ZhongLiang Lu</v>
      </c>
      <c r="D8737" t="s">
        <v>434</v>
      </c>
      <c r="E8737">
        <v>1</v>
      </c>
    </row>
    <row r="8738" spans="1:5" x14ac:dyDescent="0.25">
      <c r="A8738">
        <v>8737</v>
      </c>
      <c r="B8738">
        <v>7850658</v>
      </c>
      <c r="C8738" s="1" t="str">
        <f>HYPERLINK("http://stackoverflow.com/users/7850658", "Zhou Hao")</f>
        <v>Zhou Hao</v>
      </c>
      <c r="D8738" t="s">
        <v>266</v>
      </c>
      <c r="E8738">
        <v>1</v>
      </c>
    </row>
    <row r="8739" spans="1:5" x14ac:dyDescent="0.25">
      <c r="A8739">
        <v>8738</v>
      </c>
      <c r="B8739">
        <v>101327</v>
      </c>
      <c r="C8739" s="1" t="str">
        <f>HYPERLINK("http://stackoverflow.com/users/101327", "Stone")</f>
        <v>Stone</v>
      </c>
      <c r="D8739" t="s">
        <v>4</v>
      </c>
      <c r="E8739">
        <v>1</v>
      </c>
    </row>
    <row r="8740" spans="1:5" x14ac:dyDescent="0.25">
      <c r="A8740">
        <v>8739</v>
      </c>
      <c r="B8740">
        <v>6070327</v>
      </c>
      <c r="C8740" s="1" t="str">
        <f>HYPERLINK("http://stackoverflow.com/users/6070327", "Stefan.Salvatore")</f>
        <v>Stefan.Salvatore</v>
      </c>
      <c r="D8740" t="s">
        <v>5</v>
      </c>
      <c r="E8740">
        <v>1</v>
      </c>
    </row>
    <row r="8741" spans="1:5" x14ac:dyDescent="0.25">
      <c r="A8741">
        <v>8740</v>
      </c>
      <c r="B8741">
        <v>6070330</v>
      </c>
      <c r="C8741" s="1" t="str">
        <f>HYPERLINK("http://stackoverflow.com/users/6070330", "ZhangJun")</f>
        <v>ZhangJun</v>
      </c>
      <c r="D8741" t="s">
        <v>4</v>
      </c>
      <c r="E8741">
        <v>1</v>
      </c>
    </row>
    <row r="8742" spans="1:5" x14ac:dyDescent="0.25">
      <c r="A8742">
        <v>8741</v>
      </c>
      <c r="B8742">
        <v>6072187</v>
      </c>
      <c r="C8742" s="1" t="str">
        <f>HYPERLINK("http://stackoverflow.com/users/6072187", "randomwalk")</f>
        <v>randomwalk</v>
      </c>
      <c r="D8742" t="s">
        <v>5</v>
      </c>
      <c r="E8742">
        <v>1</v>
      </c>
    </row>
    <row r="8743" spans="1:5" x14ac:dyDescent="0.25">
      <c r="A8743">
        <v>8742</v>
      </c>
      <c r="B8743">
        <v>7837119</v>
      </c>
      <c r="C8743" s="1" t="str">
        <f>HYPERLINK("http://stackoverflow.com/users/7837119", "user7837119")</f>
        <v>user7837119</v>
      </c>
      <c r="D8743" t="s">
        <v>5</v>
      </c>
      <c r="E8743">
        <v>1</v>
      </c>
    </row>
    <row r="8744" spans="1:5" x14ac:dyDescent="0.25">
      <c r="A8744">
        <v>8743</v>
      </c>
      <c r="B8744">
        <v>7837427</v>
      </c>
      <c r="C8744" s="1" t="str">
        <f>HYPERLINK("http://stackoverflow.com/users/7837427", "Ying Zhu")</f>
        <v>Ying Zhu</v>
      </c>
      <c r="D8744" t="s">
        <v>4</v>
      </c>
      <c r="E8744">
        <v>1</v>
      </c>
    </row>
    <row r="8745" spans="1:5" x14ac:dyDescent="0.25">
      <c r="A8745">
        <v>8744</v>
      </c>
      <c r="B8745">
        <v>9645836</v>
      </c>
      <c r="C8745" s="1" t="str">
        <f>HYPERLINK("http://stackoverflow.com/users/9645836", "Conghuai Cai")</f>
        <v>Conghuai Cai</v>
      </c>
      <c r="D8745" t="s">
        <v>7</v>
      </c>
      <c r="E8745">
        <v>1</v>
      </c>
    </row>
    <row r="8746" spans="1:5" x14ac:dyDescent="0.25">
      <c r="A8746">
        <v>8745</v>
      </c>
      <c r="B8746">
        <v>7843937</v>
      </c>
      <c r="C8746" s="1" t="str">
        <f>HYPERLINK("http://stackoverflow.com/users/7843937", "hardass")</f>
        <v>hardass</v>
      </c>
      <c r="D8746" t="s">
        <v>4</v>
      </c>
      <c r="E8746">
        <v>1</v>
      </c>
    </row>
    <row r="8747" spans="1:5" x14ac:dyDescent="0.25">
      <c r="A8747">
        <v>8746</v>
      </c>
      <c r="B8747">
        <v>7844364</v>
      </c>
      <c r="C8747" s="1" t="str">
        <f>HYPERLINK("http://stackoverflow.com/users/7844364", "zhuanyeshiti")</f>
        <v>zhuanyeshiti</v>
      </c>
      <c r="D8747" t="s">
        <v>5</v>
      </c>
      <c r="E8747">
        <v>1</v>
      </c>
    </row>
    <row r="8748" spans="1:5" x14ac:dyDescent="0.25">
      <c r="A8748">
        <v>8747</v>
      </c>
      <c r="B8748">
        <v>7844396</v>
      </c>
      <c r="C8748" s="1" t="str">
        <f>HYPERLINK("http://stackoverflow.com/users/7844396", "yousef almesbahi")</f>
        <v>yousef almesbahi</v>
      </c>
      <c r="D8748" t="s">
        <v>25</v>
      </c>
      <c r="E8748">
        <v>1</v>
      </c>
    </row>
    <row r="8749" spans="1:5" x14ac:dyDescent="0.25">
      <c r="A8749">
        <v>8748</v>
      </c>
      <c r="B8749">
        <v>4348786</v>
      </c>
      <c r="C8749" s="1" t="str">
        <f>HYPERLINK("http://stackoverflow.com/users/4348786", "techYJ")</f>
        <v>techYJ</v>
      </c>
      <c r="D8749" t="s">
        <v>12</v>
      </c>
      <c r="E8749">
        <v>1</v>
      </c>
    </row>
    <row r="8750" spans="1:5" x14ac:dyDescent="0.25">
      <c r="A8750">
        <v>8749</v>
      </c>
      <c r="B8750">
        <v>4348986</v>
      </c>
      <c r="C8750" s="1" t="str">
        <f>HYPERLINK("http://stackoverflow.com/users/4348986", "movier")</f>
        <v>movier</v>
      </c>
      <c r="D8750" t="s">
        <v>4</v>
      </c>
      <c r="E8750">
        <v>1</v>
      </c>
    </row>
    <row r="8751" spans="1:5" x14ac:dyDescent="0.25">
      <c r="A8751">
        <v>8750</v>
      </c>
      <c r="B8751">
        <v>4349223</v>
      </c>
      <c r="C8751" s="1" t="str">
        <f>HYPERLINK("http://stackoverflow.com/users/4349223", "TwoSim")</f>
        <v>TwoSim</v>
      </c>
      <c r="D8751" t="s">
        <v>12</v>
      </c>
      <c r="E8751">
        <v>1</v>
      </c>
    </row>
    <row r="8752" spans="1:5" x14ac:dyDescent="0.25">
      <c r="A8752">
        <v>8751</v>
      </c>
      <c r="B8752">
        <v>9652852</v>
      </c>
      <c r="C8752" s="1" t="str">
        <f>HYPERLINK("http://stackoverflow.com/users/9652852", "Juan")</f>
        <v>Juan</v>
      </c>
      <c r="D8752" t="s">
        <v>4</v>
      </c>
      <c r="E8752">
        <v>1</v>
      </c>
    </row>
    <row r="8753" spans="1:5" x14ac:dyDescent="0.25">
      <c r="A8753">
        <v>8752</v>
      </c>
      <c r="B8753">
        <v>9653063</v>
      </c>
      <c r="C8753" s="1" t="str">
        <f>HYPERLINK("http://stackoverflow.com/users/9653063", "Taha Abbas Bin Rashid")</f>
        <v>Taha Abbas Bin Rashid</v>
      </c>
      <c r="D8753" t="s">
        <v>4</v>
      </c>
      <c r="E8753">
        <v>1</v>
      </c>
    </row>
    <row r="8754" spans="1:5" x14ac:dyDescent="0.25">
      <c r="A8754">
        <v>8753</v>
      </c>
      <c r="B8754">
        <v>4352456</v>
      </c>
      <c r="C8754" s="1" t="str">
        <f>HYPERLINK("http://stackoverflow.com/users/4352456", "Shawn")</f>
        <v>Shawn</v>
      </c>
      <c r="D8754" t="s">
        <v>5</v>
      </c>
      <c r="E8754">
        <v>1</v>
      </c>
    </row>
    <row r="8755" spans="1:5" x14ac:dyDescent="0.25">
      <c r="A8755">
        <v>8754</v>
      </c>
      <c r="B8755">
        <v>6069998</v>
      </c>
      <c r="C8755" s="1" t="str">
        <f>HYPERLINK("http://stackoverflow.com/users/6069998", "ArthBob")</f>
        <v>ArthBob</v>
      </c>
      <c r="D8755" t="s">
        <v>7</v>
      </c>
      <c r="E8755">
        <v>1</v>
      </c>
    </row>
    <row r="8756" spans="1:5" x14ac:dyDescent="0.25">
      <c r="A8756">
        <v>8755</v>
      </c>
      <c r="B8756">
        <v>2465958</v>
      </c>
      <c r="C8756" s="1" t="str">
        <f>HYPERLINK("http://stackoverflow.com/users/2465958", "deljuven")</f>
        <v>deljuven</v>
      </c>
      <c r="D8756" t="s">
        <v>4</v>
      </c>
      <c r="E8756">
        <v>1</v>
      </c>
    </row>
    <row r="8757" spans="1:5" x14ac:dyDescent="0.25">
      <c r="A8757">
        <v>8756</v>
      </c>
      <c r="B8757">
        <v>9644023</v>
      </c>
      <c r="C8757" s="1" t="str">
        <f>HYPERLINK("http://stackoverflow.com/users/9644023", "windrise")</f>
        <v>windrise</v>
      </c>
      <c r="D8757" t="s">
        <v>91</v>
      </c>
      <c r="E8757">
        <v>1</v>
      </c>
    </row>
    <row r="8758" spans="1:5" x14ac:dyDescent="0.25">
      <c r="A8758">
        <v>8757</v>
      </c>
      <c r="B8758">
        <v>2465799</v>
      </c>
      <c r="C8758" s="1" t="str">
        <f>HYPERLINK("http://stackoverflow.com/users/2465799", "lina")</f>
        <v>lina</v>
      </c>
      <c r="D8758" t="s">
        <v>5</v>
      </c>
      <c r="E8758">
        <v>1</v>
      </c>
    </row>
    <row r="8759" spans="1:5" x14ac:dyDescent="0.25">
      <c r="A8759">
        <v>8758</v>
      </c>
      <c r="B8759">
        <v>2465929</v>
      </c>
      <c r="C8759" s="1" t="str">
        <f>HYPERLINK("http://stackoverflow.com/users/2465929", "shijuner")</f>
        <v>shijuner</v>
      </c>
      <c r="D8759" t="s">
        <v>5</v>
      </c>
      <c r="E8759">
        <v>1</v>
      </c>
    </row>
    <row r="8760" spans="1:5" x14ac:dyDescent="0.25">
      <c r="A8760">
        <v>8759</v>
      </c>
      <c r="B8760">
        <v>9637319</v>
      </c>
      <c r="C8760" s="1" t="str">
        <f>HYPERLINK("http://stackoverflow.com/users/9637319", "brains xj")</f>
        <v>brains xj</v>
      </c>
      <c r="D8760" t="s">
        <v>28</v>
      </c>
      <c r="E8760">
        <v>1</v>
      </c>
    </row>
    <row r="8761" spans="1:5" x14ac:dyDescent="0.25">
      <c r="A8761">
        <v>8760</v>
      </c>
      <c r="B8761">
        <v>2421578</v>
      </c>
      <c r="C8761" s="1" t="str">
        <f>HYPERLINK("http://stackoverflow.com/users/2421578", "heyjulia")</f>
        <v>heyjulia</v>
      </c>
      <c r="D8761" t="s">
        <v>4</v>
      </c>
      <c r="E8761">
        <v>1</v>
      </c>
    </row>
    <row r="8762" spans="1:5" x14ac:dyDescent="0.25">
      <c r="A8762">
        <v>8761</v>
      </c>
      <c r="B8762">
        <v>2458785</v>
      </c>
      <c r="C8762" s="1" t="str">
        <f>HYPERLINK("http://stackoverflow.com/users/2458785", "Xintong Liu")</f>
        <v>Xintong Liu</v>
      </c>
      <c r="D8762" t="s">
        <v>5</v>
      </c>
      <c r="E8762">
        <v>1</v>
      </c>
    </row>
    <row r="8763" spans="1:5" x14ac:dyDescent="0.25">
      <c r="A8763">
        <v>8762</v>
      </c>
      <c r="B8763">
        <v>7819398</v>
      </c>
      <c r="C8763" s="1" t="str">
        <f>HYPERLINK("http://stackoverflow.com/users/7819398", "smile")</f>
        <v>smile</v>
      </c>
      <c r="D8763" t="s">
        <v>7</v>
      </c>
      <c r="E8763">
        <v>1</v>
      </c>
    </row>
    <row r="8764" spans="1:5" x14ac:dyDescent="0.25">
      <c r="A8764">
        <v>8763</v>
      </c>
      <c r="B8764">
        <v>7819807</v>
      </c>
      <c r="C8764" s="1" t="str">
        <f>HYPERLINK("http://stackoverflow.com/users/7819807", "Leona Xiong")</f>
        <v>Leona Xiong</v>
      </c>
      <c r="D8764" t="s">
        <v>55</v>
      </c>
      <c r="E8764">
        <v>1</v>
      </c>
    </row>
    <row r="8765" spans="1:5" x14ac:dyDescent="0.25">
      <c r="A8765">
        <v>8764</v>
      </c>
      <c r="B8765">
        <v>4327213</v>
      </c>
      <c r="C8765" s="1" t="str">
        <f>HYPERLINK("http://stackoverflow.com/users/4327213", "好想告诉你")</f>
        <v>好想告诉你</v>
      </c>
      <c r="D8765" t="s">
        <v>21</v>
      </c>
      <c r="E8765">
        <v>1</v>
      </c>
    </row>
    <row r="8766" spans="1:5" x14ac:dyDescent="0.25">
      <c r="A8766">
        <v>8765</v>
      </c>
      <c r="B8766">
        <v>4327329</v>
      </c>
      <c r="C8766" s="1" t="str">
        <f>HYPERLINK("http://stackoverflow.com/users/4327329", "Yusheng Feng")</f>
        <v>Yusheng Feng</v>
      </c>
      <c r="D8766" t="s">
        <v>5</v>
      </c>
      <c r="E8766">
        <v>1</v>
      </c>
    </row>
    <row r="8767" spans="1:5" x14ac:dyDescent="0.25">
      <c r="A8767">
        <v>8766</v>
      </c>
      <c r="B8767">
        <v>4327446</v>
      </c>
      <c r="C8767" s="1" t="str">
        <f>HYPERLINK("http://stackoverflow.com/users/4327446", "KareLIF")</f>
        <v>KareLIF</v>
      </c>
      <c r="D8767" t="s">
        <v>5</v>
      </c>
      <c r="E8767">
        <v>1</v>
      </c>
    </row>
    <row r="8768" spans="1:5" x14ac:dyDescent="0.25">
      <c r="A8768">
        <v>8767</v>
      </c>
      <c r="B8768">
        <v>6058756</v>
      </c>
      <c r="C8768" s="1" t="str">
        <f>HYPERLINK("http://stackoverflow.com/users/6058756", "DYC")</f>
        <v>DYC</v>
      </c>
      <c r="D8768" t="s">
        <v>470</v>
      </c>
      <c r="E8768">
        <v>1</v>
      </c>
    </row>
    <row r="8769" spans="1:5" x14ac:dyDescent="0.25">
      <c r="A8769">
        <v>8768</v>
      </c>
      <c r="B8769">
        <v>6058759</v>
      </c>
      <c r="C8769" s="1" t="str">
        <f>HYPERLINK("http://stackoverflow.com/users/6058759", "Yuhao.G")</f>
        <v>Yuhao.G</v>
      </c>
      <c r="D8769" t="s">
        <v>5</v>
      </c>
      <c r="E8769">
        <v>1</v>
      </c>
    </row>
    <row r="8770" spans="1:5" x14ac:dyDescent="0.25">
      <c r="A8770">
        <v>8769</v>
      </c>
      <c r="B8770">
        <v>6058805</v>
      </c>
      <c r="C8770" s="1" t="str">
        <f>HYPERLINK("http://stackoverflow.com/users/6058805", "hezhiming")</f>
        <v>hezhiming</v>
      </c>
      <c r="D8770" t="s">
        <v>4</v>
      </c>
      <c r="E8770">
        <v>1</v>
      </c>
    </row>
    <row r="8771" spans="1:5" x14ac:dyDescent="0.25">
      <c r="A8771">
        <v>8770</v>
      </c>
      <c r="B8771">
        <v>6058948</v>
      </c>
      <c r="C8771" s="1" t="str">
        <f>HYPERLINK("http://stackoverflow.com/users/6058948", "fanxiong")</f>
        <v>fanxiong</v>
      </c>
      <c r="D8771" t="s">
        <v>5</v>
      </c>
      <c r="E8771">
        <v>1</v>
      </c>
    </row>
    <row r="8772" spans="1:5" x14ac:dyDescent="0.25">
      <c r="A8772">
        <v>8771</v>
      </c>
      <c r="B8772">
        <v>6059260</v>
      </c>
      <c r="C8772" s="1" t="str">
        <f>HYPERLINK("http://stackoverflow.com/users/6059260", "Damian")</f>
        <v>Damian</v>
      </c>
      <c r="D8772" t="s">
        <v>5</v>
      </c>
      <c r="E8772">
        <v>1</v>
      </c>
    </row>
    <row r="8773" spans="1:5" x14ac:dyDescent="0.25">
      <c r="A8773">
        <v>8772</v>
      </c>
      <c r="B8773">
        <v>4318756</v>
      </c>
      <c r="C8773" s="1" t="str">
        <f>HYPERLINK("http://stackoverflow.com/users/4318756", "hyv1001")</f>
        <v>hyv1001</v>
      </c>
      <c r="D8773" t="s">
        <v>12</v>
      </c>
      <c r="E8773">
        <v>1</v>
      </c>
    </row>
    <row r="8774" spans="1:5" x14ac:dyDescent="0.25">
      <c r="A8774">
        <v>8773</v>
      </c>
      <c r="B8774">
        <v>9634767</v>
      </c>
      <c r="C8774" s="1" t="str">
        <f>HYPERLINK("http://stackoverflow.com/users/9634767", "Roy Shang")</f>
        <v>Roy Shang</v>
      </c>
      <c r="D8774" t="s">
        <v>5</v>
      </c>
      <c r="E8774">
        <v>1</v>
      </c>
    </row>
    <row r="8775" spans="1:5" x14ac:dyDescent="0.25">
      <c r="A8775">
        <v>8774</v>
      </c>
      <c r="B8775">
        <v>9634823</v>
      </c>
      <c r="C8775" s="1" t="str">
        <f>HYPERLINK("http://stackoverflow.com/users/9634823", "Ifeanyi Obi")</f>
        <v>Ifeanyi Obi</v>
      </c>
      <c r="D8775" t="s">
        <v>33</v>
      </c>
      <c r="E8775">
        <v>1</v>
      </c>
    </row>
    <row r="8776" spans="1:5" x14ac:dyDescent="0.25">
      <c r="A8776">
        <v>8775</v>
      </c>
      <c r="B8776">
        <v>9635179</v>
      </c>
      <c r="C8776" s="1" t="str">
        <f>HYPERLINK("http://stackoverflow.com/users/9635179", "Jerry Chen")</f>
        <v>Jerry Chen</v>
      </c>
      <c r="D8776" t="s">
        <v>120</v>
      </c>
      <c r="E8776">
        <v>1</v>
      </c>
    </row>
    <row r="8777" spans="1:5" x14ac:dyDescent="0.25">
      <c r="A8777">
        <v>8776</v>
      </c>
      <c r="B8777">
        <v>9635344</v>
      </c>
      <c r="C8777" s="1" t="str">
        <f>HYPERLINK("http://stackoverflow.com/users/9635344", "Ben Shi")</f>
        <v>Ben Shi</v>
      </c>
      <c r="D8777" t="s">
        <v>57</v>
      </c>
      <c r="E8777">
        <v>1</v>
      </c>
    </row>
    <row r="8778" spans="1:5" x14ac:dyDescent="0.25">
      <c r="A8778">
        <v>8777</v>
      </c>
      <c r="B8778">
        <v>2425299</v>
      </c>
      <c r="C8778" s="1" t="str">
        <f>HYPERLINK("http://stackoverflow.com/users/2425299", "blustc")</f>
        <v>blustc</v>
      </c>
      <c r="D8778" t="s">
        <v>4</v>
      </c>
      <c r="E8778">
        <v>1</v>
      </c>
    </row>
    <row r="8779" spans="1:5" x14ac:dyDescent="0.25">
      <c r="A8779">
        <v>8778</v>
      </c>
      <c r="B8779">
        <v>2426131</v>
      </c>
      <c r="C8779" s="1" t="str">
        <f>HYPERLINK("http://stackoverflow.com/users/2426131", "Denis Ciocca")</f>
        <v>Denis Ciocca</v>
      </c>
      <c r="D8779" t="s">
        <v>5</v>
      </c>
      <c r="E8779">
        <v>1</v>
      </c>
    </row>
    <row r="8780" spans="1:5" x14ac:dyDescent="0.25">
      <c r="A8780">
        <v>8779</v>
      </c>
      <c r="B8780">
        <v>2426734</v>
      </c>
      <c r="C8780" s="1" t="str">
        <f>HYPERLINK("http://stackoverflow.com/users/2426734", "Jessie")</f>
        <v>Jessie</v>
      </c>
      <c r="D8780" t="s">
        <v>4</v>
      </c>
      <c r="E8780">
        <v>1</v>
      </c>
    </row>
    <row r="8781" spans="1:5" x14ac:dyDescent="0.25">
      <c r="A8781">
        <v>8780</v>
      </c>
      <c r="B8781">
        <v>2426901</v>
      </c>
      <c r="C8781" s="1" t="str">
        <f>HYPERLINK("http://stackoverflow.com/users/2426901", "botanyzh")</f>
        <v>botanyzh</v>
      </c>
      <c r="D8781" t="s">
        <v>12</v>
      </c>
      <c r="E8781">
        <v>1</v>
      </c>
    </row>
    <row r="8782" spans="1:5" x14ac:dyDescent="0.25">
      <c r="A8782">
        <v>8781</v>
      </c>
      <c r="B8782">
        <v>2422020</v>
      </c>
      <c r="C8782" s="1" t="str">
        <f>HYPERLINK("http://stackoverflow.com/users/2422020", "Michael")</f>
        <v>Michael</v>
      </c>
      <c r="D8782" t="s">
        <v>4</v>
      </c>
      <c r="E8782">
        <v>1</v>
      </c>
    </row>
    <row r="8783" spans="1:5" x14ac:dyDescent="0.25">
      <c r="A8783">
        <v>8782</v>
      </c>
      <c r="B8783">
        <v>2422203</v>
      </c>
      <c r="C8783" s="1" t="str">
        <f>HYPERLINK("http://stackoverflow.com/users/2422203", "xiaomingmak")</f>
        <v>xiaomingmak</v>
      </c>
      <c r="D8783" t="s">
        <v>17</v>
      </c>
      <c r="E8783">
        <v>1</v>
      </c>
    </row>
    <row r="8784" spans="1:5" x14ac:dyDescent="0.25">
      <c r="A8784">
        <v>8783</v>
      </c>
      <c r="B8784">
        <v>2422286</v>
      </c>
      <c r="C8784" s="1" t="str">
        <f>HYPERLINK("http://stackoverflow.com/users/2422286", "Eric Xu")</f>
        <v>Eric Xu</v>
      </c>
      <c r="D8784" t="s">
        <v>5</v>
      </c>
      <c r="E8784">
        <v>1</v>
      </c>
    </row>
    <row r="8785" spans="1:5" x14ac:dyDescent="0.25">
      <c r="A8785">
        <v>8784</v>
      </c>
      <c r="B8785">
        <v>9609054</v>
      </c>
      <c r="C8785" s="1" t="str">
        <f>HYPERLINK("http://stackoverflow.com/users/9609054", "ApolloMars")</f>
        <v>ApolloMars</v>
      </c>
      <c r="D8785" t="s">
        <v>5</v>
      </c>
      <c r="E8785">
        <v>1</v>
      </c>
    </row>
    <row r="8786" spans="1:5" x14ac:dyDescent="0.25">
      <c r="A8786">
        <v>8785</v>
      </c>
      <c r="B8786">
        <v>7800994</v>
      </c>
      <c r="C8786" s="1" t="str">
        <f>HYPERLINK("http://stackoverflow.com/users/7800994", "Daniel Lee")</f>
        <v>Daniel Lee</v>
      </c>
      <c r="D8786" t="s">
        <v>16</v>
      </c>
      <c r="E8786">
        <v>1</v>
      </c>
    </row>
    <row r="8787" spans="1:5" x14ac:dyDescent="0.25">
      <c r="A8787">
        <v>8786</v>
      </c>
      <c r="B8787">
        <v>7804845</v>
      </c>
      <c r="C8787" s="1" t="str">
        <f>HYPERLINK("http://stackoverflow.com/users/7804845", "Steven Hu")</f>
        <v>Steven Hu</v>
      </c>
      <c r="D8787" t="s">
        <v>4</v>
      </c>
      <c r="E8787">
        <v>1</v>
      </c>
    </row>
    <row r="8788" spans="1:5" x14ac:dyDescent="0.25">
      <c r="A8788">
        <v>8787</v>
      </c>
      <c r="B8788">
        <v>9608516</v>
      </c>
      <c r="C8788" s="1" t="str">
        <f>HYPERLINK("http://stackoverflow.com/users/9608516", "yanlong")</f>
        <v>yanlong</v>
      </c>
      <c r="D8788" t="s">
        <v>4</v>
      </c>
      <c r="E8788">
        <v>1</v>
      </c>
    </row>
    <row r="8789" spans="1:5" x14ac:dyDescent="0.25">
      <c r="A8789">
        <v>8788</v>
      </c>
      <c r="B8789">
        <v>9617182</v>
      </c>
      <c r="C8789" s="1" t="str">
        <f>HYPERLINK("http://stackoverflow.com/users/9617182", "S.Kaiba")</f>
        <v>S.Kaiba</v>
      </c>
      <c r="D8789" t="s">
        <v>471</v>
      </c>
      <c r="E8789">
        <v>1</v>
      </c>
    </row>
    <row r="8790" spans="1:5" x14ac:dyDescent="0.25">
      <c r="A8790">
        <v>8789</v>
      </c>
      <c r="B8790">
        <v>2436414</v>
      </c>
      <c r="C8790" s="1" t="str">
        <f>HYPERLINK("http://stackoverflow.com/users/2436414", "DaemonDing")</f>
        <v>DaemonDing</v>
      </c>
      <c r="D8790" t="s">
        <v>37</v>
      </c>
      <c r="E8790">
        <v>1</v>
      </c>
    </row>
    <row r="8791" spans="1:5" x14ac:dyDescent="0.25">
      <c r="A8791">
        <v>8790</v>
      </c>
      <c r="B8791">
        <v>2436524</v>
      </c>
      <c r="C8791" s="1" t="str">
        <f>HYPERLINK("http://stackoverflow.com/users/2436524", "Young Lau")</f>
        <v>Young Lau</v>
      </c>
      <c r="D8791" t="s">
        <v>130</v>
      </c>
      <c r="E8791">
        <v>1</v>
      </c>
    </row>
    <row r="8792" spans="1:5" x14ac:dyDescent="0.25">
      <c r="A8792">
        <v>8791</v>
      </c>
      <c r="B8792">
        <v>2437112</v>
      </c>
      <c r="C8792" s="1" t="str">
        <f>HYPERLINK("http://stackoverflow.com/users/2437112", "yanfangchao")</f>
        <v>yanfangchao</v>
      </c>
      <c r="D8792" t="s">
        <v>57</v>
      </c>
      <c r="E8792">
        <v>1</v>
      </c>
    </row>
    <row r="8793" spans="1:5" x14ac:dyDescent="0.25">
      <c r="A8793">
        <v>8792</v>
      </c>
      <c r="B8793">
        <v>7809107</v>
      </c>
      <c r="C8793" s="1" t="str">
        <f>HYPERLINK("http://stackoverflow.com/users/7809107", "lokta")</f>
        <v>lokta</v>
      </c>
      <c r="D8793" t="s">
        <v>5</v>
      </c>
      <c r="E8793">
        <v>1</v>
      </c>
    </row>
    <row r="8794" spans="1:5" x14ac:dyDescent="0.25">
      <c r="A8794">
        <v>8793</v>
      </c>
      <c r="B8794">
        <v>6052567</v>
      </c>
      <c r="C8794" s="1" t="str">
        <f>HYPERLINK("http://stackoverflow.com/users/6052567", "WangShengguang")</f>
        <v>WangShengguang</v>
      </c>
      <c r="D8794" t="s">
        <v>5</v>
      </c>
      <c r="E8794">
        <v>1</v>
      </c>
    </row>
    <row r="8795" spans="1:5" x14ac:dyDescent="0.25">
      <c r="A8795">
        <v>8794</v>
      </c>
      <c r="B8795">
        <v>6052725</v>
      </c>
      <c r="C8795" s="1" t="str">
        <f>HYPERLINK("http://stackoverflow.com/users/6052725", "zjsdut")</f>
        <v>zjsdut</v>
      </c>
      <c r="D8795" t="s">
        <v>74</v>
      </c>
      <c r="E8795">
        <v>1</v>
      </c>
    </row>
    <row r="8796" spans="1:5" x14ac:dyDescent="0.25">
      <c r="A8796">
        <v>8795</v>
      </c>
      <c r="B8796">
        <v>6052777</v>
      </c>
      <c r="C8796" s="1" t="str">
        <f>HYPERLINK("http://stackoverflow.com/users/6052777", "King Yang")</f>
        <v>King Yang</v>
      </c>
      <c r="D8796" t="s">
        <v>28</v>
      </c>
      <c r="E8796">
        <v>1</v>
      </c>
    </row>
    <row r="8797" spans="1:5" x14ac:dyDescent="0.25">
      <c r="A8797">
        <v>8796</v>
      </c>
      <c r="B8797">
        <v>9623509</v>
      </c>
      <c r="C8797" s="1" t="str">
        <f>HYPERLINK("http://stackoverflow.com/users/9623509", "ivanai")</f>
        <v>ivanai</v>
      </c>
      <c r="D8797" t="s">
        <v>4</v>
      </c>
      <c r="E8797">
        <v>1</v>
      </c>
    </row>
    <row r="8798" spans="1:5" x14ac:dyDescent="0.25">
      <c r="A8798">
        <v>8797</v>
      </c>
      <c r="B8798">
        <v>7818669</v>
      </c>
      <c r="C8798" s="1" t="str">
        <f>HYPERLINK("http://stackoverflow.com/users/7818669", "Tianfang Niu")</f>
        <v>Tianfang Niu</v>
      </c>
      <c r="D8798" t="s">
        <v>5</v>
      </c>
      <c r="E8798">
        <v>1</v>
      </c>
    </row>
    <row r="8799" spans="1:5" x14ac:dyDescent="0.25">
      <c r="A8799">
        <v>8798</v>
      </c>
      <c r="B8799">
        <v>7818676</v>
      </c>
      <c r="C8799" s="1" t="str">
        <f>HYPERLINK("http://stackoverflow.com/users/7818676", "yang lin")</f>
        <v>yang lin</v>
      </c>
      <c r="D8799" t="s">
        <v>10</v>
      </c>
      <c r="E8799">
        <v>1</v>
      </c>
    </row>
    <row r="8800" spans="1:5" x14ac:dyDescent="0.25">
      <c r="A8800">
        <v>8799</v>
      </c>
      <c r="B8800">
        <v>7818764</v>
      </c>
      <c r="C8800" s="1" t="str">
        <f>HYPERLINK("http://stackoverflow.com/users/7818764", "S.king")</f>
        <v>S.king</v>
      </c>
      <c r="D8800" t="s">
        <v>4</v>
      </c>
      <c r="E8800">
        <v>1</v>
      </c>
    </row>
    <row r="8801" spans="1:5" x14ac:dyDescent="0.25">
      <c r="A8801">
        <v>8800</v>
      </c>
      <c r="B8801">
        <v>9627906</v>
      </c>
      <c r="C8801" s="1" t="str">
        <f>HYPERLINK("http://stackoverflow.com/users/9627906", "youcaiSUN")</f>
        <v>youcaiSUN</v>
      </c>
      <c r="D8801" t="s">
        <v>5</v>
      </c>
      <c r="E8801">
        <v>1</v>
      </c>
    </row>
    <row r="8802" spans="1:5" x14ac:dyDescent="0.25">
      <c r="A8802">
        <v>8801</v>
      </c>
      <c r="B8802">
        <v>9627956</v>
      </c>
      <c r="C8802" s="1" t="str">
        <f>HYPERLINK("http://stackoverflow.com/users/9627956", "Ivan")</f>
        <v>Ivan</v>
      </c>
      <c r="D8802" t="s">
        <v>5</v>
      </c>
      <c r="E8802">
        <v>1</v>
      </c>
    </row>
    <row r="8803" spans="1:5" x14ac:dyDescent="0.25">
      <c r="A8803">
        <v>8802</v>
      </c>
      <c r="B8803">
        <v>7818899</v>
      </c>
      <c r="C8803" s="1" t="str">
        <f>HYPERLINK("http://stackoverflow.com/users/7818899", "triplekiller")</f>
        <v>triplekiller</v>
      </c>
      <c r="D8803" t="s">
        <v>4</v>
      </c>
      <c r="E8803">
        <v>1</v>
      </c>
    </row>
    <row r="8804" spans="1:5" x14ac:dyDescent="0.25">
      <c r="A8804">
        <v>8803</v>
      </c>
      <c r="B8804">
        <v>7819003</v>
      </c>
      <c r="C8804" s="1" t="str">
        <f>HYPERLINK("http://stackoverflow.com/users/7819003", "Aditya Singh Bais")</f>
        <v>Aditya Singh Bais</v>
      </c>
      <c r="D8804" t="s">
        <v>33</v>
      </c>
      <c r="E8804">
        <v>1</v>
      </c>
    </row>
    <row r="8805" spans="1:5" x14ac:dyDescent="0.25">
      <c r="A8805">
        <v>8804</v>
      </c>
      <c r="B8805">
        <v>4404089</v>
      </c>
      <c r="C8805" s="1" t="str">
        <f>HYPERLINK("http://stackoverflow.com/users/4404089", "Vonng")</f>
        <v>Vonng</v>
      </c>
      <c r="D8805" t="s">
        <v>5</v>
      </c>
      <c r="E8805">
        <v>1</v>
      </c>
    </row>
    <row r="8806" spans="1:5" x14ac:dyDescent="0.25">
      <c r="A8806">
        <v>8805</v>
      </c>
      <c r="B8806">
        <v>244419</v>
      </c>
      <c r="C8806" s="1" t="str">
        <f>HYPERLINK("http://stackoverflow.com/users/244419", "7655cjc")</f>
        <v>7655cjc</v>
      </c>
      <c r="D8806" t="s">
        <v>5</v>
      </c>
      <c r="E8806">
        <v>1</v>
      </c>
    </row>
    <row r="8807" spans="1:5" x14ac:dyDescent="0.25">
      <c r="A8807">
        <v>8806</v>
      </c>
      <c r="B8807">
        <v>7898568</v>
      </c>
      <c r="C8807" s="1" t="str">
        <f>HYPERLINK("http://stackoverflow.com/users/7898568", "Weiyong Si")</f>
        <v>Weiyong Si</v>
      </c>
      <c r="D8807" t="s">
        <v>472</v>
      </c>
      <c r="E8807">
        <v>1</v>
      </c>
    </row>
    <row r="8808" spans="1:5" x14ac:dyDescent="0.25">
      <c r="A8808">
        <v>8807</v>
      </c>
      <c r="B8808">
        <v>7899003</v>
      </c>
      <c r="C8808" s="1" t="str">
        <f>HYPERLINK("http://stackoverflow.com/users/7899003", "Cheng Zhang")</f>
        <v>Cheng Zhang</v>
      </c>
      <c r="D8808" t="s">
        <v>7</v>
      </c>
      <c r="E8808">
        <v>1</v>
      </c>
    </row>
    <row r="8809" spans="1:5" x14ac:dyDescent="0.25">
      <c r="A8809">
        <v>8808</v>
      </c>
      <c r="B8809">
        <v>4404686</v>
      </c>
      <c r="C8809" s="1" t="str">
        <f>HYPERLINK("http://stackoverflow.com/users/4404686", "zjulion")</f>
        <v>zjulion</v>
      </c>
      <c r="D8809" t="s">
        <v>473</v>
      </c>
      <c r="E8809">
        <v>1</v>
      </c>
    </row>
    <row r="8810" spans="1:5" x14ac:dyDescent="0.25">
      <c r="A8810">
        <v>8809</v>
      </c>
      <c r="B8810">
        <v>6133243</v>
      </c>
      <c r="C8810" s="1" t="str">
        <f>HYPERLINK("http://stackoverflow.com/users/6133243", "Tianfu He")</f>
        <v>Tianfu He</v>
      </c>
      <c r="D8810" t="s">
        <v>50</v>
      </c>
      <c r="E8810">
        <v>1</v>
      </c>
    </row>
    <row r="8811" spans="1:5" x14ac:dyDescent="0.25">
      <c r="A8811">
        <v>8810</v>
      </c>
      <c r="B8811">
        <v>9712898</v>
      </c>
      <c r="C8811" s="1" t="str">
        <f>HYPERLINK("http://stackoverflow.com/users/9712898", "Yi.Zhu")</f>
        <v>Yi.Zhu</v>
      </c>
      <c r="D8811" t="s">
        <v>42</v>
      </c>
      <c r="E8811">
        <v>1</v>
      </c>
    </row>
    <row r="8812" spans="1:5" x14ac:dyDescent="0.25">
      <c r="A8812">
        <v>8811</v>
      </c>
      <c r="B8812">
        <v>9713016</v>
      </c>
      <c r="C8812" s="1" t="str">
        <f>HYPERLINK("http://stackoverflow.com/users/9713016", "杨胜智")</f>
        <v>杨胜智</v>
      </c>
      <c r="D8812" t="s">
        <v>5</v>
      </c>
      <c r="E8812">
        <v>1</v>
      </c>
    </row>
    <row r="8813" spans="1:5" x14ac:dyDescent="0.25">
      <c r="A8813">
        <v>8812</v>
      </c>
      <c r="B8813">
        <v>9713021</v>
      </c>
      <c r="C8813" s="1" t="str">
        <f>HYPERLINK("http://stackoverflow.com/users/9713021", "Hugo Vanthournhout")</f>
        <v>Hugo Vanthournhout</v>
      </c>
      <c r="D8813" t="s">
        <v>4</v>
      </c>
      <c r="E8813">
        <v>1</v>
      </c>
    </row>
    <row r="8814" spans="1:5" x14ac:dyDescent="0.25">
      <c r="A8814">
        <v>8813</v>
      </c>
      <c r="B8814">
        <v>9713374</v>
      </c>
      <c r="C8814" s="1" t="str">
        <f>HYPERLINK("http://stackoverflow.com/users/9713374", "CaryXX")</f>
        <v>CaryXX</v>
      </c>
      <c r="D8814" t="s">
        <v>4</v>
      </c>
      <c r="E8814">
        <v>1</v>
      </c>
    </row>
    <row r="8815" spans="1:5" x14ac:dyDescent="0.25">
      <c r="A8815">
        <v>8814</v>
      </c>
      <c r="B8815">
        <v>7895910</v>
      </c>
      <c r="C8815" s="1" t="str">
        <f>HYPERLINK("http://stackoverflow.com/users/7895910", "z.q")</f>
        <v>z.q</v>
      </c>
      <c r="D8815" t="s">
        <v>57</v>
      </c>
      <c r="E8815">
        <v>1</v>
      </c>
    </row>
    <row r="8816" spans="1:5" x14ac:dyDescent="0.25">
      <c r="A8816">
        <v>8815</v>
      </c>
      <c r="B8816">
        <v>2531081</v>
      </c>
      <c r="C8816" s="1" t="str">
        <f>HYPERLINK("http://stackoverflow.com/users/2531081", "qiyongsen")</f>
        <v>qiyongsen</v>
      </c>
      <c r="D8816" t="s">
        <v>5</v>
      </c>
      <c r="E8816">
        <v>1</v>
      </c>
    </row>
    <row r="8817" spans="1:5" x14ac:dyDescent="0.25">
      <c r="A8817">
        <v>8816</v>
      </c>
      <c r="B8817">
        <v>2531108</v>
      </c>
      <c r="C8817" s="1" t="str">
        <f>HYPERLINK("http://stackoverflow.com/users/2531108", "user2531108")</f>
        <v>user2531108</v>
      </c>
      <c r="D8817" t="s">
        <v>5</v>
      </c>
      <c r="E8817">
        <v>1</v>
      </c>
    </row>
    <row r="8818" spans="1:5" x14ac:dyDescent="0.25">
      <c r="A8818">
        <v>8817</v>
      </c>
      <c r="B8818">
        <v>2531446</v>
      </c>
      <c r="C8818" s="1" t="str">
        <f>HYPERLINK("http://stackoverflow.com/users/2531446", "Charles Xue")</f>
        <v>Charles Xue</v>
      </c>
      <c r="D8818" t="s">
        <v>5</v>
      </c>
      <c r="E8818">
        <v>1</v>
      </c>
    </row>
    <row r="8819" spans="1:5" x14ac:dyDescent="0.25">
      <c r="A8819">
        <v>8818</v>
      </c>
      <c r="B8819">
        <v>4399470</v>
      </c>
      <c r="C8819" s="1" t="str">
        <f>HYPERLINK("http://stackoverflow.com/users/4399470", "Aaron")</f>
        <v>Aaron</v>
      </c>
      <c r="D8819" t="s">
        <v>474</v>
      </c>
      <c r="E8819">
        <v>1</v>
      </c>
    </row>
    <row r="8820" spans="1:5" x14ac:dyDescent="0.25">
      <c r="A8820">
        <v>8819</v>
      </c>
      <c r="B8820">
        <v>2532240</v>
      </c>
      <c r="C8820" s="1" t="str">
        <f>HYPERLINK("http://stackoverflow.com/users/2532240", "chzhij5")</f>
        <v>chzhij5</v>
      </c>
      <c r="D8820" t="s">
        <v>21</v>
      </c>
      <c r="E8820">
        <v>1</v>
      </c>
    </row>
    <row r="8821" spans="1:5" x14ac:dyDescent="0.25">
      <c r="A8821">
        <v>8820</v>
      </c>
      <c r="B8821">
        <v>2530973</v>
      </c>
      <c r="C8821" s="1" t="str">
        <f>HYPERLINK("http://stackoverflow.com/users/2530973", "Henry Jader")</f>
        <v>Henry Jader</v>
      </c>
      <c r="D8821" t="s">
        <v>266</v>
      </c>
      <c r="E8821">
        <v>1</v>
      </c>
    </row>
    <row r="8822" spans="1:5" x14ac:dyDescent="0.25">
      <c r="A8822">
        <v>8821</v>
      </c>
      <c r="B8822">
        <v>9713617</v>
      </c>
      <c r="C8822" s="1" t="str">
        <f>HYPERLINK("http://stackoverflow.com/users/9713617", "qifei liu")</f>
        <v>qifei liu</v>
      </c>
      <c r="D8822" t="s">
        <v>55</v>
      </c>
      <c r="E8822">
        <v>1</v>
      </c>
    </row>
    <row r="8823" spans="1:5" x14ac:dyDescent="0.25">
      <c r="A8823">
        <v>8822</v>
      </c>
      <c r="B8823">
        <v>6134938</v>
      </c>
      <c r="C8823" s="1" t="str">
        <f>HYPERLINK("http://stackoverflow.com/users/6134938", "David")</f>
        <v>David</v>
      </c>
      <c r="D8823" t="s">
        <v>16</v>
      </c>
      <c r="E8823">
        <v>1</v>
      </c>
    </row>
    <row r="8824" spans="1:5" x14ac:dyDescent="0.25">
      <c r="A8824">
        <v>8823</v>
      </c>
      <c r="B8824">
        <v>6135212</v>
      </c>
      <c r="C8824" s="1" t="str">
        <f>HYPERLINK("http://stackoverflow.com/users/6135212", "PowerGryphon16")</f>
        <v>PowerGryphon16</v>
      </c>
      <c r="D8824" t="s">
        <v>25</v>
      </c>
      <c r="E8824">
        <v>1</v>
      </c>
    </row>
    <row r="8825" spans="1:5" x14ac:dyDescent="0.25">
      <c r="A8825">
        <v>8824</v>
      </c>
      <c r="B8825">
        <v>2541343</v>
      </c>
      <c r="C8825" s="1" t="str">
        <f>HYPERLINK("http://stackoverflow.com/users/2541343", "Crazz")</f>
        <v>Crazz</v>
      </c>
      <c r="D8825" t="s">
        <v>4</v>
      </c>
      <c r="E8825">
        <v>1</v>
      </c>
    </row>
    <row r="8826" spans="1:5" x14ac:dyDescent="0.25">
      <c r="A8826">
        <v>8825</v>
      </c>
      <c r="B8826">
        <v>9715990</v>
      </c>
      <c r="C8826" s="1" t="str">
        <f>HYPERLINK("http://stackoverflow.com/users/9715990", "shiyang")</f>
        <v>shiyang</v>
      </c>
      <c r="D8826" t="s">
        <v>4</v>
      </c>
      <c r="E8826">
        <v>1</v>
      </c>
    </row>
    <row r="8827" spans="1:5" x14ac:dyDescent="0.25">
      <c r="A8827">
        <v>8826</v>
      </c>
      <c r="B8827">
        <v>6138619</v>
      </c>
      <c r="C8827" s="1" t="str">
        <f>HYPERLINK("http://stackoverflow.com/users/6138619", "kylin jin")</f>
        <v>kylin jin</v>
      </c>
      <c r="D8827" t="s">
        <v>16</v>
      </c>
      <c r="E8827">
        <v>1</v>
      </c>
    </row>
    <row r="8828" spans="1:5" x14ac:dyDescent="0.25">
      <c r="A8828">
        <v>8827</v>
      </c>
      <c r="B8828">
        <v>6138652</v>
      </c>
      <c r="C8828" s="1" t="str">
        <f>HYPERLINK("http://stackoverflow.com/users/6138652", "Pokhara")</f>
        <v>Pokhara</v>
      </c>
      <c r="D8828" t="s">
        <v>131</v>
      </c>
      <c r="E8828">
        <v>1</v>
      </c>
    </row>
    <row r="8829" spans="1:5" x14ac:dyDescent="0.25">
      <c r="A8829">
        <v>8828</v>
      </c>
      <c r="B8829">
        <v>7910072</v>
      </c>
      <c r="C8829" s="1" t="str">
        <f>HYPERLINK("http://stackoverflow.com/users/7910072", "Mono")</f>
        <v>Mono</v>
      </c>
      <c r="D8829" t="s">
        <v>5</v>
      </c>
      <c r="E8829">
        <v>1</v>
      </c>
    </row>
    <row r="8830" spans="1:5" x14ac:dyDescent="0.25">
      <c r="A8830">
        <v>8829</v>
      </c>
      <c r="B8830">
        <v>2545915</v>
      </c>
      <c r="C8830" s="1" t="str">
        <f>HYPERLINK("http://stackoverflow.com/users/2545915", "moonfaceddr")</f>
        <v>moonfaceddr</v>
      </c>
      <c r="D8830" t="s">
        <v>54</v>
      </c>
      <c r="E8830">
        <v>1</v>
      </c>
    </row>
    <row r="8831" spans="1:5" x14ac:dyDescent="0.25">
      <c r="A8831">
        <v>8830</v>
      </c>
      <c r="B8831">
        <v>9720229</v>
      </c>
      <c r="C8831" s="1" t="str">
        <f>HYPERLINK("http://stackoverflow.com/users/9720229", "Jona")</f>
        <v>Jona</v>
      </c>
      <c r="D8831" t="s">
        <v>5</v>
      </c>
      <c r="E8831">
        <v>1</v>
      </c>
    </row>
    <row r="8832" spans="1:5" x14ac:dyDescent="0.25">
      <c r="A8832">
        <v>8831</v>
      </c>
      <c r="B8832">
        <v>7912516</v>
      </c>
      <c r="C8832" s="1" t="str">
        <f>HYPERLINK("http://stackoverflow.com/users/7912516", "captcha")</f>
        <v>captcha</v>
      </c>
      <c r="D8832" t="s">
        <v>7</v>
      </c>
      <c r="E8832">
        <v>1</v>
      </c>
    </row>
    <row r="8833" spans="1:5" x14ac:dyDescent="0.25">
      <c r="A8833">
        <v>8832</v>
      </c>
      <c r="B8833">
        <v>7912776</v>
      </c>
      <c r="C8833" s="1" t="str">
        <f>HYPERLINK("http://stackoverflow.com/users/7912776", "lolaluvsu")</f>
        <v>lolaluvsu</v>
      </c>
      <c r="D8833" t="s">
        <v>131</v>
      </c>
      <c r="E8833">
        <v>1</v>
      </c>
    </row>
    <row r="8834" spans="1:5" x14ac:dyDescent="0.25">
      <c r="A8834">
        <v>8833</v>
      </c>
      <c r="B8834">
        <v>7912821</v>
      </c>
      <c r="C8834" s="1" t="str">
        <f>HYPERLINK("http://stackoverflow.com/users/7912821", "Vir Incre")</f>
        <v>Vir Incre</v>
      </c>
      <c r="D8834" t="s">
        <v>4</v>
      </c>
      <c r="E8834">
        <v>1</v>
      </c>
    </row>
    <row r="8835" spans="1:5" x14ac:dyDescent="0.25">
      <c r="A8835">
        <v>8834</v>
      </c>
      <c r="B8835">
        <v>7912843</v>
      </c>
      <c r="C8835" s="1" t="str">
        <f>HYPERLINK("http://stackoverflow.com/users/7912843", "Charler")</f>
        <v>Charler</v>
      </c>
      <c r="D8835" t="s">
        <v>4</v>
      </c>
      <c r="E8835">
        <v>1</v>
      </c>
    </row>
    <row r="8836" spans="1:5" x14ac:dyDescent="0.25">
      <c r="A8836">
        <v>8835</v>
      </c>
      <c r="B8836">
        <v>7912951</v>
      </c>
      <c r="C8836" s="1" t="str">
        <f>HYPERLINK("http://stackoverflow.com/users/7912951", "YIK")</f>
        <v>YIK</v>
      </c>
      <c r="D8836" t="s">
        <v>5</v>
      </c>
      <c r="E8836">
        <v>1</v>
      </c>
    </row>
    <row r="8837" spans="1:5" x14ac:dyDescent="0.25">
      <c r="A8837">
        <v>8836</v>
      </c>
      <c r="B8837">
        <v>4416275</v>
      </c>
      <c r="C8837" s="1" t="str">
        <f>HYPERLINK("http://stackoverflow.com/users/4416275", "iDovery")</f>
        <v>iDovery</v>
      </c>
      <c r="D8837" t="s">
        <v>8</v>
      </c>
      <c r="E8837">
        <v>1</v>
      </c>
    </row>
    <row r="8838" spans="1:5" x14ac:dyDescent="0.25">
      <c r="A8838">
        <v>8837</v>
      </c>
      <c r="B8838">
        <v>4416425</v>
      </c>
      <c r="C8838" s="1" t="str">
        <f>HYPERLINK("http://stackoverflow.com/users/4416425", "VISTEN")</f>
        <v>VISTEN</v>
      </c>
      <c r="D8838" t="s">
        <v>4</v>
      </c>
      <c r="E8838">
        <v>1</v>
      </c>
    </row>
    <row r="8839" spans="1:5" x14ac:dyDescent="0.25">
      <c r="A8839">
        <v>8838</v>
      </c>
      <c r="B8839">
        <v>4416779</v>
      </c>
      <c r="C8839" s="1" t="str">
        <f>HYPERLINK("http://stackoverflow.com/users/4416779", "Horswing")</f>
        <v>Horswing</v>
      </c>
      <c r="D8839" t="s">
        <v>12</v>
      </c>
      <c r="E8839">
        <v>1</v>
      </c>
    </row>
    <row r="8840" spans="1:5" x14ac:dyDescent="0.25">
      <c r="A8840">
        <v>8839</v>
      </c>
      <c r="B8840">
        <v>2552964</v>
      </c>
      <c r="C8840" s="1" t="str">
        <f>HYPERLINK("http://stackoverflow.com/users/2552964", "user2552964")</f>
        <v>user2552964</v>
      </c>
      <c r="D8840" t="s">
        <v>5</v>
      </c>
      <c r="E8840">
        <v>1</v>
      </c>
    </row>
    <row r="8841" spans="1:5" x14ac:dyDescent="0.25">
      <c r="A8841">
        <v>8840</v>
      </c>
      <c r="B8841">
        <v>2553105</v>
      </c>
      <c r="C8841" s="1" t="str">
        <f>HYPERLINK("http://stackoverflow.com/users/2553105", "China_ping")</f>
        <v>China_ping</v>
      </c>
      <c r="D8841" t="s">
        <v>37</v>
      </c>
      <c r="E8841">
        <v>1</v>
      </c>
    </row>
    <row r="8842" spans="1:5" x14ac:dyDescent="0.25">
      <c r="A8842">
        <v>8841</v>
      </c>
      <c r="B8842">
        <v>7919491</v>
      </c>
      <c r="C8842" s="1" t="str">
        <f>HYPERLINK("http://stackoverflow.com/users/7919491", "Myron")</f>
        <v>Myron</v>
      </c>
      <c r="D8842" t="s">
        <v>4</v>
      </c>
      <c r="E8842">
        <v>1</v>
      </c>
    </row>
    <row r="8843" spans="1:5" x14ac:dyDescent="0.25">
      <c r="A8843">
        <v>8842</v>
      </c>
      <c r="B8843">
        <v>9730070</v>
      </c>
      <c r="C8843" s="1" t="str">
        <f>HYPERLINK("http://stackoverflow.com/users/9730070", "Edwin Lee")</f>
        <v>Edwin Lee</v>
      </c>
      <c r="D8843" t="s">
        <v>7</v>
      </c>
      <c r="E8843">
        <v>1</v>
      </c>
    </row>
    <row r="8844" spans="1:5" x14ac:dyDescent="0.25">
      <c r="A8844">
        <v>8843</v>
      </c>
      <c r="B8844">
        <v>7884746</v>
      </c>
      <c r="C8844" s="1" t="str">
        <f>HYPERLINK("http://stackoverflow.com/users/7884746", "Jet Woo")</f>
        <v>Jet Woo</v>
      </c>
      <c r="D8844" t="s">
        <v>475</v>
      </c>
      <c r="E8844">
        <v>1</v>
      </c>
    </row>
    <row r="8845" spans="1:5" x14ac:dyDescent="0.25">
      <c r="A8845">
        <v>8844</v>
      </c>
      <c r="B8845">
        <v>9694689</v>
      </c>
      <c r="C8845" s="1" t="str">
        <f>HYPERLINK("http://stackoverflow.com/users/9694689", "stephen gong")</f>
        <v>stephen gong</v>
      </c>
      <c r="D8845" t="s">
        <v>4</v>
      </c>
      <c r="E8845">
        <v>1</v>
      </c>
    </row>
    <row r="8846" spans="1:5" x14ac:dyDescent="0.25">
      <c r="A8846">
        <v>8845</v>
      </c>
      <c r="B8846">
        <v>6112368</v>
      </c>
      <c r="C8846" s="1" t="str">
        <f>HYPERLINK("http://stackoverflow.com/users/6112368", "jingxuelong")</f>
        <v>jingxuelong</v>
      </c>
      <c r="D8846" t="s">
        <v>5</v>
      </c>
      <c r="E8846">
        <v>1</v>
      </c>
    </row>
    <row r="8847" spans="1:5" x14ac:dyDescent="0.25">
      <c r="A8847">
        <v>8846</v>
      </c>
      <c r="B8847">
        <v>6112448</v>
      </c>
      <c r="C8847" s="1" t="str">
        <f>HYPERLINK("http://stackoverflow.com/users/6112448", "Terry")</f>
        <v>Terry</v>
      </c>
      <c r="D8847" t="s">
        <v>4</v>
      </c>
      <c r="E8847">
        <v>1</v>
      </c>
    </row>
    <row r="8848" spans="1:5" x14ac:dyDescent="0.25">
      <c r="A8848">
        <v>8847</v>
      </c>
      <c r="B8848">
        <v>4387168</v>
      </c>
      <c r="C8848" s="1" t="str">
        <f>HYPERLINK("http://stackoverflow.com/users/4387168", "Zer4tul")</f>
        <v>Zer4tul</v>
      </c>
      <c r="D8848" t="s">
        <v>5</v>
      </c>
      <c r="E8848">
        <v>1</v>
      </c>
    </row>
    <row r="8849" spans="1:5" x14ac:dyDescent="0.25">
      <c r="A8849">
        <v>8848</v>
      </c>
      <c r="B8849">
        <v>6102109</v>
      </c>
      <c r="C8849" s="1" t="str">
        <f>HYPERLINK("http://stackoverflow.com/users/6102109", "way")</f>
        <v>way</v>
      </c>
      <c r="D8849" t="s">
        <v>28</v>
      </c>
      <c r="E8849">
        <v>1</v>
      </c>
    </row>
    <row r="8850" spans="1:5" x14ac:dyDescent="0.25">
      <c r="A8850">
        <v>8849</v>
      </c>
      <c r="B8850">
        <v>6102120</v>
      </c>
      <c r="C8850" s="1" t="str">
        <f>HYPERLINK("http://stackoverflow.com/users/6102120", "BinYan")</f>
        <v>BinYan</v>
      </c>
      <c r="D8850" t="s">
        <v>5</v>
      </c>
      <c r="E8850">
        <v>1</v>
      </c>
    </row>
    <row r="8851" spans="1:5" x14ac:dyDescent="0.25">
      <c r="A8851">
        <v>8850</v>
      </c>
      <c r="B8851">
        <v>9689790</v>
      </c>
      <c r="C8851" s="1" t="str">
        <f>HYPERLINK("http://stackoverflow.com/users/9689790", "Wang.Jue")</f>
        <v>Wang.Jue</v>
      </c>
      <c r="D8851" t="s">
        <v>61</v>
      </c>
      <c r="E8851">
        <v>1</v>
      </c>
    </row>
    <row r="8852" spans="1:5" x14ac:dyDescent="0.25">
      <c r="A8852">
        <v>8851</v>
      </c>
      <c r="B8852">
        <v>2514765</v>
      </c>
      <c r="C8852" s="1" t="str">
        <f>HYPERLINK("http://stackoverflow.com/users/2514765", "Chang He")</f>
        <v>Chang He</v>
      </c>
      <c r="D8852" t="s">
        <v>5</v>
      </c>
      <c r="E8852">
        <v>1</v>
      </c>
    </row>
    <row r="8853" spans="1:5" x14ac:dyDescent="0.25">
      <c r="A8853">
        <v>8852</v>
      </c>
      <c r="B8853">
        <v>2515531</v>
      </c>
      <c r="C8853" s="1" t="str">
        <f>HYPERLINK("http://stackoverflow.com/users/2515531", "Jiezi9527")</f>
        <v>Jiezi9527</v>
      </c>
      <c r="D8853" t="s">
        <v>5</v>
      </c>
      <c r="E8853">
        <v>1</v>
      </c>
    </row>
    <row r="8854" spans="1:5" x14ac:dyDescent="0.25">
      <c r="A8854">
        <v>8853</v>
      </c>
      <c r="B8854">
        <v>2515810</v>
      </c>
      <c r="C8854" s="1" t="str">
        <f>HYPERLINK("http://stackoverflow.com/users/2515810", "lail3344")</f>
        <v>lail3344</v>
      </c>
      <c r="D8854" t="s">
        <v>4</v>
      </c>
      <c r="E8854">
        <v>1</v>
      </c>
    </row>
    <row r="8855" spans="1:5" x14ac:dyDescent="0.25">
      <c r="A8855">
        <v>8854</v>
      </c>
      <c r="B8855">
        <v>6112152</v>
      </c>
      <c r="C8855" s="1" t="str">
        <f>HYPERLINK("http://stackoverflow.com/users/6112152", "llixiaoquan2")</f>
        <v>llixiaoquan2</v>
      </c>
      <c r="D8855" t="s">
        <v>5</v>
      </c>
      <c r="E8855">
        <v>1</v>
      </c>
    </row>
    <row r="8856" spans="1:5" x14ac:dyDescent="0.25">
      <c r="A8856">
        <v>8855</v>
      </c>
      <c r="B8856">
        <v>6109544</v>
      </c>
      <c r="C8856" s="1" t="str">
        <f>HYPERLINK("http://stackoverflow.com/users/6109544", "Stroller")</f>
        <v>Stroller</v>
      </c>
      <c r="D8856" t="s">
        <v>398</v>
      </c>
      <c r="E8856">
        <v>1</v>
      </c>
    </row>
    <row r="8857" spans="1:5" x14ac:dyDescent="0.25">
      <c r="A8857">
        <v>8856</v>
      </c>
      <c r="B8857">
        <v>6109697</v>
      </c>
      <c r="C8857" s="1" t="str">
        <f>HYPERLINK("http://stackoverflow.com/users/6109697", "YuangChang")</f>
        <v>YuangChang</v>
      </c>
      <c r="D8857" t="s">
        <v>25</v>
      </c>
      <c r="E8857">
        <v>1</v>
      </c>
    </row>
    <row r="8858" spans="1:5" x14ac:dyDescent="0.25">
      <c r="A8858">
        <v>8857</v>
      </c>
      <c r="B8858">
        <v>2503519</v>
      </c>
      <c r="C8858" s="1" t="str">
        <f>HYPERLINK("http://stackoverflow.com/users/2503519", "Roberto")</f>
        <v>Roberto</v>
      </c>
      <c r="D8858" t="s">
        <v>17</v>
      </c>
      <c r="E8858">
        <v>1</v>
      </c>
    </row>
    <row r="8859" spans="1:5" x14ac:dyDescent="0.25">
      <c r="A8859">
        <v>8858</v>
      </c>
      <c r="B8859">
        <v>9678577</v>
      </c>
      <c r="C8859" s="1" t="str">
        <f>HYPERLINK("http://stackoverflow.com/users/9678577", "LosReturn")</f>
        <v>LosReturn</v>
      </c>
      <c r="D8859" t="s">
        <v>16</v>
      </c>
      <c r="E8859">
        <v>1</v>
      </c>
    </row>
    <row r="8860" spans="1:5" x14ac:dyDescent="0.25">
      <c r="A8860">
        <v>8859</v>
      </c>
      <c r="B8860">
        <v>6104694</v>
      </c>
      <c r="C8860" s="1" t="str">
        <f>HYPERLINK("http://stackoverflow.com/users/6104694", "ioszhe")</f>
        <v>ioszhe</v>
      </c>
      <c r="D8860" t="s">
        <v>4</v>
      </c>
      <c r="E8860">
        <v>1</v>
      </c>
    </row>
    <row r="8861" spans="1:5" x14ac:dyDescent="0.25">
      <c r="A8861">
        <v>8860</v>
      </c>
      <c r="B8861">
        <v>9682063</v>
      </c>
      <c r="C8861" s="1" t="str">
        <f>HYPERLINK("http://stackoverflow.com/users/9682063", "Turin")</f>
        <v>Turin</v>
      </c>
      <c r="D8861" t="s">
        <v>197</v>
      </c>
      <c r="E8861">
        <v>1</v>
      </c>
    </row>
    <row r="8862" spans="1:5" x14ac:dyDescent="0.25">
      <c r="A8862">
        <v>8861</v>
      </c>
      <c r="B8862">
        <v>9682145</v>
      </c>
      <c r="C8862" s="1" t="str">
        <f>HYPERLINK("http://stackoverflow.com/users/9682145", "Jacky Jiang")</f>
        <v>Jacky Jiang</v>
      </c>
      <c r="D8862" t="s">
        <v>4</v>
      </c>
      <c r="E8862">
        <v>1</v>
      </c>
    </row>
    <row r="8863" spans="1:5" x14ac:dyDescent="0.25">
      <c r="A8863">
        <v>8862</v>
      </c>
      <c r="B8863">
        <v>9682550</v>
      </c>
      <c r="C8863" s="1" t="str">
        <f>HYPERLINK("http://stackoverflow.com/users/9682550", "Joshua Xue")</f>
        <v>Joshua Xue</v>
      </c>
      <c r="D8863" t="s">
        <v>55</v>
      </c>
      <c r="E8863">
        <v>1</v>
      </c>
    </row>
    <row r="8864" spans="1:5" x14ac:dyDescent="0.25">
      <c r="A8864">
        <v>8863</v>
      </c>
      <c r="B8864">
        <v>7873047</v>
      </c>
      <c r="C8864" s="1" t="str">
        <f>HYPERLINK("http://stackoverflow.com/users/7873047", "rubic")</f>
        <v>rubic</v>
      </c>
      <c r="D8864" t="s">
        <v>52</v>
      </c>
      <c r="E8864">
        <v>1</v>
      </c>
    </row>
    <row r="8865" spans="1:5" x14ac:dyDescent="0.25">
      <c r="A8865">
        <v>8864</v>
      </c>
      <c r="B8865">
        <v>7873300</v>
      </c>
      <c r="C8865" s="1" t="str">
        <f>HYPERLINK("http://stackoverflow.com/users/7873300", "S. Chidawa")</f>
        <v>S. Chidawa</v>
      </c>
      <c r="D8865" t="s">
        <v>33</v>
      </c>
      <c r="E8865">
        <v>1</v>
      </c>
    </row>
    <row r="8866" spans="1:5" x14ac:dyDescent="0.25">
      <c r="A8866">
        <v>8865</v>
      </c>
      <c r="B8866">
        <v>7873614</v>
      </c>
      <c r="C8866" s="1" t="str">
        <f>HYPERLINK("http://stackoverflow.com/users/7873614", "Z.Ian")</f>
        <v>Z.Ian</v>
      </c>
      <c r="D8866" t="s">
        <v>5</v>
      </c>
      <c r="E8866">
        <v>1</v>
      </c>
    </row>
    <row r="8867" spans="1:5" x14ac:dyDescent="0.25">
      <c r="A8867">
        <v>8866</v>
      </c>
      <c r="B8867">
        <v>7873705</v>
      </c>
      <c r="C8867" s="1" t="str">
        <f>HYPERLINK("http://stackoverflow.com/users/7873705", "Kevin Liu")</f>
        <v>Kevin Liu</v>
      </c>
      <c r="D8867" t="s">
        <v>4</v>
      </c>
      <c r="E8867">
        <v>1</v>
      </c>
    </row>
    <row r="8868" spans="1:5" x14ac:dyDescent="0.25">
      <c r="A8868">
        <v>8867</v>
      </c>
      <c r="B8868">
        <v>7873805</v>
      </c>
      <c r="C8868" s="1" t="str">
        <f>HYPERLINK("http://stackoverflow.com/users/7873805", "jian wu")</f>
        <v>jian wu</v>
      </c>
      <c r="D8868" t="s">
        <v>5</v>
      </c>
      <c r="E8868">
        <v>1</v>
      </c>
    </row>
    <row r="8869" spans="1:5" x14ac:dyDescent="0.25">
      <c r="A8869">
        <v>8868</v>
      </c>
      <c r="B8869">
        <v>4376742</v>
      </c>
      <c r="C8869" s="1" t="str">
        <f>HYPERLINK("http://stackoverflow.com/users/4376742", "MacKong")</f>
        <v>MacKong</v>
      </c>
      <c r="D8869" t="s">
        <v>17</v>
      </c>
      <c r="E8869">
        <v>1</v>
      </c>
    </row>
    <row r="8870" spans="1:5" x14ac:dyDescent="0.25">
      <c r="A8870">
        <v>8869</v>
      </c>
      <c r="B8870">
        <v>6119710</v>
      </c>
      <c r="C8870" s="1" t="str">
        <f>HYPERLINK("http://stackoverflow.com/users/6119710", "HzDmS")</f>
        <v>HzDmS</v>
      </c>
      <c r="D8870" t="s">
        <v>5</v>
      </c>
      <c r="E8870">
        <v>1</v>
      </c>
    </row>
    <row r="8871" spans="1:5" x14ac:dyDescent="0.25">
      <c r="A8871">
        <v>8870</v>
      </c>
      <c r="B8871">
        <v>6119717</v>
      </c>
      <c r="C8871" s="1" t="str">
        <f>HYPERLINK("http://stackoverflow.com/users/6119717", "ffeng")</f>
        <v>ffeng</v>
      </c>
      <c r="D8871" t="s">
        <v>7</v>
      </c>
      <c r="E8871">
        <v>1</v>
      </c>
    </row>
    <row r="8872" spans="1:5" x14ac:dyDescent="0.25">
      <c r="A8872">
        <v>8871</v>
      </c>
      <c r="B8872">
        <v>6119729</v>
      </c>
      <c r="C8872" s="1" t="str">
        <f>HYPERLINK("http://stackoverflow.com/users/6119729", "MaChuhao")</f>
        <v>MaChuhao</v>
      </c>
      <c r="D8872" t="s">
        <v>4</v>
      </c>
      <c r="E8872">
        <v>1</v>
      </c>
    </row>
    <row r="8873" spans="1:5" x14ac:dyDescent="0.25">
      <c r="A8873">
        <v>8872</v>
      </c>
      <c r="B8873">
        <v>6122405</v>
      </c>
      <c r="C8873" s="1" t="str">
        <f>HYPERLINK("http://stackoverflow.com/users/6122405", "谈 超")</f>
        <v>谈 超</v>
      </c>
      <c r="D8873" t="s">
        <v>5</v>
      </c>
      <c r="E8873">
        <v>1</v>
      </c>
    </row>
    <row r="8874" spans="1:5" x14ac:dyDescent="0.25">
      <c r="A8874">
        <v>8873</v>
      </c>
      <c r="B8874">
        <v>6122418</v>
      </c>
      <c r="C8874" s="1" t="str">
        <f>HYPERLINK("http://stackoverflow.com/users/6122418", "z .zollero")</f>
        <v>z .zollero</v>
      </c>
      <c r="D8874" t="s">
        <v>4</v>
      </c>
      <c r="E8874">
        <v>1</v>
      </c>
    </row>
    <row r="8875" spans="1:5" x14ac:dyDescent="0.25">
      <c r="A8875">
        <v>8874</v>
      </c>
      <c r="B8875">
        <v>6122432</v>
      </c>
      <c r="C8875" s="1" t="str">
        <f>HYPERLINK("http://stackoverflow.com/users/6122432", "Colin Hsu")</f>
        <v>Colin Hsu</v>
      </c>
      <c r="D8875" t="s">
        <v>5</v>
      </c>
      <c r="E8875">
        <v>1</v>
      </c>
    </row>
    <row r="8876" spans="1:5" x14ac:dyDescent="0.25">
      <c r="A8876">
        <v>8875</v>
      </c>
      <c r="B8876">
        <v>6122601</v>
      </c>
      <c r="C8876" s="1" t="str">
        <f>HYPERLINK("http://stackoverflow.com/users/6122601", "Dios.he")</f>
        <v>Dios.he</v>
      </c>
      <c r="D8876" t="s">
        <v>15</v>
      </c>
      <c r="E8876">
        <v>1</v>
      </c>
    </row>
    <row r="8877" spans="1:5" x14ac:dyDescent="0.25">
      <c r="A8877">
        <v>8876</v>
      </c>
      <c r="B8877">
        <v>2527603</v>
      </c>
      <c r="C8877" s="1" t="str">
        <f>HYPERLINK("http://stackoverflow.com/users/2527603", "yingwu")</f>
        <v>yingwu</v>
      </c>
      <c r="D8877" t="s">
        <v>5</v>
      </c>
      <c r="E8877">
        <v>1</v>
      </c>
    </row>
    <row r="8878" spans="1:5" x14ac:dyDescent="0.25">
      <c r="A8878">
        <v>8877</v>
      </c>
      <c r="B8878">
        <v>9702028</v>
      </c>
      <c r="C8878" s="1" t="str">
        <f>HYPERLINK("http://stackoverflow.com/users/9702028", "Tony Tettinger")</f>
        <v>Tony Tettinger</v>
      </c>
      <c r="D8878" t="s">
        <v>28</v>
      </c>
      <c r="E8878">
        <v>1</v>
      </c>
    </row>
    <row r="8879" spans="1:5" x14ac:dyDescent="0.25">
      <c r="A8879">
        <v>8878</v>
      </c>
      <c r="B8879">
        <v>6119355</v>
      </c>
      <c r="C8879" s="1" t="str">
        <f>HYPERLINK("http://stackoverflow.com/users/6119355", "Jianbin Qi")</f>
        <v>Jianbin Qi</v>
      </c>
      <c r="D8879" t="s">
        <v>5</v>
      </c>
      <c r="E8879">
        <v>1</v>
      </c>
    </row>
    <row r="8880" spans="1:5" x14ac:dyDescent="0.25">
      <c r="A8880">
        <v>8879</v>
      </c>
      <c r="B8880">
        <v>6116051</v>
      </c>
      <c r="C8880" s="1" t="str">
        <f>HYPERLINK("http://stackoverflow.com/users/6116051", "RocStone")</f>
        <v>RocStone</v>
      </c>
      <c r="D8880" t="s">
        <v>476</v>
      </c>
      <c r="E8880">
        <v>1</v>
      </c>
    </row>
    <row r="8881" spans="1:5" x14ac:dyDescent="0.25">
      <c r="A8881">
        <v>8880</v>
      </c>
      <c r="B8881">
        <v>7888534</v>
      </c>
      <c r="C8881" s="1" t="str">
        <f>HYPERLINK("http://stackoverflow.com/users/7888534", "se Thunder")</f>
        <v>se Thunder</v>
      </c>
      <c r="D8881" t="s">
        <v>79</v>
      </c>
      <c r="E8881">
        <v>1</v>
      </c>
    </row>
    <row r="8882" spans="1:5" x14ac:dyDescent="0.25">
      <c r="A8882">
        <v>8881</v>
      </c>
      <c r="B8882">
        <v>7888639</v>
      </c>
      <c r="C8882" s="1" t="str">
        <f>HYPERLINK("http://stackoverflow.com/users/7888639", "Wenpeng Ma")</f>
        <v>Wenpeng Ma</v>
      </c>
      <c r="D8882" t="s">
        <v>5</v>
      </c>
      <c r="E8882">
        <v>1</v>
      </c>
    </row>
    <row r="8883" spans="1:5" x14ac:dyDescent="0.25">
      <c r="A8883">
        <v>8882</v>
      </c>
      <c r="B8883">
        <v>7888772</v>
      </c>
      <c r="C8883" s="1" t="str">
        <f>HYPERLINK("http://stackoverflow.com/users/7888772", "Jone Wang")</f>
        <v>Jone Wang</v>
      </c>
      <c r="D8883" t="s">
        <v>43</v>
      </c>
      <c r="E8883">
        <v>1</v>
      </c>
    </row>
    <row r="8884" spans="1:5" x14ac:dyDescent="0.25">
      <c r="A8884">
        <v>8883</v>
      </c>
      <c r="B8884">
        <v>7888786</v>
      </c>
      <c r="C8884" s="1" t="str">
        <f>HYPERLINK("http://stackoverflow.com/users/7888786", "BrandonXu")</f>
        <v>BrandonXu</v>
      </c>
      <c r="D8884" t="s">
        <v>16</v>
      </c>
      <c r="E8884">
        <v>1</v>
      </c>
    </row>
    <row r="8885" spans="1:5" x14ac:dyDescent="0.25">
      <c r="A8885">
        <v>8884</v>
      </c>
      <c r="B8885">
        <v>7888992</v>
      </c>
      <c r="C8885" s="1" t="str">
        <f>HYPERLINK("http://stackoverflow.com/users/7888992", "user7888992")</f>
        <v>user7888992</v>
      </c>
      <c r="D8885" t="s">
        <v>28</v>
      </c>
      <c r="E8885">
        <v>1</v>
      </c>
    </row>
    <row r="8886" spans="1:5" x14ac:dyDescent="0.25">
      <c r="A8886">
        <v>8885</v>
      </c>
      <c r="B8886">
        <v>2523319</v>
      </c>
      <c r="C8886" s="1" t="str">
        <f>HYPERLINK("http://stackoverflow.com/users/2523319", "小桑歪歪")</f>
        <v>小桑歪歪</v>
      </c>
      <c r="D8886" t="s">
        <v>477</v>
      </c>
      <c r="E8886">
        <v>1</v>
      </c>
    </row>
    <row r="8887" spans="1:5" x14ac:dyDescent="0.25">
      <c r="A8887">
        <v>8886</v>
      </c>
      <c r="B8887">
        <v>2523872</v>
      </c>
      <c r="C8887" s="1" t="str">
        <f>HYPERLINK("http://stackoverflow.com/users/2523872", "RainLong")</f>
        <v>RainLong</v>
      </c>
      <c r="D8887" t="s">
        <v>12</v>
      </c>
      <c r="E8887">
        <v>1</v>
      </c>
    </row>
    <row r="8888" spans="1:5" x14ac:dyDescent="0.25">
      <c r="A8888">
        <v>8887</v>
      </c>
      <c r="B8888">
        <v>2524306</v>
      </c>
      <c r="C8888" s="1" t="str">
        <f>HYPERLINK("http://stackoverflow.com/users/2524306", "Peter Radcliffe")</f>
        <v>Peter Radcliffe</v>
      </c>
      <c r="D8888" t="s">
        <v>37</v>
      </c>
      <c r="E8888">
        <v>1</v>
      </c>
    </row>
    <row r="8889" spans="1:5" x14ac:dyDescent="0.25">
      <c r="A8889">
        <v>8888</v>
      </c>
      <c r="B8889">
        <v>4442348</v>
      </c>
      <c r="C8889" s="1" t="str">
        <f>HYPERLINK("http://stackoverflow.com/users/4442348", "Menng")</f>
        <v>Menng</v>
      </c>
      <c r="D8889" t="s">
        <v>5</v>
      </c>
      <c r="E8889">
        <v>1</v>
      </c>
    </row>
    <row r="8890" spans="1:5" x14ac:dyDescent="0.25">
      <c r="A8890">
        <v>8889</v>
      </c>
      <c r="B8890">
        <v>6176213</v>
      </c>
      <c r="C8890" s="1" t="str">
        <f>HYPERLINK("http://stackoverflow.com/users/6176213", "loongod")</f>
        <v>loongod</v>
      </c>
      <c r="D8890" t="s">
        <v>5</v>
      </c>
      <c r="E8890">
        <v>1</v>
      </c>
    </row>
    <row r="8891" spans="1:5" x14ac:dyDescent="0.25">
      <c r="A8891">
        <v>8890</v>
      </c>
      <c r="B8891">
        <v>4447665</v>
      </c>
      <c r="C8891" s="1" t="str">
        <f>HYPERLINK("http://stackoverflow.com/users/4447665", "Afu")</f>
        <v>Afu</v>
      </c>
      <c r="D8891" t="s">
        <v>5</v>
      </c>
      <c r="E8891">
        <v>1</v>
      </c>
    </row>
    <row r="8892" spans="1:5" x14ac:dyDescent="0.25">
      <c r="A8892">
        <v>8891</v>
      </c>
      <c r="B8892">
        <v>7945674</v>
      </c>
      <c r="C8892" s="1" t="str">
        <f>HYPERLINK("http://stackoverflow.com/users/7945674", "user7945674")</f>
        <v>user7945674</v>
      </c>
      <c r="D8892" t="s">
        <v>4</v>
      </c>
      <c r="E8892">
        <v>1</v>
      </c>
    </row>
    <row r="8893" spans="1:5" x14ac:dyDescent="0.25">
      <c r="A8893">
        <v>8892</v>
      </c>
      <c r="B8893">
        <v>315275</v>
      </c>
      <c r="C8893" s="1" t="str">
        <f>HYPERLINK("http://stackoverflow.com/users/315275", "MingLee")</f>
        <v>MingLee</v>
      </c>
      <c r="D8893" t="s">
        <v>62</v>
      </c>
      <c r="E8893">
        <v>1</v>
      </c>
    </row>
    <row r="8894" spans="1:5" x14ac:dyDescent="0.25">
      <c r="A8894">
        <v>8893</v>
      </c>
      <c r="B8894">
        <v>2589468</v>
      </c>
      <c r="C8894" s="1" t="str">
        <f>HYPERLINK("http://stackoverflow.com/users/2589468", "zhouhaojie")</f>
        <v>zhouhaojie</v>
      </c>
      <c r="D8894" t="s">
        <v>17</v>
      </c>
      <c r="E8894">
        <v>1</v>
      </c>
    </row>
    <row r="8895" spans="1:5" x14ac:dyDescent="0.25">
      <c r="A8895">
        <v>8894</v>
      </c>
      <c r="B8895">
        <v>2589489</v>
      </c>
      <c r="C8895" s="1" t="str">
        <f>HYPERLINK("http://stackoverflow.com/users/2589489", "tudyzhb")</f>
        <v>tudyzhb</v>
      </c>
      <c r="D8895" t="s">
        <v>36</v>
      </c>
      <c r="E8895">
        <v>1</v>
      </c>
    </row>
    <row r="8896" spans="1:5" x14ac:dyDescent="0.25">
      <c r="A8896">
        <v>8895</v>
      </c>
      <c r="B8896">
        <v>2589584</v>
      </c>
      <c r="C8896" s="1" t="str">
        <f>HYPERLINK("http://stackoverflow.com/users/2589584", "Bieber")</f>
        <v>Bieber</v>
      </c>
      <c r="D8896" t="s">
        <v>4</v>
      </c>
      <c r="E8896">
        <v>1</v>
      </c>
    </row>
    <row r="8897" spans="1:5" x14ac:dyDescent="0.25">
      <c r="A8897">
        <v>8896</v>
      </c>
      <c r="B8897">
        <v>2592009</v>
      </c>
      <c r="C8897" s="1" t="str">
        <f>HYPERLINK("http://stackoverflow.com/users/2592009", "Karci Xie")</f>
        <v>Karci Xie</v>
      </c>
      <c r="D8897" t="s">
        <v>59</v>
      </c>
      <c r="E8897">
        <v>1</v>
      </c>
    </row>
    <row r="8898" spans="1:5" x14ac:dyDescent="0.25">
      <c r="A8898">
        <v>8897</v>
      </c>
      <c r="B8898">
        <v>9763529</v>
      </c>
      <c r="C8898" s="1" t="str">
        <f>HYPERLINK("http://stackoverflow.com/users/9763529", "Flyaway Lin")</f>
        <v>Flyaway Lin</v>
      </c>
      <c r="D8898" t="s">
        <v>478</v>
      </c>
      <c r="E8898">
        <v>1</v>
      </c>
    </row>
    <row r="8899" spans="1:5" x14ac:dyDescent="0.25">
      <c r="A8899">
        <v>8898</v>
      </c>
      <c r="B8899">
        <v>9766635</v>
      </c>
      <c r="C8899" s="1" t="str">
        <f>HYPERLINK("http://stackoverflow.com/users/9766635", "khalil peng")</f>
        <v>khalil peng</v>
      </c>
      <c r="D8899" t="s">
        <v>5</v>
      </c>
      <c r="E8899">
        <v>1</v>
      </c>
    </row>
    <row r="8900" spans="1:5" x14ac:dyDescent="0.25">
      <c r="A8900">
        <v>8899</v>
      </c>
      <c r="B8900">
        <v>7952359</v>
      </c>
      <c r="C8900" s="1" t="str">
        <f>HYPERLINK("http://stackoverflow.com/users/7952359", "Floyd Luo")</f>
        <v>Floyd Luo</v>
      </c>
      <c r="D8900" t="s">
        <v>7</v>
      </c>
      <c r="E8900">
        <v>1</v>
      </c>
    </row>
    <row r="8901" spans="1:5" x14ac:dyDescent="0.25">
      <c r="A8901">
        <v>8900</v>
      </c>
      <c r="B8901">
        <v>7952610</v>
      </c>
      <c r="C8901" s="1" t="str">
        <f>HYPERLINK("http://stackoverflow.com/users/7952610", "jiaying1992")</f>
        <v>jiaying1992</v>
      </c>
      <c r="D8901" t="s">
        <v>31</v>
      </c>
      <c r="E8901">
        <v>1</v>
      </c>
    </row>
    <row r="8902" spans="1:5" x14ac:dyDescent="0.25">
      <c r="A8902">
        <v>8901</v>
      </c>
      <c r="B8902">
        <v>7952926</v>
      </c>
      <c r="C8902" s="1" t="str">
        <f>HYPERLINK("http://stackoverflow.com/users/7952926", "Virtual")</f>
        <v>Virtual</v>
      </c>
      <c r="D8902" t="s">
        <v>16</v>
      </c>
      <c r="E8902">
        <v>1</v>
      </c>
    </row>
    <row r="8903" spans="1:5" x14ac:dyDescent="0.25">
      <c r="A8903">
        <v>8902</v>
      </c>
      <c r="B8903">
        <v>7958409</v>
      </c>
      <c r="C8903" s="1" t="str">
        <f>HYPERLINK("http://stackoverflow.com/users/7958409", "Zhenmie.Green")</f>
        <v>Zhenmie.Green</v>
      </c>
      <c r="D8903" t="s">
        <v>25</v>
      </c>
      <c r="E8903">
        <v>1</v>
      </c>
    </row>
    <row r="8904" spans="1:5" x14ac:dyDescent="0.25">
      <c r="A8904">
        <v>8903</v>
      </c>
      <c r="B8904">
        <v>2607094</v>
      </c>
      <c r="C8904" s="1" t="str">
        <f>HYPERLINK("http://stackoverflow.com/users/2607094", "mikab")</f>
        <v>mikab</v>
      </c>
      <c r="D8904" t="s">
        <v>5</v>
      </c>
      <c r="E8904">
        <v>1</v>
      </c>
    </row>
    <row r="8905" spans="1:5" x14ac:dyDescent="0.25">
      <c r="A8905">
        <v>8904</v>
      </c>
      <c r="B8905">
        <v>9774648</v>
      </c>
      <c r="C8905" s="1" t="str">
        <f>HYPERLINK("http://stackoverflow.com/users/9774648", "scenteds")</f>
        <v>scenteds</v>
      </c>
      <c r="D8905" t="s">
        <v>479</v>
      </c>
      <c r="E8905">
        <v>1</v>
      </c>
    </row>
    <row r="8906" spans="1:5" x14ac:dyDescent="0.25">
      <c r="A8906">
        <v>8905</v>
      </c>
      <c r="B8906">
        <v>9775162</v>
      </c>
      <c r="C8906" s="1" t="str">
        <f>HYPERLINK("http://stackoverflow.com/users/9775162", "zebos")</f>
        <v>zebos</v>
      </c>
      <c r="D8906" t="s">
        <v>480</v>
      </c>
      <c r="E8906">
        <v>1</v>
      </c>
    </row>
    <row r="8907" spans="1:5" x14ac:dyDescent="0.25">
      <c r="A8907">
        <v>8906</v>
      </c>
      <c r="B8907">
        <v>7956029</v>
      </c>
      <c r="C8907" s="1" t="str">
        <f>HYPERLINK("http://stackoverflow.com/users/7956029", "Raihan")</f>
        <v>Raihan</v>
      </c>
      <c r="D8907" t="s">
        <v>25</v>
      </c>
      <c r="E8907">
        <v>1</v>
      </c>
    </row>
    <row r="8908" spans="1:5" x14ac:dyDescent="0.25">
      <c r="A8908">
        <v>8907</v>
      </c>
      <c r="B8908">
        <v>7957577</v>
      </c>
      <c r="C8908" s="1" t="str">
        <f>HYPERLINK("http://stackoverflow.com/users/7957577", "hui yang")</f>
        <v>hui yang</v>
      </c>
      <c r="D8908" t="s">
        <v>5</v>
      </c>
      <c r="E8908">
        <v>1</v>
      </c>
    </row>
    <row r="8909" spans="1:5" x14ac:dyDescent="0.25">
      <c r="A8909">
        <v>8908</v>
      </c>
      <c r="B8909">
        <v>7957709</v>
      </c>
      <c r="C8909" s="1" t="str">
        <f>HYPERLINK("http://stackoverflow.com/users/7957709", "Hakumino")</f>
        <v>Hakumino</v>
      </c>
      <c r="D8909" t="s">
        <v>19</v>
      </c>
      <c r="E8909">
        <v>1</v>
      </c>
    </row>
    <row r="8910" spans="1:5" x14ac:dyDescent="0.25">
      <c r="A8910">
        <v>8909</v>
      </c>
      <c r="B8910">
        <v>9769022</v>
      </c>
      <c r="C8910" s="1" t="str">
        <f>HYPERLINK("http://stackoverflow.com/users/9769022", "pangda")</f>
        <v>pangda</v>
      </c>
      <c r="D8910" t="s">
        <v>115</v>
      </c>
      <c r="E8910">
        <v>1</v>
      </c>
    </row>
    <row r="8911" spans="1:5" x14ac:dyDescent="0.25">
      <c r="A8911">
        <v>8910</v>
      </c>
      <c r="B8911">
        <v>9769146</v>
      </c>
      <c r="C8911" s="1" t="str">
        <f>HYPERLINK("http://stackoverflow.com/users/9769146", "Steven Chan")</f>
        <v>Steven Chan</v>
      </c>
      <c r="D8911" t="s">
        <v>5</v>
      </c>
      <c r="E8911">
        <v>1</v>
      </c>
    </row>
    <row r="8912" spans="1:5" x14ac:dyDescent="0.25">
      <c r="A8912">
        <v>8911</v>
      </c>
      <c r="B8912">
        <v>9769193</v>
      </c>
      <c r="C8912" s="1" t="str">
        <f>HYPERLINK("http://stackoverflow.com/users/9769193", "Kai")</f>
        <v>Kai</v>
      </c>
      <c r="D8912" t="s">
        <v>16</v>
      </c>
      <c r="E8912">
        <v>1</v>
      </c>
    </row>
    <row r="8913" spans="1:5" x14ac:dyDescent="0.25">
      <c r="A8913">
        <v>8912</v>
      </c>
      <c r="B8913">
        <v>7971800</v>
      </c>
      <c r="C8913" s="1" t="str">
        <f>HYPERLINK("http://stackoverflow.com/users/7971800", "yanjianming2005")</f>
        <v>yanjianming2005</v>
      </c>
      <c r="D8913" t="s">
        <v>5</v>
      </c>
      <c r="E8913">
        <v>1</v>
      </c>
    </row>
    <row r="8914" spans="1:5" x14ac:dyDescent="0.25">
      <c r="A8914">
        <v>8913</v>
      </c>
      <c r="B8914">
        <v>6196290</v>
      </c>
      <c r="C8914" s="1" t="str">
        <f>HYPERLINK("http://stackoverflow.com/users/6196290", "jun an")</f>
        <v>jun an</v>
      </c>
      <c r="D8914" t="s">
        <v>4</v>
      </c>
      <c r="E8914">
        <v>1</v>
      </c>
    </row>
    <row r="8915" spans="1:5" x14ac:dyDescent="0.25">
      <c r="A8915">
        <v>8914</v>
      </c>
      <c r="B8915">
        <v>4464325</v>
      </c>
      <c r="C8915" s="1" t="str">
        <f>HYPERLINK("http://stackoverflow.com/users/4464325", "Vboar")</f>
        <v>Vboar</v>
      </c>
      <c r="D8915" t="s">
        <v>37</v>
      </c>
      <c r="E8915">
        <v>1</v>
      </c>
    </row>
    <row r="8916" spans="1:5" x14ac:dyDescent="0.25">
      <c r="A8916">
        <v>8915</v>
      </c>
      <c r="B8916">
        <v>7964091</v>
      </c>
      <c r="C8916" s="1" t="str">
        <f>HYPERLINK("http://stackoverflow.com/users/7964091", "Michael Wang")</f>
        <v>Michael Wang</v>
      </c>
      <c r="D8916" t="s">
        <v>481</v>
      </c>
      <c r="E8916">
        <v>1</v>
      </c>
    </row>
    <row r="8917" spans="1:5" x14ac:dyDescent="0.25">
      <c r="A8917">
        <v>8916</v>
      </c>
      <c r="B8917">
        <v>2609866</v>
      </c>
      <c r="C8917" s="1" t="str">
        <f>HYPERLINK("http://stackoverflow.com/users/2609866", "mtou091")</f>
        <v>mtou091</v>
      </c>
      <c r="D8917" t="s">
        <v>4</v>
      </c>
      <c r="E8917">
        <v>1</v>
      </c>
    </row>
    <row r="8918" spans="1:5" x14ac:dyDescent="0.25">
      <c r="A8918">
        <v>8917</v>
      </c>
      <c r="B8918">
        <v>9779260</v>
      </c>
      <c r="C8918" s="1" t="str">
        <f>HYPERLINK("http://stackoverflow.com/users/9779260", "zjhd2018")</f>
        <v>zjhd2018</v>
      </c>
      <c r="D8918" t="s">
        <v>11</v>
      </c>
      <c r="E8918">
        <v>1</v>
      </c>
    </row>
    <row r="8919" spans="1:5" x14ac:dyDescent="0.25">
      <c r="A8919">
        <v>8918</v>
      </c>
      <c r="B8919">
        <v>9779503</v>
      </c>
      <c r="C8919" s="1" t="str">
        <f>HYPERLINK("http://stackoverflow.com/users/9779503", "TW Li")</f>
        <v>TW Li</v>
      </c>
      <c r="D8919" t="s">
        <v>52</v>
      </c>
      <c r="E8919">
        <v>1</v>
      </c>
    </row>
    <row r="8920" spans="1:5" x14ac:dyDescent="0.25">
      <c r="A8920">
        <v>8919</v>
      </c>
      <c r="B8920">
        <v>7967528</v>
      </c>
      <c r="C8920" s="1" t="str">
        <f>HYPERLINK("http://stackoverflow.com/users/7967528", "Bosgrand LTD.")</f>
        <v>Bosgrand LTD.</v>
      </c>
      <c r="D8920" t="s">
        <v>25</v>
      </c>
      <c r="E8920">
        <v>1</v>
      </c>
    </row>
    <row r="8921" spans="1:5" x14ac:dyDescent="0.25">
      <c r="A8921">
        <v>8920</v>
      </c>
      <c r="B8921">
        <v>7967814</v>
      </c>
      <c r="C8921" s="1" t="str">
        <f>HYPERLINK("http://stackoverflow.com/users/7967814", "Y.Victor")</f>
        <v>Y.Victor</v>
      </c>
      <c r="D8921" t="s">
        <v>4</v>
      </c>
      <c r="E8921">
        <v>1</v>
      </c>
    </row>
    <row r="8922" spans="1:5" x14ac:dyDescent="0.25">
      <c r="A8922">
        <v>8921</v>
      </c>
      <c r="B8922">
        <v>7968193</v>
      </c>
      <c r="C8922" s="1" t="str">
        <f>HYPERLINK("http://stackoverflow.com/users/7968193", "RogerZHUO")</f>
        <v>RogerZHUO</v>
      </c>
      <c r="D8922" t="s">
        <v>5</v>
      </c>
      <c r="E8922">
        <v>1</v>
      </c>
    </row>
    <row r="8923" spans="1:5" x14ac:dyDescent="0.25">
      <c r="A8923">
        <v>8922</v>
      </c>
      <c r="B8923">
        <v>6196367</v>
      </c>
      <c r="C8923" s="1" t="str">
        <f>HYPERLINK("http://stackoverflow.com/users/6196367", "小空空")</f>
        <v>小空空</v>
      </c>
      <c r="D8923" t="s">
        <v>175</v>
      </c>
      <c r="E8923">
        <v>1</v>
      </c>
    </row>
    <row r="8924" spans="1:5" x14ac:dyDescent="0.25">
      <c r="A8924">
        <v>8923</v>
      </c>
      <c r="B8924">
        <v>6196393</v>
      </c>
      <c r="C8924" s="1" t="str">
        <f>HYPERLINK("http://stackoverflow.com/users/6196393", "hnxyzzl")</f>
        <v>hnxyzzl</v>
      </c>
      <c r="D8924" t="s">
        <v>43</v>
      </c>
      <c r="E8924">
        <v>1</v>
      </c>
    </row>
    <row r="8925" spans="1:5" x14ac:dyDescent="0.25">
      <c r="A8925">
        <v>8924</v>
      </c>
      <c r="B8925">
        <v>6196454</v>
      </c>
      <c r="C8925" s="1" t="str">
        <f>HYPERLINK("http://stackoverflow.com/users/6196454", "Criss_Cheng")</f>
        <v>Criss_Cheng</v>
      </c>
      <c r="D8925" t="s">
        <v>5</v>
      </c>
      <c r="E8925">
        <v>1</v>
      </c>
    </row>
    <row r="8926" spans="1:5" x14ac:dyDescent="0.25">
      <c r="A8926">
        <v>8925</v>
      </c>
      <c r="B8926">
        <v>9783145</v>
      </c>
      <c r="C8926" s="1" t="str">
        <f>HYPERLINK("http://stackoverflow.com/users/9783145", "Zer0.l")</f>
        <v>Zer0.l</v>
      </c>
      <c r="D8926" t="s">
        <v>5</v>
      </c>
      <c r="E8926">
        <v>1</v>
      </c>
    </row>
    <row r="8927" spans="1:5" x14ac:dyDescent="0.25">
      <c r="A8927">
        <v>8926</v>
      </c>
      <c r="B8927">
        <v>9786398</v>
      </c>
      <c r="C8927" s="1" t="str">
        <f>HYPERLINK("http://stackoverflow.com/users/9786398", "Meng Ha")</f>
        <v>Meng Ha</v>
      </c>
      <c r="D8927" t="s">
        <v>19</v>
      </c>
      <c r="E8927">
        <v>1</v>
      </c>
    </row>
    <row r="8928" spans="1:5" x14ac:dyDescent="0.25">
      <c r="A8928">
        <v>8927</v>
      </c>
      <c r="B8928">
        <v>9786563</v>
      </c>
      <c r="C8928" s="1" t="str">
        <f>HYPERLINK("http://stackoverflow.com/users/9786563", "Aurio Pinto")</f>
        <v>Aurio Pinto</v>
      </c>
      <c r="D8928" t="s">
        <v>4</v>
      </c>
      <c r="E8928">
        <v>1</v>
      </c>
    </row>
    <row r="8929" spans="1:5" x14ac:dyDescent="0.25">
      <c r="A8929">
        <v>8928</v>
      </c>
      <c r="B8929">
        <v>9786689</v>
      </c>
      <c r="C8929" s="1" t="str">
        <f>HYPERLINK("http://stackoverflow.com/users/9786689", "林韩秋")</f>
        <v>林韩秋</v>
      </c>
      <c r="D8929" t="s">
        <v>5</v>
      </c>
      <c r="E8929">
        <v>1</v>
      </c>
    </row>
    <row r="8930" spans="1:5" x14ac:dyDescent="0.25">
      <c r="A8930">
        <v>8929</v>
      </c>
      <c r="B8930">
        <v>6198877</v>
      </c>
      <c r="C8930" s="1" t="str">
        <f>HYPERLINK("http://stackoverflow.com/users/6198877", "imxieke")</f>
        <v>imxieke</v>
      </c>
      <c r="D8930" t="s">
        <v>482</v>
      </c>
      <c r="E8930">
        <v>1</v>
      </c>
    </row>
    <row r="8931" spans="1:5" x14ac:dyDescent="0.25">
      <c r="A8931">
        <v>8930</v>
      </c>
      <c r="B8931">
        <v>6199548</v>
      </c>
      <c r="C8931" s="1" t="str">
        <f>HYPERLINK("http://stackoverflow.com/users/6199548", "huahaitao")</f>
        <v>huahaitao</v>
      </c>
      <c r="D8931" t="s">
        <v>52</v>
      </c>
      <c r="E8931">
        <v>1</v>
      </c>
    </row>
    <row r="8932" spans="1:5" x14ac:dyDescent="0.25">
      <c r="A8932">
        <v>8931</v>
      </c>
      <c r="B8932">
        <v>6199704</v>
      </c>
      <c r="C8932" s="1" t="str">
        <f>HYPERLINK("http://stackoverflow.com/users/6199704", "YJ_Fu")</f>
        <v>YJ_Fu</v>
      </c>
      <c r="D8932" t="s">
        <v>483</v>
      </c>
      <c r="E8932">
        <v>1</v>
      </c>
    </row>
    <row r="8933" spans="1:5" x14ac:dyDescent="0.25">
      <c r="A8933">
        <v>8932</v>
      </c>
      <c r="B8933">
        <v>7974858</v>
      </c>
      <c r="C8933" s="1" t="str">
        <f>HYPERLINK("http://stackoverflow.com/users/7974858", "Yizhou Qian")</f>
        <v>Yizhou Qian</v>
      </c>
      <c r="D8933" t="s">
        <v>33</v>
      </c>
      <c r="E8933">
        <v>1</v>
      </c>
    </row>
    <row r="8934" spans="1:5" x14ac:dyDescent="0.25">
      <c r="A8934">
        <v>8933</v>
      </c>
      <c r="B8934">
        <v>7974866</v>
      </c>
      <c r="C8934" s="1" t="str">
        <f>HYPERLINK("http://stackoverflow.com/users/7974866", "Lian Ye")</f>
        <v>Lian Ye</v>
      </c>
      <c r="D8934" t="s">
        <v>5</v>
      </c>
      <c r="E8934">
        <v>1</v>
      </c>
    </row>
    <row r="8935" spans="1:5" x14ac:dyDescent="0.25">
      <c r="A8935">
        <v>8934</v>
      </c>
      <c r="B8935">
        <v>7974905</v>
      </c>
      <c r="C8935" s="1" t="str">
        <f>HYPERLINK("http://stackoverflow.com/users/7974905", "ZhengLu")</f>
        <v>ZhengLu</v>
      </c>
      <c r="D8935" t="s">
        <v>74</v>
      </c>
      <c r="E8935">
        <v>1</v>
      </c>
    </row>
    <row r="8936" spans="1:5" x14ac:dyDescent="0.25">
      <c r="A8936">
        <v>8935</v>
      </c>
      <c r="B8936">
        <v>7975581</v>
      </c>
      <c r="C8936" s="1" t="str">
        <f>HYPERLINK("http://stackoverflow.com/users/7975581", "Harison Fekadu")</f>
        <v>Harison Fekadu</v>
      </c>
      <c r="D8936" t="s">
        <v>439</v>
      </c>
      <c r="E8936">
        <v>1</v>
      </c>
    </row>
    <row r="8937" spans="1:5" x14ac:dyDescent="0.25">
      <c r="A8937">
        <v>8936</v>
      </c>
      <c r="B8937">
        <v>7975591</v>
      </c>
      <c r="C8937" s="1" t="str">
        <f>HYPERLINK("http://stackoverflow.com/users/7975591", "GgDev")</f>
        <v>GgDev</v>
      </c>
      <c r="D8937" t="s">
        <v>47</v>
      </c>
      <c r="E8937">
        <v>1</v>
      </c>
    </row>
    <row r="8938" spans="1:5" x14ac:dyDescent="0.25">
      <c r="A8938">
        <v>8937</v>
      </c>
      <c r="B8938">
        <v>9732979</v>
      </c>
      <c r="C8938" s="1" t="str">
        <f>HYPERLINK("http://stackoverflow.com/users/9732979", "user9732979")</f>
        <v>user9732979</v>
      </c>
      <c r="D8938" t="s">
        <v>5</v>
      </c>
      <c r="E8938">
        <v>1</v>
      </c>
    </row>
    <row r="8939" spans="1:5" x14ac:dyDescent="0.25">
      <c r="A8939">
        <v>8938</v>
      </c>
      <c r="B8939">
        <v>2566532</v>
      </c>
      <c r="C8939" s="1" t="str">
        <f>HYPERLINK("http://stackoverflow.com/users/2566532", "Enric G. Torrents")</f>
        <v>Enric G. Torrents</v>
      </c>
      <c r="D8939" t="s">
        <v>32</v>
      </c>
      <c r="E8939">
        <v>1</v>
      </c>
    </row>
    <row r="8940" spans="1:5" x14ac:dyDescent="0.25">
      <c r="A8940">
        <v>8939</v>
      </c>
      <c r="B8940">
        <v>6156245</v>
      </c>
      <c r="C8940" s="1" t="str">
        <f>HYPERLINK("http://stackoverflow.com/users/6156245", "Ryan")</f>
        <v>Ryan</v>
      </c>
      <c r="D8940" t="s">
        <v>5</v>
      </c>
      <c r="E8940">
        <v>1</v>
      </c>
    </row>
    <row r="8941" spans="1:5" x14ac:dyDescent="0.25">
      <c r="A8941">
        <v>8940</v>
      </c>
      <c r="B8941">
        <v>6159285</v>
      </c>
      <c r="C8941" s="1" t="str">
        <f>HYPERLINK("http://stackoverflow.com/users/6159285", "more_satan")</f>
        <v>more_satan</v>
      </c>
      <c r="D8941" t="s">
        <v>5</v>
      </c>
      <c r="E8941">
        <v>1</v>
      </c>
    </row>
    <row r="8942" spans="1:5" x14ac:dyDescent="0.25">
      <c r="A8942">
        <v>8941</v>
      </c>
      <c r="B8942">
        <v>6159310</v>
      </c>
      <c r="C8942" s="1" t="str">
        <f>HYPERLINK("http://stackoverflow.com/users/6159310", "Qiulin Lee")</f>
        <v>Qiulin Lee</v>
      </c>
      <c r="D8942" t="s">
        <v>7</v>
      </c>
      <c r="E8942">
        <v>1</v>
      </c>
    </row>
    <row r="8943" spans="1:5" x14ac:dyDescent="0.25">
      <c r="A8943">
        <v>8942</v>
      </c>
      <c r="B8943">
        <v>6159359</v>
      </c>
      <c r="C8943" s="1" t="str">
        <f>HYPERLINK("http://stackoverflow.com/users/6159359", "geng zicong")</f>
        <v>geng zicong</v>
      </c>
      <c r="D8943" t="s">
        <v>4</v>
      </c>
      <c r="E8943">
        <v>1</v>
      </c>
    </row>
    <row r="8944" spans="1:5" x14ac:dyDescent="0.25">
      <c r="A8944">
        <v>8943</v>
      </c>
      <c r="B8944">
        <v>6159435</v>
      </c>
      <c r="C8944" s="1" t="str">
        <f>HYPERLINK("http://stackoverflow.com/users/6159435", "Pei")</f>
        <v>Pei</v>
      </c>
      <c r="D8944" t="s">
        <v>135</v>
      </c>
      <c r="E8944">
        <v>1</v>
      </c>
    </row>
    <row r="8945" spans="1:5" x14ac:dyDescent="0.25">
      <c r="A8945">
        <v>8944</v>
      </c>
      <c r="B8945">
        <v>6156418</v>
      </c>
      <c r="C8945" s="1" t="str">
        <f>HYPERLINK("http://stackoverflow.com/users/6156418", "Jason Luo")</f>
        <v>Jason Luo</v>
      </c>
      <c r="D8945" t="s">
        <v>29</v>
      </c>
      <c r="E8945">
        <v>1</v>
      </c>
    </row>
    <row r="8946" spans="1:5" x14ac:dyDescent="0.25">
      <c r="A8946">
        <v>8945</v>
      </c>
      <c r="B8946">
        <v>7930876</v>
      </c>
      <c r="C8946" s="1" t="str">
        <f>HYPERLINK("http://stackoverflow.com/users/7930876", "Bink10533")</f>
        <v>Bink10533</v>
      </c>
      <c r="D8946" t="s">
        <v>19</v>
      </c>
      <c r="E8946">
        <v>1</v>
      </c>
    </row>
    <row r="8947" spans="1:5" x14ac:dyDescent="0.25">
      <c r="A8947">
        <v>8946</v>
      </c>
      <c r="B8947">
        <v>7931118</v>
      </c>
      <c r="C8947" s="1" t="str">
        <f>HYPERLINK("http://stackoverflow.com/users/7931118", "Q. Fu")</f>
        <v>Q. Fu</v>
      </c>
      <c r="D8947" t="s">
        <v>5</v>
      </c>
      <c r="E8947">
        <v>1</v>
      </c>
    </row>
    <row r="8948" spans="1:5" x14ac:dyDescent="0.25">
      <c r="A8948">
        <v>8947</v>
      </c>
      <c r="B8948">
        <v>2570910</v>
      </c>
      <c r="C8948" s="1" t="str">
        <f>HYPERLINK("http://stackoverflow.com/users/2570910", "smilelittle")</f>
        <v>smilelittle</v>
      </c>
      <c r="D8948" t="s">
        <v>57</v>
      </c>
      <c r="E8948">
        <v>1</v>
      </c>
    </row>
    <row r="8949" spans="1:5" x14ac:dyDescent="0.25">
      <c r="A8949">
        <v>8948</v>
      </c>
      <c r="B8949">
        <v>2571176</v>
      </c>
      <c r="C8949" s="1" t="str">
        <f>HYPERLINK("http://stackoverflow.com/users/2571176", "lizhao")</f>
        <v>lizhao</v>
      </c>
      <c r="D8949" t="s">
        <v>178</v>
      </c>
      <c r="E8949">
        <v>1</v>
      </c>
    </row>
    <row r="8950" spans="1:5" x14ac:dyDescent="0.25">
      <c r="A8950">
        <v>8949</v>
      </c>
      <c r="B8950">
        <v>2571179</v>
      </c>
      <c r="C8950" s="1" t="str">
        <f>HYPERLINK("http://stackoverflow.com/users/2571179", "lyremelody")</f>
        <v>lyremelody</v>
      </c>
      <c r="D8950" t="s">
        <v>4</v>
      </c>
      <c r="E8950">
        <v>1</v>
      </c>
    </row>
    <row r="8951" spans="1:5" x14ac:dyDescent="0.25">
      <c r="A8951">
        <v>8950</v>
      </c>
      <c r="B8951">
        <v>2571219</v>
      </c>
      <c r="C8951" s="1" t="str">
        <f>HYPERLINK("http://stackoverflow.com/users/2571219", "bigfa")</f>
        <v>bigfa</v>
      </c>
      <c r="D8951" t="s">
        <v>5</v>
      </c>
      <c r="E8951">
        <v>1</v>
      </c>
    </row>
    <row r="8952" spans="1:5" x14ac:dyDescent="0.25">
      <c r="A8952">
        <v>8951</v>
      </c>
      <c r="B8952">
        <v>2571355</v>
      </c>
      <c r="C8952" s="1" t="str">
        <f>HYPERLINK("http://stackoverflow.com/users/2571355", "chenqiang0721")</f>
        <v>chenqiang0721</v>
      </c>
      <c r="D8952" t="s">
        <v>5</v>
      </c>
      <c r="E8952">
        <v>1</v>
      </c>
    </row>
    <row r="8953" spans="1:5" x14ac:dyDescent="0.25">
      <c r="A8953">
        <v>8952</v>
      </c>
      <c r="B8953">
        <v>7919633</v>
      </c>
      <c r="C8953" s="1" t="str">
        <f>HYPERLINK("http://stackoverflow.com/users/7919633", "Swalker_lixl")</f>
        <v>Swalker_lixl</v>
      </c>
      <c r="D8953" t="s">
        <v>484</v>
      </c>
      <c r="E8953">
        <v>1</v>
      </c>
    </row>
    <row r="8954" spans="1:5" x14ac:dyDescent="0.25">
      <c r="A8954">
        <v>8953</v>
      </c>
      <c r="B8954">
        <v>6150844</v>
      </c>
      <c r="C8954" s="1" t="str">
        <f>HYPERLINK("http://stackoverflow.com/users/6150844", "J. Ning")</f>
        <v>J. Ning</v>
      </c>
      <c r="D8954" t="s">
        <v>74</v>
      </c>
      <c r="E8954">
        <v>1</v>
      </c>
    </row>
    <row r="8955" spans="1:5" x14ac:dyDescent="0.25">
      <c r="A8955">
        <v>8954</v>
      </c>
      <c r="B8955">
        <v>6151291</v>
      </c>
      <c r="C8955" s="1" t="str">
        <f>HYPERLINK("http://stackoverflow.com/users/6151291", "Tony Wu")</f>
        <v>Tony Wu</v>
      </c>
      <c r="D8955" t="s">
        <v>5</v>
      </c>
      <c r="E8955">
        <v>1</v>
      </c>
    </row>
    <row r="8956" spans="1:5" x14ac:dyDescent="0.25">
      <c r="A8956">
        <v>8955</v>
      </c>
      <c r="B8956">
        <v>277899</v>
      </c>
      <c r="C8956" s="1" t="str">
        <f>HYPERLINK("http://stackoverflow.com/users/277899", "Angus Li")</f>
        <v>Angus Li</v>
      </c>
      <c r="D8956" t="s">
        <v>4</v>
      </c>
      <c r="E8956">
        <v>1</v>
      </c>
    </row>
    <row r="8957" spans="1:5" x14ac:dyDescent="0.25">
      <c r="A8957">
        <v>8956</v>
      </c>
      <c r="B8957">
        <v>2560173</v>
      </c>
      <c r="C8957" s="1" t="str">
        <f>HYPERLINK("http://stackoverflow.com/users/2560173", "Chenyaotie")</f>
        <v>Chenyaotie</v>
      </c>
      <c r="D8957" t="s">
        <v>22</v>
      </c>
      <c r="E8957">
        <v>1</v>
      </c>
    </row>
    <row r="8958" spans="1:5" x14ac:dyDescent="0.25">
      <c r="A8958">
        <v>8957</v>
      </c>
      <c r="B8958">
        <v>2560597</v>
      </c>
      <c r="C8958" s="1" t="str">
        <f>HYPERLINK("http://stackoverflow.com/users/2560597", "Jiawei")</f>
        <v>Jiawei</v>
      </c>
      <c r="D8958" t="s">
        <v>4</v>
      </c>
      <c r="E8958">
        <v>1</v>
      </c>
    </row>
    <row r="8959" spans="1:5" x14ac:dyDescent="0.25">
      <c r="A8959">
        <v>8958</v>
      </c>
      <c r="B8959">
        <v>2560787</v>
      </c>
      <c r="C8959" s="1" t="str">
        <f>HYPERLINK("http://stackoverflow.com/users/2560787", "simon")</f>
        <v>simon</v>
      </c>
      <c r="D8959" t="s">
        <v>22</v>
      </c>
      <c r="E8959">
        <v>1</v>
      </c>
    </row>
    <row r="8960" spans="1:5" x14ac:dyDescent="0.25">
      <c r="A8960">
        <v>8959</v>
      </c>
      <c r="B8960">
        <v>2561032</v>
      </c>
      <c r="C8960" s="1" t="str">
        <f>HYPERLINK("http://stackoverflow.com/users/2561032", "jay1002008")</f>
        <v>jay1002008</v>
      </c>
      <c r="D8960" t="s">
        <v>12</v>
      </c>
      <c r="E8960">
        <v>1</v>
      </c>
    </row>
    <row r="8961" spans="1:5" x14ac:dyDescent="0.25">
      <c r="A8961">
        <v>8960</v>
      </c>
      <c r="B8961">
        <v>7922470</v>
      </c>
      <c r="C8961" s="1" t="str">
        <f>HYPERLINK("http://stackoverflow.com/users/7922470", "xanho")</f>
        <v>xanho</v>
      </c>
      <c r="D8961" t="s">
        <v>7</v>
      </c>
      <c r="E8961">
        <v>1</v>
      </c>
    </row>
    <row r="8962" spans="1:5" x14ac:dyDescent="0.25">
      <c r="A8962">
        <v>8961</v>
      </c>
      <c r="B8962">
        <v>7922512</v>
      </c>
      <c r="C8962" s="1" t="str">
        <f>HYPERLINK("http://stackoverflow.com/users/7922512", "何广良")</f>
        <v>何广良</v>
      </c>
      <c r="D8962" t="s">
        <v>25</v>
      </c>
      <c r="E8962">
        <v>1</v>
      </c>
    </row>
    <row r="8963" spans="1:5" x14ac:dyDescent="0.25">
      <c r="A8963">
        <v>8962</v>
      </c>
      <c r="B8963">
        <v>2556484</v>
      </c>
      <c r="C8963" s="1" t="str">
        <f>HYPERLINK("http://stackoverflow.com/users/2556484", "Chaoqun Gui")</f>
        <v>Chaoqun Gui</v>
      </c>
      <c r="D8963" t="s">
        <v>4</v>
      </c>
      <c r="E8963">
        <v>1</v>
      </c>
    </row>
    <row r="8964" spans="1:5" x14ac:dyDescent="0.25">
      <c r="A8964">
        <v>8963</v>
      </c>
      <c r="B8964">
        <v>2556530</v>
      </c>
      <c r="C8964" s="1" t="str">
        <f>HYPERLINK("http://stackoverflow.com/users/2556530", "y.lucia")</f>
        <v>y.lucia</v>
      </c>
      <c r="D8964" t="s">
        <v>12</v>
      </c>
      <c r="E8964">
        <v>1</v>
      </c>
    </row>
    <row r="8965" spans="1:5" x14ac:dyDescent="0.25">
      <c r="A8965">
        <v>8964</v>
      </c>
      <c r="B8965">
        <v>7934446</v>
      </c>
      <c r="C8965" s="1" t="str">
        <f>HYPERLINK("http://stackoverflow.com/users/7934446", "ws wen")</f>
        <v>ws wen</v>
      </c>
      <c r="D8965" t="s">
        <v>5</v>
      </c>
      <c r="E8965">
        <v>1</v>
      </c>
    </row>
    <row r="8966" spans="1:5" x14ac:dyDescent="0.25">
      <c r="A8966">
        <v>8965</v>
      </c>
      <c r="B8966">
        <v>4435339</v>
      </c>
      <c r="C8966" s="1" t="str">
        <f>HYPERLINK("http://stackoverflow.com/users/4435339", "chen chen")</f>
        <v>chen chen</v>
      </c>
      <c r="D8966" t="s">
        <v>5</v>
      </c>
      <c r="E8966">
        <v>1</v>
      </c>
    </row>
    <row r="8967" spans="1:5" x14ac:dyDescent="0.25">
      <c r="A8967">
        <v>8966</v>
      </c>
      <c r="B8967">
        <v>7935044</v>
      </c>
      <c r="C8967" s="1" t="str">
        <f>HYPERLINK("http://stackoverflow.com/users/7935044", "menduo")</f>
        <v>menduo</v>
      </c>
      <c r="D8967" t="s">
        <v>5</v>
      </c>
      <c r="E8967">
        <v>1</v>
      </c>
    </row>
    <row r="8968" spans="1:5" x14ac:dyDescent="0.25">
      <c r="A8968">
        <v>8967</v>
      </c>
      <c r="B8968">
        <v>6165742</v>
      </c>
      <c r="C8968" s="1" t="str">
        <f>HYPERLINK("http://stackoverflow.com/users/6165742", "Logoon")</f>
        <v>Logoon</v>
      </c>
      <c r="D8968" t="s">
        <v>5</v>
      </c>
      <c r="E8968">
        <v>1</v>
      </c>
    </row>
    <row r="8969" spans="1:5" x14ac:dyDescent="0.25">
      <c r="A8969">
        <v>8968</v>
      </c>
      <c r="B8969">
        <v>6165813</v>
      </c>
      <c r="C8969" s="1" t="str">
        <f>HYPERLINK("http://stackoverflow.com/users/6165813", "vaputa")</f>
        <v>vaputa</v>
      </c>
      <c r="D8969" t="s">
        <v>4</v>
      </c>
      <c r="E8969">
        <v>1</v>
      </c>
    </row>
    <row r="8970" spans="1:5" x14ac:dyDescent="0.25">
      <c r="A8970">
        <v>8969</v>
      </c>
      <c r="B8970">
        <v>9744661</v>
      </c>
      <c r="C8970" s="1" t="str">
        <f>HYPERLINK("http://stackoverflow.com/users/9744661", "Will")</f>
        <v>Will</v>
      </c>
      <c r="D8970" t="s">
        <v>5</v>
      </c>
      <c r="E8970">
        <v>1</v>
      </c>
    </row>
    <row r="8971" spans="1:5" x14ac:dyDescent="0.25">
      <c r="A8971">
        <v>8970</v>
      </c>
      <c r="B8971">
        <v>9744672</v>
      </c>
      <c r="C8971" s="1" t="str">
        <f>HYPERLINK("http://stackoverflow.com/users/9744672", "hengshi")</f>
        <v>hengshi</v>
      </c>
      <c r="D8971" t="s">
        <v>118</v>
      </c>
      <c r="E8971">
        <v>1</v>
      </c>
    </row>
    <row r="8972" spans="1:5" x14ac:dyDescent="0.25">
      <c r="A8972">
        <v>8971</v>
      </c>
      <c r="B8972">
        <v>9744690</v>
      </c>
      <c r="C8972" s="1" t="str">
        <f>HYPERLINK("http://stackoverflow.com/users/9744690", "James Li")</f>
        <v>James Li</v>
      </c>
      <c r="D8972" t="s">
        <v>28</v>
      </c>
      <c r="E8972">
        <v>1</v>
      </c>
    </row>
    <row r="8973" spans="1:5" x14ac:dyDescent="0.25">
      <c r="A8973">
        <v>8972</v>
      </c>
      <c r="B8973">
        <v>9745017</v>
      </c>
      <c r="C8973" s="1" t="str">
        <f>HYPERLINK("http://stackoverflow.com/users/9745017", "Jim.Leong")</f>
        <v>Jim.Leong</v>
      </c>
      <c r="D8973" t="s">
        <v>55</v>
      </c>
      <c r="E8973">
        <v>1</v>
      </c>
    </row>
    <row r="8974" spans="1:5" x14ac:dyDescent="0.25">
      <c r="A8974">
        <v>8973</v>
      </c>
      <c r="B8974">
        <v>9745018</v>
      </c>
      <c r="C8974" s="1" t="str">
        <f>HYPERLINK("http://stackoverflow.com/users/9745018", "jty9zer")</f>
        <v>jty9zer</v>
      </c>
      <c r="D8974" t="s">
        <v>43</v>
      </c>
      <c r="E8974">
        <v>1</v>
      </c>
    </row>
    <row r="8975" spans="1:5" x14ac:dyDescent="0.25">
      <c r="A8975">
        <v>8974</v>
      </c>
      <c r="B8975">
        <v>290005</v>
      </c>
      <c r="C8975" s="1" t="str">
        <f>HYPERLINK("http://stackoverflow.com/users/290005", "Matthew")</f>
        <v>Matthew</v>
      </c>
      <c r="D8975" t="s">
        <v>4</v>
      </c>
      <c r="E8975">
        <v>1</v>
      </c>
    </row>
    <row r="8976" spans="1:5" x14ac:dyDescent="0.25">
      <c r="A8976">
        <v>8975</v>
      </c>
      <c r="B8976">
        <v>6159950</v>
      </c>
      <c r="C8976" s="1" t="str">
        <f>HYPERLINK("http://stackoverflow.com/users/6159950", "chefzhang")</f>
        <v>chefzhang</v>
      </c>
      <c r="D8976" t="s">
        <v>4</v>
      </c>
      <c r="E8976">
        <v>1</v>
      </c>
    </row>
    <row r="8977" spans="1:5" x14ac:dyDescent="0.25">
      <c r="A8977">
        <v>8976</v>
      </c>
      <c r="B8977">
        <v>2571653</v>
      </c>
      <c r="C8977" s="1" t="str">
        <f>HYPERLINK("http://stackoverflow.com/users/2571653", "Alonso Cong")</f>
        <v>Alonso Cong</v>
      </c>
      <c r="D8977" t="s">
        <v>5</v>
      </c>
      <c r="E8977">
        <v>1</v>
      </c>
    </row>
    <row r="8978" spans="1:5" x14ac:dyDescent="0.25">
      <c r="A8978">
        <v>8977</v>
      </c>
      <c r="B8978">
        <v>2571737</v>
      </c>
      <c r="C8978" s="1" t="str">
        <f>HYPERLINK("http://stackoverflow.com/users/2571737", "geeekr")</f>
        <v>geeekr</v>
      </c>
      <c r="D8978" t="s">
        <v>5</v>
      </c>
      <c r="E8978">
        <v>1</v>
      </c>
    </row>
    <row r="8979" spans="1:5" x14ac:dyDescent="0.25">
      <c r="A8979">
        <v>8978</v>
      </c>
      <c r="B8979">
        <v>9756197</v>
      </c>
      <c r="C8979" s="1" t="str">
        <f>HYPERLINK("http://stackoverflow.com/users/9756197", "422212809")</f>
        <v>422212809</v>
      </c>
      <c r="D8979" t="s">
        <v>131</v>
      </c>
      <c r="E8979">
        <v>1</v>
      </c>
    </row>
    <row r="8980" spans="1:5" x14ac:dyDescent="0.25">
      <c r="A8980">
        <v>8979</v>
      </c>
      <c r="B8980">
        <v>9756252</v>
      </c>
      <c r="C8980" s="1" t="str">
        <f>HYPERLINK("http://stackoverflow.com/users/9756252", "avnd")</f>
        <v>avnd</v>
      </c>
      <c r="D8980" t="s">
        <v>4</v>
      </c>
      <c r="E8980">
        <v>1</v>
      </c>
    </row>
    <row r="8981" spans="1:5" x14ac:dyDescent="0.25">
      <c r="A8981">
        <v>8980</v>
      </c>
      <c r="B8981">
        <v>9756377</v>
      </c>
      <c r="C8981" s="1" t="str">
        <f>HYPERLINK("http://stackoverflow.com/users/9756377", "MEIQI DING")</f>
        <v>MEIQI DING</v>
      </c>
      <c r="D8981" t="s">
        <v>5</v>
      </c>
      <c r="E8981">
        <v>1</v>
      </c>
    </row>
    <row r="8982" spans="1:5" x14ac:dyDescent="0.25">
      <c r="A8982">
        <v>8981</v>
      </c>
      <c r="B8982">
        <v>7945509</v>
      </c>
      <c r="C8982" s="1" t="str">
        <f>HYPERLINK("http://stackoverflow.com/users/7945509", "Raven Chen")</f>
        <v>Raven Chen</v>
      </c>
      <c r="D8982" t="s">
        <v>16</v>
      </c>
      <c r="E8982">
        <v>1</v>
      </c>
    </row>
    <row r="8983" spans="1:5" x14ac:dyDescent="0.25">
      <c r="A8983">
        <v>8982</v>
      </c>
      <c r="B8983">
        <v>2582809</v>
      </c>
      <c r="C8983" s="1" t="str">
        <f>HYPERLINK("http://stackoverflow.com/users/2582809", "liaoxinglong")</f>
        <v>liaoxinglong</v>
      </c>
      <c r="D8983" t="s">
        <v>17</v>
      </c>
      <c r="E8983">
        <v>1</v>
      </c>
    </row>
    <row r="8984" spans="1:5" x14ac:dyDescent="0.25">
      <c r="A8984">
        <v>8983</v>
      </c>
      <c r="B8984">
        <v>9749080</v>
      </c>
      <c r="C8984" s="1" t="str">
        <f>HYPERLINK("http://stackoverflow.com/users/9749080", "newtheme")</f>
        <v>newtheme</v>
      </c>
      <c r="D8984" t="s">
        <v>33</v>
      </c>
      <c r="E8984">
        <v>1</v>
      </c>
    </row>
    <row r="8985" spans="1:5" x14ac:dyDescent="0.25">
      <c r="A8985">
        <v>8984</v>
      </c>
      <c r="B8985">
        <v>2582429</v>
      </c>
      <c r="C8985" s="1" t="str">
        <f>HYPERLINK("http://stackoverflow.com/users/2582429", "hongbiao.zhang")</f>
        <v>hongbiao.zhang</v>
      </c>
      <c r="D8985" t="s">
        <v>4</v>
      </c>
      <c r="E8985">
        <v>1</v>
      </c>
    </row>
    <row r="8986" spans="1:5" x14ac:dyDescent="0.25">
      <c r="A8986">
        <v>8985</v>
      </c>
      <c r="B8986">
        <v>2582259</v>
      </c>
      <c r="C8986" s="1" t="str">
        <f>HYPERLINK("http://stackoverflow.com/users/2582259", "Ideamax")</f>
        <v>Ideamax</v>
      </c>
      <c r="D8986" t="s">
        <v>5</v>
      </c>
      <c r="E8986">
        <v>1</v>
      </c>
    </row>
    <row r="8987" spans="1:5" x14ac:dyDescent="0.25">
      <c r="A8987">
        <v>8986</v>
      </c>
      <c r="B8987">
        <v>8028292</v>
      </c>
      <c r="C8987" s="1" t="str">
        <f>HYPERLINK("http://stackoverflow.com/users/8028292", "J.H.")</f>
        <v>J.H.</v>
      </c>
      <c r="D8987" t="s">
        <v>5</v>
      </c>
      <c r="E8987">
        <v>1</v>
      </c>
    </row>
    <row r="8988" spans="1:5" x14ac:dyDescent="0.25">
      <c r="A8988">
        <v>8987</v>
      </c>
      <c r="B8988">
        <v>8028379</v>
      </c>
      <c r="C8988" s="1" t="str">
        <f>HYPERLINK("http://stackoverflow.com/users/8028379", "Dwight Zhu")</f>
        <v>Dwight Zhu</v>
      </c>
      <c r="D8988" t="s">
        <v>12</v>
      </c>
      <c r="E8988">
        <v>1</v>
      </c>
    </row>
    <row r="8989" spans="1:5" x14ac:dyDescent="0.25">
      <c r="A8989">
        <v>8988</v>
      </c>
      <c r="B8989">
        <v>6246866</v>
      </c>
      <c r="C8989" s="1" t="str">
        <f>HYPERLINK("http://stackoverflow.com/users/6246866", "Simon")</f>
        <v>Simon</v>
      </c>
      <c r="D8989" t="s">
        <v>4</v>
      </c>
      <c r="E8989">
        <v>1</v>
      </c>
    </row>
    <row r="8990" spans="1:5" x14ac:dyDescent="0.25">
      <c r="A8990">
        <v>8989</v>
      </c>
      <c r="B8990">
        <v>2682249</v>
      </c>
      <c r="C8990" s="1" t="str">
        <f>HYPERLINK("http://stackoverflow.com/users/2682249", "Singularity")</f>
        <v>Singularity</v>
      </c>
      <c r="D8990" t="s">
        <v>5</v>
      </c>
      <c r="E8990">
        <v>1</v>
      </c>
    </row>
    <row r="8991" spans="1:5" x14ac:dyDescent="0.25">
      <c r="A8991">
        <v>8990</v>
      </c>
      <c r="B8991">
        <v>6252961</v>
      </c>
      <c r="C8991" s="1" t="str">
        <f>HYPERLINK("http://stackoverflow.com/users/6252961", "Jinya")</f>
        <v>Jinya</v>
      </c>
      <c r="D8991" t="s">
        <v>4</v>
      </c>
      <c r="E8991">
        <v>1</v>
      </c>
    </row>
    <row r="8992" spans="1:5" x14ac:dyDescent="0.25">
      <c r="A8992">
        <v>8991</v>
      </c>
      <c r="B8992">
        <v>2685116</v>
      </c>
      <c r="C8992" s="1" t="str">
        <f>HYPERLINK("http://stackoverflow.com/users/2685116", "Tasu")</f>
        <v>Tasu</v>
      </c>
      <c r="D8992" t="s">
        <v>4</v>
      </c>
      <c r="E8992">
        <v>1</v>
      </c>
    </row>
    <row r="8993" spans="1:5" x14ac:dyDescent="0.25">
      <c r="A8993">
        <v>8992</v>
      </c>
      <c r="B8993">
        <v>456833</v>
      </c>
      <c r="C8993" s="1" t="str">
        <f>HYPERLINK("http://stackoverflow.com/users/456833", "Lio")</f>
        <v>Lio</v>
      </c>
      <c r="D8993" t="s">
        <v>4</v>
      </c>
      <c r="E8993">
        <v>1</v>
      </c>
    </row>
    <row r="8994" spans="1:5" x14ac:dyDescent="0.25">
      <c r="A8994">
        <v>8993</v>
      </c>
      <c r="B8994">
        <v>9844648</v>
      </c>
      <c r="C8994" s="1" t="str">
        <f>HYPERLINK("http://stackoverflow.com/users/9844648", "dxvgef")</f>
        <v>dxvgef</v>
      </c>
      <c r="D8994" t="s">
        <v>485</v>
      </c>
      <c r="E8994">
        <v>1</v>
      </c>
    </row>
    <row r="8995" spans="1:5" x14ac:dyDescent="0.25">
      <c r="A8995">
        <v>8994</v>
      </c>
      <c r="B8995">
        <v>9838112</v>
      </c>
      <c r="C8995" s="1" t="str">
        <f>HYPERLINK("http://stackoverflow.com/users/9838112", "柯雅明")</f>
        <v>柯雅明</v>
      </c>
      <c r="D8995" t="s">
        <v>5</v>
      </c>
      <c r="E8995">
        <v>1</v>
      </c>
    </row>
    <row r="8996" spans="1:5" x14ac:dyDescent="0.25">
      <c r="A8996">
        <v>8995</v>
      </c>
      <c r="B8996">
        <v>9832824</v>
      </c>
      <c r="C8996" s="1" t="str">
        <f>HYPERLINK("http://stackoverflow.com/users/9832824", "Jian Kang")</f>
        <v>Jian Kang</v>
      </c>
      <c r="D8996" t="s">
        <v>5</v>
      </c>
      <c r="E8996">
        <v>1</v>
      </c>
    </row>
    <row r="8997" spans="1:5" x14ac:dyDescent="0.25">
      <c r="A8997">
        <v>8996</v>
      </c>
      <c r="B8997">
        <v>8028523</v>
      </c>
      <c r="C8997" s="1" t="str">
        <f>HYPERLINK("http://stackoverflow.com/users/8028523", "kekeke")</f>
        <v>kekeke</v>
      </c>
      <c r="D8997" t="s">
        <v>28</v>
      </c>
      <c r="E8997">
        <v>1</v>
      </c>
    </row>
    <row r="8998" spans="1:5" x14ac:dyDescent="0.25">
      <c r="A8998">
        <v>8997</v>
      </c>
      <c r="B8998">
        <v>8028748</v>
      </c>
      <c r="C8998" s="1" t="str">
        <f>HYPERLINK("http://stackoverflow.com/users/8028748", "Zeusir 1")</f>
        <v>Zeusir 1</v>
      </c>
      <c r="D8998" t="s">
        <v>7</v>
      </c>
      <c r="E8998">
        <v>1</v>
      </c>
    </row>
    <row r="8999" spans="1:5" x14ac:dyDescent="0.25">
      <c r="A8999">
        <v>8998</v>
      </c>
      <c r="B8999">
        <v>8028993</v>
      </c>
      <c r="C8999" s="1" t="str">
        <f>HYPERLINK("http://stackoverflow.com/users/8028993", "Xiangyang")</f>
        <v>Xiangyang</v>
      </c>
      <c r="D8999" t="s">
        <v>16</v>
      </c>
      <c r="E8999">
        <v>1</v>
      </c>
    </row>
    <row r="9000" spans="1:5" x14ac:dyDescent="0.25">
      <c r="A9000">
        <v>8999</v>
      </c>
      <c r="B9000">
        <v>8031736</v>
      </c>
      <c r="C9000" s="1" t="str">
        <f>HYPERLINK("http://stackoverflow.com/users/8031736", "Johnny94")</f>
        <v>Johnny94</v>
      </c>
      <c r="D9000" t="s">
        <v>197</v>
      </c>
      <c r="E9000">
        <v>1</v>
      </c>
    </row>
    <row r="9001" spans="1:5" x14ac:dyDescent="0.25">
      <c r="A9001">
        <v>9000</v>
      </c>
      <c r="B9001">
        <v>6250025</v>
      </c>
      <c r="C9001" s="1" t="str">
        <f>HYPERLINK("http://stackoverflow.com/users/6250025", "Mike Yi")</f>
        <v>Mike Yi</v>
      </c>
      <c r="D9001" t="s">
        <v>4</v>
      </c>
      <c r="E9001">
        <v>1</v>
      </c>
    </row>
    <row r="9002" spans="1:5" x14ac:dyDescent="0.25">
      <c r="A9002">
        <v>9001</v>
      </c>
      <c r="B9002">
        <v>6250247</v>
      </c>
      <c r="C9002" s="1" t="str">
        <f>HYPERLINK("http://stackoverflow.com/users/6250247", "gaoyan")</f>
        <v>gaoyan</v>
      </c>
      <c r="D9002" t="s">
        <v>5</v>
      </c>
      <c r="E9002">
        <v>1</v>
      </c>
    </row>
    <row r="9003" spans="1:5" x14ac:dyDescent="0.25">
      <c r="A9003">
        <v>9002</v>
      </c>
      <c r="B9003">
        <v>2681993</v>
      </c>
      <c r="C9003" s="1" t="str">
        <f>HYPERLINK("http://stackoverflow.com/users/2681993", "Yecheng Zhou")</f>
        <v>Yecheng Zhou</v>
      </c>
      <c r="D9003" t="s">
        <v>5</v>
      </c>
      <c r="E9003">
        <v>1</v>
      </c>
    </row>
    <row r="9004" spans="1:5" x14ac:dyDescent="0.25">
      <c r="A9004">
        <v>9003</v>
      </c>
      <c r="B9004">
        <v>2671033</v>
      </c>
      <c r="C9004" s="1" t="str">
        <f>HYPERLINK("http://stackoverflow.com/users/2671033", "CoderJia")</f>
        <v>CoderJia</v>
      </c>
      <c r="D9004" t="s">
        <v>5</v>
      </c>
      <c r="E9004">
        <v>1</v>
      </c>
    </row>
    <row r="9005" spans="1:5" x14ac:dyDescent="0.25">
      <c r="A9005">
        <v>9004</v>
      </c>
      <c r="B9005">
        <v>2671349</v>
      </c>
      <c r="C9005" s="1" t="str">
        <f>HYPERLINK("http://stackoverflow.com/users/2671349", "searchpcc")</f>
        <v>searchpcc</v>
      </c>
      <c r="D9005" t="s">
        <v>5</v>
      </c>
      <c r="E9005">
        <v>1</v>
      </c>
    </row>
    <row r="9006" spans="1:5" x14ac:dyDescent="0.25">
      <c r="A9006">
        <v>9005</v>
      </c>
      <c r="B9006">
        <v>2671491</v>
      </c>
      <c r="C9006" s="1" t="str">
        <f>HYPERLINK("http://stackoverflow.com/users/2671491", "codefish")</f>
        <v>codefish</v>
      </c>
      <c r="D9006" t="s">
        <v>12</v>
      </c>
      <c r="E9006">
        <v>1</v>
      </c>
    </row>
    <row r="9007" spans="1:5" x14ac:dyDescent="0.25">
      <c r="A9007">
        <v>9006</v>
      </c>
      <c r="B9007">
        <v>6233276</v>
      </c>
      <c r="C9007" s="1" t="str">
        <f>HYPERLINK("http://stackoverflow.com/users/6233276", "Jiang Zhuoyan")</f>
        <v>Jiang Zhuoyan</v>
      </c>
      <c r="D9007" t="s">
        <v>4</v>
      </c>
      <c r="E9007">
        <v>1</v>
      </c>
    </row>
    <row r="9008" spans="1:5" x14ac:dyDescent="0.25">
      <c r="A9008">
        <v>9007</v>
      </c>
      <c r="B9008">
        <v>6233330</v>
      </c>
      <c r="C9008" s="1" t="str">
        <f>HYPERLINK("http://stackoverflow.com/users/6233330", "Tries.L")</f>
        <v>Tries.L</v>
      </c>
      <c r="D9008" t="s">
        <v>25</v>
      </c>
      <c r="E9008">
        <v>1</v>
      </c>
    </row>
    <row r="9009" spans="1:5" x14ac:dyDescent="0.25">
      <c r="A9009">
        <v>9008</v>
      </c>
      <c r="B9009">
        <v>2671724</v>
      </c>
      <c r="C9009" s="1" t="str">
        <f>HYPERLINK("http://stackoverflow.com/users/2671724", "leon wu")</f>
        <v>leon wu</v>
      </c>
      <c r="D9009" t="s">
        <v>4</v>
      </c>
      <c r="E9009">
        <v>1</v>
      </c>
    </row>
    <row r="9010" spans="1:5" x14ac:dyDescent="0.25">
      <c r="A9010">
        <v>9009</v>
      </c>
      <c r="B9010">
        <v>2671873</v>
      </c>
      <c r="C9010" s="1" t="str">
        <f>HYPERLINK("http://stackoverflow.com/users/2671873", "iYUYUE")</f>
        <v>iYUYUE</v>
      </c>
      <c r="D9010" t="s">
        <v>3</v>
      </c>
      <c r="E9010">
        <v>1</v>
      </c>
    </row>
    <row r="9011" spans="1:5" x14ac:dyDescent="0.25">
      <c r="A9011">
        <v>9010</v>
      </c>
      <c r="B9011">
        <v>6239226</v>
      </c>
      <c r="C9011" s="1" t="str">
        <f>HYPERLINK("http://stackoverflow.com/users/6239226", "QianWin")</f>
        <v>QianWin</v>
      </c>
      <c r="D9011" t="s">
        <v>4</v>
      </c>
      <c r="E9011">
        <v>1</v>
      </c>
    </row>
    <row r="9012" spans="1:5" x14ac:dyDescent="0.25">
      <c r="A9012">
        <v>9011</v>
      </c>
      <c r="B9012">
        <v>6239545</v>
      </c>
      <c r="C9012" s="1" t="str">
        <f>HYPERLINK("http://stackoverflow.com/users/6239545", "EricLee")</f>
        <v>EricLee</v>
      </c>
      <c r="D9012" t="s">
        <v>308</v>
      </c>
      <c r="E9012">
        <v>1</v>
      </c>
    </row>
    <row r="9013" spans="1:5" x14ac:dyDescent="0.25">
      <c r="A9013">
        <v>9012</v>
      </c>
      <c r="B9013">
        <v>6239553</v>
      </c>
      <c r="C9013" s="1" t="str">
        <f>HYPERLINK("http://stackoverflow.com/users/6239553", "Iverson")</f>
        <v>Iverson</v>
      </c>
      <c r="D9013" t="s">
        <v>486</v>
      </c>
      <c r="E9013">
        <v>1</v>
      </c>
    </row>
    <row r="9014" spans="1:5" x14ac:dyDescent="0.25">
      <c r="A9014">
        <v>9013</v>
      </c>
      <c r="B9014">
        <v>6239641</v>
      </c>
      <c r="C9014" s="1" t="str">
        <f>HYPERLINK("http://stackoverflow.com/users/6239641", "Bing")</f>
        <v>Bing</v>
      </c>
      <c r="D9014" t="s">
        <v>5</v>
      </c>
      <c r="E9014">
        <v>1</v>
      </c>
    </row>
    <row r="9015" spans="1:5" x14ac:dyDescent="0.25">
      <c r="A9015">
        <v>9014</v>
      </c>
      <c r="B9015">
        <v>434106</v>
      </c>
      <c r="C9015" s="1" t="str">
        <f>HYPERLINK("http://stackoverflow.com/users/434106", "Baoping.Hui")</f>
        <v>Baoping.Hui</v>
      </c>
      <c r="D9015" t="s">
        <v>5</v>
      </c>
      <c r="E9015">
        <v>1</v>
      </c>
    </row>
    <row r="9016" spans="1:5" x14ac:dyDescent="0.25">
      <c r="A9016">
        <v>9015</v>
      </c>
      <c r="B9016">
        <v>435503</v>
      </c>
      <c r="C9016" s="1" t="str">
        <f>HYPERLINK("http://stackoverflow.com/users/435503", "Andy Lam")</f>
        <v>Andy Lam</v>
      </c>
      <c r="D9016" t="s">
        <v>17</v>
      </c>
      <c r="E9016">
        <v>1</v>
      </c>
    </row>
    <row r="9017" spans="1:5" x14ac:dyDescent="0.25">
      <c r="A9017">
        <v>9016</v>
      </c>
      <c r="B9017">
        <v>6227973</v>
      </c>
      <c r="C9017" s="1" t="str">
        <f>HYPERLINK("http://stackoverflow.com/users/6227973", "AlexLau")</f>
        <v>AlexLau</v>
      </c>
      <c r="D9017" t="s">
        <v>28</v>
      </c>
      <c r="E9017">
        <v>1</v>
      </c>
    </row>
    <row r="9018" spans="1:5" x14ac:dyDescent="0.25">
      <c r="A9018">
        <v>9017</v>
      </c>
      <c r="B9018">
        <v>6228017</v>
      </c>
      <c r="C9018" s="1" t="str">
        <f>HYPERLINK("http://stackoverflow.com/users/6228017", "nyx")</f>
        <v>nyx</v>
      </c>
      <c r="D9018" t="s">
        <v>4</v>
      </c>
      <c r="E9018">
        <v>1</v>
      </c>
    </row>
    <row r="9019" spans="1:5" x14ac:dyDescent="0.25">
      <c r="A9019">
        <v>9018</v>
      </c>
      <c r="B9019">
        <v>6228082</v>
      </c>
      <c r="C9019" s="1" t="str">
        <f>HYPERLINK("http://stackoverflow.com/users/6228082", "archyly")</f>
        <v>archyly</v>
      </c>
      <c r="D9019" t="s">
        <v>5</v>
      </c>
      <c r="E9019">
        <v>1</v>
      </c>
    </row>
    <row r="9020" spans="1:5" x14ac:dyDescent="0.25">
      <c r="A9020">
        <v>9019</v>
      </c>
      <c r="B9020">
        <v>6228138</v>
      </c>
      <c r="C9020" s="1" t="str">
        <f>HYPERLINK("http://stackoverflow.com/users/6228138", "Joseph")</f>
        <v>Joseph</v>
      </c>
      <c r="D9020" t="s">
        <v>4</v>
      </c>
      <c r="E9020">
        <v>1</v>
      </c>
    </row>
    <row r="9021" spans="1:5" x14ac:dyDescent="0.25">
      <c r="A9021">
        <v>9020</v>
      </c>
      <c r="B9021">
        <v>6228479</v>
      </c>
      <c r="C9021" s="1" t="str">
        <f>HYPERLINK("http://stackoverflow.com/users/6228479", "oldeleven")</f>
        <v>oldeleven</v>
      </c>
      <c r="D9021" t="s">
        <v>7</v>
      </c>
      <c r="E9021">
        <v>1</v>
      </c>
    </row>
    <row r="9022" spans="1:5" x14ac:dyDescent="0.25">
      <c r="A9022">
        <v>9021</v>
      </c>
      <c r="B9022">
        <v>4502286</v>
      </c>
      <c r="C9022" s="1" t="str">
        <f>HYPERLINK("http://stackoverflow.com/users/4502286", "doye")</f>
        <v>doye</v>
      </c>
      <c r="D9022" t="s">
        <v>17</v>
      </c>
      <c r="E9022">
        <v>1</v>
      </c>
    </row>
    <row r="9023" spans="1:5" x14ac:dyDescent="0.25">
      <c r="A9023">
        <v>9022</v>
      </c>
      <c r="B9023">
        <v>2651783</v>
      </c>
      <c r="C9023" s="1" t="str">
        <f>HYPERLINK("http://stackoverflow.com/users/2651783", "Jinchun")</f>
        <v>Jinchun</v>
      </c>
      <c r="D9023" t="s">
        <v>28</v>
      </c>
      <c r="E9023">
        <v>1</v>
      </c>
    </row>
    <row r="9024" spans="1:5" x14ac:dyDescent="0.25">
      <c r="A9024">
        <v>9023</v>
      </c>
      <c r="B9024">
        <v>2652163</v>
      </c>
      <c r="C9024" s="1" t="str">
        <f>HYPERLINK("http://stackoverflow.com/users/2652163", "user2652163")</f>
        <v>user2652163</v>
      </c>
      <c r="D9024" t="s">
        <v>4</v>
      </c>
      <c r="E9024">
        <v>1</v>
      </c>
    </row>
    <row r="9025" spans="1:5" x14ac:dyDescent="0.25">
      <c r="A9025">
        <v>9024</v>
      </c>
      <c r="B9025">
        <v>6233869</v>
      </c>
      <c r="C9025" s="1" t="str">
        <f>HYPERLINK("http://stackoverflow.com/users/6233869", "nightwar")</f>
        <v>nightwar</v>
      </c>
      <c r="D9025" t="s">
        <v>5</v>
      </c>
      <c r="E9025">
        <v>1</v>
      </c>
    </row>
    <row r="9026" spans="1:5" x14ac:dyDescent="0.25">
      <c r="A9026">
        <v>9025</v>
      </c>
      <c r="B9026">
        <v>4507984</v>
      </c>
      <c r="C9026" s="1" t="str">
        <f>HYPERLINK("http://stackoverflow.com/users/4507984", "Wilt Kage")</f>
        <v>Wilt Kage</v>
      </c>
      <c r="D9026" t="s">
        <v>487</v>
      </c>
      <c r="E9026">
        <v>1</v>
      </c>
    </row>
    <row r="9027" spans="1:5" x14ac:dyDescent="0.25">
      <c r="A9027">
        <v>9026</v>
      </c>
      <c r="B9027">
        <v>8016925</v>
      </c>
      <c r="C9027" s="1" t="str">
        <f>HYPERLINK("http://stackoverflow.com/users/8016925", "Chen Kepeng")</f>
        <v>Chen Kepeng</v>
      </c>
      <c r="D9027" t="s">
        <v>5</v>
      </c>
      <c r="E9027">
        <v>1</v>
      </c>
    </row>
    <row r="9028" spans="1:5" x14ac:dyDescent="0.25">
      <c r="A9028">
        <v>9027</v>
      </c>
      <c r="B9028">
        <v>8017073</v>
      </c>
      <c r="C9028" s="1" t="str">
        <f>HYPERLINK("http://stackoverflow.com/users/8017073", "Zhao Yaozong")</f>
        <v>Zhao Yaozong</v>
      </c>
      <c r="D9028" t="s">
        <v>5</v>
      </c>
      <c r="E9028">
        <v>1</v>
      </c>
    </row>
    <row r="9029" spans="1:5" x14ac:dyDescent="0.25">
      <c r="A9029">
        <v>9028</v>
      </c>
      <c r="B9029">
        <v>6235670</v>
      </c>
      <c r="C9029" s="1" t="str">
        <f>HYPERLINK("http://stackoverflow.com/users/6235670", "wenfeng")</f>
        <v>wenfeng</v>
      </c>
      <c r="D9029" t="s">
        <v>5</v>
      </c>
      <c r="E9029">
        <v>1</v>
      </c>
    </row>
    <row r="9030" spans="1:5" x14ac:dyDescent="0.25">
      <c r="A9030">
        <v>9029</v>
      </c>
      <c r="B9030">
        <v>9829785</v>
      </c>
      <c r="C9030" s="1" t="str">
        <f>HYPERLINK("http://stackoverflow.com/users/9829785", "H. LUO")</f>
        <v>H. LUO</v>
      </c>
      <c r="D9030" t="s">
        <v>16</v>
      </c>
      <c r="E9030">
        <v>1</v>
      </c>
    </row>
    <row r="9031" spans="1:5" x14ac:dyDescent="0.25">
      <c r="A9031">
        <v>9030</v>
      </c>
      <c r="B9031">
        <v>8014161</v>
      </c>
      <c r="C9031" s="1" t="str">
        <f>HYPERLINK("http://stackoverflow.com/users/8014161", "York Yichao Liang")</f>
        <v>York Yichao Liang</v>
      </c>
      <c r="D9031" t="s">
        <v>57</v>
      </c>
      <c r="E9031">
        <v>1</v>
      </c>
    </row>
    <row r="9032" spans="1:5" x14ac:dyDescent="0.25">
      <c r="A9032">
        <v>9031</v>
      </c>
      <c r="B9032">
        <v>9826004</v>
      </c>
      <c r="C9032" s="1" t="str">
        <f>HYPERLINK("http://stackoverflow.com/users/9826004", "Jiandong")</f>
        <v>Jiandong</v>
      </c>
      <c r="D9032" t="s">
        <v>5</v>
      </c>
      <c r="E9032">
        <v>1</v>
      </c>
    </row>
    <row r="9033" spans="1:5" x14ac:dyDescent="0.25">
      <c r="A9033">
        <v>9032</v>
      </c>
      <c r="B9033">
        <v>9826206</v>
      </c>
      <c r="C9033" s="1" t="str">
        <f>HYPERLINK("http://stackoverflow.com/users/9826206", "Jiawei")</f>
        <v>Jiawei</v>
      </c>
      <c r="D9033" t="s">
        <v>28</v>
      </c>
      <c r="E9033">
        <v>1</v>
      </c>
    </row>
    <row r="9034" spans="1:5" x14ac:dyDescent="0.25">
      <c r="A9034">
        <v>9033</v>
      </c>
      <c r="B9034">
        <v>9826632</v>
      </c>
      <c r="C9034" s="1" t="str">
        <f>HYPERLINK("http://stackoverflow.com/users/9826632", "William Doo")</f>
        <v>William Doo</v>
      </c>
      <c r="D9034" t="s">
        <v>55</v>
      </c>
      <c r="E9034">
        <v>1</v>
      </c>
    </row>
    <row r="9035" spans="1:5" x14ac:dyDescent="0.25">
      <c r="A9035">
        <v>9034</v>
      </c>
      <c r="B9035">
        <v>6233175</v>
      </c>
      <c r="C9035" s="1" t="str">
        <f>HYPERLINK("http://stackoverflow.com/users/6233175", "P.Liu")</f>
        <v>P.Liu</v>
      </c>
      <c r="D9035" t="s">
        <v>4</v>
      </c>
      <c r="E9035">
        <v>1</v>
      </c>
    </row>
    <row r="9036" spans="1:5" x14ac:dyDescent="0.25">
      <c r="A9036">
        <v>9035</v>
      </c>
      <c r="B9036">
        <v>401861</v>
      </c>
      <c r="C9036" s="1" t="str">
        <f>HYPERLINK("http://stackoverflow.com/users/401861", "ftwbzhao")</f>
        <v>ftwbzhao</v>
      </c>
      <c r="D9036" t="s">
        <v>488</v>
      </c>
      <c r="E9036">
        <v>1</v>
      </c>
    </row>
    <row r="9037" spans="1:5" x14ac:dyDescent="0.25">
      <c r="A9037">
        <v>9036</v>
      </c>
      <c r="B9037">
        <v>401874</v>
      </c>
      <c r="C9037" s="1" t="str">
        <f>HYPERLINK("http://stackoverflow.com/users/401874", "alex")</f>
        <v>alex</v>
      </c>
      <c r="D9037" t="s">
        <v>4</v>
      </c>
      <c r="E9037">
        <v>1</v>
      </c>
    </row>
    <row r="9038" spans="1:5" x14ac:dyDescent="0.25">
      <c r="A9038">
        <v>9037</v>
      </c>
      <c r="B9038">
        <v>2651544</v>
      </c>
      <c r="C9038" s="1" t="str">
        <f>HYPERLINK("http://stackoverflow.com/users/2651544", "daxnet")</f>
        <v>daxnet</v>
      </c>
      <c r="D9038" t="s">
        <v>4</v>
      </c>
      <c r="E9038">
        <v>1</v>
      </c>
    </row>
    <row r="9039" spans="1:5" x14ac:dyDescent="0.25">
      <c r="A9039">
        <v>9038</v>
      </c>
      <c r="B9039">
        <v>2651686</v>
      </c>
      <c r="C9039" s="1" t="str">
        <f>HYPERLINK("http://stackoverflow.com/users/2651686", "AppleGenius_Liu")</f>
        <v>AppleGenius_Liu</v>
      </c>
      <c r="D9039" t="s">
        <v>5</v>
      </c>
      <c r="E9039">
        <v>1</v>
      </c>
    </row>
    <row r="9040" spans="1:5" x14ac:dyDescent="0.25">
      <c r="A9040">
        <v>9039</v>
      </c>
      <c r="B9040">
        <v>6222619</v>
      </c>
      <c r="C9040" s="1" t="str">
        <f>HYPERLINK("http://stackoverflow.com/users/6222619", "hkf")</f>
        <v>hkf</v>
      </c>
      <c r="D9040" t="s">
        <v>375</v>
      </c>
      <c r="E9040">
        <v>1</v>
      </c>
    </row>
    <row r="9041" spans="1:5" x14ac:dyDescent="0.25">
      <c r="A9041">
        <v>9040</v>
      </c>
      <c r="B9041">
        <v>403081</v>
      </c>
      <c r="C9041" s="1" t="str">
        <f>HYPERLINK("http://stackoverflow.com/users/403081", "jiangzhx")</f>
        <v>jiangzhx</v>
      </c>
      <c r="D9041" t="s">
        <v>5</v>
      </c>
      <c r="E9041">
        <v>1</v>
      </c>
    </row>
    <row r="9042" spans="1:5" x14ac:dyDescent="0.25">
      <c r="A9042">
        <v>9041</v>
      </c>
      <c r="B9042">
        <v>403117</v>
      </c>
      <c r="C9042" s="1" t="str">
        <f>HYPERLINK("http://stackoverflow.com/users/403117", "Fenng")</f>
        <v>Fenng</v>
      </c>
      <c r="D9042" t="s">
        <v>12</v>
      </c>
      <c r="E9042">
        <v>1</v>
      </c>
    </row>
    <row r="9043" spans="1:5" x14ac:dyDescent="0.25">
      <c r="A9043">
        <v>9042</v>
      </c>
      <c r="B9043">
        <v>401915</v>
      </c>
      <c r="C9043" s="1" t="str">
        <f>HYPERLINK("http://stackoverflow.com/users/401915", "Zoom.Quiet")</f>
        <v>Zoom.Quiet</v>
      </c>
      <c r="D9043" t="s">
        <v>21</v>
      </c>
      <c r="E9043">
        <v>1</v>
      </c>
    </row>
    <row r="9044" spans="1:5" x14ac:dyDescent="0.25">
      <c r="A9044">
        <v>9043</v>
      </c>
      <c r="B9044">
        <v>8010896</v>
      </c>
      <c r="C9044" s="1" t="str">
        <f>HYPERLINK("http://stackoverflow.com/users/8010896", "张志宽")</f>
        <v>张志宽</v>
      </c>
      <c r="D9044" t="s">
        <v>5</v>
      </c>
      <c r="E9044">
        <v>1</v>
      </c>
    </row>
    <row r="9045" spans="1:5" x14ac:dyDescent="0.25">
      <c r="A9045">
        <v>9044</v>
      </c>
      <c r="B9045">
        <v>9822808</v>
      </c>
      <c r="C9045" s="1" t="str">
        <f>HYPERLINK("http://stackoverflow.com/users/9822808", "Y.X.Ren")</f>
        <v>Y.X.Ren</v>
      </c>
      <c r="D9045" t="s">
        <v>5</v>
      </c>
      <c r="E9045">
        <v>1</v>
      </c>
    </row>
    <row r="9046" spans="1:5" x14ac:dyDescent="0.25">
      <c r="A9046">
        <v>9045</v>
      </c>
      <c r="B9046">
        <v>9823241</v>
      </c>
      <c r="C9046" s="1" t="str">
        <f>HYPERLINK("http://stackoverflow.com/users/9823241", "zengtao")</f>
        <v>zengtao</v>
      </c>
      <c r="D9046" t="s">
        <v>5</v>
      </c>
      <c r="E9046">
        <v>1</v>
      </c>
    </row>
    <row r="9047" spans="1:5" x14ac:dyDescent="0.25">
      <c r="A9047">
        <v>9046</v>
      </c>
      <c r="B9047">
        <v>2664600</v>
      </c>
      <c r="C9047" s="1" t="str">
        <f>HYPERLINK("http://stackoverflow.com/users/2664600", "serenoid")</f>
        <v>serenoid</v>
      </c>
      <c r="D9047" t="s">
        <v>35</v>
      </c>
      <c r="E9047">
        <v>1</v>
      </c>
    </row>
    <row r="9048" spans="1:5" x14ac:dyDescent="0.25">
      <c r="A9048">
        <v>9047</v>
      </c>
      <c r="B9048">
        <v>4505563</v>
      </c>
      <c r="C9048" s="1" t="str">
        <f>HYPERLINK("http://stackoverflow.com/users/4505563", "Jinhe Lin")</f>
        <v>Jinhe Lin</v>
      </c>
      <c r="D9048" t="s">
        <v>25</v>
      </c>
      <c r="E9048">
        <v>1</v>
      </c>
    </row>
    <row r="9049" spans="1:5" x14ac:dyDescent="0.25">
      <c r="A9049">
        <v>9048</v>
      </c>
      <c r="B9049">
        <v>4505564</v>
      </c>
      <c r="C9049" s="1" t="str">
        <f>HYPERLINK("http://stackoverflow.com/users/4505564", "Xun Chen")</f>
        <v>Xun Chen</v>
      </c>
      <c r="D9049" t="s">
        <v>5</v>
      </c>
      <c r="E9049">
        <v>1</v>
      </c>
    </row>
    <row r="9050" spans="1:5" x14ac:dyDescent="0.25">
      <c r="A9050">
        <v>9049</v>
      </c>
      <c r="B9050">
        <v>4505726</v>
      </c>
      <c r="C9050" s="1" t="str">
        <f>HYPERLINK("http://stackoverflow.com/users/4505726", "Abel Kay")</f>
        <v>Abel Kay</v>
      </c>
      <c r="D9050" t="s">
        <v>5</v>
      </c>
      <c r="E9050">
        <v>1</v>
      </c>
    </row>
    <row r="9051" spans="1:5" x14ac:dyDescent="0.25">
      <c r="A9051">
        <v>9050</v>
      </c>
      <c r="B9051">
        <v>8014043</v>
      </c>
      <c r="C9051" s="1" t="str">
        <f>HYPERLINK("http://stackoverflow.com/users/8014043", "hui fu")</f>
        <v>hui fu</v>
      </c>
      <c r="D9051" t="s">
        <v>4</v>
      </c>
      <c r="E9051">
        <v>1</v>
      </c>
    </row>
    <row r="9052" spans="1:5" x14ac:dyDescent="0.25">
      <c r="A9052">
        <v>9051</v>
      </c>
      <c r="B9052">
        <v>8004195</v>
      </c>
      <c r="C9052" s="1" t="str">
        <f>HYPERLINK("http://stackoverflow.com/users/8004195", "Jin Xue Tian")</f>
        <v>Jin Xue Tian</v>
      </c>
      <c r="D9052" t="s">
        <v>133</v>
      </c>
      <c r="E9052">
        <v>1</v>
      </c>
    </row>
    <row r="9053" spans="1:5" x14ac:dyDescent="0.25">
      <c r="A9053">
        <v>9052</v>
      </c>
      <c r="B9053">
        <v>9815953</v>
      </c>
      <c r="C9053" s="1" t="str">
        <f>HYPERLINK("http://stackoverflow.com/users/9815953", "Gang Lee")</f>
        <v>Gang Lee</v>
      </c>
      <c r="D9053" t="s">
        <v>4</v>
      </c>
      <c r="E9053">
        <v>1</v>
      </c>
    </row>
    <row r="9054" spans="1:5" x14ac:dyDescent="0.25">
      <c r="A9054">
        <v>9053</v>
      </c>
      <c r="B9054">
        <v>9816081</v>
      </c>
      <c r="C9054" s="1" t="str">
        <f>HYPERLINK("http://stackoverflow.com/users/9816081", "Bingwen Zhu")</f>
        <v>Bingwen Zhu</v>
      </c>
      <c r="D9054" t="s">
        <v>4</v>
      </c>
      <c r="E9054">
        <v>1</v>
      </c>
    </row>
    <row r="9055" spans="1:5" x14ac:dyDescent="0.25">
      <c r="A9055">
        <v>9054</v>
      </c>
      <c r="B9055">
        <v>8006829</v>
      </c>
      <c r="C9055" s="1" t="str">
        <f>HYPERLINK("http://stackoverflow.com/users/8006829", "Doctor.Feng")</f>
        <v>Doctor.Feng</v>
      </c>
      <c r="D9055" t="s">
        <v>25</v>
      </c>
      <c r="E9055">
        <v>1</v>
      </c>
    </row>
    <row r="9056" spans="1:5" x14ac:dyDescent="0.25">
      <c r="A9056">
        <v>9055</v>
      </c>
      <c r="B9056">
        <v>6227793</v>
      </c>
      <c r="C9056" s="1" t="str">
        <f>HYPERLINK("http://stackoverflow.com/users/6227793", "yangzai")</f>
        <v>yangzai</v>
      </c>
      <c r="D9056" t="s">
        <v>5</v>
      </c>
      <c r="E9056">
        <v>1</v>
      </c>
    </row>
    <row r="9057" spans="1:5" x14ac:dyDescent="0.25">
      <c r="A9057">
        <v>9056</v>
      </c>
      <c r="B9057">
        <v>6227861</v>
      </c>
      <c r="C9057" s="1" t="str">
        <f>HYPERLINK("http://stackoverflow.com/users/6227861", "Dale Freeman")</f>
        <v>Dale Freeman</v>
      </c>
      <c r="D9057" t="s">
        <v>4</v>
      </c>
      <c r="E9057">
        <v>1</v>
      </c>
    </row>
    <row r="9058" spans="1:5" x14ac:dyDescent="0.25">
      <c r="A9058">
        <v>9057</v>
      </c>
      <c r="B9058">
        <v>7989063</v>
      </c>
      <c r="C9058" s="1" t="str">
        <f>HYPERLINK("http://stackoverflow.com/users/7989063", "X.Zheng")</f>
        <v>X.Zheng</v>
      </c>
      <c r="D9058" t="s">
        <v>489</v>
      </c>
      <c r="E9058">
        <v>1</v>
      </c>
    </row>
    <row r="9059" spans="1:5" x14ac:dyDescent="0.25">
      <c r="A9059">
        <v>9058</v>
      </c>
      <c r="B9059">
        <v>9801091</v>
      </c>
      <c r="C9059" s="1" t="str">
        <f>HYPERLINK("http://stackoverflow.com/users/9801091", "Thai")</f>
        <v>Thai</v>
      </c>
      <c r="D9059" t="s">
        <v>5</v>
      </c>
      <c r="E9059">
        <v>1</v>
      </c>
    </row>
    <row r="9060" spans="1:5" x14ac:dyDescent="0.25">
      <c r="A9060">
        <v>9059</v>
      </c>
      <c r="B9060">
        <v>7992322</v>
      </c>
      <c r="C9060" s="1" t="str">
        <f>HYPERLINK("http://stackoverflow.com/users/7992322", "kai")</f>
        <v>kai</v>
      </c>
      <c r="D9060" t="s">
        <v>490</v>
      </c>
      <c r="E9060">
        <v>1</v>
      </c>
    </row>
    <row r="9061" spans="1:5" x14ac:dyDescent="0.25">
      <c r="A9061">
        <v>9060</v>
      </c>
      <c r="B9061">
        <v>9804465</v>
      </c>
      <c r="C9061" s="1" t="str">
        <f>HYPERLINK("http://stackoverflow.com/users/9804465", "knittingma")</f>
        <v>knittingma</v>
      </c>
      <c r="D9061" t="s">
        <v>491</v>
      </c>
      <c r="E9061">
        <v>1</v>
      </c>
    </row>
    <row r="9062" spans="1:5" x14ac:dyDescent="0.25">
      <c r="A9062">
        <v>9061</v>
      </c>
      <c r="B9062">
        <v>9804506</v>
      </c>
      <c r="C9062" s="1" t="str">
        <f>HYPERLINK("http://stackoverflow.com/users/9804506", "CocoaJason")</f>
        <v>CocoaJason</v>
      </c>
      <c r="D9062" t="s">
        <v>4</v>
      </c>
      <c r="E9062">
        <v>1</v>
      </c>
    </row>
    <row r="9063" spans="1:5" x14ac:dyDescent="0.25">
      <c r="A9063">
        <v>9062</v>
      </c>
      <c r="B9063">
        <v>2640219</v>
      </c>
      <c r="C9063" s="1" t="str">
        <f>HYPERLINK("http://stackoverflow.com/users/2640219", "shevchenhe")</f>
        <v>shevchenhe</v>
      </c>
      <c r="D9063" t="s">
        <v>5</v>
      </c>
      <c r="E9063">
        <v>1</v>
      </c>
    </row>
    <row r="9064" spans="1:5" x14ac:dyDescent="0.25">
      <c r="A9064">
        <v>9063</v>
      </c>
      <c r="B9064">
        <v>2641212</v>
      </c>
      <c r="C9064" s="1" t="str">
        <f>HYPERLINK("http://stackoverflow.com/users/2641212", "LuoboTixS")</f>
        <v>LuoboTixS</v>
      </c>
      <c r="D9064" t="s">
        <v>4</v>
      </c>
      <c r="E9064">
        <v>1</v>
      </c>
    </row>
    <row r="9065" spans="1:5" x14ac:dyDescent="0.25">
      <c r="A9065">
        <v>9064</v>
      </c>
      <c r="B9065">
        <v>2641214</v>
      </c>
      <c r="C9065" s="1" t="str">
        <f>HYPERLINK("http://stackoverflow.com/users/2641214", "TT_u")</f>
        <v>TT_u</v>
      </c>
      <c r="D9065" t="s">
        <v>5</v>
      </c>
      <c r="E9065">
        <v>1</v>
      </c>
    </row>
    <row r="9066" spans="1:5" x14ac:dyDescent="0.25">
      <c r="A9066">
        <v>9065</v>
      </c>
      <c r="B9066">
        <v>9804904</v>
      </c>
      <c r="C9066" s="1" t="str">
        <f>HYPERLINK("http://stackoverflow.com/users/9804904", "FakeYG")</f>
        <v>FakeYG</v>
      </c>
      <c r="D9066" t="s">
        <v>5</v>
      </c>
      <c r="E9066">
        <v>1</v>
      </c>
    </row>
    <row r="9067" spans="1:5" x14ac:dyDescent="0.25">
      <c r="A9067">
        <v>9066</v>
      </c>
      <c r="B9067">
        <v>6217633</v>
      </c>
      <c r="C9067" s="1" t="str">
        <f>HYPERLINK("http://stackoverflow.com/users/6217633", "leon guo")</f>
        <v>leon guo</v>
      </c>
      <c r="D9067" t="s">
        <v>28</v>
      </c>
      <c r="E9067">
        <v>1</v>
      </c>
    </row>
    <row r="9068" spans="1:5" x14ac:dyDescent="0.25">
      <c r="A9068">
        <v>9067</v>
      </c>
      <c r="B9068">
        <v>2640510</v>
      </c>
      <c r="C9068" s="1" t="str">
        <f>HYPERLINK("http://stackoverflow.com/users/2640510", "Andy Song")</f>
        <v>Andy Song</v>
      </c>
      <c r="D9068" t="s">
        <v>4</v>
      </c>
      <c r="E9068">
        <v>1</v>
      </c>
    </row>
    <row r="9069" spans="1:5" x14ac:dyDescent="0.25">
      <c r="A9069">
        <v>9068</v>
      </c>
      <c r="B9069">
        <v>7984969</v>
      </c>
      <c r="C9069" s="1" t="str">
        <f>HYPERLINK("http://stackoverflow.com/users/7984969", "afunx")</f>
        <v>afunx</v>
      </c>
      <c r="D9069" t="s">
        <v>7</v>
      </c>
      <c r="E9069">
        <v>1</v>
      </c>
    </row>
    <row r="9070" spans="1:5" x14ac:dyDescent="0.25">
      <c r="A9070">
        <v>9069</v>
      </c>
      <c r="B9070">
        <v>7985603</v>
      </c>
      <c r="C9070" s="1" t="str">
        <f>HYPERLINK("http://stackoverflow.com/users/7985603", "Fan Yang")</f>
        <v>Fan Yang</v>
      </c>
      <c r="D9070" t="s">
        <v>57</v>
      </c>
      <c r="E9070">
        <v>1</v>
      </c>
    </row>
    <row r="9071" spans="1:5" x14ac:dyDescent="0.25">
      <c r="A9071">
        <v>9070</v>
      </c>
      <c r="B9071">
        <v>6202055</v>
      </c>
      <c r="C9071" s="1" t="str">
        <f>HYPERLINK("http://stackoverflow.com/users/6202055", "user6202055")</f>
        <v>user6202055</v>
      </c>
      <c r="D9071" t="s">
        <v>131</v>
      </c>
      <c r="E9071">
        <v>1</v>
      </c>
    </row>
    <row r="9072" spans="1:5" x14ac:dyDescent="0.25">
      <c r="A9072">
        <v>9071</v>
      </c>
      <c r="B9072">
        <v>7981672</v>
      </c>
      <c r="C9072" s="1" t="str">
        <f>HYPERLINK("http://stackoverflow.com/users/7981672", "Dzl Deng")</f>
        <v>Dzl Deng</v>
      </c>
      <c r="D9072" t="s">
        <v>25</v>
      </c>
      <c r="E9072">
        <v>1</v>
      </c>
    </row>
    <row r="9073" spans="1:5" x14ac:dyDescent="0.25">
      <c r="A9073">
        <v>9072</v>
      </c>
      <c r="B9073">
        <v>9793010</v>
      </c>
      <c r="C9073" s="1" t="str">
        <f>HYPERLINK("http://stackoverflow.com/users/9793010", "LitaVadaski")</f>
        <v>LitaVadaski</v>
      </c>
      <c r="D9073" t="s">
        <v>28</v>
      </c>
      <c r="E9073">
        <v>1</v>
      </c>
    </row>
    <row r="9074" spans="1:5" x14ac:dyDescent="0.25">
      <c r="A9074">
        <v>9073</v>
      </c>
      <c r="B9074">
        <v>4476885</v>
      </c>
      <c r="C9074" s="1" t="str">
        <f>HYPERLINK("http://stackoverflow.com/users/4476885", "Lionel")</f>
        <v>Lionel</v>
      </c>
      <c r="D9074" t="s">
        <v>5</v>
      </c>
      <c r="E9074">
        <v>1</v>
      </c>
    </row>
    <row r="9075" spans="1:5" x14ac:dyDescent="0.25">
      <c r="A9075">
        <v>9074</v>
      </c>
      <c r="B9075">
        <v>377275</v>
      </c>
      <c r="C9075" s="1" t="str">
        <f>HYPERLINK("http://stackoverflow.com/users/377275", "Luis Zhan")</f>
        <v>Luis Zhan</v>
      </c>
      <c r="D9075" t="s">
        <v>492</v>
      </c>
      <c r="E9075">
        <v>1</v>
      </c>
    </row>
    <row r="9076" spans="1:5" x14ac:dyDescent="0.25">
      <c r="A9076">
        <v>9075</v>
      </c>
      <c r="B9076">
        <v>9796482</v>
      </c>
      <c r="C9076" s="1" t="str">
        <f>HYPERLINK("http://stackoverflow.com/users/9796482", "German Rodriguez")</f>
        <v>German Rodriguez</v>
      </c>
      <c r="D9076" t="s">
        <v>126</v>
      </c>
      <c r="E9076">
        <v>1</v>
      </c>
    </row>
    <row r="9077" spans="1:5" x14ac:dyDescent="0.25">
      <c r="A9077">
        <v>9076</v>
      </c>
      <c r="B9077">
        <v>6201721</v>
      </c>
      <c r="C9077" s="1" t="str">
        <f>HYPERLINK("http://stackoverflow.com/users/6201721", "joychen")</f>
        <v>joychen</v>
      </c>
      <c r="D9077" t="s">
        <v>28</v>
      </c>
      <c r="E9077">
        <v>1</v>
      </c>
    </row>
    <row r="9078" spans="1:5" x14ac:dyDescent="0.25">
      <c r="A9078">
        <v>9077</v>
      </c>
      <c r="B9078">
        <v>7978228</v>
      </c>
      <c r="C9078" s="1" t="str">
        <f>HYPERLINK("http://stackoverflow.com/users/7978228", "xuan wang")</f>
        <v>xuan wang</v>
      </c>
      <c r="D9078" t="s">
        <v>5</v>
      </c>
      <c r="E9078">
        <v>1</v>
      </c>
    </row>
    <row r="9079" spans="1:5" x14ac:dyDescent="0.25">
      <c r="A9079">
        <v>9078</v>
      </c>
      <c r="B9079">
        <v>4473235</v>
      </c>
      <c r="C9079" s="1" t="str">
        <f>HYPERLINK("http://stackoverflow.com/users/4473235", "徐少峰Timmy")</f>
        <v>徐少峰Timmy</v>
      </c>
      <c r="D9079" t="s">
        <v>5</v>
      </c>
      <c r="E9079">
        <v>1</v>
      </c>
    </row>
    <row r="9080" spans="1:5" x14ac:dyDescent="0.25">
      <c r="A9080">
        <v>9079</v>
      </c>
      <c r="B9080">
        <v>4473769</v>
      </c>
      <c r="C9080" s="1" t="str">
        <f>HYPERLINK("http://stackoverflow.com/users/4473769", "Xiao Song")</f>
        <v>Xiao Song</v>
      </c>
      <c r="D9080" t="s">
        <v>5</v>
      </c>
      <c r="E9080">
        <v>1</v>
      </c>
    </row>
    <row r="9081" spans="1:5" x14ac:dyDescent="0.25">
      <c r="A9081">
        <v>9080</v>
      </c>
      <c r="B9081">
        <v>893975</v>
      </c>
      <c r="C9081" s="1" t="str">
        <f>HYPERLINK("http://stackoverflow.com/users/893975", "Itachi")</f>
        <v>Itachi</v>
      </c>
      <c r="D9081" t="s">
        <v>3</v>
      </c>
      <c r="E9081">
        <v>1</v>
      </c>
    </row>
    <row r="9082" spans="1:5" x14ac:dyDescent="0.25">
      <c r="A9082">
        <v>9081</v>
      </c>
      <c r="B9082">
        <v>8308751</v>
      </c>
      <c r="C9082" s="1" t="str">
        <f>HYPERLINK("http://stackoverflow.com/users/8308751", "cole")</f>
        <v>cole</v>
      </c>
      <c r="D9082" t="s">
        <v>25</v>
      </c>
      <c r="E9082">
        <v>1</v>
      </c>
    </row>
    <row r="9083" spans="1:5" x14ac:dyDescent="0.25">
      <c r="A9083">
        <v>9082</v>
      </c>
      <c r="B9083">
        <v>8308964</v>
      </c>
      <c r="C9083" s="1" t="str">
        <f>HYPERLINK("http://stackoverflow.com/users/8308964", "truepai")</f>
        <v>truepai</v>
      </c>
      <c r="D9083" t="s">
        <v>214</v>
      </c>
      <c r="E9083">
        <v>1</v>
      </c>
    </row>
    <row r="9084" spans="1:5" x14ac:dyDescent="0.25">
      <c r="A9084">
        <v>9083</v>
      </c>
      <c r="B9084">
        <v>8309116</v>
      </c>
      <c r="C9084" s="1" t="str">
        <f>HYPERLINK("http://stackoverflow.com/users/8309116", "zhengyu.nie")</f>
        <v>zhengyu.nie</v>
      </c>
      <c r="D9084" t="s">
        <v>493</v>
      </c>
      <c r="E9084">
        <v>1</v>
      </c>
    </row>
    <row r="9085" spans="1:5" x14ac:dyDescent="0.25">
      <c r="A9085">
        <v>9084</v>
      </c>
      <c r="B9085">
        <v>899905</v>
      </c>
      <c r="C9085" s="1" t="str">
        <f>HYPERLINK("http://stackoverflow.com/users/899905", "Kollin")</f>
        <v>Kollin</v>
      </c>
      <c r="D9085" t="s">
        <v>22</v>
      </c>
      <c r="E9085">
        <v>1</v>
      </c>
    </row>
    <row r="9086" spans="1:5" x14ac:dyDescent="0.25">
      <c r="A9086">
        <v>9085</v>
      </c>
      <c r="B9086">
        <v>4786183</v>
      </c>
      <c r="C9086" s="1" t="str">
        <f>HYPERLINK("http://stackoverflow.com/users/4786183", "Bryan7429")</f>
        <v>Bryan7429</v>
      </c>
      <c r="D9086" t="s">
        <v>47</v>
      </c>
      <c r="E9086">
        <v>1</v>
      </c>
    </row>
    <row r="9087" spans="1:5" x14ac:dyDescent="0.25">
      <c r="A9087">
        <v>9086</v>
      </c>
      <c r="B9087">
        <v>2951359</v>
      </c>
      <c r="C9087" s="1" t="str">
        <f>HYPERLINK("http://stackoverflow.com/users/2951359", "michelia")</f>
        <v>michelia</v>
      </c>
      <c r="D9087" t="s">
        <v>25</v>
      </c>
      <c r="E9087">
        <v>1</v>
      </c>
    </row>
    <row r="9088" spans="1:5" x14ac:dyDescent="0.25">
      <c r="A9088">
        <v>9087</v>
      </c>
      <c r="B9088">
        <v>2951647</v>
      </c>
      <c r="C9088" s="1" t="str">
        <f>HYPERLINK("http://stackoverflow.com/users/2951647", "alen")</f>
        <v>alen</v>
      </c>
      <c r="D9088" t="s">
        <v>494</v>
      </c>
      <c r="E9088">
        <v>1</v>
      </c>
    </row>
    <row r="9089" spans="1:5" x14ac:dyDescent="0.25">
      <c r="A9089">
        <v>9088</v>
      </c>
      <c r="B9089">
        <v>2955818</v>
      </c>
      <c r="C9089" s="1" t="str">
        <f>HYPERLINK("http://stackoverflow.com/users/2955818", "vitamin200508")</f>
        <v>vitamin200508</v>
      </c>
      <c r="D9089" t="s">
        <v>5</v>
      </c>
      <c r="E9089">
        <v>1</v>
      </c>
    </row>
    <row r="9090" spans="1:5" x14ac:dyDescent="0.25">
      <c r="A9090">
        <v>9089</v>
      </c>
      <c r="B9090">
        <v>2956445</v>
      </c>
      <c r="C9090" s="1" t="str">
        <f>HYPERLINK("http://stackoverflow.com/users/2956445", "Remy Wang")</f>
        <v>Remy Wang</v>
      </c>
      <c r="D9090" t="s">
        <v>4</v>
      </c>
      <c r="E9090">
        <v>1</v>
      </c>
    </row>
    <row r="9091" spans="1:5" x14ac:dyDescent="0.25">
      <c r="A9091">
        <v>9090</v>
      </c>
      <c r="B9091">
        <v>2959349</v>
      </c>
      <c r="C9091" s="1" t="str">
        <f>HYPERLINK("http://stackoverflow.com/users/2959349", "jim9")</f>
        <v>jim9</v>
      </c>
      <c r="D9091" t="s">
        <v>17</v>
      </c>
      <c r="E9091">
        <v>1</v>
      </c>
    </row>
    <row r="9092" spans="1:5" x14ac:dyDescent="0.25">
      <c r="A9092">
        <v>9091</v>
      </c>
      <c r="B9092">
        <v>2959457</v>
      </c>
      <c r="C9092" s="1" t="str">
        <f>HYPERLINK("http://stackoverflow.com/users/2959457", "Jiyuan Wang")</f>
        <v>Jiyuan Wang</v>
      </c>
      <c r="D9092" t="s">
        <v>54</v>
      </c>
      <c r="E9092">
        <v>1</v>
      </c>
    </row>
    <row r="9093" spans="1:5" x14ac:dyDescent="0.25">
      <c r="A9093">
        <v>9092</v>
      </c>
      <c r="B9093">
        <v>900562</v>
      </c>
      <c r="C9093" s="1" t="str">
        <f>HYPERLINK("http://stackoverflow.com/users/900562", "yeqiu")</f>
        <v>yeqiu</v>
      </c>
      <c r="D9093" t="s">
        <v>188</v>
      </c>
      <c r="E9093">
        <v>1</v>
      </c>
    </row>
    <row r="9094" spans="1:5" x14ac:dyDescent="0.25">
      <c r="A9094">
        <v>9093</v>
      </c>
      <c r="B9094">
        <v>2959659</v>
      </c>
      <c r="C9094" s="1" t="str">
        <f>HYPERLINK("http://stackoverflow.com/users/2959659", "carl30")</f>
        <v>carl30</v>
      </c>
      <c r="D9094" t="s">
        <v>17</v>
      </c>
      <c r="E9094">
        <v>1</v>
      </c>
    </row>
    <row r="9095" spans="1:5" x14ac:dyDescent="0.25">
      <c r="A9095">
        <v>9094</v>
      </c>
      <c r="B9095">
        <v>2959812</v>
      </c>
      <c r="C9095" s="1" t="str">
        <f>HYPERLINK("http://stackoverflow.com/users/2959812", "JorenB")</f>
        <v>JorenB</v>
      </c>
      <c r="D9095" t="s">
        <v>4</v>
      </c>
      <c r="E9095">
        <v>1</v>
      </c>
    </row>
    <row r="9096" spans="1:5" x14ac:dyDescent="0.25">
      <c r="A9096">
        <v>9095</v>
      </c>
      <c r="B9096">
        <v>8317225</v>
      </c>
      <c r="C9096" s="1" t="str">
        <f>HYPERLINK("http://stackoverflow.com/users/8317225", "jie xiao")</f>
        <v>jie xiao</v>
      </c>
      <c r="D9096" t="s">
        <v>5</v>
      </c>
      <c r="E9096">
        <v>1</v>
      </c>
    </row>
    <row r="9097" spans="1:5" x14ac:dyDescent="0.25">
      <c r="A9097">
        <v>9096</v>
      </c>
      <c r="B9097">
        <v>8317247</v>
      </c>
      <c r="C9097" s="1" t="str">
        <f>HYPERLINK("http://stackoverflow.com/users/8317247", "Hawk Zhang")</f>
        <v>Hawk Zhang</v>
      </c>
      <c r="D9097" t="s">
        <v>5</v>
      </c>
      <c r="E9097">
        <v>1</v>
      </c>
    </row>
    <row r="9098" spans="1:5" x14ac:dyDescent="0.25">
      <c r="A9098">
        <v>9097</v>
      </c>
      <c r="B9098">
        <v>8317498</v>
      </c>
      <c r="C9098" s="1" t="str">
        <f>HYPERLINK("http://stackoverflow.com/users/8317498", "nideem")</f>
        <v>nideem</v>
      </c>
      <c r="D9098" t="s">
        <v>25</v>
      </c>
      <c r="E9098">
        <v>1</v>
      </c>
    </row>
    <row r="9099" spans="1:5" x14ac:dyDescent="0.25">
      <c r="A9099">
        <v>9098</v>
      </c>
      <c r="B9099">
        <v>8317538</v>
      </c>
      <c r="C9099" s="1" t="str">
        <f>HYPERLINK("http://stackoverflow.com/users/8317538", "liang")</f>
        <v>liang</v>
      </c>
      <c r="D9099" t="s">
        <v>4</v>
      </c>
      <c r="E9099">
        <v>1</v>
      </c>
    </row>
    <row r="9100" spans="1:5" x14ac:dyDescent="0.25">
      <c r="A9100">
        <v>9099</v>
      </c>
      <c r="B9100">
        <v>8317723</v>
      </c>
      <c r="C9100" s="1" t="str">
        <f>HYPERLINK("http://stackoverflow.com/users/8317723", "fjh_stark")</f>
        <v>fjh_stark</v>
      </c>
      <c r="D9100" t="s">
        <v>4</v>
      </c>
      <c r="E9100">
        <v>1</v>
      </c>
    </row>
    <row r="9101" spans="1:5" x14ac:dyDescent="0.25">
      <c r="A9101">
        <v>9100</v>
      </c>
      <c r="B9101">
        <v>2963147</v>
      </c>
      <c r="C9101" s="1" t="str">
        <f>HYPERLINK("http://stackoverflow.com/users/2963147", "HuKai")</f>
        <v>HuKai</v>
      </c>
      <c r="D9101" t="s">
        <v>4</v>
      </c>
      <c r="E9101">
        <v>1</v>
      </c>
    </row>
    <row r="9102" spans="1:5" x14ac:dyDescent="0.25">
      <c r="A9102">
        <v>9101</v>
      </c>
      <c r="B9102">
        <v>2963482</v>
      </c>
      <c r="C9102" s="1" t="str">
        <f>HYPERLINK("http://stackoverflow.com/users/2963482", "CrespoXiao")</f>
        <v>CrespoXiao</v>
      </c>
      <c r="D9102" t="s">
        <v>4</v>
      </c>
      <c r="E9102">
        <v>1</v>
      </c>
    </row>
    <row r="9103" spans="1:5" x14ac:dyDescent="0.25">
      <c r="A9103">
        <v>9102</v>
      </c>
      <c r="B9103">
        <v>8324254</v>
      </c>
      <c r="C9103" s="1" t="str">
        <f>HYPERLINK("http://stackoverflow.com/users/8324254", "Tomaer Ma")</f>
        <v>Tomaer Ma</v>
      </c>
      <c r="D9103" t="s">
        <v>91</v>
      </c>
      <c r="E9103">
        <v>1</v>
      </c>
    </row>
    <row r="9104" spans="1:5" x14ac:dyDescent="0.25">
      <c r="A9104">
        <v>9103</v>
      </c>
      <c r="B9104">
        <v>8324273</v>
      </c>
      <c r="C9104" s="1" t="str">
        <f>HYPERLINK("http://stackoverflow.com/users/8324273", "WildBoyaxi")</f>
        <v>WildBoyaxi</v>
      </c>
      <c r="D9104" t="s">
        <v>457</v>
      </c>
      <c r="E9104">
        <v>1</v>
      </c>
    </row>
    <row r="9105" spans="1:5" x14ac:dyDescent="0.25">
      <c r="A9105">
        <v>9104</v>
      </c>
      <c r="B9105">
        <v>8324390</v>
      </c>
      <c r="C9105" s="1" t="str">
        <f>HYPERLINK("http://stackoverflow.com/users/8324390", "young hk")</f>
        <v>young hk</v>
      </c>
      <c r="D9105" t="s">
        <v>47</v>
      </c>
      <c r="E9105">
        <v>1</v>
      </c>
    </row>
    <row r="9106" spans="1:5" x14ac:dyDescent="0.25">
      <c r="A9106">
        <v>9105</v>
      </c>
      <c r="B9106">
        <v>8324391</v>
      </c>
      <c r="C9106" s="1" t="str">
        <f>HYPERLINK("http://stackoverflow.com/users/8324391", "hmc")</f>
        <v>hmc</v>
      </c>
      <c r="D9106" t="s">
        <v>16</v>
      </c>
      <c r="E9106">
        <v>1</v>
      </c>
    </row>
    <row r="9107" spans="1:5" x14ac:dyDescent="0.25">
      <c r="A9107">
        <v>9106</v>
      </c>
      <c r="B9107">
        <v>8324592</v>
      </c>
      <c r="C9107" s="1" t="str">
        <f>HYPERLINK("http://stackoverflow.com/users/8324592", "zhengqiang mao")</f>
        <v>zhengqiang mao</v>
      </c>
      <c r="D9107" t="s">
        <v>4</v>
      </c>
      <c r="E9107">
        <v>1</v>
      </c>
    </row>
    <row r="9108" spans="1:5" x14ac:dyDescent="0.25">
      <c r="A9108">
        <v>9107</v>
      </c>
      <c r="B9108">
        <v>8324670</v>
      </c>
      <c r="C9108" s="1" t="str">
        <f>HYPERLINK("http://stackoverflow.com/users/8324670", "Jacob Liouville")</f>
        <v>Jacob Liouville</v>
      </c>
      <c r="D9108" t="s">
        <v>7</v>
      </c>
      <c r="E9108">
        <v>1</v>
      </c>
    </row>
    <row r="9109" spans="1:5" x14ac:dyDescent="0.25">
      <c r="A9109">
        <v>9108</v>
      </c>
      <c r="B9109">
        <v>6519208</v>
      </c>
      <c r="C9109" s="1" t="str">
        <f>HYPERLINK("http://stackoverflow.com/users/6519208", "chaoxiang wu")</f>
        <v>chaoxiang wu</v>
      </c>
      <c r="D9109" t="s">
        <v>56</v>
      </c>
      <c r="E9109">
        <v>1</v>
      </c>
    </row>
    <row r="9110" spans="1:5" x14ac:dyDescent="0.25">
      <c r="A9110">
        <v>9109</v>
      </c>
      <c r="B9110">
        <v>6521894</v>
      </c>
      <c r="C9110" s="1" t="str">
        <f>HYPERLINK("http://stackoverflow.com/users/6521894", "Gang Pu")</f>
        <v>Gang Pu</v>
      </c>
      <c r="D9110" t="s">
        <v>131</v>
      </c>
      <c r="E9110">
        <v>1</v>
      </c>
    </row>
    <row r="9111" spans="1:5" x14ac:dyDescent="0.25">
      <c r="A9111">
        <v>9110</v>
      </c>
      <c r="B9111">
        <v>10143443</v>
      </c>
      <c r="C9111" s="1" t="str">
        <f>HYPERLINK("http://stackoverflow.com/users/10143443", "John Xu")</f>
        <v>John Xu</v>
      </c>
      <c r="D9111" t="s">
        <v>4</v>
      </c>
      <c r="E9111">
        <v>1</v>
      </c>
    </row>
    <row r="9112" spans="1:5" x14ac:dyDescent="0.25">
      <c r="A9112">
        <v>9111</v>
      </c>
      <c r="B9112">
        <v>4799224</v>
      </c>
      <c r="C9112" s="1" t="str">
        <f>HYPERLINK("http://stackoverflow.com/users/4799224", "郑裕良")</f>
        <v>郑裕良</v>
      </c>
      <c r="D9112" t="s">
        <v>21</v>
      </c>
      <c r="E9112">
        <v>1</v>
      </c>
    </row>
    <row r="9113" spans="1:5" x14ac:dyDescent="0.25">
      <c r="A9113">
        <v>9112</v>
      </c>
      <c r="B9113">
        <v>4807189</v>
      </c>
      <c r="C9113" s="1" t="str">
        <f>HYPERLINK("http://stackoverflow.com/users/4807189", "alexreed")</f>
        <v>alexreed</v>
      </c>
      <c r="D9113" t="s">
        <v>4</v>
      </c>
      <c r="E9113">
        <v>1</v>
      </c>
    </row>
    <row r="9114" spans="1:5" x14ac:dyDescent="0.25">
      <c r="A9114">
        <v>9113</v>
      </c>
      <c r="B9114">
        <v>4807210</v>
      </c>
      <c r="C9114" s="1" t="str">
        <f>HYPERLINK("http://stackoverflow.com/users/4807210", "jialiang zhang")</f>
        <v>jialiang zhang</v>
      </c>
      <c r="D9114" t="s">
        <v>5</v>
      </c>
      <c r="E9114">
        <v>1</v>
      </c>
    </row>
    <row r="9115" spans="1:5" x14ac:dyDescent="0.25">
      <c r="A9115">
        <v>9114</v>
      </c>
      <c r="B9115">
        <v>10137313</v>
      </c>
      <c r="C9115" s="1" t="str">
        <f>HYPERLINK("http://stackoverflow.com/users/10137313", "Tony")</f>
        <v>Tony</v>
      </c>
      <c r="D9115" t="s">
        <v>47</v>
      </c>
      <c r="E9115">
        <v>1</v>
      </c>
    </row>
    <row r="9116" spans="1:5" x14ac:dyDescent="0.25">
      <c r="A9116">
        <v>9115</v>
      </c>
      <c r="B9116">
        <v>4799619</v>
      </c>
      <c r="C9116" s="1" t="str">
        <f>HYPERLINK("http://stackoverflow.com/users/4799619", "Haibin")</f>
        <v>Haibin</v>
      </c>
      <c r="D9116" t="s">
        <v>4</v>
      </c>
      <c r="E9116">
        <v>1</v>
      </c>
    </row>
    <row r="9117" spans="1:5" x14ac:dyDescent="0.25">
      <c r="A9117">
        <v>9116</v>
      </c>
      <c r="B9117">
        <v>4807624</v>
      </c>
      <c r="C9117" s="1" t="str">
        <f>HYPERLINK("http://stackoverflow.com/users/4807624", "Hang Zhang")</f>
        <v>Hang Zhang</v>
      </c>
      <c r="D9117" t="s">
        <v>8</v>
      </c>
      <c r="E9117">
        <v>1</v>
      </c>
    </row>
    <row r="9118" spans="1:5" x14ac:dyDescent="0.25">
      <c r="A9118">
        <v>9117</v>
      </c>
      <c r="B9118">
        <v>8336230</v>
      </c>
      <c r="C9118" s="1" t="str">
        <f>HYPERLINK("http://stackoverflow.com/users/8336230", "Mr-White")</f>
        <v>Mr-White</v>
      </c>
      <c r="D9118" t="s">
        <v>37</v>
      </c>
      <c r="E9118">
        <v>1</v>
      </c>
    </row>
    <row r="9119" spans="1:5" x14ac:dyDescent="0.25">
      <c r="A9119">
        <v>9118</v>
      </c>
      <c r="B9119">
        <v>8336254</v>
      </c>
      <c r="C9119" s="1" t="str">
        <f>HYPERLINK("http://stackoverflow.com/users/8336254", "Ralph Shao")</f>
        <v>Ralph Shao</v>
      </c>
      <c r="D9119" t="s">
        <v>28</v>
      </c>
      <c r="E9119">
        <v>1</v>
      </c>
    </row>
    <row r="9120" spans="1:5" x14ac:dyDescent="0.25">
      <c r="A9120">
        <v>9119</v>
      </c>
      <c r="B9120">
        <v>8336257</v>
      </c>
      <c r="C9120" s="1" t="str">
        <f>HYPERLINK("http://stackoverflow.com/users/8336257", "Hu jim")</f>
        <v>Hu jim</v>
      </c>
      <c r="D9120" t="s">
        <v>4</v>
      </c>
      <c r="E9120">
        <v>1</v>
      </c>
    </row>
    <row r="9121" spans="1:5" x14ac:dyDescent="0.25">
      <c r="A9121">
        <v>9120</v>
      </c>
      <c r="B9121">
        <v>8336260</v>
      </c>
      <c r="C9121" s="1" t="str">
        <f>HYPERLINK("http://stackoverflow.com/users/8336260", "L.bh")</f>
        <v>L.bh</v>
      </c>
      <c r="D9121" t="s">
        <v>28</v>
      </c>
      <c r="E9121">
        <v>1</v>
      </c>
    </row>
    <row r="9122" spans="1:5" x14ac:dyDescent="0.25">
      <c r="A9122">
        <v>9121</v>
      </c>
      <c r="B9122">
        <v>8337005</v>
      </c>
      <c r="C9122" s="1" t="str">
        <f>HYPERLINK("http://stackoverflow.com/users/8337005", "Li Shuohui")</f>
        <v>Li Shuohui</v>
      </c>
      <c r="D9122" t="s">
        <v>5</v>
      </c>
      <c r="E9122">
        <v>1</v>
      </c>
    </row>
    <row r="9123" spans="1:5" x14ac:dyDescent="0.25">
      <c r="A9123">
        <v>9122</v>
      </c>
      <c r="B9123">
        <v>6533728</v>
      </c>
      <c r="C9123" s="1" t="str">
        <f>HYPERLINK("http://stackoverflow.com/users/6533728", "xiaowang")</f>
        <v>xiaowang</v>
      </c>
      <c r="D9123" t="s">
        <v>495</v>
      </c>
      <c r="E9123">
        <v>1</v>
      </c>
    </row>
    <row r="9124" spans="1:5" x14ac:dyDescent="0.25">
      <c r="A9124">
        <v>9123</v>
      </c>
      <c r="B9124">
        <v>2983586</v>
      </c>
      <c r="C9124" s="1" t="str">
        <f>HYPERLINK("http://stackoverflow.com/users/2983586", "Arp Zhao")</f>
        <v>Arp Zhao</v>
      </c>
      <c r="D9124" t="s">
        <v>37</v>
      </c>
      <c r="E9124">
        <v>1</v>
      </c>
    </row>
    <row r="9125" spans="1:5" x14ac:dyDescent="0.25">
      <c r="A9125">
        <v>9124</v>
      </c>
      <c r="B9125">
        <v>10158432</v>
      </c>
      <c r="C9125" s="1" t="str">
        <f>HYPERLINK("http://stackoverflow.com/users/10158432", "Ashely yuan")</f>
        <v>Ashely yuan</v>
      </c>
      <c r="D9125" t="s">
        <v>4</v>
      </c>
      <c r="E9125">
        <v>1</v>
      </c>
    </row>
    <row r="9126" spans="1:5" x14ac:dyDescent="0.25">
      <c r="A9126">
        <v>9125</v>
      </c>
      <c r="B9126">
        <v>10156031</v>
      </c>
      <c r="C9126" s="1" t="str">
        <f>HYPERLINK("http://stackoverflow.com/users/10156031", "linglei")</f>
        <v>linglei</v>
      </c>
      <c r="D9126" t="s">
        <v>4</v>
      </c>
      <c r="E9126">
        <v>1</v>
      </c>
    </row>
    <row r="9127" spans="1:5" x14ac:dyDescent="0.25">
      <c r="A9127">
        <v>9126</v>
      </c>
      <c r="B9127">
        <v>10147459</v>
      </c>
      <c r="C9127" s="1" t="str">
        <f>HYPERLINK("http://stackoverflow.com/users/10147459", "dbchow")</f>
        <v>dbchow</v>
      </c>
      <c r="D9127" t="s">
        <v>11</v>
      </c>
      <c r="E9127">
        <v>1</v>
      </c>
    </row>
    <row r="9128" spans="1:5" x14ac:dyDescent="0.25">
      <c r="A9128">
        <v>9127</v>
      </c>
      <c r="B9128">
        <v>4752247</v>
      </c>
      <c r="C9128" s="1" t="str">
        <f>HYPERLINK("http://stackoverflow.com/users/4752247", "陈泳锐")</f>
        <v>陈泳锐</v>
      </c>
      <c r="D9128" t="s">
        <v>496</v>
      </c>
      <c r="E9128">
        <v>1</v>
      </c>
    </row>
    <row r="9129" spans="1:5" x14ac:dyDescent="0.25">
      <c r="A9129">
        <v>9128</v>
      </c>
      <c r="B9129">
        <v>10092435</v>
      </c>
      <c r="C9129" s="1" t="str">
        <f>HYPERLINK("http://stackoverflow.com/users/10092435", "叶笛晴")</f>
        <v>叶笛晴</v>
      </c>
      <c r="D9129" t="s">
        <v>15</v>
      </c>
      <c r="E9129">
        <v>1</v>
      </c>
    </row>
    <row r="9130" spans="1:5" x14ac:dyDescent="0.25">
      <c r="A9130">
        <v>9129</v>
      </c>
      <c r="B9130">
        <v>10092611</v>
      </c>
      <c r="C9130" s="1" t="str">
        <f>HYPERLINK("http://stackoverflow.com/users/10092611", "harryzd")</f>
        <v>harryzd</v>
      </c>
      <c r="D9130" t="s">
        <v>16</v>
      </c>
      <c r="E9130">
        <v>1</v>
      </c>
    </row>
    <row r="9131" spans="1:5" x14ac:dyDescent="0.25">
      <c r="A9131">
        <v>9130</v>
      </c>
      <c r="B9131">
        <v>10092925</v>
      </c>
      <c r="C9131" s="1" t="str">
        <f>HYPERLINK("http://stackoverflow.com/users/10092925", "Lukas Hu")</f>
        <v>Lukas Hu</v>
      </c>
      <c r="D9131" t="s">
        <v>43</v>
      </c>
      <c r="E9131">
        <v>1</v>
      </c>
    </row>
    <row r="9132" spans="1:5" x14ac:dyDescent="0.25">
      <c r="A9132">
        <v>9131</v>
      </c>
      <c r="B9132">
        <v>845691</v>
      </c>
      <c r="C9132" s="1" t="str">
        <f>HYPERLINK("http://stackoverflow.com/users/845691", "bigclean")</f>
        <v>bigclean</v>
      </c>
      <c r="D9132" t="s">
        <v>200</v>
      </c>
      <c r="E9132">
        <v>1</v>
      </c>
    </row>
    <row r="9133" spans="1:5" x14ac:dyDescent="0.25">
      <c r="A9133">
        <v>9132</v>
      </c>
      <c r="B9133">
        <v>4748441</v>
      </c>
      <c r="C9133" s="1" t="str">
        <f>HYPERLINK("http://stackoverflow.com/users/4748441", "DevinZ1993")</f>
        <v>DevinZ1993</v>
      </c>
      <c r="D9133" t="s">
        <v>4</v>
      </c>
      <c r="E9133">
        <v>1</v>
      </c>
    </row>
    <row r="9134" spans="1:5" x14ac:dyDescent="0.25">
      <c r="A9134">
        <v>9133</v>
      </c>
      <c r="B9134">
        <v>4748462</v>
      </c>
      <c r="C9134" s="1" t="str">
        <f>HYPERLINK("http://stackoverflow.com/users/4748462", "NodYoung")</f>
        <v>NodYoung</v>
      </c>
      <c r="D9134" t="s">
        <v>152</v>
      </c>
      <c r="E9134">
        <v>1</v>
      </c>
    </row>
    <row r="9135" spans="1:5" x14ac:dyDescent="0.25">
      <c r="A9135">
        <v>9134</v>
      </c>
      <c r="B9135">
        <v>10088366</v>
      </c>
      <c r="C9135" s="1" t="str">
        <f>HYPERLINK("http://stackoverflow.com/users/10088366", "Shan Shiva")</f>
        <v>Shan Shiva</v>
      </c>
      <c r="D9135" t="s">
        <v>5</v>
      </c>
      <c r="E9135">
        <v>1</v>
      </c>
    </row>
    <row r="9136" spans="1:5" x14ac:dyDescent="0.25">
      <c r="A9136">
        <v>9135</v>
      </c>
      <c r="B9136">
        <v>2916009</v>
      </c>
      <c r="C9136" s="1" t="str">
        <f>HYPERLINK("http://stackoverflow.com/users/2916009", "Ibeilin")</f>
        <v>Ibeilin</v>
      </c>
      <c r="D9136" t="s">
        <v>38</v>
      </c>
      <c r="E9136">
        <v>1</v>
      </c>
    </row>
    <row r="9137" spans="1:5" x14ac:dyDescent="0.25">
      <c r="A9137">
        <v>9136</v>
      </c>
      <c r="B9137">
        <v>10097554</v>
      </c>
      <c r="C9137" s="1" t="str">
        <f>HYPERLINK("http://stackoverflow.com/users/10097554", "Song Song")</f>
        <v>Song Song</v>
      </c>
      <c r="D9137" t="s">
        <v>5</v>
      </c>
      <c r="E9137">
        <v>1</v>
      </c>
    </row>
    <row r="9138" spans="1:5" x14ac:dyDescent="0.25">
      <c r="A9138">
        <v>9137</v>
      </c>
      <c r="B9138">
        <v>10097601</v>
      </c>
      <c r="C9138" s="1" t="str">
        <f>HYPERLINK("http://stackoverflow.com/users/10097601", "贝垚晨")</f>
        <v>贝垚晨</v>
      </c>
      <c r="D9138" t="s">
        <v>4</v>
      </c>
      <c r="E9138">
        <v>1</v>
      </c>
    </row>
    <row r="9139" spans="1:5" x14ac:dyDescent="0.25">
      <c r="A9139">
        <v>9138</v>
      </c>
      <c r="B9139">
        <v>10098128</v>
      </c>
      <c r="C9139" s="1" t="str">
        <f>HYPERLINK("http://stackoverflow.com/users/10098128", "Yuandi")</f>
        <v>Yuandi</v>
      </c>
      <c r="D9139" t="s">
        <v>8</v>
      </c>
      <c r="E9139">
        <v>1</v>
      </c>
    </row>
    <row r="9140" spans="1:5" x14ac:dyDescent="0.25">
      <c r="A9140">
        <v>9139</v>
      </c>
      <c r="B9140">
        <v>8282283</v>
      </c>
      <c r="C9140" s="1" t="str">
        <f>HYPERLINK("http://stackoverflow.com/users/8282283", "J. Xu")</f>
        <v>J. Xu</v>
      </c>
      <c r="D9140" t="s">
        <v>5</v>
      </c>
      <c r="E9140">
        <v>1</v>
      </c>
    </row>
    <row r="9141" spans="1:5" x14ac:dyDescent="0.25">
      <c r="A9141">
        <v>9140</v>
      </c>
      <c r="B9141">
        <v>8282302</v>
      </c>
      <c r="C9141" s="1" t="str">
        <f>HYPERLINK("http://stackoverflow.com/users/8282302", "Yuanoung Zheng")</f>
        <v>Yuanoung Zheng</v>
      </c>
      <c r="D9141" t="s">
        <v>16</v>
      </c>
      <c r="E9141">
        <v>1</v>
      </c>
    </row>
    <row r="9142" spans="1:5" x14ac:dyDescent="0.25">
      <c r="A9142">
        <v>9141</v>
      </c>
      <c r="B9142">
        <v>8282478</v>
      </c>
      <c r="C9142" s="1" t="str">
        <f>HYPERLINK("http://stackoverflow.com/users/8282478", "zhaoyu.yang")</f>
        <v>zhaoyu.yang</v>
      </c>
      <c r="D9142" t="s">
        <v>4</v>
      </c>
      <c r="E9142">
        <v>1</v>
      </c>
    </row>
    <row r="9143" spans="1:5" x14ac:dyDescent="0.25">
      <c r="A9143">
        <v>9142</v>
      </c>
      <c r="B9143">
        <v>2928083</v>
      </c>
      <c r="C9143" s="1" t="str">
        <f>HYPERLINK("http://stackoverflow.com/users/2928083", "I am a bug")</f>
        <v>I am a bug</v>
      </c>
      <c r="D9143" t="s">
        <v>5</v>
      </c>
      <c r="E9143">
        <v>1</v>
      </c>
    </row>
    <row r="9144" spans="1:5" x14ac:dyDescent="0.25">
      <c r="A9144">
        <v>9143</v>
      </c>
      <c r="B9144">
        <v>2928303</v>
      </c>
      <c r="C9144" s="1" t="str">
        <f>HYPERLINK("http://stackoverflow.com/users/2928303", "lovepurple")</f>
        <v>lovepurple</v>
      </c>
      <c r="D9144" t="s">
        <v>5</v>
      </c>
      <c r="E9144">
        <v>1</v>
      </c>
    </row>
    <row r="9145" spans="1:5" x14ac:dyDescent="0.25">
      <c r="A9145">
        <v>9144</v>
      </c>
      <c r="B9145">
        <v>8286357</v>
      </c>
      <c r="C9145" s="1" t="str">
        <f>HYPERLINK("http://stackoverflow.com/users/8286357", "Haolei Qin")</f>
        <v>Haolei Qin</v>
      </c>
      <c r="D9145" t="s">
        <v>497</v>
      </c>
      <c r="E9145">
        <v>1</v>
      </c>
    </row>
    <row r="9146" spans="1:5" x14ac:dyDescent="0.25">
      <c r="A9146">
        <v>9145</v>
      </c>
      <c r="B9146">
        <v>8286383</v>
      </c>
      <c r="C9146" s="1" t="str">
        <f>HYPERLINK("http://stackoverflow.com/users/8286383", "Daniyal Ahmad")</f>
        <v>Daniyal Ahmad</v>
      </c>
      <c r="D9146" t="s">
        <v>498</v>
      </c>
      <c r="E9146">
        <v>1</v>
      </c>
    </row>
    <row r="9147" spans="1:5" x14ac:dyDescent="0.25">
      <c r="A9147">
        <v>9146</v>
      </c>
      <c r="B9147">
        <v>858422</v>
      </c>
      <c r="C9147" s="1" t="str">
        <f>HYPERLINK("http://stackoverflow.com/users/858422", "xiaji")</f>
        <v>xiaji</v>
      </c>
      <c r="D9147" t="s">
        <v>38</v>
      </c>
      <c r="E9147">
        <v>1</v>
      </c>
    </row>
    <row r="9148" spans="1:5" x14ac:dyDescent="0.25">
      <c r="A9148">
        <v>9147</v>
      </c>
      <c r="B9148">
        <v>864593</v>
      </c>
      <c r="C9148" s="1" t="str">
        <f>HYPERLINK("http://stackoverflow.com/users/864593", "enmaai")</f>
        <v>enmaai</v>
      </c>
      <c r="D9148" t="s">
        <v>5</v>
      </c>
      <c r="E9148">
        <v>1</v>
      </c>
    </row>
    <row r="9149" spans="1:5" x14ac:dyDescent="0.25">
      <c r="A9149">
        <v>9148</v>
      </c>
      <c r="B9149">
        <v>4761633</v>
      </c>
      <c r="C9149" s="1" t="str">
        <f>HYPERLINK("http://stackoverflow.com/users/4761633", "Zhenshi Zhou")</f>
        <v>Zhenshi Zhou</v>
      </c>
      <c r="D9149" t="s">
        <v>5</v>
      </c>
      <c r="E9149">
        <v>1</v>
      </c>
    </row>
    <row r="9150" spans="1:5" x14ac:dyDescent="0.25">
      <c r="A9150">
        <v>9149</v>
      </c>
      <c r="B9150">
        <v>4761278</v>
      </c>
      <c r="C9150" s="1" t="str">
        <f>HYPERLINK("http://stackoverflow.com/users/4761278", "tnt0x1d")</f>
        <v>tnt0x1d</v>
      </c>
      <c r="D9150" t="s">
        <v>5</v>
      </c>
      <c r="E9150">
        <v>1</v>
      </c>
    </row>
    <row r="9151" spans="1:5" x14ac:dyDescent="0.25">
      <c r="A9151">
        <v>9150</v>
      </c>
      <c r="B9151">
        <v>4761537</v>
      </c>
      <c r="C9151" s="1" t="str">
        <f>HYPERLINK("http://stackoverflow.com/users/4761537", "Keven Li")</f>
        <v>Keven Li</v>
      </c>
      <c r="D9151" t="s">
        <v>17</v>
      </c>
      <c r="E9151">
        <v>1</v>
      </c>
    </row>
    <row r="9152" spans="1:5" x14ac:dyDescent="0.25">
      <c r="A9152">
        <v>9151</v>
      </c>
      <c r="B9152">
        <v>892882</v>
      </c>
      <c r="C9152" s="1" t="str">
        <f>HYPERLINK("http://stackoverflow.com/users/892882", "atpking")</f>
        <v>atpking</v>
      </c>
      <c r="D9152" t="s">
        <v>5</v>
      </c>
      <c r="E9152">
        <v>1</v>
      </c>
    </row>
    <row r="9153" spans="1:5" x14ac:dyDescent="0.25">
      <c r="A9153">
        <v>9152</v>
      </c>
      <c r="B9153">
        <v>10120613</v>
      </c>
      <c r="C9153" s="1" t="str">
        <f>HYPERLINK("http://stackoverflow.com/users/10120613", "ESTRELLA HUANG")</f>
        <v>ESTRELLA HUANG</v>
      </c>
      <c r="D9153" t="s">
        <v>4</v>
      </c>
      <c r="E9153">
        <v>1</v>
      </c>
    </row>
    <row r="9154" spans="1:5" x14ac:dyDescent="0.25">
      <c r="A9154">
        <v>9153</v>
      </c>
      <c r="B9154">
        <v>10120633</v>
      </c>
      <c r="C9154" s="1" t="str">
        <f>HYPERLINK("http://stackoverflow.com/users/10120633", "rayx")</f>
        <v>rayx</v>
      </c>
      <c r="D9154" t="s">
        <v>5</v>
      </c>
      <c r="E9154">
        <v>1</v>
      </c>
    </row>
    <row r="9155" spans="1:5" x14ac:dyDescent="0.25">
      <c r="A9155">
        <v>9154</v>
      </c>
      <c r="B9155">
        <v>2946215</v>
      </c>
      <c r="C9155" s="1" t="str">
        <f>HYPERLINK("http://stackoverflow.com/users/2946215", "fishpj")</f>
        <v>fishpj</v>
      </c>
      <c r="D9155" t="s">
        <v>21</v>
      </c>
      <c r="E9155">
        <v>1</v>
      </c>
    </row>
    <row r="9156" spans="1:5" x14ac:dyDescent="0.25">
      <c r="A9156">
        <v>9155</v>
      </c>
      <c r="B9156">
        <v>2946978</v>
      </c>
      <c r="C9156" s="1" t="str">
        <f>HYPERLINK("http://stackoverflow.com/users/2946978", "bmezhou")</f>
        <v>bmezhou</v>
      </c>
      <c r="D9156" t="s">
        <v>12</v>
      </c>
      <c r="E9156">
        <v>1</v>
      </c>
    </row>
    <row r="9157" spans="1:5" x14ac:dyDescent="0.25">
      <c r="A9157">
        <v>9156</v>
      </c>
      <c r="B9157">
        <v>4779037</v>
      </c>
      <c r="C9157" s="1" t="str">
        <f>HYPERLINK("http://stackoverflow.com/users/4779037", "cSphere William")</f>
        <v>cSphere William</v>
      </c>
      <c r="D9157" t="s">
        <v>5</v>
      </c>
      <c r="E9157">
        <v>1</v>
      </c>
    </row>
    <row r="9158" spans="1:5" x14ac:dyDescent="0.25">
      <c r="A9158">
        <v>9157</v>
      </c>
      <c r="B9158">
        <v>2947048</v>
      </c>
      <c r="C9158" s="1" t="str">
        <f>HYPERLINK("http://stackoverflow.com/users/2947048", "Wayen")</f>
        <v>Wayen</v>
      </c>
      <c r="D9158" t="s">
        <v>192</v>
      </c>
      <c r="E9158">
        <v>1</v>
      </c>
    </row>
    <row r="9159" spans="1:5" x14ac:dyDescent="0.25">
      <c r="A9159">
        <v>9158</v>
      </c>
      <c r="B9159">
        <v>8299641</v>
      </c>
      <c r="C9159" s="1" t="str">
        <f>HYPERLINK("http://stackoverflow.com/users/8299641", "Terexion")</f>
        <v>Terexion</v>
      </c>
      <c r="D9159" t="s">
        <v>55</v>
      </c>
      <c r="E9159">
        <v>1</v>
      </c>
    </row>
    <row r="9160" spans="1:5" x14ac:dyDescent="0.25">
      <c r="A9160">
        <v>9159</v>
      </c>
      <c r="B9160">
        <v>8299642</v>
      </c>
      <c r="C9160" s="1" t="str">
        <f>HYPERLINK("http://stackoverflow.com/users/8299642", "孙晓宇")</f>
        <v>孙晓宇</v>
      </c>
      <c r="D9160" t="s">
        <v>74</v>
      </c>
      <c r="E9160">
        <v>1</v>
      </c>
    </row>
    <row r="9161" spans="1:5" x14ac:dyDescent="0.25">
      <c r="A9161">
        <v>9160</v>
      </c>
      <c r="B9161">
        <v>6497296</v>
      </c>
      <c r="C9161" s="1" t="str">
        <f>HYPERLINK("http://stackoverflow.com/users/6497296", "Daoxuans")</f>
        <v>Daoxuans</v>
      </c>
      <c r="D9161" t="s">
        <v>4</v>
      </c>
      <c r="E9161">
        <v>1</v>
      </c>
    </row>
    <row r="9162" spans="1:5" x14ac:dyDescent="0.25">
      <c r="A9162">
        <v>9161</v>
      </c>
      <c r="B9162">
        <v>885665</v>
      </c>
      <c r="C9162" s="1" t="str">
        <f>HYPERLINK("http://stackoverflow.com/users/885665", "Pete.Pei")</f>
        <v>Pete.Pei</v>
      </c>
      <c r="D9162" t="s">
        <v>37</v>
      </c>
      <c r="E9162">
        <v>1</v>
      </c>
    </row>
    <row r="9163" spans="1:5" x14ac:dyDescent="0.25">
      <c r="A9163">
        <v>9162</v>
      </c>
      <c r="B9163">
        <v>8294949</v>
      </c>
      <c r="C9163" s="1" t="str">
        <f>HYPERLINK("http://stackoverflow.com/users/8294949", "Miao")</f>
        <v>Miao</v>
      </c>
      <c r="D9163" t="s">
        <v>266</v>
      </c>
      <c r="E9163">
        <v>1</v>
      </c>
    </row>
    <row r="9164" spans="1:5" x14ac:dyDescent="0.25">
      <c r="A9164">
        <v>9163</v>
      </c>
      <c r="B9164">
        <v>6493960</v>
      </c>
      <c r="C9164" s="1" t="str">
        <f>HYPERLINK("http://stackoverflow.com/users/6493960", "Darius Huang")</f>
        <v>Darius Huang</v>
      </c>
      <c r="D9164" t="s">
        <v>7</v>
      </c>
      <c r="E9164">
        <v>1</v>
      </c>
    </row>
    <row r="9165" spans="1:5" x14ac:dyDescent="0.25">
      <c r="A9165">
        <v>9164</v>
      </c>
      <c r="B9165">
        <v>879036</v>
      </c>
      <c r="C9165" s="1" t="str">
        <f>HYPERLINK("http://stackoverflow.com/users/879036", "wuxc")</f>
        <v>wuxc</v>
      </c>
      <c r="D9165" t="s">
        <v>5</v>
      </c>
      <c r="E9165">
        <v>1</v>
      </c>
    </row>
    <row r="9166" spans="1:5" x14ac:dyDescent="0.25">
      <c r="A9166">
        <v>9165</v>
      </c>
      <c r="B9166">
        <v>8299059</v>
      </c>
      <c r="C9166" s="1" t="str">
        <f>HYPERLINK("http://stackoverflow.com/users/8299059", "Samir'Ovic")</f>
        <v>Samir'Ovic</v>
      </c>
      <c r="D9166" t="s">
        <v>4</v>
      </c>
      <c r="E9166">
        <v>1</v>
      </c>
    </row>
    <row r="9167" spans="1:5" x14ac:dyDescent="0.25">
      <c r="A9167">
        <v>9166</v>
      </c>
      <c r="B9167">
        <v>8299148</v>
      </c>
      <c r="C9167" s="1" t="str">
        <f>HYPERLINK("http://stackoverflow.com/users/8299148", "jiang ronghua")</f>
        <v>jiang ronghua</v>
      </c>
      <c r="D9167" t="s">
        <v>55</v>
      </c>
      <c r="E9167">
        <v>1</v>
      </c>
    </row>
    <row r="9168" spans="1:5" x14ac:dyDescent="0.25">
      <c r="A9168">
        <v>9167</v>
      </c>
      <c r="B9168">
        <v>8299149</v>
      </c>
      <c r="C9168" s="1" t="str">
        <f>HYPERLINK("http://stackoverflow.com/users/8299149", "Xiaoqing")</f>
        <v>Xiaoqing</v>
      </c>
      <c r="D9168" t="s">
        <v>486</v>
      </c>
      <c r="E9168">
        <v>1</v>
      </c>
    </row>
    <row r="9169" spans="1:5" x14ac:dyDescent="0.25">
      <c r="A9169">
        <v>9168</v>
      </c>
      <c r="B9169">
        <v>8299369</v>
      </c>
      <c r="C9169" s="1" t="str">
        <f>HYPERLINK("http://stackoverflow.com/users/8299369", "uestczwj")</f>
        <v>uestczwj</v>
      </c>
      <c r="D9169" t="s">
        <v>28</v>
      </c>
      <c r="E9169">
        <v>1</v>
      </c>
    </row>
    <row r="9170" spans="1:5" x14ac:dyDescent="0.25">
      <c r="A9170">
        <v>9169</v>
      </c>
      <c r="B9170">
        <v>2828399</v>
      </c>
      <c r="C9170" s="1" t="str">
        <f>HYPERLINK("http://stackoverflow.com/users/2828399", "Minqian Liu")</f>
        <v>Minqian Liu</v>
      </c>
      <c r="D9170" t="s">
        <v>12</v>
      </c>
      <c r="E9170">
        <v>1</v>
      </c>
    </row>
    <row r="9171" spans="1:5" x14ac:dyDescent="0.25">
      <c r="A9171">
        <v>9170</v>
      </c>
      <c r="B9171">
        <v>6388859</v>
      </c>
      <c r="C9171" s="1" t="str">
        <f>HYPERLINK("http://stackoverflow.com/users/6388859", "stone")</f>
        <v>stone</v>
      </c>
      <c r="D9171" t="s">
        <v>5</v>
      </c>
      <c r="E9171">
        <v>1</v>
      </c>
    </row>
    <row r="9172" spans="1:5" x14ac:dyDescent="0.25">
      <c r="A9172">
        <v>9171</v>
      </c>
      <c r="B9172">
        <v>2827755</v>
      </c>
      <c r="C9172" s="1" t="str">
        <f>HYPERLINK("http://stackoverflow.com/users/2827755", "JasonHuang")</f>
        <v>JasonHuang</v>
      </c>
      <c r="D9172" t="s">
        <v>7</v>
      </c>
      <c r="E9172">
        <v>1</v>
      </c>
    </row>
    <row r="9173" spans="1:5" x14ac:dyDescent="0.25">
      <c r="A9173">
        <v>9172</v>
      </c>
      <c r="B9173">
        <v>2827502</v>
      </c>
      <c r="C9173" s="1" t="str">
        <f>HYPERLINK("http://stackoverflow.com/users/2827502", "Will")</f>
        <v>Will</v>
      </c>
      <c r="D9173" t="s">
        <v>5</v>
      </c>
      <c r="E9173">
        <v>1</v>
      </c>
    </row>
    <row r="9174" spans="1:5" x14ac:dyDescent="0.25">
      <c r="A9174">
        <v>9173</v>
      </c>
      <c r="B9174">
        <v>8182110</v>
      </c>
      <c r="C9174" s="1" t="str">
        <f>HYPERLINK("http://stackoverflow.com/users/8182110", "dt freeman")</f>
        <v>dt freeman</v>
      </c>
      <c r="D9174" t="s">
        <v>96</v>
      </c>
      <c r="E9174">
        <v>1</v>
      </c>
    </row>
    <row r="9175" spans="1:5" x14ac:dyDescent="0.25">
      <c r="A9175">
        <v>9174</v>
      </c>
      <c r="B9175">
        <v>9998022</v>
      </c>
      <c r="C9175" s="1" t="str">
        <f>HYPERLINK("http://stackoverflow.com/users/9998022", "acaleph")</f>
        <v>acaleph</v>
      </c>
      <c r="D9175" t="s">
        <v>74</v>
      </c>
      <c r="E9175">
        <v>1</v>
      </c>
    </row>
    <row r="9176" spans="1:5" x14ac:dyDescent="0.25">
      <c r="A9176">
        <v>9175</v>
      </c>
      <c r="B9176">
        <v>9998367</v>
      </c>
      <c r="C9176" s="1" t="str">
        <f>HYPERLINK("http://stackoverflow.com/users/9998367", "Ziema26")</f>
        <v>Ziema26</v>
      </c>
      <c r="D9176" t="s">
        <v>5</v>
      </c>
      <c r="E9176">
        <v>1</v>
      </c>
    </row>
    <row r="9177" spans="1:5" x14ac:dyDescent="0.25">
      <c r="A9177">
        <v>9176</v>
      </c>
      <c r="B9177">
        <v>9998845</v>
      </c>
      <c r="C9177" s="1" t="str">
        <f>HYPERLINK("http://stackoverflow.com/users/9998845", "MOHIT KINGRA")</f>
        <v>MOHIT KINGRA</v>
      </c>
      <c r="D9177" t="s">
        <v>7</v>
      </c>
      <c r="E9177">
        <v>1</v>
      </c>
    </row>
    <row r="9178" spans="1:5" x14ac:dyDescent="0.25">
      <c r="A9178">
        <v>9177</v>
      </c>
      <c r="B9178">
        <v>9998868</v>
      </c>
      <c r="C9178" s="1" t="str">
        <f>HYPERLINK("http://stackoverflow.com/users/9998868", "Optiver Shanghai")</f>
        <v>Optiver Shanghai</v>
      </c>
      <c r="D9178" t="s">
        <v>120</v>
      </c>
      <c r="E9178">
        <v>1</v>
      </c>
    </row>
    <row r="9179" spans="1:5" x14ac:dyDescent="0.25">
      <c r="A9179">
        <v>9178</v>
      </c>
      <c r="B9179">
        <v>10003247</v>
      </c>
      <c r="C9179" s="1" t="str">
        <f>HYPERLINK("http://stackoverflow.com/users/10003247", "MichaelZhao")</f>
        <v>MichaelZhao</v>
      </c>
      <c r="D9179" t="s">
        <v>217</v>
      </c>
      <c r="E9179">
        <v>1</v>
      </c>
    </row>
    <row r="9180" spans="1:5" x14ac:dyDescent="0.25">
      <c r="A9180">
        <v>9179</v>
      </c>
      <c r="B9180">
        <v>4666615</v>
      </c>
      <c r="C9180" s="1" t="str">
        <f>HYPERLINK("http://stackoverflow.com/users/4666615", "kivi")</f>
        <v>kivi</v>
      </c>
      <c r="D9180" t="s">
        <v>5</v>
      </c>
      <c r="E9180">
        <v>1</v>
      </c>
    </row>
    <row r="9181" spans="1:5" x14ac:dyDescent="0.25">
      <c r="A9181">
        <v>9180</v>
      </c>
      <c r="B9181">
        <v>2835092</v>
      </c>
      <c r="C9181" s="1" t="str">
        <f>HYPERLINK("http://stackoverflow.com/users/2835092", "Jeremy Xie")</f>
        <v>Jeremy Xie</v>
      </c>
      <c r="D9181" t="s">
        <v>37</v>
      </c>
      <c r="E9181">
        <v>1</v>
      </c>
    </row>
    <row r="9182" spans="1:5" x14ac:dyDescent="0.25">
      <c r="A9182">
        <v>9181</v>
      </c>
      <c r="B9182">
        <v>6398411</v>
      </c>
      <c r="C9182" s="1" t="str">
        <f>HYPERLINK("http://stackoverflow.com/users/6398411", "Mesird")</f>
        <v>Mesird</v>
      </c>
      <c r="D9182" t="s">
        <v>16</v>
      </c>
      <c r="E9182">
        <v>1</v>
      </c>
    </row>
    <row r="9183" spans="1:5" x14ac:dyDescent="0.25">
      <c r="A9183">
        <v>9182</v>
      </c>
      <c r="B9183">
        <v>8192019</v>
      </c>
      <c r="C9183" s="1" t="str">
        <f>HYPERLINK("http://stackoverflow.com/users/8192019", "Blackmarlin")</f>
        <v>Blackmarlin</v>
      </c>
      <c r="D9183" t="s">
        <v>17</v>
      </c>
      <c r="E9183">
        <v>1</v>
      </c>
    </row>
    <row r="9184" spans="1:5" x14ac:dyDescent="0.25">
      <c r="A9184">
        <v>9183</v>
      </c>
      <c r="B9184">
        <v>8192123</v>
      </c>
      <c r="C9184" s="1" t="str">
        <f>HYPERLINK("http://stackoverflow.com/users/8192123", "Lemonade")</f>
        <v>Lemonade</v>
      </c>
      <c r="D9184" t="s">
        <v>25</v>
      </c>
      <c r="E9184">
        <v>1</v>
      </c>
    </row>
    <row r="9185" spans="1:5" x14ac:dyDescent="0.25">
      <c r="A9185">
        <v>9184</v>
      </c>
      <c r="B9185">
        <v>8192403</v>
      </c>
      <c r="C9185" s="1" t="str">
        <f>HYPERLINK("http://stackoverflow.com/users/8192403", "Colin")</f>
        <v>Colin</v>
      </c>
      <c r="D9185" t="s">
        <v>74</v>
      </c>
      <c r="E9185">
        <v>1</v>
      </c>
    </row>
    <row r="9186" spans="1:5" x14ac:dyDescent="0.25">
      <c r="A9186">
        <v>9185</v>
      </c>
      <c r="B9186">
        <v>8192553</v>
      </c>
      <c r="C9186" s="1" t="str">
        <f>HYPERLINK("http://stackoverflow.com/users/8192553", "王晓丽")</f>
        <v>王晓丽</v>
      </c>
      <c r="D9186" t="s">
        <v>499</v>
      </c>
      <c r="E9186">
        <v>1</v>
      </c>
    </row>
    <row r="9187" spans="1:5" x14ac:dyDescent="0.25">
      <c r="A9187">
        <v>9186</v>
      </c>
      <c r="B9187">
        <v>2842881</v>
      </c>
      <c r="C9187" s="1" t="str">
        <f>HYPERLINK("http://stackoverflow.com/users/2842881", "Zhang LiShun")</f>
        <v>Zhang LiShun</v>
      </c>
      <c r="D9187" t="s">
        <v>151</v>
      </c>
      <c r="E9187">
        <v>1</v>
      </c>
    </row>
    <row r="9188" spans="1:5" x14ac:dyDescent="0.25">
      <c r="A9188">
        <v>9187</v>
      </c>
      <c r="B9188">
        <v>718404</v>
      </c>
      <c r="C9188" s="1" t="str">
        <f>HYPERLINK("http://stackoverflow.com/users/718404", "Kang")</f>
        <v>Kang</v>
      </c>
      <c r="D9188" t="s">
        <v>5</v>
      </c>
      <c r="E9188">
        <v>1</v>
      </c>
    </row>
    <row r="9189" spans="1:5" x14ac:dyDescent="0.25">
      <c r="A9189">
        <v>9188</v>
      </c>
      <c r="B9189">
        <v>8197219</v>
      </c>
      <c r="C9189" s="1" t="str">
        <f>HYPERLINK("http://stackoverflow.com/users/8197219", "Hugo Wen")</f>
        <v>Hugo Wen</v>
      </c>
      <c r="D9189" t="s">
        <v>79</v>
      </c>
      <c r="E9189">
        <v>1</v>
      </c>
    </row>
    <row r="9190" spans="1:5" x14ac:dyDescent="0.25">
      <c r="A9190">
        <v>9189</v>
      </c>
      <c r="B9190">
        <v>8197403</v>
      </c>
      <c r="C9190" s="1" t="str">
        <f>HYPERLINK("http://stackoverflow.com/users/8197403", "Bruce Z")</f>
        <v>Bruce Z</v>
      </c>
      <c r="D9190" t="s">
        <v>4</v>
      </c>
      <c r="E9190">
        <v>1</v>
      </c>
    </row>
    <row r="9191" spans="1:5" x14ac:dyDescent="0.25">
      <c r="A9191">
        <v>9190</v>
      </c>
      <c r="B9191">
        <v>4679341</v>
      </c>
      <c r="C9191" s="1" t="str">
        <f>HYPERLINK("http://stackoverflow.com/users/4679341", "W.Ge")</f>
        <v>W.Ge</v>
      </c>
      <c r="D9191" t="s">
        <v>37</v>
      </c>
      <c r="E9191">
        <v>1</v>
      </c>
    </row>
    <row r="9192" spans="1:5" x14ac:dyDescent="0.25">
      <c r="A9192">
        <v>9191</v>
      </c>
      <c r="B9192">
        <v>6407152</v>
      </c>
      <c r="C9192" s="1" t="str">
        <f>HYPERLINK("http://stackoverflow.com/users/6407152", "feiwang")</f>
        <v>feiwang</v>
      </c>
      <c r="D9192" t="s">
        <v>52</v>
      </c>
      <c r="E9192">
        <v>1</v>
      </c>
    </row>
    <row r="9193" spans="1:5" x14ac:dyDescent="0.25">
      <c r="A9193">
        <v>9192</v>
      </c>
      <c r="B9193">
        <v>4683510</v>
      </c>
      <c r="C9193" s="1" t="str">
        <f>HYPERLINK("http://stackoverflow.com/users/4683510", "Gui")</f>
        <v>Gui</v>
      </c>
      <c r="D9193" t="s">
        <v>22</v>
      </c>
      <c r="E9193">
        <v>1</v>
      </c>
    </row>
    <row r="9194" spans="1:5" x14ac:dyDescent="0.25">
      <c r="A9194">
        <v>9193</v>
      </c>
      <c r="B9194">
        <v>10016090</v>
      </c>
      <c r="C9194" s="1" t="str">
        <f>HYPERLINK("http://stackoverflow.com/users/10016090", "Yang Bodada")</f>
        <v>Yang Bodada</v>
      </c>
      <c r="D9194" t="s">
        <v>57</v>
      </c>
      <c r="E9194">
        <v>1</v>
      </c>
    </row>
    <row r="9195" spans="1:5" x14ac:dyDescent="0.25">
      <c r="A9195">
        <v>9194</v>
      </c>
      <c r="B9195">
        <v>10016272</v>
      </c>
      <c r="C9195" s="1" t="str">
        <f>HYPERLINK("http://stackoverflow.com/users/10016272", "Jian Liu")</f>
        <v>Jian Liu</v>
      </c>
      <c r="D9195" t="s">
        <v>5</v>
      </c>
      <c r="E9195">
        <v>1</v>
      </c>
    </row>
    <row r="9196" spans="1:5" x14ac:dyDescent="0.25">
      <c r="A9196">
        <v>9195</v>
      </c>
      <c r="B9196">
        <v>10019240</v>
      </c>
      <c r="C9196" s="1" t="str">
        <f>HYPERLINK("http://stackoverflow.com/users/10019240", "lusheng yang")</f>
        <v>lusheng yang</v>
      </c>
      <c r="D9196" t="s">
        <v>5</v>
      </c>
      <c r="E9196">
        <v>1</v>
      </c>
    </row>
    <row r="9197" spans="1:5" x14ac:dyDescent="0.25">
      <c r="A9197">
        <v>9196</v>
      </c>
      <c r="B9197">
        <v>728995</v>
      </c>
      <c r="C9197" s="1" t="str">
        <f>HYPERLINK("http://stackoverflow.com/users/728995", "Hackfan")</f>
        <v>Hackfan</v>
      </c>
      <c r="D9197" t="s">
        <v>3</v>
      </c>
      <c r="E9197">
        <v>1</v>
      </c>
    </row>
    <row r="9198" spans="1:5" x14ac:dyDescent="0.25">
      <c r="A9198">
        <v>9197</v>
      </c>
      <c r="B9198">
        <v>10024034</v>
      </c>
      <c r="C9198" s="1" t="str">
        <f>HYPERLINK("http://stackoverflow.com/users/10024034", "涂成玉")</f>
        <v>涂成玉</v>
      </c>
      <c r="D9198" t="s">
        <v>108</v>
      </c>
      <c r="E9198">
        <v>1</v>
      </c>
    </row>
    <row r="9199" spans="1:5" x14ac:dyDescent="0.25">
      <c r="A9199">
        <v>9198</v>
      </c>
      <c r="B9199">
        <v>10024230</v>
      </c>
      <c r="C9199" s="1" t="str">
        <f>HYPERLINK("http://stackoverflow.com/users/10024230", "dongyang du")</f>
        <v>dongyang du</v>
      </c>
      <c r="D9199" t="s">
        <v>5</v>
      </c>
      <c r="E9199">
        <v>1</v>
      </c>
    </row>
    <row r="9200" spans="1:5" x14ac:dyDescent="0.25">
      <c r="A9200">
        <v>9199</v>
      </c>
      <c r="B9200">
        <v>10024448</v>
      </c>
      <c r="C9200" s="1" t="str">
        <f>HYPERLINK("http://stackoverflow.com/users/10024448", "Allen Zhijin Xia")</f>
        <v>Allen Zhijin Xia</v>
      </c>
      <c r="D9200" t="s">
        <v>5</v>
      </c>
      <c r="E9200">
        <v>1</v>
      </c>
    </row>
    <row r="9201" spans="1:5" x14ac:dyDescent="0.25">
      <c r="A9201">
        <v>9200</v>
      </c>
      <c r="B9201">
        <v>8209546</v>
      </c>
      <c r="C9201" s="1" t="str">
        <f>HYPERLINK("http://stackoverflow.com/users/8209546", "bingo121")</f>
        <v>bingo121</v>
      </c>
      <c r="D9201" t="s">
        <v>16</v>
      </c>
      <c r="E9201">
        <v>1</v>
      </c>
    </row>
    <row r="9202" spans="1:5" x14ac:dyDescent="0.25">
      <c r="A9202">
        <v>9201</v>
      </c>
      <c r="B9202">
        <v>8209715</v>
      </c>
      <c r="C9202" s="1" t="str">
        <f>HYPERLINK("http://stackoverflow.com/users/8209715", "joson")</f>
        <v>joson</v>
      </c>
      <c r="D9202" t="s">
        <v>4</v>
      </c>
      <c r="E9202">
        <v>1</v>
      </c>
    </row>
    <row r="9203" spans="1:5" x14ac:dyDescent="0.25">
      <c r="A9203">
        <v>9202</v>
      </c>
      <c r="B9203">
        <v>8213577</v>
      </c>
      <c r="C9203" s="1" t="str">
        <f>HYPERLINK("http://stackoverflow.com/users/8213577", "Jeason")</f>
        <v>Jeason</v>
      </c>
      <c r="D9203" t="s">
        <v>4</v>
      </c>
      <c r="E9203">
        <v>1</v>
      </c>
    </row>
    <row r="9204" spans="1:5" x14ac:dyDescent="0.25">
      <c r="A9204">
        <v>9203</v>
      </c>
      <c r="B9204">
        <v>8213631</v>
      </c>
      <c r="C9204" s="1" t="str">
        <f>HYPERLINK("http://stackoverflow.com/users/8213631", "Jason")</f>
        <v>Jason</v>
      </c>
      <c r="D9204" t="s">
        <v>10</v>
      </c>
      <c r="E9204">
        <v>1</v>
      </c>
    </row>
    <row r="9205" spans="1:5" x14ac:dyDescent="0.25">
      <c r="A9205">
        <v>9204</v>
      </c>
      <c r="B9205">
        <v>8213638</v>
      </c>
      <c r="C9205" s="1" t="str">
        <f>HYPERLINK("http://stackoverflow.com/users/8213638", "Havid Zheng")</f>
        <v>Havid Zheng</v>
      </c>
      <c r="D9205" t="s">
        <v>7</v>
      </c>
      <c r="E9205">
        <v>1</v>
      </c>
    </row>
    <row r="9206" spans="1:5" x14ac:dyDescent="0.25">
      <c r="A9206">
        <v>9205</v>
      </c>
      <c r="B9206">
        <v>8213677</v>
      </c>
      <c r="C9206" s="1" t="str">
        <f>HYPERLINK("http://stackoverflow.com/users/8213677", "Dandelion")</f>
        <v>Dandelion</v>
      </c>
      <c r="D9206" t="s">
        <v>5</v>
      </c>
      <c r="E9206">
        <v>1</v>
      </c>
    </row>
    <row r="9207" spans="1:5" x14ac:dyDescent="0.25">
      <c r="A9207">
        <v>9206</v>
      </c>
      <c r="B9207">
        <v>2859161</v>
      </c>
      <c r="C9207" s="1" t="str">
        <f>HYPERLINK("http://stackoverflow.com/users/2859161", "William")</f>
        <v>William</v>
      </c>
      <c r="D9207" t="s">
        <v>21</v>
      </c>
      <c r="E9207">
        <v>1</v>
      </c>
    </row>
    <row r="9208" spans="1:5" x14ac:dyDescent="0.25">
      <c r="A9208">
        <v>9207</v>
      </c>
      <c r="B9208">
        <v>2862684</v>
      </c>
      <c r="C9208" s="1" t="str">
        <f>HYPERLINK("http://stackoverflow.com/users/2862684", "Yongsen")</f>
        <v>Yongsen</v>
      </c>
      <c r="D9208" t="s">
        <v>4</v>
      </c>
      <c r="E9208">
        <v>1</v>
      </c>
    </row>
    <row r="9209" spans="1:5" x14ac:dyDescent="0.25">
      <c r="A9209">
        <v>9208</v>
      </c>
      <c r="B9209">
        <v>10032983</v>
      </c>
      <c r="C9209" s="1" t="str">
        <f>HYPERLINK("http://stackoverflow.com/users/10032983", "jiejieyuy")</f>
        <v>jiejieyuy</v>
      </c>
      <c r="D9209" t="s">
        <v>146</v>
      </c>
      <c r="E9209">
        <v>1</v>
      </c>
    </row>
    <row r="9210" spans="1:5" x14ac:dyDescent="0.25">
      <c r="A9210">
        <v>9209</v>
      </c>
      <c r="B9210">
        <v>8221283</v>
      </c>
      <c r="C9210" s="1" t="str">
        <f>HYPERLINK("http://stackoverflow.com/users/8221283", "Wenhan Wu")</f>
        <v>Wenhan Wu</v>
      </c>
      <c r="D9210" t="s">
        <v>5</v>
      </c>
      <c r="E9210">
        <v>1</v>
      </c>
    </row>
    <row r="9211" spans="1:5" x14ac:dyDescent="0.25">
      <c r="A9211">
        <v>9210</v>
      </c>
      <c r="B9211">
        <v>8221287</v>
      </c>
      <c r="C9211" s="1" t="str">
        <f>HYPERLINK("http://stackoverflow.com/users/8221287", "徐铭泽")</f>
        <v>徐铭泽</v>
      </c>
      <c r="D9211" t="s">
        <v>28</v>
      </c>
      <c r="E9211">
        <v>1</v>
      </c>
    </row>
    <row r="9212" spans="1:5" x14ac:dyDescent="0.25">
      <c r="A9212">
        <v>9211</v>
      </c>
      <c r="B9212">
        <v>758459</v>
      </c>
      <c r="C9212" s="1" t="str">
        <f>HYPERLINK("http://stackoverflow.com/users/758459", "sosan")</f>
        <v>sosan</v>
      </c>
      <c r="D9212" t="s">
        <v>5</v>
      </c>
      <c r="E9212">
        <v>1</v>
      </c>
    </row>
    <row r="9213" spans="1:5" x14ac:dyDescent="0.25">
      <c r="A9213">
        <v>9212</v>
      </c>
      <c r="B9213">
        <v>758470</v>
      </c>
      <c r="C9213" s="1" t="str">
        <f>HYPERLINK("http://stackoverflow.com/users/758470", "limenglm")</f>
        <v>limenglm</v>
      </c>
      <c r="D9213" t="s">
        <v>5</v>
      </c>
      <c r="E9213">
        <v>1</v>
      </c>
    </row>
    <row r="9214" spans="1:5" x14ac:dyDescent="0.25">
      <c r="A9214">
        <v>9213</v>
      </c>
      <c r="B9214">
        <v>4706737</v>
      </c>
      <c r="C9214" s="1" t="str">
        <f>HYPERLINK("http://stackoverflow.com/users/4706737", "jyootai")</f>
        <v>jyootai</v>
      </c>
      <c r="D9214" t="s">
        <v>5</v>
      </c>
      <c r="E9214">
        <v>1</v>
      </c>
    </row>
    <row r="9215" spans="1:5" x14ac:dyDescent="0.25">
      <c r="A9215">
        <v>9214</v>
      </c>
      <c r="B9215">
        <v>2871612</v>
      </c>
      <c r="C9215" s="1" t="str">
        <f>HYPERLINK("http://stackoverflow.com/users/2871612", "mirrorlz")</f>
        <v>mirrorlz</v>
      </c>
      <c r="D9215" t="s">
        <v>4</v>
      </c>
      <c r="E9215">
        <v>1</v>
      </c>
    </row>
    <row r="9216" spans="1:5" x14ac:dyDescent="0.25">
      <c r="A9216">
        <v>9215</v>
      </c>
      <c r="B9216">
        <v>10040819</v>
      </c>
      <c r="C9216" s="1" t="str">
        <f>HYPERLINK("http://stackoverflow.com/users/10040819", "Quan Zhou")</f>
        <v>Quan Zhou</v>
      </c>
      <c r="D9216" t="s">
        <v>19</v>
      </c>
      <c r="E9216">
        <v>1</v>
      </c>
    </row>
    <row r="9217" spans="1:5" x14ac:dyDescent="0.25">
      <c r="A9217">
        <v>9216</v>
      </c>
      <c r="B9217">
        <v>10040949</v>
      </c>
      <c r="C9217" s="1" t="str">
        <f>HYPERLINK("http://stackoverflow.com/users/10040949", "XiangLong Meng")</f>
        <v>XiangLong Meng</v>
      </c>
      <c r="D9217" t="s">
        <v>5</v>
      </c>
      <c r="E9217">
        <v>1</v>
      </c>
    </row>
    <row r="9218" spans="1:5" x14ac:dyDescent="0.25">
      <c r="A9218">
        <v>9217</v>
      </c>
      <c r="B9218">
        <v>10041026</v>
      </c>
      <c r="C9218" s="1" t="str">
        <f>HYPERLINK("http://stackoverflow.com/users/10041026", "Howe")</f>
        <v>Howe</v>
      </c>
      <c r="D9218" t="s">
        <v>4</v>
      </c>
      <c r="E9218">
        <v>1</v>
      </c>
    </row>
    <row r="9219" spans="1:5" x14ac:dyDescent="0.25">
      <c r="A9219">
        <v>9218</v>
      </c>
      <c r="B9219">
        <v>10041067</v>
      </c>
      <c r="C9219" s="1" t="str">
        <f>HYPERLINK("http://stackoverflow.com/users/10041067", "Victor Yu")</f>
        <v>Victor Yu</v>
      </c>
      <c r="D9219" t="s">
        <v>4</v>
      </c>
      <c r="E9219">
        <v>1</v>
      </c>
    </row>
    <row r="9220" spans="1:5" x14ac:dyDescent="0.25">
      <c r="A9220">
        <v>9219</v>
      </c>
      <c r="B9220">
        <v>10041298</v>
      </c>
      <c r="C9220" s="1" t="str">
        <f>HYPERLINK("http://stackoverflow.com/users/10041298", "Jack Zheng")</f>
        <v>Jack Zheng</v>
      </c>
      <c r="D9220" t="s">
        <v>7</v>
      </c>
      <c r="E9220">
        <v>1</v>
      </c>
    </row>
    <row r="9221" spans="1:5" x14ac:dyDescent="0.25">
      <c r="A9221">
        <v>9220</v>
      </c>
      <c r="B9221">
        <v>8226376</v>
      </c>
      <c r="C9221" s="1" t="str">
        <f>HYPERLINK("http://stackoverflow.com/users/8226376", "Yaoxiang Ding")</f>
        <v>Yaoxiang Ding</v>
      </c>
      <c r="D9221" t="s">
        <v>55</v>
      </c>
      <c r="E9221">
        <v>1</v>
      </c>
    </row>
    <row r="9222" spans="1:5" x14ac:dyDescent="0.25">
      <c r="A9222">
        <v>9221</v>
      </c>
      <c r="B9222">
        <v>10045020</v>
      </c>
      <c r="C9222" s="1" t="str">
        <f>HYPERLINK("http://stackoverflow.com/users/10045020", "Jia Zheng")</f>
        <v>Jia Zheng</v>
      </c>
      <c r="D9222" t="s">
        <v>5</v>
      </c>
      <c r="E9222">
        <v>1</v>
      </c>
    </row>
    <row r="9223" spans="1:5" x14ac:dyDescent="0.25">
      <c r="A9223">
        <v>9222</v>
      </c>
      <c r="B9223">
        <v>10045366</v>
      </c>
      <c r="C9223" s="1" t="str">
        <f>HYPERLINK("http://stackoverflow.com/users/10045366", "李博文")</f>
        <v>李博文</v>
      </c>
      <c r="D9223" t="s">
        <v>5</v>
      </c>
      <c r="E9223">
        <v>1</v>
      </c>
    </row>
    <row r="9224" spans="1:5" x14ac:dyDescent="0.25">
      <c r="A9224">
        <v>9223</v>
      </c>
      <c r="B9224">
        <v>8229626</v>
      </c>
      <c r="C9224" s="1" t="str">
        <f>HYPERLINK("http://stackoverflow.com/users/8229626", "Z.jack")</f>
        <v>Z.jack</v>
      </c>
      <c r="D9224" t="s">
        <v>5</v>
      </c>
      <c r="E9224">
        <v>1</v>
      </c>
    </row>
    <row r="9225" spans="1:5" x14ac:dyDescent="0.25">
      <c r="A9225">
        <v>9224</v>
      </c>
      <c r="B9225">
        <v>8229659</v>
      </c>
      <c r="C9225" s="1" t="str">
        <f>HYPERLINK("http://stackoverflow.com/users/8229659", "Von Chigurh")</f>
        <v>Von Chigurh</v>
      </c>
      <c r="D9225" t="s">
        <v>16</v>
      </c>
      <c r="E9225">
        <v>1</v>
      </c>
    </row>
    <row r="9226" spans="1:5" x14ac:dyDescent="0.25">
      <c r="A9226">
        <v>9225</v>
      </c>
      <c r="B9226">
        <v>8229770</v>
      </c>
      <c r="C9226" s="1" t="str">
        <f>HYPERLINK("http://stackoverflow.com/users/8229770", "Akelio")</f>
        <v>Akelio</v>
      </c>
      <c r="D9226" t="s">
        <v>16</v>
      </c>
      <c r="E9226">
        <v>1</v>
      </c>
    </row>
    <row r="9227" spans="1:5" x14ac:dyDescent="0.25">
      <c r="A9227">
        <v>9226</v>
      </c>
      <c r="B9227">
        <v>6453002</v>
      </c>
      <c r="C9227" s="1" t="str">
        <f>HYPERLINK("http://stackoverflow.com/users/6453002", "tan661")</f>
        <v>tan661</v>
      </c>
      <c r="D9227" t="s">
        <v>7</v>
      </c>
      <c r="E9227">
        <v>1</v>
      </c>
    </row>
    <row r="9228" spans="1:5" x14ac:dyDescent="0.25">
      <c r="A9228">
        <v>9227</v>
      </c>
      <c r="B9228">
        <v>10064400</v>
      </c>
      <c r="C9228" s="1" t="str">
        <f>HYPERLINK("http://stackoverflow.com/users/10064400", "Hello Leo")</f>
        <v>Hello Leo</v>
      </c>
      <c r="D9228" t="s">
        <v>5</v>
      </c>
      <c r="E9228">
        <v>1</v>
      </c>
    </row>
    <row r="9229" spans="1:5" x14ac:dyDescent="0.25">
      <c r="A9229">
        <v>9228</v>
      </c>
      <c r="B9229">
        <v>2894370</v>
      </c>
      <c r="C9229" s="1" t="str">
        <f>HYPERLINK("http://stackoverflow.com/users/2894370", "zhangfree")</f>
        <v>zhangfree</v>
      </c>
      <c r="D9229" t="s">
        <v>21</v>
      </c>
      <c r="E9229">
        <v>1</v>
      </c>
    </row>
    <row r="9230" spans="1:5" x14ac:dyDescent="0.25">
      <c r="A9230">
        <v>9229</v>
      </c>
      <c r="B9230">
        <v>2894731</v>
      </c>
      <c r="C9230" s="1" t="str">
        <f>HYPERLINK("http://stackoverflow.com/users/2894731", "user2894731")</f>
        <v>user2894731</v>
      </c>
      <c r="D9230" t="s">
        <v>4</v>
      </c>
      <c r="E9230">
        <v>1</v>
      </c>
    </row>
    <row r="9231" spans="1:5" x14ac:dyDescent="0.25">
      <c r="A9231">
        <v>9230</v>
      </c>
      <c r="B9231">
        <v>10061090</v>
      </c>
      <c r="C9231" s="1" t="str">
        <f>HYPERLINK("http://stackoverflow.com/users/10061090", "Bervvv")</f>
        <v>Bervvv</v>
      </c>
      <c r="D9231" t="s">
        <v>7</v>
      </c>
      <c r="E9231">
        <v>1</v>
      </c>
    </row>
    <row r="9232" spans="1:5" x14ac:dyDescent="0.25">
      <c r="A9232">
        <v>9231</v>
      </c>
      <c r="B9232">
        <v>8249119</v>
      </c>
      <c r="C9232" s="1" t="str">
        <f>HYPERLINK("http://stackoverflow.com/users/8249119", "Tuomo Nieminen")</f>
        <v>Tuomo Nieminen</v>
      </c>
      <c r="D9232" t="s">
        <v>5</v>
      </c>
      <c r="E9232">
        <v>1</v>
      </c>
    </row>
    <row r="9233" spans="1:5" x14ac:dyDescent="0.25">
      <c r="A9233">
        <v>9232</v>
      </c>
      <c r="B9233">
        <v>6452358</v>
      </c>
      <c r="C9233" s="1" t="str">
        <f>HYPERLINK("http://stackoverflow.com/users/6452358", "zhiqiang")</f>
        <v>zhiqiang</v>
      </c>
      <c r="D9233" t="s">
        <v>5</v>
      </c>
      <c r="E9233">
        <v>1</v>
      </c>
    </row>
    <row r="9234" spans="1:5" x14ac:dyDescent="0.25">
      <c r="A9234">
        <v>9233</v>
      </c>
      <c r="B9234">
        <v>797958</v>
      </c>
      <c r="C9234" s="1" t="str">
        <f>HYPERLINK("http://stackoverflow.com/users/797958", "ionMan")</f>
        <v>ionMan</v>
      </c>
      <c r="D9234" t="s">
        <v>21</v>
      </c>
      <c r="E9234">
        <v>1</v>
      </c>
    </row>
    <row r="9235" spans="1:5" x14ac:dyDescent="0.25">
      <c r="A9235">
        <v>9234</v>
      </c>
      <c r="B9235">
        <v>10045578</v>
      </c>
      <c r="C9235" s="1" t="str">
        <f>HYPERLINK("http://stackoverflow.com/users/10045578", "AR. Researcher")</f>
        <v>AR. Researcher</v>
      </c>
      <c r="D9235" t="s">
        <v>52</v>
      </c>
      <c r="E9235">
        <v>1</v>
      </c>
    </row>
    <row r="9236" spans="1:5" x14ac:dyDescent="0.25">
      <c r="A9236">
        <v>9235</v>
      </c>
      <c r="B9236">
        <v>10045752</v>
      </c>
      <c r="C9236" s="1" t="str">
        <f>HYPERLINK("http://stackoverflow.com/users/10045752", "邹滋民")</f>
        <v>邹滋民</v>
      </c>
      <c r="D9236" t="s">
        <v>7</v>
      </c>
      <c r="E9236">
        <v>1</v>
      </c>
    </row>
    <row r="9237" spans="1:5" x14ac:dyDescent="0.25">
      <c r="A9237">
        <v>9236</v>
      </c>
      <c r="B9237">
        <v>4710251</v>
      </c>
      <c r="C9237" s="1" t="str">
        <f>HYPERLINK("http://stackoverflow.com/users/4710251", "baozi.cpp")</f>
        <v>baozi.cpp</v>
      </c>
      <c r="D9237" t="s">
        <v>298</v>
      </c>
      <c r="E9237">
        <v>1</v>
      </c>
    </row>
    <row r="9238" spans="1:5" x14ac:dyDescent="0.25">
      <c r="A9238">
        <v>9237</v>
      </c>
      <c r="B9238">
        <v>6438366</v>
      </c>
      <c r="C9238" s="1" t="str">
        <f>HYPERLINK("http://stackoverflow.com/users/6438366", "jimmy")</f>
        <v>jimmy</v>
      </c>
      <c r="D9238" t="s">
        <v>4</v>
      </c>
      <c r="E9238">
        <v>1</v>
      </c>
    </row>
    <row r="9239" spans="1:5" x14ac:dyDescent="0.25">
      <c r="A9239">
        <v>9238</v>
      </c>
      <c r="B9239">
        <v>4721506</v>
      </c>
      <c r="C9239" s="1" t="str">
        <f>HYPERLINK("http://stackoverflow.com/users/4721506", "Boolean93")</f>
        <v>Boolean93</v>
      </c>
      <c r="D9239" t="s">
        <v>78</v>
      </c>
      <c r="E9239">
        <v>1</v>
      </c>
    </row>
    <row r="9240" spans="1:5" x14ac:dyDescent="0.25">
      <c r="A9240">
        <v>9239</v>
      </c>
      <c r="B9240">
        <v>2887786</v>
      </c>
      <c r="C9240" s="1" t="str">
        <f>HYPERLINK("http://stackoverflow.com/users/2887786", "yakotaki0202_at_gmail_dot_com")</f>
        <v>yakotaki0202_at_gmail_dot_com</v>
      </c>
      <c r="D9240" t="s">
        <v>5</v>
      </c>
      <c r="E9240">
        <v>1</v>
      </c>
    </row>
    <row r="9241" spans="1:5" x14ac:dyDescent="0.25">
      <c r="A9241">
        <v>9240</v>
      </c>
      <c r="B9241">
        <v>10058351</v>
      </c>
      <c r="C9241" s="1" t="str">
        <f>HYPERLINK("http://stackoverflow.com/users/10058351", "user10058351")</f>
        <v>user10058351</v>
      </c>
      <c r="D9241" t="s">
        <v>67</v>
      </c>
      <c r="E9241">
        <v>1</v>
      </c>
    </row>
    <row r="9242" spans="1:5" x14ac:dyDescent="0.25">
      <c r="A9242">
        <v>9241</v>
      </c>
      <c r="B9242">
        <v>2902385</v>
      </c>
      <c r="C9242" s="1" t="str">
        <f>HYPERLINK("http://stackoverflow.com/users/2902385", "user2902385")</f>
        <v>user2902385</v>
      </c>
      <c r="D9242" t="s">
        <v>500</v>
      </c>
      <c r="E9242">
        <v>1</v>
      </c>
    </row>
    <row r="9243" spans="1:5" x14ac:dyDescent="0.25">
      <c r="A9243">
        <v>9242</v>
      </c>
      <c r="B9243">
        <v>8257096</v>
      </c>
      <c r="C9243" s="1" t="str">
        <f>HYPERLINK("http://stackoverflow.com/users/8257096", "Robin Huang")</f>
        <v>Robin Huang</v>
      </c>
      <c r="D9243" t="s">
        <v>120</v>
      </c>
      <c r="E9243">
        <v>1</v>
      </c>
    </row>
    <row r="9244" spans="1:5" x14ac:dyDescent="0.25">
      <c r="A9244">
        <v>9243</v>
      </c>
      <c r="B9244">
        <v>8257385</v>
      </c>
      <c r="C9244" s="1" t="str">
        <f>HYPERLINK("http://stackoverflow.com/users/8257385", "user8257385")</f>
        <v>user8257385</v>
      </c>
      <c r="D9244" t="s">
        <v>25</v>
      </c>
      <c r="E9244">
        <v>1</v>
      </c>
    </row>
    <row r="9245" spans="1:5" x14ac:dyDescent="0.25">
      <c r="A9245">
        <v>9244</v>
      </c>
      <c r="B9245">
        <v>8257604</v>
      </c>
      <c r="C9245" s="1" t="str">
        <f>HYPERLINK("http://stackoverflow.com/users/8257604", "Derek_Dawn")</f>
        <v>Derek_Dawn</v>
      </c>
      <c r="D9245" t="s">
        <v>4</v>
      </c>
      <c r="E9245">
        <v>1</v>
      </c>
    </row>
    <row r="9246" spans="1:5" x14ac:dyDescent="0.25">
      <c r="A9246">
        <v>9245</v>
      </c>
      <c r="B9246">
        <v>8257620</v>
      </c>
      <c r="C9246" s="1" t="str">
        <f>HYPERLINK("http://stackoverflow.com/users/8257620", "Sean Chen")</f>
        <v>Sean Chen</v>
      </c>
      <c r="D9246" t="s">
        <v>501</v>
      </c>
      <c r="E9246">
        <v>1</v>
      </c>
    </row>
    <row r="9247" spans="1:5" x14ac:dyDescent="0.25">
      <c r="A9247">
        <v>9246</v>
      </c>
      <c r="B9247">
        <v>8253310</v>
      </c>
      <c r="C9247" s="1" t="str">
        <f>HYPERLINK("http://stackoverflow.com/users/8253310", "STDP")</f>
        <v>STDP</v>
      </c>
      <c r="D9247" t="s">
        <v>5</v>
      </c>
      <c r="E9247">
        <v>1</v>
      </c>
    </row>
    <row r="9248" spans="1:5" x14ac:dyDescent="0.25">
      <c r="A9248">
        <v>9247</v>
      </c>
      <c r="B9248">
        <v>2901894</v>
      </c>
      <c r="C9248" s="1" t="str">
        <f>HYPERLINK("http://stackoverflow.com/users/2901894", "amorwilliams")</f>
        <v>amorwilliams</v>
      </c>
      <c r="D9248" t="s">
        <v>4</v>
      </c>
      <c r="E9248">
        <v>1</v>
      </c>
    </row>
    <row r="9249" spans="1:5" x14ac:dyDescent="0.25">
      <c r="A9249">
        <v>9248</v>
      </c>
      <c r="B9249">
        <v>2902113</v>
      </c>
      <c r="C9249" s="1" t="str">
        <f>HYPERLINK("http://stackoverflow.com/users/2902113", "Mingway Shi")</f>
        <v>Mingway Shi</v>
      </c>
      <c r="D9249" t="s">
        <v>4</v>
      </c>
      <c r="E9249">
        <v>1</v>
      </c>
    </row>
    <row r="9250" spans="1:5" x14ac:dyDescent="0.25">
      <c r="A9250">
        <v>9249</v>
      </c>
      <c r="B9250">
        <v>810771</v>
      </c>
      <c r="C9250" s="1" t="str">
        <f>HYPERLINK("http://stackoverflow.com/users/810771", "scaret")</f>
        <v>scaret</v>
      </c>
      <c r="D9250" t="s">
        <v>4</v>
      </c>
      <c r="E9250">
        <v>1</v>
      </c>
    </row>
    <row r="9251" spans="1:5" x14ac:dyDescent="0.25">
      <c r="A9251">
        <v>9250</v>
      </c>
      <c r="B9251">
        <v>8262113</v>
      </c>
      <c r="C9251" s="1" t="str">
        <f>HYPERLINK("http://stackoverflow.com/users/8262113", "kent")</f>
        <v>kent</v>
      </c>
      <c r="D9251" t="s">
        <v>135</v>
      </c>
      <c r="E9251">
        <v>1</v>
      </c>
    </row>
    <row r="9252" spans="1:5" x14ac:dyDescent="0.25">
      <c r="A9252">
        <v>9251</v>
      </c>
      <c r="B9252">
        <v>8262140</v>
      </c>
      <c r="C9252" s="1" t="str">
        <f>HYPERLINK("http://stackoverflow.com/users/8262140", "dreamhome")</f>
        <v>dreamhome</v>
      </c>
      <c r="D9252" t="s">
        <v>367</v>
      </c>
      <c r="E9252">
        <v>1</v>
      </c>
    </row>
    <row r="9253" spans="1:5" x14ac:dyDescent="0.25">
      <c r="A9253">
        <v>9252</v>
      </c>
      <c r="B9253">
        <v>818015</v>
      </c>
      <c r="C9253" s="1" t="str">
        <f>HYPERLINK("http://stackoverflow.com/users/818015", "Tao Hacker")</f>
        <v>Tao Hacker</v>
      </c>
      <c r="D9253" t="s">
        <v>28</v>
      </c>
      <c r="E9253">
        <v>1</v>
      </c>
    </row>
    <row r="9254" spans="1:5" x14ac:dyDescent="0.25">
      <c r="A9254">
        <v>9253</v>
      </c>
      <c r="B9254">
        <v>8261579</v>
      </c>
      <c r="C9254" s="1" t="str">
        <f>HYPERLINK("http://stackoverflow.com/users/8261579", "Frank Didier")</f>
        <v>Frank Didier</v>
      </c>
      <c r="D9254" t="s">
        <v>5</v>
      </c>
      <c r="E9254">
        <v>1</v>
      </c>
    </row>
    <row r="9255" spans="1:5" x14ac:dyDescent="0.25">
      <c r="A9255">
        <v>9254</v>
      </c>
      <c r="B9255">
        <v>830779</v>
      </c>
      <c r="C9255" s="1" t="str">
        <f>HYPERLINK("http://stackoverflow.com/users/830779", "heatingtube")</f>
        <v>heatingtube</v>
      </c>
      <c r="D9255" t="s">
        <v>5</v>
      </c>
      <c r="E9255">
        <v>1</v>
      </c>
    </row>
    <row r="9256" spans="1:5" x14ac:dyDescent="0.25">
      <c r="A9256">
        <v>9255</v>
      </c>
      <c r="B9256">
        <v>831560</v>
      </c>
      <c r="C9256" s="1" t="str">
        <f>HYPERLINK("http://stackoverflow.com/users/831560", "Albert")</f>
        <v>Albert</v>
      </c>
      <c r="D9256" t="s">
        <v>12</v>
      </c>
      <c r="E9256">
        <v>1</v>
      </c>
    </row>
    <row r="9257" spans="1:5" x14ac:dyDescent="0.25">
      <c r="A9257">
        <v>9256</v>
      </c>
      <c r="B9257">
        <v>2911026</v>
      </c>
      <c r="C9257" s="1" t="str">
        <f>HYPERLINK("http://stackoverflow.com/users/2911026", "math715")</f>
        <v>math715</v>
      </c>
      <c r="D9257" t="s">
        <v>502</v>
      </c>
      <c r="E9257">
        <v>1</v>
      </c>
    </row>
    <row r="9258" spans="1:5" x14ac:dyDescent="0.25">
      <c r="A9258">
        <v>9257</v>
      </c>
      <c r="B9258">
        <v>6468351</v>
      </c>
      <c r="C9258" s="1" t="str">
        <f>HYPERLINK("http://stackoverflow.com/users/6468351", "MoonyPoet")</f>
        <v>MoonyPoet</v>
      </c>
      <c r="D9258" t="s">
        <v>503</v>
      </c>
      <c r="E9258">
        <v>1</v>
      </c>
    </row>
    <row r="9259" spans="1:5" x14ac:dyDescent="0.25">
      <c r="A9259">
        <v>9258</v>
      </c>
      <c r="B9259">
        <v>6468423</v>
      </c>
      <c r="C9259" s="1" t="str">
        <f>HYPERLINK("http://stackoverflow.com/users/6468423", "Phil.Yang")</f>
        <v>Phil.Yang</v>
      </c>
      <c r="D9259" t="s">
        <v>25</v>
      </c>
      <c r="E9259">
        <v>1</v>
      </c>
    </row>
    <row r="9260" spans="1:5" x14ac:dyDescent="0.25">
      <c r="A9260">
        <v>9259</v>
      </c>
      <c r="B9260">
        <v>6472977</v>
      </c>
      <c r="C9260" s="1" t="str">
        <f>HYPERLINK("http://stackoverflow.com/users/6472977", "JustBen")</f>
        <v>JustBen</v>
      </c>
      <c r="D9260" t="s">
        <v>5</v>
      </c>
      <c r="E9260">
        <v>1</v>
      </c>
    </row>
    <row r="9261" spans="1:5" x14ac:dyDescent="0.25">
      <c r="A9261">
        <v>9260</v>
      </c>
      <c r="B9261">
        <v>4748197</v>
      </c>
      <c r="C9261" s="1" t="str">
        <f>HYPERLINK("http://stackoverflow.com/users/4748197", "sMike")</f>
        <v>sMike</v>
      </c>
      <c r="D9261" t="s">
        <v>4</v>
      </c>
      <c r="E9261">
        <v>1</v>
      </c>
    </row>
    <row r="9262" spans="1:5" x14ac:dyDescent="0.25">
      <c r="A9262">
        <v>9261</v>
      </c>
      <c r="B9262">
        <v>8135170</v>
      </c>
      <c r="C9262" s="1" t="str">
        <f>HYPERLINK("http://stackoverflow.com/users/8135170", "Mo Wei")</f>
        <v>Mo Wei</v>
      </c>
      <c r="D9262" t="s">
        <v>4</v>
      </c>
      <c r="E9262">
        <v>1</v>
      </c>
    </row>
    <row r="9263" spans="1:5" x14ac:dyDescent="0.25">
      <c r="A9263">
        <v>9262</v>
      </c>
      <c r="B9263">
        <v>8135192</v>
      </c>
      <c r="C9263" s="1" t="str">
        <f>HYPERLINK("http://stackoverflow.com/users/8135192", "miqideliwu")</f>
        <v>miqideliwu</v>
      </c>
      <c r="D9263" t="s">
        <v>504</v>
      </c>
      <c r="E9263">
        <v>1</v>
      </c>
    </row>
    <row r="9264" spans="1:5" x14ac:dyDescent="0.25">
      <c r="A9264">
        <v>9263</v>
      </c>
      <c r="B9264">
        <v>9945356</v>
      </c>
      <c r="C9264" s="1" t="str">
        <f>HYPERLINK("http://stackoverflow.com/users/9945356", "user9945356")</f>
        <v>user9945356</v>
      </c>
      <c r="D9264" t="s">
        <v>367</v>
      </c>
      <c r="E9264">
        <v>1</v>
      </c>
    </row>
    <row r="9265" spans="1:5" x14ac:dyDescent="0.25">
      <c r="A9265">
        <v>9264</v>
      </c>
      <c r="B9265">
        <v>9945718</v>
      </c>
      <c r="C9265" s="1" t="str">
        <f>HYPERLINK("http://stackoverflow.com/users/9945718", "Leah Humlelu")</f>
        <v>Leah Humlelu</v>
      </c>
      <c r="D9265" t="s">
        <v>11</v>
      </c>
      <c r="E9265">
        <v>1</v>
      </c>
    </row>
    <row r="9266" spans="1:5" x14ac:dyDescent="0.25">
      <c r="A9266">
        <v>9265</v>
      </c>
      <c r="B9266">
        <v>2780821</v>
      </c>
      <c r="C9266" s="1" t="str">
        <f>HYPERLINK("http://stackoverflow.com/users/2780821", "Yin")</f>
        <v>Yin</v>
      </c>
      <c r="D9266" t="s">
        <v>5</v>
      </c>
      <c r="E9266">
        <v>1</v>
      </c>
    </row>
    <row r="9267" spans="1:5" x14ac:dyDescent="0.25">
      <c r="A9267">
        <v>9266</v>
      </c>
      <c r="B9267">
        <v>622503</v>
      </c>
      <c r="C9267" s="1" t="str">
        <f>HYPERLINK("http://stackoverflow.com/users/622503", "wanghaifeng")</f>
        <v>wanghaifeng</v>
      </c>
      <c r="D9267" t="s">
        <v>37</v>
      </c>
      <c r="E9267">
        <v>1</v>
      </c>
    </row>
    <row r="9268" spans="1:5" x14ac:dyDescent="0.25">
      <c r="A9268">
        <v>9267</v>
      </c>
      <c r="B9268">
        <v>9949618</v>
      </c>
      <c r="C9268" s="1" t="str">
        <f>HYPERLINK("http://stackoverflow.com/users/9949618", "Neo")</f>
        <v>Neo</v>
      </c>
      <c r="D9268" t="s">
        <v>25</v>
      </c>
      <c r="E9268">
        <v>1</v>
      </c>
    </row>
    <row r="9269" spans="1:5" x14ac:dyDescent="0.25">
      <c r="A9269">
        <v>9268</v>
      </c>
      <c r="B9269">
        <v>2788423</v>
      </c>
      <c r="C9269" s="1" t="str">
        <f>HYPERLINK("http://stackoverflow.com/users/2788423", "Saviio")</f>
        <v>Saviio</v>
      </c>
      <c r="D9269" t="s">
        <v>4</v>
      </c>
      <c r="E9269">
        <v>1</v>
      </c>
    </row>
    <row r="9270" spans="1:5" x14ac:dyDescent="0.25">
      <c r="A9270">
        <v>9269</v>
      </c>
      <c r="B9270">
        <v>9953432</v>
      </c>
      <c r="C9270" s="1" t="str">
        <f>HYPERLINK("http://stackoverflow.com/users/9953432", "Tsingbin Jung")</f>
        <v>Tsingbin Jung</v>
      </c>
      <c r="D9270" t="s">
        <v>28</v>
      </c>
      <c r="E9270">
        <v>1</v>
      </c>
    </row>
    <row r="9271" spans="1:5" x14ac:dyDescent="0.25">
      <c r="A9271">
        <v>9270</v>
      </c>
      <c r="B9271">
        <v>629494</v>
      </c>
      <c r="C9271" s="1" t="str">
        <f>HYPERLINK("http://stackoverflow.com/users/629494", "bjshdq")</f>
        <v>bjshdq</v>
      </c>
      <c r="D9271" t="s">
        <v>5</v>
      </c>
      <c r="E9271">
        <v>1</v>
      </c>
    </row>
    <row r="9272" spans="1:5" x14ac:dyDescent="0.25">
      <c r="A9272">
        <v>9271</v>
      </c>
      <c r="B9272">
        <v>629710</v>
      </c>
      <c r="C9272" s="1" t="str">
        <f>HYPERLINK("http://stackoverflow.com/users/629710", "zhly")</f>
        <v>zhly</v>
      </c>
      <c r="D9272" t="s">
        <v>4</v>
      </c>
      <c r="E9272">
        <v>1</v>
      </c>
    </row>
    <row r="9273" spans="1:5" x14ac:dyDescent="0.25">
      <c r="A9273">
        <v>9272</v>
      </c>
      <c r="B9273">
        <v>6345437</v>
      </c>
      <c r="C9273" s="1" t="str">
        <f>HYPERLINK("http://stackoverflow.com/users/6345437", "luxianglin")</f>
        <v>luxianglin</v>
      </c>
      <c r="D9273" t="s">
        <v>4</v>
      </c>
      <c r="E9273">
        <v>1</v>
      </c>
    </row>
    <row r="9274" spans="1:5" x14ac:dyDescent="0.25">
      <c r="A9274">
        <v>9273</v>
      </c>
      <c r="B9274">
        <v>6345857</v>
      </c>
      <c r="C9274" s="1" t="str">
        <f>HYPERLINK("http://stackoverflow.com/users/6345857", "X.FLY")</f>
        <v>X.FLY</v>
      </c>
      <c r="D9274" t="s">
        <v>16</v>
      </c>
      <c r="E9274">
        <v>1</v>
      </c>
    </row>
    <row r="9275" spans="1:5" x14ac:dyDescent="0.25">
      <c r="A9275">
        <v>9274</v>
      </c>
      <c r="B9275">
        <v>8125772</v>
      </c>
      <c r="C9275" s="1" t="str">
        <f>HYPERLINK("http://stackoverflow.com/users/8125772", "Bulade Mian")</f>
        <v>Bulade Mian</v>
      </c>
      <c r="D9275" t="s">
        <v>52</v>
      </c>
      <c r="E9275">
        <v>1</v>
      </c>
    </row>
    <row r="9276" spans="1:5" x14ac:dyDescent="0.25">
      <c r="A9276">
        <v>9275</v>
      </c>
      <c r="B9276">
        <v>2775563</v>
      </c>
      <c r="C9276" s="1" t="str">
        <f>HYPERLINK("http://stackoverflow.com/users/2775563", "petter")</f>
        <v>petter</v>
      </c>
      <c r="D9276" t="s">
        <v>4</v>
      </c>
      <c r="E9276">
        <v>1</v>
      </c>
    </row>
    <row r="9277" spans="1:5" x14ac:dyDescent="0.25">
      <c r="A9277">
        <v>9276</v>
      </c>
      <c r="B9277">
        <v>2771865</v>
      </c>
      <c r="C9277" s="1" t="str">
        <f>HYPERLINK("http://stackoverflow.com/users/2771865", "Eric.Tang")</f>
        <v>Eric.Tang</v>
      </c>
      <c r="D9277" t="s">
        <v>5</v>
      </c>
      <c r="E9277">
        <v>1</v>
      </c>
    </row>
    <row r="9278" spans="1:5" x14ac:dyDescent="0.25">
      <c r="A9278">
        <v>9277</v>
      </c>
      <c r="B9278">
        <v>8122793</v>
      </c>
      <c r="C9278" s="1" t="str">
        <f>HYPERLINK("http://stackoverflow.com/users/8122793", "Sophie Song")</f>
        <v>Sophie Song</v>
      </c>
      <c r="D9278" t="s">
        <v>4</v>
      </c>
      <c r="E9278">
        <v>1</v>
      </c>
    </row>
    <row r="9279" spans="1:5" x14ac:dyDescent="0.25">
      <c r="A9279">
        <v>9278</v>
      </c>
      <c r="B9279">
        <v>8122802</v>
      </c>
      <c r="C9279" s="1" t="str">
        <f>HYPERLINK("http://stackoverflow.com/users/8122802", "Xiaodong")</f>
        <v>Xiaodong</v>
      </c>
      <c r="D9279" t="s">
        <v>62</v>
      </c>
      <c r="E9279">
        <v>1</v>
      </c>
    </row>
    <row r="9280" spans="1:5" x14ac:dyDescent="0.25">
      <c r="A9280">
        <v>9279</v>
      </c>
      <c r="B9280">
        <v>6334246</v>
      </c>
      <c r="C9280" s="1" t="str">
        <f>HYPERLINK("http://stackoverflow.com/users/6334246", "debbierr")</f>
        <v>debbierr</v>
      </c>
      <c r="D9280" t="s">
        <v>5</v>
      </c>
      <c r="E9280">
        <v>1</v>
      </c>
    </row>
    <row r="9281" spans="1:5" x14ac:dyDescent="0.25">
      <c r="A9281">
        <v>9280</v>
      </c>
      <c r="B9281">
        <v>6334454</v>
      </c>
      <c r="C9281" s="1" t="str">
        <f>HYPERLINK("http://stackoverflow.com/users/6334454", "feyman li")</f>
        <v>feyman li</v>
      </c>
      <c r="D9281" t="s">
        <v>7</v>
      </c>
      <c r="E9281">
        <v>1</v>
      </c>
    </row>
    <row r="9282" spans="1:5" x14ac:dyDescent="0.25">
      <c r="A9282">
        <v>9281</v>
      </c>
      <c r="B9282">
        <v>6334613</v>
      </c>
      <c r="C9282" s="1" t="str">
        <f>HYPERLINK("http://stackoverflow.com/users/6334613", "Ye JiQin")</f>
        <v>Ye JiQin</v>
      </c>
      <c r="D9282" t="s">
        <v>7</v>
      </c>
      <c r="E9282">
        <v>1</v>
      </c>
    </row>
    <row r="9283" spans="1:5" x14ac:dyDescent="0.25">
      <c r="A9283">
        <v>9282</v>
      </c>
      <c r="B9283">
        <v>4607526</v>
      </c>
      <c r="C9283" s="1" t="str">
        <f>HYPERLINK("http://stackoverflow.com/users/4607526", "setupxixi")</f>
        <v>setupxixi</v>
      </c>
      <c r="D9283" t="s">
        <v>4</v>
      </c>
      <c r="E9283">
        <v>1</v>
      </c>
    </row>
    <row r="9284" spans="1:5" x14ac:dyDescent="0.25">
      <c r="A9284">
        <v>9283</v>
      </c>
      <c r="B9284">
        <v>6337338</v>
      </c>
      <c r="C9284" s="1" t="str">
        <f>HYPERLINK("http://stackoverflow.com/users/6337338", "xincheng0125")</f>
        <v>xincheng0125</v>
      </c>
      <c r="D9284" t="s">
        <v>133</v>
      </c>
      <c r="E9284">
        <v>1</v>
      </c>
    </row>
    <row r="9285" spans="1:5" x14ac:dyDescent="0.25">
      <c r="A9285">
        <v>9284</v>
      </c>
      <c r="B9285">
        <v>6337559</v>
      </c>
      <c r="C9285" s="1" t="str">
        <f>HYPERLINK("http://stackoverflow.com/users/6337559", "谢宇石")</f>
        <v>谢宇石</v>
      </c>
      <c r="D9285" t="s">
        <v>7</v>
      </c>
      <c r="E9285">
        <v>1</v>
      </c>
    </row>
    <row r="9286" spans="1:5" x14ac:dyDescent="0.25">
      <c r="A9286">
        <v>9285</v>
      </c>
      <c r="B9286">
        <v>8117843</v>
      </c>
      <c r="C9286" s="1" t="str">
        <f>HYPERLINK("http://stackoverflow.com/users/8117843", "Rancho Li")</f>
        <v>Rancho Li</v>
      </c>
      <c r="D9286" t="s">
        <v>5</v>
      </c>
      <c r="E9286">
        <v>1</v>
      </c>
    </row>
    <row r="9287" spans="1:5" x14ac:dyDescent="0.25">
      <c r="A9287">
        <v>9286</v>
      </c>
      <c r="B9287">
        <v>8117932</v>
      </c>
      <c r="C9287" s="1" t="str">
        <f>HYPERLINK("http://stackoverflow.com/users/8117932", "范晋豪")</f>
        <v>范晋豪</v>
      </c>
      <c r="D9287" t="s">
        <v>236</v>
      </c>
      <c r="E9287">
        <v>1</v>
      </c>
    </row>
    <row r="9288" spans="1:5" x14ac:dyDescent="0.25">
      <c r="A9288">
        <v>9287</v>
      </c>
      <c r="B9288">
        <v>2771673</v>
      </c>
      <c r="C9288" s="1" t="str">
        <f>HYPERLINK("http://stackoverflow.com/users/2771673", "wltongxing")</f>
        <v>wltongxing</v>
      </c>
      <c r="D9288" t="s">
        <v>4</v>
      </c>
      <c r="E9288">
        <v>1</v>
      </c>
    </row>
    <row r="9289" spans="1:5" x14ac:dyDescent="0.25">
      <c r="A9289">
        <v>9288</v>
      </c>
      <c r="B9289">
        <v>594911</v>
      </c>
      <c r="C9289" s="1" t="str">
        <f>HYPERLINK("http://stackoverflow.com/users/594911", "panda")</f>
        <v>panda</v>
      </c>
      <c r="D9289" t="s">
        <v>12</v>
      </c>
      <c r="E9289">
        <v>1</v>
      </c>
    </row>
    <row r="9290" spans="1:5" x14ac:dyDescent="0.25">
      <c r="A9290">
        <v>9289</v>
      </c>
      <c r="B9290">
        <v>8117692</v>
      </c>
      <c r="C9290" s="1" t="str">
        <f>HYPERLINK("http://stackoverflow.com/users/8117692", "Alan Turing")</f>
        <v>Alan Turing</v>
      </c>
      <c r="D9290" t="s">
        <v>505</v>
      </c>
      <c r="E9290">
        <v>1</v>
      </c>
    </row>
    <row r="9291" spans="1:5" x14ac:dyDescent="0.25">
      <c r="A9291">
        <v>9290</v>
      </c>
      <c r="B9291">
        <v>8117708</v>
      </c>
      <c r="C9291" s="1" t="str">
        <f>HYPERLINK("http://stackoverflow.com/users/8117708", "xukai")</f>
        <v>xukai</v>
      </c>
      <c r="D9291" t="s">
        <v>4</v>
      </c>
      <c r="E9291">
        <v>1</v>
      </c>
    </row>
    <row r="9292" spans="1:5" x14ac:dyDescent="0.25">
      <c r="A9292">
        <v>9291</v>
      </c>
      <c r="B9292">
        <v>9923919</v>
      </c>
      <c r="C9292" s="1" t="str">
        <f>HYPERLINK("http://stackoverflow.com/users/9923919", "Jaon Micle")</f>
        <v>Jaon Micle</v>
      </c>
      <c r="D9292" t="s">
        <v>33</v>
      </c>
      <c r="E9292">
        <v>1</v>
      </c>
    </row>
    <row r="9293" spans="1:5" x14ac:dyDescent="0.25">
      <c r="A9293">
        <v>9292</v>
      </c>
      <c r="B9293">
        <v>9923948</v>
      </c>
      <c r="C9293" s="1" t="str">
        <f>HYPERLINK("http://stackoverflow.com/users/9923948", "Kent")</f>
        <v>Kent</v>
      </c>
      <c r="D9293" t="s">
        <v>25</v>
      </c>
      <c r="E9293">
        <v>1</v>
      </c>
    </row>
    <row r="9294" spans="1:5" x14ac:dyDescent="0.25">
      <c r="A9294">
        <v>9293</v>
      </c>
      <c r="B9294">
        <v>2764182</v>
      </c>
      <c r="C9294" s="1" t="str">
        <f>HYPERLINK("http://stackoverflow.com/users/2764182", "Hexcles")</f>
        <v>Hexcles</v>
      </c>
      <c r="D9294" t="s">
        <v>12</v>
      </c>
      <c r="E9294">
        <v>1</v>
      </c>
    </row>
    <row r="9295" spans="1:5" x14ac:dyDescent="0.25">
      <c r="A9295">
        <v>9294</v>
      </c>
      <c r="B9295">
        <v>2764412</v>
      </c>
      <c r="C9295" s="1" t="str">
        <f>HYPERLINK("http://stackoverflow.com/users/2764412", "ericyong")</f>
        <v>ericyong</v>
      </c>
      <c r="D9295" t="s">
        <v>22</v>
      </c>
      <c r="E9295">
        <v>1</v>
      </c>
    </row>
    <row r="9296" spans="1:5" x14ac:dyDescent="0.25">
      <c r="A9296">
        <v>9295</v>
      </c>
      <c r="B9296">
        <v>2764507</v>
      </c>
      <c r="C9296" s="1" t="str">
        <f>HYPERLINK("http://stackoverflow.com/users/2764507", "Ray Zhang")</f>
        <v>Ray Zhang</v>
      </c>
      <c r="D9296" t="s">
        <v>5</v>
      </c>
      <c r="E9296">
        <v>1</v>
      </c>
    </row>
    <row r="9297" spans="1:5" x14ac:dyDescent="0.25">
      <c r="A9297">
        <v>9296</v>
      </c>
      <c r="B9297">
        <v>6318045</v>
      </c>
      <c r="C9297" s="1" t="str">
        <f>HYPERLINK("http://stackoverflow.com/users/6318045", "胡春源")</f>
        <v>胡春源</v>
      </c>
      <c r="D9297" t="s">
        <v>5</v>
      </c>
      <c r="E9297">
        <v>1</v>
      </c>
    </row>
    <row r="9298" spans="1:5" x14ac:dyDescent="0.25">
      <c r="A9298">
        <v>9297</v>
      </c>
      <c r="B9298">
        <v>6318192</v>
      </c>
      <c r="C9298" s="1" t="str">
        <f>HYPERLINK("http://stackoverflow.com/users/6318192", "曾双洁")</f>
        <v>曾双洁</v>
      </c>
      <c r="D9298" t="s">
        <v>25</v>
      </c>
      <c r="E9298">
        <v>1</v>
      </c>
    </row>
    <row r="9299" spans="1:5" x14ac:dyDescent="0.25">
      <c r="A9299">
        <v>9298</v>
      </c>
      <c r="B9299">
        <v>6318425</v>
      </c>
      <c r="C9299" s="1" t="str">
        <f>HYPERLINK("http://stackoverflow.com/users/6318425", "ICEWhite")</f>
        <v>ICEWhite</v>
      </c>
      <c r="D9299" t="s">
        <v>28</v>
      </c>
      <c r="E9299">
        <v>1</v>
      </c>
    </row>
    <row r="9300" spans="1:5" x14ac:dyDescent="0.25">
      <c r="A9300">
        <v>9299</v>
      </c>
      <c r="B9300">
        <v>9919824</v>
      </c>
      <c r="C9300" s="1" t="str">
        <f>HYPERLINK("http://stackoverflow.com/users/9919824", "Sssjm")</f>
        <v>Sssjm</v>
      </c>
      <c r="D9300" t="s">
        <v>4</v>
      </c>
      <c r="E9300">
        <v>1</v>
      </c>
    </row>
    <row r="9301" spans="1:5" x14ac:dyDescent="0.25">
      <c r="A9301">
        <v>9300</v>
      </c>
      <c r="B9301">
        <v>9920574</v>
      </c>
      <c r="C9301" s="1" t="str">
        <f>HYPERLINK("http://stackoverflow.com/users/9920574", "Shakik All Mamun")</f>
        <v>Shakik All Mamun</v>
      </c>
      <c r="D9301" t="s">
        <v>16</v>
      </c>
      <c r="E9301">
        <v>1</v>
      </c>
    </row>
    <row r="9302" spans="1:5" x14ac:dyDescent="0.25">
      <c r="A9302">
        <v>9301</v>
      </c>
      <c r="B9302">
        <v>8106010</v>
      </c>
      <c r="C9302" s="1" t="str">
        <f>HYPERLINK("http://stackoverflow.com/users/8106010", "Rayio")</f>
        <v>Rayio</v>
      </c>
      <c r="D9302" t="s">
        <v>131</v>
      </c>
      <c r="E9302">
        <v>1</v>
      </c>
    </row>
    <row r="9303" spans="1:5" x14ac:dyDescent="0.25">
      <c r="A9303">
        <v>9302</v>
      </c>
      <c r="B9303">
        <v>8106088</v>
      </c>
      <c r="C9303" s="1" t="str">
        <f>HYPERLINK("http://stackoverflow.com/users/8106088", "L.Shirdon")</f>
        <v>L.Shirdon</v>
      </c>
      <c r="D9303" t="s">
        <v>506</v>
      </c>
      <c r="E9303">
        <v>1</v>
      </c>
    </row>
    <row r="9304" spans="1:5" x14ac:dyDescent="0.25">
      <c r="A9304">
        <v>9303</v>
      </c>
      <c r="B9304">
        <v>8114051</v>
      </c>
      <c r="C9304" s="1" t="str">
        <f>HYPERLINK("http://stackoverflow.com/users/8114051", "y1seve")</f>
        <v>y1seve</v>
      </c>
      <c r="D9304" t="s">
        <v>7</v>
      </c>
      <c r="E9304">
        <v>1</v>
      </c>
    </row>
    <row r="9305" spans="1:5" x14ac:dyDescent="0.25">
      <c r="A9305">
        <v>9304</v>
      </c>
      <c r="B9305">
        <v>9928808</v>
      </c>
      <c r="C9305" s="1" t="str">
        <f>HYPERLINK("http://stackoverflow.com/users/9928808", "IvenHadoop")</f>
        <v>IvenHadoop</v>
      </c>
      <c r="D9305" t="s">
        <v>5</v>
      </c>
      <c r="E9305">
        <v>1</v>
      </c>
    </row>
    <row r="9306" spans="1:5" x14ac:dyDescent="0.25">
      <c r="A9306">
        <v>9305</v>
      </c>
      <c r="B9306">
        <v>4599352</v>
      </c>
      <c r="C9306" s="1" t="str">
        <f>HYPERLINK("http://stackoverflow.com/users/4599352", "Leo Fan")</f>
        <v>Leo Fan</v>
      </c>
      <c r="D9306" t="s">
        <v>7</v>
      </c>
      <c r="E9306">
        <v>1</v>
      </c>
    </row>
    <row r="9307" spans="1:5" x14ac:dyDescent="0.25">
      <c r="A9307">
        <v>9306</v>
      </c>
      <c r="B9307">
        <v>2756596</v>
      </c>
      <c r="C9307" s="1" t="str">
        <f>HYPERLINK("http://stackoverflow.com/users/2756596", "ray")</f>
        <v>ray</v>
      </c>
      <c r="D9307" t="s">
        <v>37</v>
      </c>
      <c r="E9307">
        <v>1</v>
      </c>
    </row>
    <row r="9308" spans="1:5" x14ac:dyDescent="0.25">
      <c r="A9308">
        <v>9307</v>
      </c>
      <c r="B9308">
        <v>2756630</v>
      </c>
      <c r="C9308" s="1" t="str">
        <f>HYPERLINK("http://stackoverflow.com/users/2756630", "磊神仙")</f>
        <v>磊神仙</v>
      </c>
      <c r="D9308" t="s">
        <v>5</v>
      </c>
      <c r="E9308">
        <v>1</v>
      </c>
    </row>
    <row r="9309" spans="1:5" x14ac:dyDescent="0.25">
      <c r="A9309">
        <v>9308</v>
      </c>
      <c r="B9309">
        <v>8109453</v>
      </c>
      <c r="C9309" s="1" t="str">
        <f>HYPERLINK("http://stackoverflow.com/users/8109453", "Yang C.Q.")</f>
        <v>Yang C.Q.</v>
      </c>
      <c r="D9309" t="s">
        <v>52</v>
      </c>
      <c r="E9309">
        <v>1</v>
      </c>
    </row>
    <row r="9310" spans="1:5" x14ac:dyDescent="0.25">
      <c r="A9310">
        <v>9309</v>
      </c>
      <c r="B9310">
        <v>2767760</v>
      </c>
      <c r="C9310" s="1" t="str">
        <f>HYPERLINK("http://stackoverflow.com/users/2767760", "devmaniac")</f>
        <v>devmaniac</v>
      </c>
      <c r="D9310" t="s">
        <v>5</v>
      </c>
      <c r="E9310">
        <v>1</v>
      </c>
    </row>
    <row r="9311" spans="1:5" x14ac:dyDescent="0.25">
      <c r="A9311">
        <v>9310</v>
      </c>
      <c r="B9311">
        <v>593204</v>
      </c>
      <c r="C9311" s="1" t="str">
        <f>HYPERLINK("http://stackoverflow.com/users/593204", "bit3725")</f>
        <v>bit3725</v>
      </c>
      <c r="D9311" t="s">
        <v>5</v>
      </c>
      <c r="E9311">
        <v>1</v>
      </c>
    </row>
    <row r="9312" spans="1:5" x14ac:dyDescent="0.25">
      <c r="A9312">
        <v>9311</v>
      </c>
      <c r="B9312">
        <v>594743</v>
      </c>
      <c r="C9312" s="1" t="str">
        <f>HYPERLINK("http://stackoverflow.com/users/594743", "fuzl")</f>
        <v>fuzl</v>
      </c>
      <c r="D9312" t="s">
        <v>5</v>
      </c>
      <c r="E9312">
        <v>1</v>
      </c>
    </row>
    <row r="9313" spans="1:5" x14ac:dyDescent="0.25">
      <c r="A9313">
        <v>9312</v>
      </c>
      <c r="B9313">
        <v>6384090</v>
      </c>
      <c r="C9313" s="1" t="str">
        <f>HYPERLINK("http://stackoverflow.com/users/6384090", "Gorden")</f>
        <v>Gorden</v>
      </c>
      <c r="D9313" t="s">
        <v>4</v>
      </c>
      <c r="E9313">
        <v>1</v>
      </c>
    </row>
    <row r="9314" spans="1:5" x14ac:dyDescent="0.25">
      <c r="A9314">
        <v>9313</v>
      </c>
      <c r="B9314">
        <v>6384182</v>
      </c>
      <c r="C9314" s="1" t="str">
        <f>HYPERLINK("http://stackoverflow.com/users/6384182", "xiaomizi")</f>
        <v>xiaomizi</v>
      </c>
      <c r="D9314" t="s">
        <v>5</v>
      </c>
      <c r="E9314">
        <v>1</v>
      </c>
    </row>
    <row r="9315" spans="1:5" x14ac:dyDescent="0.25">
      <c r="A9315">
        <v>9314</v>
      </c>
      <c r="B9315">
        <v>8177365</v>
      </c>
      <c r="C9315" s="1" t="str">
        <f>HYPERLINK("http://stackoverflow.com/users/8177365", "zhengyi li")</f>
        <v>zhengyi li</v>
      </c>
      <c r="D9315" t="s">
        <v>52</v>
      </c>
      <c r="E9315">
        <v>1</v>
      </c>
    </row>
    <row r="9316" spans="1:5" x14ac:dyDescent="0.25">
      <c r="A9316">
        <v>9315</v>
      </c>
      <c r="B9316">
        <v>8177851</v>
      </c>
      <c r="C9316" s="1" t="str">
        <f>HYPERLINK("http://stackoverflow.com/users/8177851", "Wenfeng Yu")</f>
        <v>Wenfeng Yu</v>
      </c>
      <c r="D9316" t="s">
        <v>25</v>
      </c>
      <c r="E9316">
        <v>1</v>
      </c>
    </row>
    <row r="9317" spans="1:5" x14ac:dyDescent="0.25">
      <c r="A9317">
        <v>9316</v>
      </c>
      <c r="B9317">
        <v>6380578</v>
      </c>
      <c r="C9317" s="1" t="str">
        <f>HYPERLINK("http://stackoverflow.com/users/6380578", "Bitzo")</f>
        <v>Bitzo</v>
      </c>
      <c r="D9317" t="s">
        <v>37</v>
      </c>
      <c r="E9317">
        <v>1</v>
      </c>
    </row>
    <row r="9318" spans="1:5" x14ac:dyDescent="0.25">
      <c r="A9318">
        <v>9317</v>
      </c>
      <c r="B9318">
        <v>681425</v>
      </c>
      <c r="C9318" s="1" t="str">
        <f>HYPERLINK("http://stackoverflow.com/users/681425", "yoyicue")</f>
        <v>yoyicue</v>
      </c>
      <c r="D9318" t="s">
        <v>5</v>
      </c>
      <c r="E9318">
        <v>1</v>
      </c>
    </row>
    <row r="9319" spans="1:5" x14ac:dyDescent="0.25">
      <c r="A9319">
        <v>9318</v>
      </c>
      <c r="B9319">
        <v>669069</v>
      </c>
      <c r="C9319" s="1" t="str">
        <f>HYPERLINK("http://stackoverflow.com/users/669069", "Nobuta")</f>
        <v>Nobuta</v>
      </c>
      <c r="D9319" t="s">
        <v>22</v>
      </c>
      <c r="E9319">
        <v>1</v>
      </c>
    </row>
    <row r="9320" spans="1:5" x14ac:dyDescent="0.25">
      <c r="A9320">
        <v>9319</v>
      </c>
      <c r="B9320">
        <v>2813296</v>
      </c>
      <c r="C9320" s="1" t="str">
        <f>HYPERLINK("http://stackoverflow.com/users/2813296", "jimlee1982")</f>
        <v>jimlee1982</v>
      </c>
      <c r="D9320" t="s">
        <v>4</v>
      </c>
      <c r="E9320">
        <v>1</v>
      </c>
    </row>
    <row r="9321" spans="1:5" x14ac:dyDescent="0.25">
      <c r="A9321">
        <v>9320</v>
      </c>
      <c r="B9321">
        <v>2813366</v>
      </c>
      <c r="C9321" s="1" t="str">
        <f>HYPERLINK("http://stackoverflow.com/users/2813366", "Vitas Wang")</f>
        <v>Vitas Wang</v>
      </c>
      <c r="D9321" t="s">
        <v>5</v>
      </c>
      <c r="E9321">
        <v>1</v>
      </c>
    </row>
    <row r="9322" spans="1:5" x14ac:dyDescent="0.25">
      <c r="A9322">
        <v>9321</v>
      </c>
      <c r="B9322">
        <v>9983710</v>
      </c>
      <c r="C9322" s="1" t="str">
        <f>HYPERLINK("http://stackoverflow.com/users/9983710", "xu zou")</f>
        <v>xu zou</v>
      </c>
      <c r="D9322" t="s">
        <v>5</v>
      </c>
      <c r="E9322">
        <v>1</v>
      </c>
    </row>
    <row r="9323" spans="1:5" x14ac:dyDescent="0.25">
      <c r="A9323">
        <v>9322</v>
      </c>
      <c r="B9323">
        <v>9983851</v>
      </c>
      <c r="C9323" s="1" t="str">
        <f>HYPERLINK("http://stackoverflow.com/users/9983851", "user9983851")</f>
        <v>user9983851</v>
      </c>
      <c r="D9323" t="s">
        <v>28</v>
      </c>
      <c r="E9323">
        <v>1</v>
      </c>
    </row>
    <row r="9324" spans="1:5" x14ac:dyDescent="0.25">
      <c r="A9324">
        <v>9323</v>
      </c>
      <c r="B9324">
        <v>9984029</v>
      </c>
      <c r="C9324" s="1" t="str">
        <f>HYPERLINK("http://stackoverflow.com/users/9984029", "Will Chang")</f>
        <v>Will Chang</v>
      </c>
      <c r="D9324" t="s">
        <v>86</v>
      </c>
      <c r="E9324">
        <v>1</v>
      </c>
    </row>
    <row r="9325" spans="1:5" x14ac:dyDescent="0.25">
      <c r="A9325">
        <v>9324</v>
      </c>
      <c r="B9325">
        <v>8168983</v>
      </c>
      <c r="C9325" s="1" t="str">
        <f>HYPERLINK("http://stackoverflow.com/users/8168983", "Saito")</f>
        <v>Saito</v>
      </c>
      <c r="D9325" t="s">
        <v>131</v>
      </c>
      <c r="E9325">
        <v>1</v>
      </c>
    </row>
    <row r="9326" spans="1:5" x14ac:dyDescent="0.25">
      <c r="A9326">
        <v>9325</v>
      </c>
      <c r="B9326">
        <v>8169279</v>
      </c>
      <c r="C9326" s="1" t="str">
        <f>HYPERLINK("http://stackoverflow.com/users/8169279", "Tony.Meng")</f>
        <v>Tony.Meng</v>
      </c>
      <c r="D9326" t="s">
        <v>4</v>
      </c>
      <c r="E9326">
        <v>1</v>
      </c>
    </row>
    <row r="9327" spans="1:5" x14ac:dyDescent="0.25">
      <c r="A9327">
        <v>9326</v>
      </c>
      <c r="B9327">
        <v>8169356</v>
      </c>
      <c r="C9327" s="1" t="str">
        <f>HYPERLINK("http://stackoverflow.com/users/8169356", "Zhanping Zhuang")</f>
        <v>Zhanping Zhuang</v>
      </c>
      <c r="D9327" t="s">
        <v>55</v>
      </c>
      <c r="E9327">
        <v>1</v>
      </c>
    </row>
    <row r="9328" spans="1:5" x14ac:dyDescent="0.25">
      <c r="A9328">
        <v>9327</v>
      </c>
      <c r="B9328">
        <v>8169433</v>
      </c>
      <c r="C9328" s="1" t="str">
        <f>HYPERLINK("http://stackoverflow.com/users/8169433", "Steven H")</f>
        <v>Steven H</v>
      </c>
      <c r="D9328" t="s">
        <v>28</v>
      </c>
      <c r="E9328">
        <v>1</v>
      </c>
    </row>
    <row r="9329" spans="1:5" x14ac:dyDescent="0.25">
      <c r="A9329">
        <v>9328</v>
      </c>
      <c r="B9329">
        <v>8169818</v>
      </c>
      <c r="C9329" s="1" t="str">
        <f>HYPERLINK("http://stackoverflow.com/users/8169818", "Jasonc_85")</f>
        <v>Jasonc_85</v>
      </c>
      <c r="D9329" t="s">
        <v>5</v>
      </c>
      <c r="E9329">
        <v>1</v>
      </c>
    </row>
    <row r="9330" spans="1:5" x14ac:dyDescent="0.25">
      <c r="A9330">
        <v>9329</v>
      </c>
      <c r="B9330">
        <v>2802049</v>
      </c>
      <c r="C9330" s="1" t="str">
        <f>HYPERLINK("http://stackoverflow.com/users/2802049", "HungryAnt")</f>
        <v>HungryAnt</v>
      </c>
      <c r="D9330" t="s">
        <v>4</v>
      </c>
      <c r="E9330">
        <v>1</v>
      </c>
    </row>
    <row r="9331" spans="1:5" x14ac:dyDescent="0.25">
      <c r="A9331">
        <v>9330</v>
      </c>
      <c r="B9331">
        <v>6362099</v>
      </c>
      <c r="C9331" s="1" t="str">
        <f>HYPERLINK("http://stackoverflow.com/users/6362099", "Alex Zhao")</f>
        <v>Alex Zhao</v>
      </c>
      <c r="D9331" t="s">
        <v>5</v>
      </c>
      <c r="E9331">
        <v>1</v>
      </c>
    </row>
    <row r="9332" spans="1:5" x14ac:dyDescent="0.25">
      <c r="A9332">
        <v>9331</v>
      </c>
      <c r="B9332">
        <v>667289</v>
      </c>
      <c r="C9332" s="1" t="str">
        <f>HYPERLINK("http://stackoverflow.com/users/667289", "Sepher")</f>
        <v>Sepher</v>
      </c>
      <c r="D9332" t="s">
        <v>5</v>
      </c>
      <c r="E9332">
        <v>1</v>
      </c>
    </row>
    <row r="9333" spans="1:5" x14ac:dyDescent="0.25">
      <c r="A9333">
        <v>9332</v>
      </c>
      <c r="B9333">
        <v>2805489</v>
      </c>
      <c r="C9333" s="1" t="str">
        <f>HYPERLINK("http://stackoverflow.com/users/2805489", "Vincent Chin")</f>
        <v>Vincent Chin</v>
      </c>
      <c r="D9333" t="s">
        <v>8</v>
      </c>
      <c r="E9333">
        <v>1</v>
      </c>
    </row>
    <row r="9334" spans="1:5" x14ac:dyDescent="0.25">
      <c r="A9334">
        <v>9333</v>
      </c>
      <c r="B9334">
        <v>2805666</v>
      </c>
      <c r="C9334" s="1" t="str">
        <f>HYPERLINK("http://stackoverflow.com/users/2805666", "DominoEffect")</f>
        <v>DominoEffect</v>
      </c>
      <c r="D9334" t="s">
        <v>37</v>
      </c>
      <c r="E9334">
        <v>1</v>
      </c>
    </row>
    <row r="9335" spans="1:5" x14ac:dyDescent="0.25">
      <c r="A9335">
        <v>9334</v>
      </c>
      <c r="B9335">
        <v>2805675</v>
      </c>
      <c r="C9335" s="1" t="str">
        <f>HYPERLINK("http://stackoverflow.com/users/2805675", "Charles")</f>
        <v>Charles</v>
      </c>
      <c r="D9335" t="s">
        <v>4</v>
      </c>
      <c r="E9335">
        <v>1</v>
      </c>
    </row>
    <row r="9336" spans="1:5" x14ac:dyDescent="0.25">
      <c r="A9336">
        <v>9335</v>
      </c>
      <c r="B9336">
        <v>6364869</v>
      </c>
      <c r="C9336" s="1" t="str">
        <f>HYPERLINK("http://stackoverflow.com/users/6364869", "Jerry Chen")</f>
        <v>Jerry Chen</v>
      </c>
      <c r="D9336" t="s">
        <v>4</v>
      </c>
      <c r="E9336">
        <v>1</v>
      </c>
    </row>
    <row r="9337" spans="1:5" x14ac:dyDescent="0.25">
      <c r="A9337">
        <v>9336</v>
      </c>
      <c r="B9337">
        <v>8157438</v>
      </c>
      <c r="C9337" s="1" t="str">
        <f>HYPERLINK("http://stackoverflow.com/users/8157438", "PefferCai")</f>
        <v>PefferCai</v>
      </c>
      <c r="D9337" t="s">
        <v>16</v>
      </c>
      <c r="E9337">
        <v>1</v>
      </c>
    </row>
    <row r="9338" spans="1:5" x14ac:dyDescent="0.25">
      <c r="A9338">
        <v>9337</v>
      </c>
      <c r="B9338">
        <v>8157454</v>
      </c>
      <c r="C9338" s="1" t="str">
        <f>HYPERLINK("http://stackoverflow.com/users/8157454", "Meng")</f>
        <v>Meng</v>
      </c>
      <c r="D9338" t="s">
        <v>4</v>
      </c>
      <c r="E9338">
        <v>1</v>
      </c>
    </row>
    <row r="9339" spans="1:5" x14ac:dyDescent="0.25">
      <c r="A9339">
        <v>9338</v>
      </c>
      <c r="B9339">
        <v>2801645</v>
      </c>
      <c r="C9339" s="1" t="str">
        <f>HYPERLINK("http://stackoverflow.com/users/2801645", "Charles Hou")</f>
        <v>Charles Hou</v>
      </c>
      <c r="D9339" t="s">
        <v>4</v>
      </c>
      <c r="E9339">
        <v>1</v>
      </c>
    </row>
    <row r="9340" spans="1:5" x14ac:dyDescent="0.25">
      <c r="A9340">
        <v>9339</v>
      </c>
      <c r="B9340">
        <v>8152917</v>
      </c>
      <c r="C9340" s="1" t="str">
        <f>HYPERLINK("http://stackoverflow.com/users/8152917", "J.Jackie")</f>
        <v>J.Jackie</v>
      </c>
      <c r="D9340" t="s">
        <v>4</v>
      </c>
      <c r="E9340">
        <v>1</v>
      </c>
    </row>
    <row r="9341" spans="1:5" x14ac:dyDescent="0.25">
      <c r="A9341">
        <v>9340</v>
      </c>
      <c r="B9341">
        <v>6367704</v>
      </c>
      <c r="C9341" s="1" t="str">
        <f>HYPERLINK("http://stackoverflow.com/users/6367704", "huqiwen")</f>
        <v>huqiwen</v>
      </c>
      <c r="D9341" t="s">
        <v>242</v>
      </c>
      <c r="E9341">
        <v>1</v>
      </c>
    </row>
    <row r="9342" spans="1:5" x14ac:dyDescent="0.25">
      <c r="A9342">
        <v>9341</v>
      </c>
      <c r="B9342">
        <v>6367770</v>
      </c>
      <c r="C9342" s="1" t="str">
        <f>HYPERLINK("http://stackoverflow.com/users/6367770", "Anderson")</f>
        <v>Anderson</v>
      </c>
      <c r="D9342" t="s">
        <v>55</v>
      </c>
      <c r="E9342">
        <v>1</v>
      </c>
    </row>
    <row r="9343" spans="1:5" x14ac:dyDescent="0.25">
      <c r="A9343">
        <v>9342</v>
      </c>
      <c r="B9343">
        <v>8160517</v>
      </c>
      <c r="C9343" s="1" t="str">
        <f>HYPERLINK("http://stackoverflow.com/users/8160517", "Ryan Yu")</f>
        <v>Ryan Yu</v>
      </c>
      <c r="D9343" t="s">
        <v>5</v>
      </c>
      <c r="E9343">
        <v>1</v>
      </c>
    </row>
    <row r="9344" spans="1:5" x14ac:dyDescent="0.25">
      <c r="A9344">
        <v>9343</v>
      </c>
      <c r="B9344">
        <v>8160627</v>
      </c>
      <c r="C9344" s="1" t="str">
        <f>HYPERLINK("http://stackoverflow.com/users/8160627", "Angelia")</f>
        <v>Angelia</v>
      </c>
      <c r="D9344" t="s">
        <v>5</v>
      </c>
      <c r="E9344">
        <v>1</v>
      </c>
    </row>
    <row r="9345" spans="1:5" x14ac:dyDescent="0.25">
      <c r="A9345">
        <v>9344</v>
      </c>
      <c r="B9345">
        <v>8160697</v>
      </c>
      <c r="C9345" s="1" t="str">
        <f>HYPERLINK("http://stackoverflow.com/users/8160697", "Tino")</f>
        <v>Tino</v>
      </c>
      <c r="D9345" t="s">
        <v>5</v>
      </c>
      <c r="E9345">
        <v>1</v>
      </c>
    </row>
    <row r="9346" spans="1:5" x14ac:dyDescent="0.25">
      <c r="A9346">
        <v>9345</v>
      </c>
      <c r="B9346">
        <v>8160744</v>
      </c>
      <c r="C9346" s="1" t="str">
        <f>HYPERLINK("http://stackoverflow.com/users/8160744", "C.Joe")</f>
        <v>C.Joe</v>
      </c>
      <c r="D9346" t="s">
        <v>16</v>
      </c>
      <c r="E9346">
        <v>1</v>
      </c>
    </row>
    <row r="9347" spans="1:5" x14ac:dyDescent="0.25">
      <c r="A9347">
        <v>9346</v>
      </c>
      <c r="B9347">
        <v>4646663</v>
      </c>
      <c r="C9347" s="1" t="str">
        <f>HYPERLINK("http://stackoverflow.com/users/4646663", "Takashiro")</f>
        <v>Takashiro</v>
      </c>
      <c r="D9347" t="s">
        <v>12</v>
      </c>
      <c r="E9347">
        <v>1</v>
      </c>
    </row>
    <row r="9348" spans="1:5" x14ac:dyDescent="0.25">
      <c r="A9348">
        <v>9347</v>
      </c>
      <c r="B9348">
        <v>9957752</v>
      </c>
      <c r="C9348" s="1" t="str">
        <f>HYPERLINK("http://stackoverflow.com/users/9957752", "user9957752")</f>
        <v>user9957752</v>
      </c>
      <c r="D9348" t="s">
        <v>28</v>
      </c>
      <c r="E9348">
        <v>1</v>
      </c>
    </row>
    <row r="9349" spans="1:5" x14ac:dyDescent="0.25">
      <c r="A9349">
        <v>9348</v>
      </c>
      <c r="B9349">
        <v>9957661</v>
      </c>
      <c r="C9349" s="1" t="str">
        <f>HYPERLINK("http://stackoverflow.com/users/9957661", "AndyChan")</f>
        <v>AndyChan</v>
      </c>
      <c r="D9349" t="s">
        <v>21</v>
      </c>
      <c r="E9349">
        <v>1</v>
      </c>
    </row>
    <row r="9350" spans="1:5" x14ac:dyDescent="0.25">
      <c r="A9350">
        <v>9349</v>
      </c>
      <c r="B9350">
        <v>634141</v>
      </c>
      <c r="C9350" s="1" t="str">
        <f>HYPERLINK("http://stackoverflow.com/users/634141", "yonggao")</f>
        <v>yonggao</v>
      </c>
      <c r="D9350" t="s">
        <v>4</v>
      </c>
      <c r="E9350">
        <v>1</v>
      </c>
    </row>
    <row r="9351" spans="1:5" x14ac:dyDescent="0.25">
      <c r="A9351">
        <v>9350</v>
      </c>
      <c r="B9351">
        <v>6353883</v>
      </c>
      <c r="C9351" s="1" t="str">
        <f>HYPERLINK("http://stackoverflow.com/users/6353883", "xhpakill")</f>
        <v>xhpakill</v>
      </c>
      <c r="D9351" t="s">
        <v>5</v>
      </c>
      <c r="E9351">
        <v>1</v>
      </c>
    </row>
    <row r="9352" spans="1:5" x14ac:dyDescent="0.25">
      <c r="A9352">
        <v>9351</v>
      </c>
      <c r="B9352">
        <v>4633328</v>
      </c>
      <c r="C9352" s="1" t="str">
        <f>HYPERLINK("http://stackoverflow.com/users/4633328", "Justin")</f>
        <v>Justin</v>
      </c>
      <c r="D9352" t="s">
        <v>21</v>
      </c>
      <c r="E9352">
        <v>1</v>
      </c>
    </row>
    <row r="9353" spans="1:5" x14ac:dyDescent="0.25">
      <c r="A9353">
        <v>9352</v>
      </c>
      <c r="B9353">
        <v>2797618</v>
      </c>
      <c r="C9353" s="1" t="str">
        <f>HYPERLINK("http://stackoverflow.com/users/2797618", "SunLnx")</f>
        <v>SunLnx</v>
      </c>
      <c r="D9353" t="s">
        <v>22</v>
      </c>
      <c r="E9353">
        <v>1</v>
      </c>
    </row>
    <row r="9354" spans="1:5" x14ac:dyDescent="0.25">
      <c r="A9354">
        <v>9353</v>
      </c>
      <c r="B9354">
        <v>2798023</v>
      </c>
      <c r="C9354" s="1" t="str">
        <f>HYPERLINK("http://stackoverflow.com/users/2798023", "Jian Yang")</f>
        <v>Jian Yang</v>
      </c>
      <c r="D9354" t="s">
        <v>5</v>
      </c>
      <c r="E9354">
        <v>1</v>
      </c>
    </row>
    <row r="9355" spans="1:5" x14ac:dyDescent="0.25">
      <c r="A9355">
        <v>9354</v>
      </c>
      <c r="B9355">
        <v>8063767</v>
      </c>
      <c r="C9355" s="1" t="str">
        <f>HYPERLINK("http://stackoverflow.com/users/8063767", "WaterAsh")</f>
        <v>WaterAsh</v>
      </c>
      <c r="D9355" t="s">
        <v>4</v>
      </c>
      <c r="E9355">
        <v>1</v>
      </c>
    </row>
    <row r="9356" spans="1:5" x14ac:dyDescent="0.25">
      <c r="A9356">
        <v>9355</v>
      </c>
      <c r="B9356">
        <v>501568</v>
      </c>
      <c r="C9356" s="1" t="str">
        <f>HYPERLINK("http://stackoverflow.com/users/501568", "zengzpi")</f>
        <v>zengzpi</v>
      </c>
      <c r="D9356" t="s">
        <v>4</v>
      </c>
      <c r="E9356">
        <v>1</v>
      </c>
    </row>
    <row r="9357" spans="1:5" x14ac:dyDescent="0.25">
      <c r="A9357">
        <v>9356</v>
      </c>
      <c r="B9357">
        <v>2712779</v>
      </c>
      <c r="C9357" s="1" t="str">
        <f>HYPERLINK("http://stackoverflow.com/users/2712779", "Daniel Gong")</f>
        <v>Daniel Gong</v>
      </c>
      <c r="D9357" t="s">
        <v>4</v>
      </c>
      <c r="E9357">
        <v>1</v>
      </c>
    </row>
    <row r="9358" spans="1:5" x14ac:dyDescent="0.25">
      <c r="A9358">
        <v>9357</v>
      </c>
      <c r="B9358">
        <v>2712918</v>
      </c>
      <c r="C9358" s="1" t="str">
        <f>HYPERLINK("http://stackoverflow.com/users/2712918", "dsphoebe")</f>
        <v>dsphoebe</v>
      </c>
      <c r="D9358" t="s">
        <v>5</v>
      </c>
      <c r="E9358">
        <v>1</v>
      </c>
    </row>
    <row r="9359" spans="1:5" x14ac:dyDescent="0.25">
      <c r="A9359">
        <v>9358</v>
      </c>
      <c r="B9359">
        <v>2712923</v>
      </c>
      <c r="C9359" s="1" t="str">
        <f>HYPERLINK("http://stackoverflow.com/users/2712923", "Alan Zhang")</f>
        <v>Alan Zhang</v>
      </c>
      <c r="D9359" t="s">
        <v>253</v>
      </c>
      <c r="E9359">
        <v>1</v>
      </c>
    </row>
    <row r="9360" spans="1:5" x14ac:dyDescent="0.25">
      <c r="A9360">
        <v>9359</v>
      </c>
      <c r="B9360">
        <v>9868803</v>
      </c>
      <c r="C9360" s="1" t="str">
        <f>HYPERLINK("http://stackoverflow.com/users/9868803", "Emily Ning")</f>
        <v>Emily Ning</v>
      </c>
      <c r="D9360" t="s">
        <v>4</v>
      </c>
      <c r="E9360">
        <v>1</v>
      </c>
    </row>
    <row r="9361" spans="1:5" x14ac:dyDescent="0.25">
      <c r="A9361">
        <v>9360</v>
      </c>
      <c r="B9361">
        <v>9868878</v>
      </c>
      <c r="C9361" s="1" t="str">
        <f>HYPERLINK("http://stackoverflow.com/users/9868878", "Hotplay1988")</f>
        <v>Hotplay1988</v>
      </c>
      <c r="D9361" t="s">
        <v>55</v>
      </c>
      <c r="E9361">
        <v>1</v>
      </c>
    </row>
    <row r="9362" spans="1:5" x14ac:dyDescent="0.25">
      <c r="A9362">
        <v>9361</v>
      </c>
      <c r="B9362">
        <v>9869276</v>
      </c>
      <c r="C9362" s="1" t="str">
        <f>HYPERLINK("http://stackoverflow.com/users/9869276", "Tito John")</f>
        <v>Tito John</v>
      </c>
      <c r="D9362" t="s">
        <v>43</v>
      </c>
      <c r="E9362">
        <v>1</v>
      </c>
    </row>
    <row r="9363" spans="1:5" x14ac:dyDescent="0.25">
      <c r="A9363">
        <v>9362</v>
      </c>
      <c r="B9363">
        <v>2688743</v>
      </c>
      <c r="C9363" s="1" t="str">
        <f>HYPERLINK("http://stackoverflow.com/users/2688743", "Vijay Kolanchinathan")</f>
        <v>Vijay Kolanchinathan</v>
      </c>
      <c r="D9363" t="s">
        <v>507</v>
      </c>
      <c r="E9363">
        <v>1</v>
      </c>
    </row>
    <row r="9364" spans="1:5" x14ac:dyDescent="0.25">
      <c r="A9364">
        <v>9363</v>
      </c>
      <c r="B9364">
        <v>9851537</v>
      </c>
      <c r="C9364" s="1" t="str">
        <f>HYPERLINK("http://stackoverflow.com/users/9851537", "martindelophy")</f>
        <v>martindelophy</v>
      </c>
      <c r="D9364" t="s">
        <v>4</v>
      </c>
      <c r="E9364">
        <v>1</v>
      </c>
    </row>
    <row r="9365" spans="1:5" x14ac:dyDescent="0.25">
      <c r="A9365">
        <v>9364</v>
      </c>
      <c r="B9365">
        <v>9851567</v>
      </c>
      <c r="C9365" s="1" t="str">
        <f>HYPERLINK("http://stackoverflow.com/users/9851567", "addika")</f>
        <v>addika</v>
      </c>
      <c r="D9365" t="s">
        <v>28</v>
      </c>
      <c r="E9365">
        <v>1</v>
      </c>
    </row>
    <row r="9366" spans="1:5" x14ac:dyDescent="0.25">
      <c r="A9366">
        <v>9365</v>
      </c>
      <c r="B9366">
        <v>463528</v>
      </c>
      <c r="C9366" s="1" t="str">
        <f>HYPERLINK("http://stackoverflow.com/users/463528", "Rain")</f>
        <v>Rain</v>
      </c>
      <c r="D9366" t="s">
        <v>67</v>
      </c>
      <c r="E9366">
        <v>1</v>
      </c>
    </row>
    <row r="9367" spans="1:5" x14ac:dyDescent="0.25">
      <c r="A9367">
        <v>9366</v>
      </c>
      <c r="B9367">
        <v>2708094</v>
      </c>
      <c r="C9367" s="1" t="str">
        <f>HYPERLINK("http://stackoverflow.com/users/2708094", "weifu")</f>
        <v>weifu</v>
      </c>
      <c r="D9367" t="s">
        <v>57</v>
      </c>
      <c r="E9367">
        <v>1</v>
      </c>
    </row>
    <row r="9368" spans="1:5" x14ac:dyDescent="0.25">
      <c r="A9368">
        <v>9367</v>
      </c>
      <c r="B9368">
        <v>8059131</v>
      </c>
      <c r="C9368" s="1" t="str">
        <f>HYPERLINK("http://stackoverflow.com/users/8059131", "Bowen.C")</f>
        <v>Bowen.C</v>
      </c>
      <c r="D9368" t="s">
        <v>508</v>
      </c>
      <c r="E9368">
        <v>1</v>
      </c>
    </row>
    <row r="9369" spans="1:5" x14ac:dyDescent="0.25">
      <c r="A9369">
        <v>9368</v>
      </c>
      <c r="B9369">
        <v>8059161</v>
      </c>
      <c r="C9369" s="1" t="str">
        <f>HYPERLINK("http://stackoverflow.com/users/8059161", "F.Zijian")</f>
        <v>F.Zijian</v>
      </c>
      <c r="D9369" t="s">
        <v>118</v>
      </c>
      <c r="E9369">
        <v>1</v>
      </c>
    </row>
    <row r="9370" spans="1:5" x14ac:dyDescent="0.25">
      <c r="A9370">
        <v>9369</v>
      </c>
      <c r="B9370">
        <v>8043163</v>
      </c>
      <c r="C9370" s="1" t="str">
        <f>HYPERLINK("http://stackoverflow.com/users/8043163", "冯礼达")</f>
        <v>冯礼达</v>
      </c>
      <c r="D9370" t="s">
        <v>16</v>
      </c>
      <c r="E9370">
        <v>1</v>
      </c>
    </row>
    <row r="9371" spans="1:5" x14ac:dyDescent="0.25">
      <c r="A9371">
        <v>9370</v>
      </c>
      <c r="B9371">
        <v>8043355</v>
      </c>
      <c r="C9371" s="1" t="str">
        <f>HYPERLINK("http://stackoverflow.com/users/8043355", "Severus")</f>
        <v>Severus</v>
      </c>
      <c r="D9371" t="s">
        <v>5</v>
      </c>
      <c r="E9371">
        <v>1</v>
      </c>
    </row>
    <row r="9372" spans="1:5" x14ac:dyDescent="0.25">
      <c r="A9372">
        <v>9371</v>
      </c>
      <c r="B9372">
        <v>8043382</v>
      </c>
      <c r="C9372" s="1" t="str">
        <f>HYPERLINK("http://stackoverflow.com/users/8043382", "Chen Lin")</f>
        <v>Chen Lin</v>
      </c>
      <c r="D9372" t="s">
        <v>7</v>
      </c>
      <c r="E9372">
        <v>1</v>
      </c>
    </row>
    <row r="9373" spans="1:5" x14ac:dyDescent="0.25">
      <c r="A9373">
        <v>9372</v>
      </c>
      <c r="B9373">
        <v>8043419</v>
      </c>
      <c r="C9373" s="1" t="str">
        <f>HYPERLINK("http://stackoverflow.com/users/8043419", "h wang")</f>
        <v>h wang</v>
      </c>
      <c r="D9373" t="s">
        <v>4</v>
      </c>
      <c r="E9373">
        <v>1</v>
      </c>
    </row>
    <row r="9374" spans="1:5" x14ac:dyDescent="0.25">
      <c r="A9374">
        <v>9373</v>
      </c>
      <c r="B9374">
        <v>8043679</v>
      </c>
      <c r="C9374" s="1" t="str">
        <f>HYPERLINK("http://stackoverflow.com/users/8043679", "刘汉晖")</f>
        <v>刘汉晖</v>
      </c>
      <c r="D9374" t="s">
        <v>374</v>
      </c>
      <c r="E9374">
        <v>1</v>
      </c>
    </row>
    <row r="9375" spans="1:5" x14ac:dyDescent="0.25">
      <c r="A9375">
        <v>9374</v>
      </c>
      <c r="B9375">
        <v>8043982</v>
      </c>
      <c r="C9375" s="1" t="str">
        <f>HYPERLINK("http://stackoverflow.com/users/8043982", "L. Luo")</f>
        <v>L. Luo</v>
      </c>
      <c r="D9375" t="s">
        <v>5</v>
      </c>
      <c r="E9375">
        <v>1</v>
      </c>
    </row>
    <row r="9376" spans="1:5" x14ac:dyDescent="0.25">
      <c r="A9376">
        <v>9375</v>
      </c>
      <c r="B9376">
        <v>2685352</v>
      </c>
      <c r="C9376" s="1" t="str">
        <f>HYPERLINK("http://stackoverflow.com/users/2685352", "user2685352")</f>
        <v>user2685352</v>
      </c>
      <c r="D9376" t="s">
        <v>5</v>
      </c>
      <c r="E9376">
        <v>1</v>
      </c>
    </row>
    <row r="9377" spans="1:5" x14ac:dyDescent="0.25">
      <c r="A9377">
        <v>9376</v>
      </c>
      <c r="B9377">
        <v>2685530</v>
      </c>
      <c r="C9377" s="1" t="str">
        <f>HYPERLINK("http://stackoverflow.com/users/2685530", "spark830")</f>
        <v>spark830</v>
      </c>
      <c r="D9377" t="s">
        <v>4</v>
      </c>
      <c r="E9377">
        <v>1</v>
      </c>
    </row>
    <row r="9378" spans="1:5" x14ac:dyDescent="0.25">
      <c r="A9378">
        <v>9377</v>
      </c>
      <c r="B9378">
        <v>2685538</v>
      </c>
      <c r="C9378" s="1" t="str">
        <f>HYPERLINK("http://stackoverflow.com/users/2685538", "Shi Yong")</f>
        <v>Shi Yong</v>
      </c>
      <c r="D9378" t="s">
        <v>12</v>
      </c>
      <c r="E9378">
        <v>1</v>
      </c>
    </row>
    <row r="9379" spans="1:5" x14ac:dyDescent="0.25">
      <c r="A9379">
        <v>9378</v>
      </c>
      <c r="B9379">
        <v>2688078</v>
      </c>
      <c r="C9379" s="1" t="str">
        <f>HYPERLINK("http://stackoverflow.com/users/2688078", "randee")</f>
        <v>randee</v>
      </c>
      <c r="D9379" t="s">
        <v>17</v>
      </c>
      <c r="E9379">
        <v>1</v>
      </c>
    </row>
    <row r="9380" spans="1:5" x14ac:dyDescent="0.25">
      <c r="A9380">
        <v>9379</v>
      </c>
      <c r="B9380">
        <v>8051243</v>
      </c>
      <c r="C9380" s="1" t="str">
        <f>HYPERLINK("http://stackoverflow.com/users/8051243", "shengnian")</f>
        <v>shengnian</v>
      </c>
      <c r="D9380" t="s">
        <v>509</v>
      </c>
      <c r="E9380">
        <v>1</v>
      </c>
    </row>
    <row r="9381" spans="1:5" x14ac:dyDescent="0.25">
      <c r="A9381">
        <v>9380</v>
      </c>
      <c r="B9381">
        <v>8051337</v>
      </c>
      <c r="C9381" s="1" t="str">
        <f>HYPERLINK("http://stackoverflow.com/users/8051337", "star.sky")</f>
        <v>star.sky</v>
      </c>
      <c r="D9381" t="s">
        <v>510</v>
      </c>
      <c r="E9381">
        <v>1</v>
      </c>
    </row>
    <row r="9382" spans="1:5" x14ac:dyDescent="0.25">
      <c r="A9382">
        <v>9381</v>
      </c>
      <c r="B9382">
        <v>9864756</v>
      </c>
      <c r="C9382" s="1" t="str">
        <f>HYPERLINK("http://stackoverflow.com/users/9864756", "Mr. Tharnos")</f>
        <v>Mr. Tharnos</v>
      </c>
      <c r="D9382" t="s">
        <v>5</v>
      </c>
      <c r="E9382">
        <v>1</v>
      </c>
    </row>
    <row r="9383" spans="1:5" x14ac:dyDescent="0.25">
      <c r="A9383">
        <v>9382</v>
      </c>
      <c r="B9383">
        <v>9864782</v>
      </c>
      <c r="C9383" s="1" t="str">
        <f>HYPERLINK("http://stackoverflow.com/users/9864782", "Leon Zhang")</f>
        <v>Leon Zhang</v>
      </c>
      <c r="D9383" t="s">
        <v>4</v>
      </c>
      <c r="E9383">
        <v>1</v>
      </c>
    </row>
    <row r="9384" spans="1:5" x14ac:dyDescent="0.25">
      <c r="A9384">
        <v>9383</v>
      </c>
      <c r="B9384">
        <v>4544783</v>
      </c>
      <c r="C9384" s="1" t="str">
        <f>HYPERLINK("http://stackoverflow.com/users/4544783", "QI HaoYan")</f>
        <v>QI HaoYan</v>
      </c>
      <c r="D9384" t="s">
        <v>114</v>
      </c>
      <c r="E9384">
        <v>1</v>
      </c>
    </row>
    <row r="9385" spans="1:5" x14ac:dyDescent="0.25">
      <c r="A9385">
        <v>9384</v>
      </c>
      <c r="B9385">
        <v>4544994</v>
      </c>
      <c r="C9385" s="1" t="str">
        <f>HYPERLINK("http://stackoverflow.com/users/4544994", "keyle")</f>
        <v>keyle</v>
      </c>
      <c r="D9385" t="s">
        <v>4</v>
      </c>
      <c r="E9385">
        <v>1</v>
      </c>
    </row>
    <row r="9386" spans="1:5" x14ac:dyDescent="0.25">
      <c r="A9386">
        <v>9385</v>
      </c>
      <c r="B9386">
        <v>9857003</v>
      </c>
      <c r="C9386" s="1" t="str">
        <f>HYPERLINK("http://stackoverflow.com/users/9857003", "guang11cheng")</f>
        <v>guang11cheng</v>
      </c>
      <c r="D9386" t="s">
        <v>8</v>
      </c>
      <c r="E9386">
        <v>1</v>
      </c>
    </row>
    <row r="9387" spans="1:5" x14ac:dyDescent="0.25">
      <c r="A9387">
        <v>9386</v>
      </c>
      <c r="B9387">
        <v>9857073</v>
      </c>
      <c r="C9387" s="1" t="str">
        <f>HYPERLINK("http://stackoverflow.com/users/9857073", "GavinZhang")</f>
        <v>GavinZhang</v>
      </c>
      <c r="D9387" t="s">
        <v>5</v>
      </c>
      <c r="E9387">
        <v>1</v>
      </c>
    </row>
    <row r="9388" spans="1:5" x14ac:dyDescent="0.25">
      <c r="A9388">
        <v>9387</v>
      </c>
      <c r="B9388">
        <v>9857140</v>
      </c>
      <c r="C9388" s="1" t="str">
        <f>HYPERLINK("http://stackoverflow.com/users/9857140", "Dean He")</f>
        <v>Dean He</v>
      </c>
      <c r="D9388" t="s">
        <v>5</v>
      </c>
      <c r="E9388">
        <v>1</v>
      </c>
    </row>
    <row r="9389" spans="1:5" x14ac:dyDescent="0.25">
      <c r="A9389">
        <v>9388</v>
      </c>
      <c r="B9389">
        <v>8047655</v>
      </c>
      <c r="C9389" s="1" t="str">
        <f>HYPERLINK("http://stackoverflow.com/users/8047655", "Abby Lee")</f>
        <v>Abby Lee</v>
      </c>
      <c r="D9389" t="s">
        <v>28</v>
      </c>
      <c r="E9389">
        <v>1</v>
      </c>
    </row>
    <row r="9390" spans="1:5" x14ac:dyDescent="0.25">
      <c r="A9390">
        <v>9389</v>
      </c>
      <c r="B9390">
        <v>8047955</v>
      </c>
      <c r="C9390" s="1" t="str">
        <f>HYPERLINK("http://stackoverflow.com/users/8047955", "Nickolas Evans")</f>
        <v>Nickolas Evans</v>
      </c>
      <c r="D9390" t="s">
        <v>120</v>
      </c>
      <c r="E9390">
        <v>1</v>
      </c>
    </row>
    <row r="9391" spans="1:5" x14ac:dyDescent="0.25">
      <c r="A9391">
        <v>9390</v>
      </c>
      <c r="B9391">
        <v>6265432</v>
      </c>
      <c r="C9391" s="1" t="str">
        <f>HYPERLINK("http://stackoverflow.com/users/6265432", "zhu")</f>
        <v>zhu</v>
      </c>
      <c r="D9391" t="s">
        <v>5</v>
      </c>
      <c r="E9391">
        <v>1</v>
      </c>
    </row>
    <row r="9392" spans="1:5" x14ac:dyDescent="0.25">
      <c r="A9392">
        <v>9391</v>
      </c>
      <c r="B9392">
        <v>4537837</v>
      </c>
      <c r="C9392" s="1" t="str">
        <f>HYPERLINK("http://stackoverflow.com/users/4537837", "nuzar")</f>
        <v>nuzar</v>
      </c>
      <c r="D9392" t="s">
        <v>22</v>
      </c>
      <c r="E9392">
        <v>1</v>
      </c>
    </row>
    <row r="9393" spans="1:5" x14ac:dyDescent="0.25">
      <c r="A9393">
        <v>9392</v>
      </c>
      <c r="B9393">
        <v>2700565</v>
      </c>
      <c r="C9393" s="1" t="str">
        <f>HYPERLINK("http://stackoverflow.com/users/2700565", "Mark3K")</f>
        <v>Mark3K</v>
      </c>
      <c r="D9393" t="s">
        <v>4</v>
      </c>
      <c r="E9393">
        <v>1</v>
      </c>
    </row>
    <row r="9394" spans="1:5" x14ac:dyDescent="0.25">
      <c r="A9394">
        <v>9393</v>
      </c>
      <c r="B9394">
        <v>8064323</v>
      </c>
      <c r="C9394" s="1" t="str">
        <f>HYPERLINK("http://stackoverflow.com/users/8064323", "Xiaoming Wang")</f>
        <v>Xiaoming Wang</v>
      </c>
      <c r="D9394" t="s">
        <v>4</v>
      </c>
      <c r="E9394">
        <v>1</v>
      </c>
    </row>
    <row r="9395" spans="1:5" x14ac:dyDescent="0.25">
      <c r="A9395">
        <v>9394</v>
      </c>
      <c r="B9395">
        <v>9881678</v>
      </c>
      <c r="C9395" s="1" t="str">
        <f>HYPERLINK("http://stackoverflow.com/users/9881678", "rodger")</f>
        <v>rodger</v>
      </c>
      <c r="D9395" t="s">
        <v>55</v>
      </c>
      <c r="E9395">
        <v>1</v>
      </c>
    </row>
    <row r="9396" spans="1:5" x14ac:dyDescent="0.25">
      <c r="A9396">
        <v>9395</v>
      </c>
      <c r="B9396">
        <v>8063840</v>
      </c>
      <c r="C9396" s="1" t="str">
        <f>HYPERLINK("http://stackoverflow.com/users/8063840", "Xiaosong")</f>
        <v>Xiaosong</v>
      </c>
      <c r="D9396" t="s">
        <v>120</v>
      </c>
      <c r="E9396">
        <v>1</v>
      </c>
    </row>
    <row r="9397" spans="1:5" x14ac:dyDescent="0.25">
      <c r="A9397">
        <v>9396</v>
      </c>
      <c r="B9397">
        <v>8064027</v>
      </c>
      <c r="C9397" s="1" t="str">
        <f>HYPERLINK("http://stackoverflow.com/users/8064027", "supreme")</f>
        <v>supreme</v>
      </c>
      <c r="D9397" t="s">
        <v>4</v>
      </c>
      <c r="E9397">
        <v>1</v>
      </c>
    </row>
    <row r="9398" spans="1:5" x14ac:dyDescent="0.25">
      <c r="A9398">
        <v>9397</v>
      </c>
      <c r="B9398">
        <v>8069207</v>
      </c>
      <c r="C9398" s="1" t="str">
        <f>HYPERLINK("http://stackoverflow.com/users/8069207", "Cale")</f>
        <v>Cale</v>
      </c>
      <c r="D9398" t="s">
        <v>4</v>
      </c>
      <c r="E9398">
        <v>1</v>
      </c>
    </row>
    <row r="9399" spans="1:5" x14ac:dyDescent="0.25">
      <c r="A9399">
        <v>9398</v>
      </c>
      <c r="B9399">
        <v>2722105</v>
      </c>
      <c r="C9399" s="1" t="str">
        <f>HYPERLINK("http://stackoverflow.com/users/2722105", "Steve Liu")</f>
        <v>Steve Liu</v>
      </c>
      <c r="D9399" t="s">
        <v>5</v>
      </c>
      <c r="E9399">
        <v>1</v>
      </c>
    </row>
    <row r="9400" spans="1:5" x14ac:dyDescent="0.25">
      <c r="A9400">
        <v>9399</v>
      </c>
      <c r="B9400">
        <v>9885854</v>
      </c>
      <c r="C9400" s="1" t="str">
        <f>HYPERLINK("http://stackoverflow.com/users/9885854", "Marlio Tan")</f>
        <v>Marlio Tan</v>
      </c>
      <c r="D9400" t="s">
        <v>25</v>
      </c>
      <c r="E9400">
        <v>1</v>
      </c>
    </row>
    <row r="9401" spans="1:5" x14ac:dyDescent="0.25">
      <c r="A9401">
        <v>9400</v>
      </c>
      <c r="B9401">
        <v>518319</v>
      </c>
      <c r="C9401" s="1" t="str">
        <f>HYPERLINK("http://stackoverflow.com/users/518319", "simonb")</f>
        <v>simonb</v>
      </c>
      <c r="D9401" t="s">
        <v>4</v>
      </c>
      <c r="E9401">
        <v>1</v>
      </c>
    </row>
    <row r="9402" spans="1:5" x14ac:dyDescent="0.25">
      <c r="A9402">
        <v>9401</v>
      </c>
      <c r="B9402">
        <v>9890638</v>
      </c>
      <c r="C9402" s="1" t="str">
        <f>HYPERLINK("http://stackoverflow.com/users/9890638", "Heaven")</f>
        <v>Heaven</v>
      </c>
      <c r="D9402" t="s">
        <v>4</v>
      </c>
      <c r="E9402">
        <v>1</v>
      </c>
    </row>
    <row r="9403" spans="1:5" x14ac:dyDescent="0.25">
      <c r="A9403">
        <v>9402</v>
      </c>
      <c r="B9403">
        <v>6290977</v>
      </c>
      <c r="C9403" s="1" t="str">
        <f>HYPERLINK("http://stackoverflow.com/users/6290977", "zyx")</f>
        <v>zyx</v>
      </c>
      <c r="D9403" t="s">
        <v>55</v>
      </c>
      <c r="E9403">
        <v>1</v>
      </c>
    </row>
    <row r="9404" spans="1:5" x14ac:dyDescent="0.25">
      <c r="A9404">
        <v>9403</v>
      </c>
      <c r="B9404">
        <v>8077358</v>
      </c>
      <c r="C9404" s="1" t="str">
        <f>HYPERLINK("http://stackoverflow.com/users/8077358", "19DPG")</f>
        <v>19DPG</v>
      </c>
      <c r="D9404" t="s">
        <v>74</v>
      </c>
      <c r="E9404">
        <v>1</v>
      </c>
    </row>
    <row r="9405" spans="1:5" x14ac:dyDescent="0.25">
      <c r="A9405">
        <v>9404</v>
      </c>
      <c r="B9405">
        <v>8077530</v>
      </c>
      <c r="C9405" s="1" t="str">
        <f>HYPERLINK("http://stackoverflow.com/users/8077530", "leiquan")</f>
        <v>leiquan</v>
      </c>
      <c r="D9405" t="s">
        <v>5</v>
      </c>
      <c r="E9405">
        <v>1</v>
      </c>
    </row>
    <row r="9406" spans="1:5" x14ac:dyDescent="0.25">
      <c r="A9406">
        <v>9405</v>
      </c>
      <c r="B9406">
        <v>6284051</v>
      </c>
      <c r="C9406" s="1" t="str">
        <f>HYPERLINK("http://stackoverflow.com/users/6284051", "Given Lee")</f>
        <v>Given Lee</v>
      </c>
      <c r="D9406" t="s">
        <v>25</v>
      </c>
      <c r="E9406">
        <v>1</v>
      </c>
    </row>
    <row r="9407" spans="1:5" x14ac:dyDescent="0.25">
      <c r="A9407">
        <v>9406</v>
      </c>
      <c r="B9407">
        <v>519644</v>
      </c>
      <c r="C9407" s="1" t="str">
        <f>HYPERLINK("http://stackoverflow.com/users/519644", "John Nighon")</f>
        <v>John Nighon</v>
      </c>
      <c r="D9407" t="s">
        <v>17</v>
      </c>
      <c r="E9407">
        <v>1</v>
      </c>
    </row>
    <row r="9408" spans="1:5" x14ac:dyDescent="0.25">
      <c r="A9408">
        <v>9407</v>
      </c>
      <c r="B9408">
        <v>519745</v>
      </c>
      <c r="C9408" s="1" t="str">
        <f>HYPERLINK("http://stackoverflow.com/users/519745", "zhibo")</f>
        <v>zhibo</v>
      </c>
      <c r="D9408" t="s">
        <v>21</v>
      </c>
      <c r="E9408">
        <v>1</v>
      </c>
    </row>
    <row r="9409" spans="1:5" x14ac:dyDescent="0.25">
      <c r="A9409">
        <v>9408</v>
      </c>
      <c r="B9409">
        <v>6294321</v>
      </c>
      <c r="C9409" s="1" t="str">
        <f>HYPERLINK("http://stackoverflow.com/users/6294321", "galaxyLi")</f>
        <v>galaxyLi</v>
      </c>
      <c r="D9409" t="s">
        <v>5</v>
      </c>
      <c r="E9409">
        <v>1</v>
      </c>
    </row>
    <row r="9410" spans="1:5" x14ac:dyDescent="0.25">
      <c r="A9410">
        <v>9409</v>
      </c>
      <c r="B9410">
        <v>6294464</v>
      </c>
      <c r="C9410" s="1" t="str">
        <f>HYPERLINK("http://stackoverflow.com/users/6294464", "zhoucengchao")</f>
        <v>zhoucengchao</v>
      </c>
      <c r="D9410" t="s">
        <v>4</v>
      </c>
      <c r="E9410">
        <v>1</v>
      </c>
    </row>
    <row r="9411" spans="1:5" x14ac:dyDescent="0.25">
      <c r="A9411">
        <v>9410</v>
      </c>
      <c r="B9411">
        <v>6294616</v>
      </c>
      <c r="C9411" s="1" t="str">
        <f>HYPERLINK("http://stackoverflow.com/users/6294616", "jinggoing")</f>
        <v>jinggoing</v>
      </c>
      <c r="D9411" t="s">
        <v>7</v>
      </c>
      <c r="E9411">
        <v>1</v>
      </c>
    </row>
    <row r="9412" spans="1:5" x14ac:dyDescent="0.25">
      <c r="A9412">
        <v>9411</v>
      </c>
      <c r="B9412">
        <v>6294818</v>
      </c>
      <c r="C9412" s="1" t="str">
        <f>HYPERLINK("http://stackoverflow.com/users/6294818", "fanteathy")</f>
        <v>fanteathy</v>
      </c>
      <c r="D9412" t="s">
        <v>4</v>
      </c>
      <c r="E9412">
        <v>1</v>
      </c>
    </row>
    <row r="9413" spans="1:5" x14ac:dyDescent="0.25">
      <c r="A9413">
        <v>9412</v>
      </c>
      <c r="B9413">
        <v>8084100</v>
      </c>
      <c r="C9413" s="1" t="str">
        <f>HYPERLINK("http://stackoverflow.com/users/8084100", "Wong Bin")</f>
        <v>Wong Bin</v>
      </c>
      <c r="D9413" t="s">
        <v>511</v>
      </c>
      <c r="E9413">
        <v>1</v>
      </c>
    </row>
    <row r="9414" spans="1:5" x14ac:dyDescent="0.25">
      <c r="A9414">
        <v>9413</v>
      </c>
      <c r="B9414">
        <v>8084115</v>
      </c>
      <c r="C9414" s="1" t="str">
        <f>HYPERLINK("http://stackoverflow.com/users/8084115", "LIU Zeyu")</f>
        <v>LIU Zeyu</v>
      </c>
      <c r="D9414" t="s">
        <v>95</v>
      </c>
      <c r="E9414">
        <v>1</v>
      </c>
    </row>
    <row r="9415" spans="1:5" x14ac:dyDescent="0.25">
      <c r="A9415">
        <v>9414</v>
      </c>
      <c r="B9415">
        <v>6298131</v>
      </c>
      <c r="C9415" s="1" t="str">
        <f>HYPERLINK("http://stackoverflow.com/users/6298131", "Mr_Alin")</f>
        <v>Mr_Alin</v>
      </c>
      <c r="D9415" t="s">
        <v>5</v>
      </c>
      <c r="E9415">
        <v>1</v>
      </c>
    </row>
    <row r="9416" spans="1:5" x14ac:dyDescent="0.25">
      <c r="A9416">
        <v>9415</v>
      </c>
      <c r="B9416">
        <v>2735519</v>
      </c>
      <c r="C9416" s="1" t="str">
        <f>HYPERLINK("http://stackoverflow.com/users/2735519", "Toby Qin")</f>
        <v>Toby Qin</v>
      </c>
      <c r="D9416" t="s">
        <v>4</v>
      </c>
      <c r="E9416">
        <v>1</v>
      </c>
    </row>
    <row r="9417" spans="1:5" x14ac:dyDescent="0.25">
      <c r="A9417">
        <v>9416</v>
      </c>
      <c r="B9417">
        <v>540031</v>
      </c>
      <c r="C9417" s="1" t="str">
        <f>HYPERLINK("http://stackoverflow.com/users/540031", "Zhou Calvin")</f>
        <v>Zhou Calvin</v>
      </c>
      <c r="D9417" t="s">
        <v>4</v>
      </c>
      <c r="E9417">
        <v>1</v>
      </c>
    </row>
    <row r="9418" spans="1:5" x14ac:dyDescent="0.25">
      <c r="A9418">
        <v>9417</v>
      </c>
      <c r="B9418">
        <v>6298167</v>
      </c>
      <c r="C9418" s="1" t="str">
        <f>HYPERLINK("http://stackoverflow.com/users/6298167", "Michael Meng")</f>
        <v>Michael Meng</v>
      </c>
      <c r="D9418" t="s">
        <v>7</v>
      </c>
      <c r="E9418">
        <v>1</v>
      </c>
    </row>
    <row r="9419" spans="1:5" x14ac:dyDescent="0.25">
      <c r="A9419">
        <v>9418</v>
      </c>
      <c r="B9419">
        <v>6298232</v>
      </c>
      <c r="C9419" s="1" t="str">
        <f>HYPERLINK("http://stackoverflow.com/users/6298232", "Dylan Mo")</f>
        <v>Dylan Mo</v>
      </c>
      <c r="D9419" t="s">
        <v>55</v>
      </c>
      <c r="E9419">
        <v>1</v>
      </c>
    </row>
    <row r="9420" spans="1:5" x14ac:dyDescent="0.25">
      <c r="A9420">
        <v>9419</v>
      </c>
      <c r="B9420">
        <v>2739233</v>
      </c>
      <c r="C9420" s="1" t="str">
        <f>HYPERLINK("http://stackoverflow.com/users/2739233", "sky")</f>
        <v>sky</v>
      </c>
      <c r="D9420" t="s">
        <v>5</v>
      </c>
      <c r="E9420">
        <v>1</v>
      </c>
    </row>
    <row r="9421" spans="1:5" x14ac:dyDescent="0.25">
      <c r="A9421">
        <v>9420</v>
      </c>
      <c r="B9421">
        <v>2739765</v>
      </c>
      <c r="C9421" s="1" t="str">
        <f>HYPERLINK("http://stackoverflow.com/users/2739765", "auchan")</f>
        <v>auchan</v>
      </c>
      <c r="D9421" t="s">
        <v>5</v>
      </c>
      <c r="E9421">
        <v>1</v>
      </c>
    </row>
    <row r="9422" spans="1:5" x14ac:dyDescent="0.25">
      <c r="A9422">
        <v>9421</v>
      </c>
      <c r="B9422">
        <v>9906909</v>
      </c>
      <c r="C9422" s="1" t="str">
        <f>HYPERLINK("http://stackoverflow.com/users/9906909", "Afaren")</f>
        <v>Afaren</v>
      </c>
      <c r="D9422" t="s">
        <v>5</v>
      </c>
      <c r="E9422">
        <v>1</v>
      </c>
    </row>
    <row r="9423" spans="1:5" x14ac:dyDescent="0.25">
      <c r="A9423">
        <v>9422</v>
      </c>
      <c r="B9423">
        <v>9907091</v>
      </c>
      <c r="C9423" s="1" t="str">
        <f>HYPERLINK("http://stackoverflow.com/users/9907091", "Magisquare")</f>
        <v>Magisquare</v>
      </c>
      <c r="D9423" t="s">
        <v>5</v>
      </c>
      <c r="E9423">
        <v>1</v>
      </c>
    </row>
    <row r="9424" spans="1:5" x14ac:dyDescent="0.25">
      <c r="A9424">
        <v>9423</v>
      </c>
      <c r="B9424">
        <v>552957</v>
      </c>
      <c r="C9424" s="1" t="str">
        <f>HYPERLINK("http://stackoverflow.com/users/552957", "outofthink")</f>
        <v>outofthink</v>
      </c>
      <c r="D9424" t="s">
        <v>5</v>
      </c>
      <c r="E9424">
        <v>1</v>
      </c>
    </row>
    <row r="9425" spans="1:5" x14ac:dyDescent="0.25">
      <c r="A9425">
        <v>9424</v>
      </c>
      <c r="B9425">
        <v>8100810</v>
      </c>
      <c r="C9425" s="1" t="str">
        <f>HYPERLINK("http://stackoverflow.com/users/8100810", "Gary Huang")</f>
        <v>Gary Huang</v>
      </c>
      <c r="D9425" t="s">
        <v>4</v>
      </c>
      <c r="E9425">
        <v>1</v>
      </c>
    </row>
    <row r="9426" spans="1:5" x14ac:dyDescent="0.25">
      <c r="A9426">
        <v>9425</v>
      </c>
      <c r="B9426">
        <v>8100866</v>
      </c>
      <c r="C9426" s="1" t="str">
        <f>HYPERLINK("http://stackoverflow.com/users/8100866", "Liang.X")</f>
        <v>Liang.X</v>
      </c>
      <c r="D9426" t="s">
        <v>74</v>
      </c>
      <c r="E9426">
        <v>1</v>
      </c>
    </row>
    <row r="9427" spans="1:5" x14ac:dyDescent="0.25">
      <c r="A9427">
        <v>9426</v>
      </c>
      <c r="B9427">
        <v>8101009</v>
      </c>
      <c r="C9427" s="1" t="str">
        <f>HYPERLINK("http://stackoverflow.com/users/8101009", "eastwood")</f>
        <v>eastwood</v>
      </c>
      <c r="D9427" t="s">
        <v>512</v>
      </c>
      <c r="E9427">
        <v>1</v>
      </c>
    </row>
    <row r="9428" spans="1:5" x14ac:dyDescent="0.25">
      <c r="A9428">
        <v>9427</v>
      </c>
      <c r="B9428">
        <v>9911783</v>
      </c>
      <c r="C9428" s="1" t="str">
        <f>HYPERLINK("http://stackoverflow.com/users/9911783", "Ecauchy")</f>
        <v>Ecauchy</v>
      </c>
      <c r="D9428" t="s">
        <v>4</v>
      </c>
      <c r="E9428">
        <v>1</v>
      </c>
    </row>
    <row r="9429" spans="1:5" x14ac:dyDescent="0.25">
      <c r="A9429">
        <v>9428</v>
      </c>
      <c r="B9429">
        <v>6309531</v>
      </c>
      <c r="C9429" s="1" t="str">
        <f>HYPERLINK("http://stackoverflow.com/users/6309531", "simonla")</f>
        <v>simonla</v>
      </c>
      <c r="D9429" t="s">
        <v>301</v>
      </c>
      <c r="E9429">
        <v>1</v>
      </c>
    </row>
    <row r="9430" spans="1:5" x14ac:dyDescent="0.25">
      <c r="A9430">
        <v>9429</v>
      </c>
      <c r="B9430">
        <v>560208</v>
      </c>
      <c r="C9430" s="1" t="str">
        <f>HYPERLINK("http://stackoverflow.com/users/560208", "Allan")</f>
        <v>Allan</v>
      </c>
      <c r="D9430" t="s">
        <v>37</v>
      </c>
      <c r="E9430">
        <v>1</v>
      </c>
    </row>
    <row r="9431" spans="1:5" x14ac:dyDescent="0.25">
      <c r="A9431">
        <v>9430</v>
      </c>
      <c r="B9431">
        <v>560216</v>
      </c>
      <c r="C9431" s="1" t="str">
        <f>HYPERLINK("http://stackoverflow.com/users/560216", "gke")</f>
        <v>gke</v>
      </c>
      <c r="D9431" t="s">
        <v>108</v>
      </c>
      <c r="E9431">
        <v>1</v>
      </c>
    </row>
    <row r="9432" spans="1:5" x14ac:dyDescent="0.25">
      <c r="A9432">
        <v>9431</v>
      </c>
      <c r="B9432">
        <v>8092508</v>
      </c>
      <c r="C9432" s="1" t="str">
        <f>HYPERLINK("http://stackoverflow.com/users/8092508", "xing.li")</f>
        <v>xing.li</v>
      </c>
      <c r="D9432" t="s">
        <v>28</v>
      </c>
      <c r="E9432">
        <v>1</v>
      </c>
    </row>
    <row r="9433" spans="1:5" x14ac:dyDescent="0.25">
      <c r="A9433">
        <v>9432</v>
      </c>
      <c r="B9433">
        <v>8096132</v>
      </c>
      <c r="C9433" s="1" t="str">
        <f>HYPERLINK("http://stackoverflow.com/users/8096132", "朱晓鹏")</f>
        <v>朱晓鹏</v>
      </c>
      <c r="D9433" t="s">
        <v>28</v>
      </c>
      <c r="E9433">
        <v>1</v>
      </c>
    </row>
    <row r="9434" spans="1:5" x14ac:dyDescent="0.25">
      <c r="A9434">
        <v>9433</v>
      </c>
      <c r="B9434">
        <v>8096755</v>
      </c>
      <c r="C9434" s="1" t="str">
        <f>HYPERLINK("http://stackoverflow.com/users/8096755", "yangzx")</f>
        <v>yangzx</v>
      </c>
      <c r="D9434" t="s">
        <v>7</v>
      </c>
      <c r="E9434">
        <v>1</v>
      </c>
    </row>
    <row r="9435" spans="1:5" x14ac:dyDescent="0.25">
      <c r="A9435">
        <v>9434</v>
      </c>
      <c r="B9435">
        <v>9129551</v>
      </c>
      <c r="C9435" s="1" t="str">
        <f>HYPERLINK("http://stackoverflow.com/users/9129551", "蕭蕭竹")</f>
        <v>蕭蕭竹</v>
      </c>
      <c r="D9435" t="s">
        <v>25</v>
      </c>
      <c r="E9435">
        <v>1</v>
      </c>
    </row>
    <row r="9436" spans="1:5" x14ac:dyDescent="0.25">
      <c r="A9436">
        <v>9435</v>
      </c>
      <c r="B9436">
        <v>9129786</v>
      </c>
      <c r="C9436" s="1" t="str">
        <f>HYPERLINK("http://stackoverflow.com/users/9129786", "s'tupid bird fly first")</f>
        <v>s'tupid bird fly first</v>
      </c>
      <c r="D9436" t="s">
        <v>16</v>
      </c>
      <c r="E9436">
        <v>1</v>
      </c>
    </row>
    <row r="9437" spans="1:5" x14ac:dyDescent="0.25">
      <c r="A9437">
        <v>9436</v>
      </c>
      <c r="B9437">
        <v>9129877</v>
      </c>
      <c r="C9437" s="1" t="str">
        <f>HYPERLINK("http://stackoverflow.com/users/9129877", "Leo Shi")</f>
        <v>Leo Shi</v>
      </c>
      <c r="D9437" t="s">
        <v>55</v>
      </c>
      <c r="E9437">
        <v>1</v>
      </c>
    </row>
    <row r="9438" spans="1:5" x14ac:dyDescent="0.25">
      <c r="A9438">
        <v>9437</v>
      </c>
      <c r="B9438">
        <v>5511793</v>
      </c>
      <c r="C9438" s="1" t="str">
        <f>HYPERLINK("http://stackoverflow.com/users/5511793", "IKnow")</f>
        <v>IKnow</v>
      </c>
      <c r="D9438" t="s">
        <v>91</v>
      </c>
      <c r="E9438">
        <v>1</v>
      </c>
    </row>
    <row r="9439" spans="1:5" x14ac:dyDescent="0.25">
      <c r="A9439">
        <v>9438</v>
      </c>
      <c r="B9439">
        <v>9126225</v>
      </c>
      <c r="C9439" s="1" t="str">
        <f>HYPERLINK("http://stackoverflow.com/users/9126225", "Z.Andy")</f>
        <v>Z.Andy</v>
      </c>
      <c r="D9439" t="s">
        <v>74</v>
      </c>
      <c r="E9439">
        <v>1</v>
      </c>
    </row>
    <row r="9440" spans="1:5" x14ac:dyDescent="0.25">
      <c r="A9440">
        <v>9439</v>
      </c>
      <c r="B9440">
        <v>9126257</v>
      </c>
      <c r="C9440" s="1" t="str">
        <f>HYPERLINK("http://stackoverflow.com/users/9126257", "imcake")</f>
        <v>imcake</v>
      </c>
      <c r="D9440" t="s">
        <v>4</v>
      </c>
      <c r="E9440">
        <v>1</v>
      </c>
    </row>
    <row r="9441" spans="1:5" x14ac:dyDescent="0.25">
      <c r="A9441">
        <v>9440</v>
      </c>
      <c r="B9441">
        <v>9130067</v>
      </c>
      <c r="C9441" s="1" t="str">
        <f>HYPERLINK("http://stackoverflow.com/users/9130067", "Chunlong Zhang")</f>
        <v>Chunlong Zhang</v>
      </c>
      <c r="D9441" t="s">
        <v>4</v>
      </c>
      <c r="E9441">
        <v>1</v>
      </c>
    </row>
    <row r="9442" spans="1:5" x14ac:dyDescent="0.25">
      <c r="A9442">
        <v>9441</v>
      </c>
      <c r="B9442">
        <v>9130147</v>
      </c>
      <c r="C9442" s="1" t="str">
        <f>HYPERLINK("http://stackoverflow.com/users/9130147", "kangbo")</f>
        <v>kangbo</v>
      </c>
      <c r="D9442" t="s">
        <v>16</v>
      </c>
      <c r="E9442">
        <v>1</v>
      </c>
    </row>
    <row r="9443" spans="1:5" x14ac:dyDescent="0.25">
      <c r="A9443">
        <v>9442</v>
      </c>
      <c r="B9443">
        <v>3706396</v>
      </c>
      <c r="C9443" s="1" t="str">
        <f>HYPERLINK("http://stackoverflow.com/users/3706396", "Zhitops")</f>
        <v>Zhitops</v>
      </c>
      <c r="D9443" t="s">
        <v>5</v>
      </c>
      <c r="E9443">
        <v>1</v>
      </c>
    </row>
    <row r="9444" spans="1:5" x14ac:dyDescent="0.25">
      <c r="A9444">
        <v>9443</v>
      </c>
      <c r="B9444">
        <v>10925874</v>
      </c>
      <c r="C9444" s="1" t="str">
        <f>HYPERLINK("http://stackoverflow.com/users/10925874", "Lear Jian Liang")</f>
        <v>Lear Jian Liang</v>
      </c>
      <c r="D9444" t="s">
        <v>33</v>
      </c>
      <c r="E9444">
        <v>1</v>
      </c>
    </row>
    <row r="9445" spans="1:5" x14ac:dyDescent="0.25">
      <c r="A9445">
        <v>9444</v>
      </c>
      <c r="B9445">
        <v>10926004</v>
      </c>
      <c r="C9445" s="1" t="str">
        <f>HYPERLINK("http://stackoverflow.com/users/10926004", "yiyouls")</f>
        <v>yiyouls</v>
      </c>
      <c r="D9445" t="s">
        <v>16</v>
      </c>
      <c r="E9445">
        <v>1</v>
      </c>
    </row>
    <row r="9446" spans="1:5" x14ac:dyDescent="0.25">
      <c r="A9446">
        <v>9445</v>
      </c>
      <c r="B9446">
        <v>5501925</v>
      </c>
      <c r="C9446" s="1" t="str">
        <f>HYPERLINK("http://stackoverflow.com/users/5501925", "Alan Tanis")</f>
        <v>Alan Tanis</v>
      </c>
      <c r="D9446" t="s">
        <v>48</v>
      </c>
      <c r="E9446">
        <v>1</v>
      </c>
    </row>
    <row r="9447" spans="1:5" x14ac:dyDescent="0.25">
      <c r="A9447">
        <v>9446</v>
      </c>
      <c r="B9447">
        <v>10936613</v>
      </c>
      <c r="C9447" s="1" t="str">
        <f>HYPERLINK("http://stackoverflow.com/users/10936613", "Chen Zhe")</f>
        <v>Chen Zhe</v>
      </c>
      <c r="D9447" t="s">
        <v>8</v>
      </c>
      <c r="E9447">
        <v>1</v>
      </c>
    </row>
    <row r="9448" spans="1:5" x14ac:dyDescent="0.25">
      <c r="A9448">
        <v>9447</v>
      </c>
      <c r="B9448">
        <v>1933633</v>
      </c>
      <c r="C9448" s="1" t="str">
        <f>HYPERLINK("http://stackoverflow.com/users/1933633", "edh")</f>
        <v>edh</v>
      </c>
      <c r="D9448" t="s">
        <v>22</v>
      </c>
      <c r="E9448">
        <v>1</v>
      </c>
    </row>
    <row r="9449" spans="1:5" x14ac:dyDescent="0.25">
      <c r="A9449">
        <v>9448</v>
      </c>
      <c r="B9449">
        <v>5512306</v>
      </c>
      <c r="C9449" s="1" t="str">
        <f>HYPERLINK("http://stackoverflow.com/users/5512306", "Jia")</f>
        <v>Jia</v>
      </c>
      <c r="D9449" t="s">
        <v>4</v>
      </c>
      <c r="E9449">
        <v>1</v>
      </c>
    </row>
    <row r="9450" spans="1:5" x14ac:dyDescent="0.25">
      <c r="A9450">
        <v>9449</v>
      </c>
      <c r="B9450">
        <v>9141306</v>
      </c>
      <c r="C9450" s="1" t="str">
        <f>HYPERLINK("http://stackoverflow.com/users/9141306", "xiongxianzhu")</f>
        <v>xiongxianzhu</v>
      </c>
      <c r="D9450" t="s">
        <v>25</v>
      </c>
      <c r="E9450">
        <v>1</v>
      </c>
    </row>
    <row r="9451" spans="1:5" x14ac:dyDescent="0.25">
      <c r="A9451">
        <v>9450</v>
      </c>
      <c r="B9451">
        <v>1934151</v>
      </c>
      <c r="C9451" s="1" t="str">
        <f>HYPERLINK("http://stackoverflow.com/users/1934151", "Iven Wu")</f>
        <v>Iven Wu</v>
      </c>
      <c r="D9451" t="s">
        <v>37</v>
      </c>
      <c r="E9451">
        <v>1</v>
      </c>
    </row>
    <row r="9452" spans="1:5" x14ac:dyDescent="0.25">
      <c r="A9452">
        <v>9451</v>
      </c>
      <c r="B9452">
        <v>10937088</v>
      </c>
      <c r="C9452" s="1" t="str">
        <f>HYPERLINK("http://stackoverflow.com/users/10937088", "qu.hongyu")</f>
        <v>qu.hongyu</v>
      </c>
      <c r="D9452" t="s">
        <v>5</v>
      </c>
      <c r="E9452">
        <v>1</v>
      </c>
    </row>
    <row r="9453" spans="1:5" x14ac:dyDescent="0.25">
      <c r="A9453">
        <v>9452</v>
      </c>
      <c r="B9453">
        <v>5516220</v>
      </c>
      <c r="C9453" s="1" t="str">
        <f>HYPERLINK("http://stackoverflow.com/users/5516220", "Eva")</f>
        <v>Eva</v>
      </c>
      <c r="D9453" t="s">
        <v>5</v>
      </c>
      <c r="E9453">
        <v>1</v>
      </c>
    </row>
    <row r="9454" spans="1:5" x14ac:dyDescent="0.25">
      <c r="A9454">
        <v>9453</v>
      </c>
      <c r="B9454">
        <v>9145557</v>
      </c>
      <c r="C9454" s="1" t="str">
        <f>HYPERLINK("http://stackoverflow.com/users/9145557", "user9145557")</f>
        <v>user9145557</v>
      </c>
      <c r="D9454" t="s">
        <v>4</v>
      </c>
      <c r="E9454">
        <v>1</v>
      </c>
    </row>
    <row r="9455" spans="1:5" x14ac:dyDescent="0.25">
      <c r="A9455">
        <v>9454</v>
      </c>
      <c r="B9455">
        <v>9145859</v>
      </c>
      <c r="C9455" s="1" t="str">
        <f>HYPERLINK("http://stackoverflow.com/users/9145859", "Jason.W")</f>
        <v>Jason.W</v>
      </c>
      <c r="D9455" t="s">
        <v>4</v>
      </c>
      <c r="E9455">
        <v>1</v>
      </c>
    </row>
    <row r="9456" spans="1:5" x14ac:dyDescent="0.25">
      <c r="A9456">
        <v>9455</v>
      </c>
      <c r="B9456">
        <v>9145878</v>
      </c>
      <c r="C9456" s="1" t="str">
        <f>HYPERLINK("http://stackoverflow.com/users/9145878", "Yohannes Tigabu")</f>
        <v>Yohannes Tigabu</v>
      </c>
      <c r="D9456" t="s">
        <v>5</v>
      </c>
      <c r="E9456">
        <v>1</v>
      </c>
    </row>
    <row r="9457" spans="1:5" x14ac:dyDescent="0.25">
      <c r="A9457">
        <v>9456</v>
      </c>
      <c r="B9457">
        <v>9145924</v>
      </c>
      <c r="C9457" s="1" t="str">
        <f>HYPERLINK("http://stackoverflow.com/users/9145924", "Abdou Mbye")</f>
        <v>Abdou Mbye</v>
      </c>
      <c r="D9457" t="s">
        <v>33</v>
      </c>
      <c r="E9457">
        <v>1</v>
      </c>
    </row>
    <row r="9458" spans="1:5" x14ac:dyDescent="0.25">
      <c r="A9458">
        <v>9457</v>
      </c>
      <c r="B9458">
        <v>5516388</v>
      </c>
      <c r="C9458" s="1" t="str">
        <f>HYPERLINK("http://stackoverflow.com/users/5516388", "bidianqing")</f>
        <v>bidianqing</v>
      </c>
      <c r="D9458" t="s">
        <v>5</v>
      </c>
      <c r="E9458">
        <v>1</v>
      </c>
    </row>
    <row r="9459" spans="1:5" x14ac:dyDescent="0.25">
      <c r="A9459">
        <v>9458</v>
      </c>
      <c r="B9459">
        <v>10945291</v>
      </c>
      <c r="C9459" s="1" t="str">
        <f>HYPERLINK("http://stackoverflow.com/users/10945291", "吴晓民")</f>
        <v>吴晓民</v>
      </c>
      <c r="D9459" t="s">
        <v>52</v>
      </c>
      <c r="E9459">
        <v>1</v>
      </c>
    </row>
    <row r="9460" spans="1:5" x14ac:dyDescent="0.25">
      <c r="A9460">
        <v>9459</v>
      </c>
      <c r="B9460">
        <v>5465634</v>
      </c>
      <c r="C9460" s="1" t="str">
        <f>HYPERLINK("http://stackoverflow.com/users/5465634", "wwl1991")</f>
        <v>wwl1991</v>
      </c>
      <c r="D9460" t="s">
        <v>5</v>
      </c>
      <c r="E9460">
        <v>1</v>
      </c>
    </row>
    <row r="9461" spans="1:5" x14ac:dyDescent="0.25">
      <c r="A9461">
        <v>9460</v>
      </c>
      <c r="B9461">
        <v>7223688</v>
      </c>
      <c r="C9461" s="1" t="str">
        <f>HYPERLINK("http://stackoverflow.com/users/7223688", "hc.Lee")</f>
        <v>hc.Lee</v>
      </c>
      <c r="D9461" t="s">
        <v>513</v>
      </c>
      <c r="E9461">
        <v>1</v>
      </c>
    </row>
    <row r="9462" spans="1:5" x14ac:dyDescent="0.25">
      <c r="A9462">
        <v>9461</v>
      </c>
      <c r="B9462">
        <v>7224144</v>
      </c>
      <c r="C9462" s="1" t="str">
        <f>HYPERLINK("http://stackoverflow.com/users/7224144", "Jiwei Li")</f>
        <v>Jiwei Li</v>
      </c>
      <c r="D9462" t="s">
        <v>4</v>
      </c>
      <c r="E9462">
        <v>1</v>
      </c>
    </row>
    <row r="9463" spans="1:5" x14ac:dyDescent="0.25">
      <c r="A9463">
        <v>9462</v>
      </c>
      <c r="B9463">
        <v>7227748</v>
      </c>
      <c r="C9463" s="1" t="str">
        <f>HYPERLINK("http://stackoverflow.com/users/7227748", "Ruoyu Wu")</f>
        <v>Ruoyu Wu</v>
      </c>
      <c r="D9463" t="s">
        <v>25</v>
      </c>
      <c r="E9463">
        <v>1</v>
      </c>
    </row>
    <row r="9464" spans="1:5" x14ac:dyDescent="0.25">
      <c r="A9464">
        <v>9463</v>
      </c>
      <c r="B9464">
        <v>1868070</v>
      </c>
      <c r="C9464" s="1" t="str">
        <f>HYPERLINK("http://stackoverflow.com/users/1868070", "jazon3008")</f>
        <v>jazon3008</v>
      </c>
      <c r="D9464" t="s">
        <v>21</v>
      </c>
      <c r="E9464">
        <v>1</v>
      </c>
    </row>
    <row r="9465" spans="1:5" x14ac:dyDescent="0.25">
      <c r="A9465">
        <v>9464</v>
      </c>
      <c r="B9465">
        <v>1868180</v>
      </c>
      <c r="C9465" s="1" t="str">
        <f>HYPERLINK("http://stackoverflow.com/users/1868180", "huajiang")</f>
        <v>huajiang</v>
      </c>
      <c r="D9465" t="s">
        <v>5</v>
      </c>
      <c r="E9465">
        <v>1</v>
      </c>
    </row>
    <row r="9466" spans="1:5" x14ac:dyDescent="0.25">
      <c r="A9466">
        <v>9465</v>
      </c>
      <c r="B9466">
        <v>3669139</v>
      </c>
      <c r="C9466" s="1" t="str">
        <f>HYPERLINK("http://stackoverflow.com/users/3669139", "Jan")</f>
        <v>Jan</v>
      </c>
      <c r="D9466" t="s">
        <v>12</v>
      </c>
      <c r="E9466">
        <v>1</v>
      </c>
    </row>
    <row r="9467" spans="1:5" x14ac:dyDescent="0.25">
      <c r="A9467">
        <v>9466</v>
      </c>
      <c r="B9467">
        <v>10921147</v>
      </c>
      <c r="C9467" s="1" t="str">
        <f>HYPERLINK("http://stackoverflow.com/users/10921147", "周海辉")</f>
        <v>周海辉</v>
      </c>
      <c r="D9467" t="s">
        <v>58</v>
      </c>
      <c r="E9467">
        <v>1</v>
      </c>
    </row>
    <row r="9468" spans="1:5" x14ac:dyDescent="0.25">
      <c r="A9468">
        <v>9467</v>
      </c>
      <c r="B9468">
        <v>10921412</v>
      </c>
      <c r="C9468" s="1" t="str">
        <f>HYPERLINK("http://stackoverflow.com/users/10921412", "CleverApe")</f>
        <v>CleverApe</v>
      </c>
      <c r="D9468" t="s">
        <v>5</v>
      </c>
      <c r="E9468">
        <v>1</v>
      </c>
    </row>
    <row r="9469" spans="1:5" x14ac:dyDescent="0.25">
      <c r="A9469">
        <v>9468</v>
      </c>
      <c r="B9469">
        <v>9125700</v>
      </c>
      <c r="C9469" s="1" t="str">
        <f>HYPERLINK("http://stackoverflow.com/users/9125700", "angel")</f>
        <v>angel</v>
      </c>
      <c r="D9469" t="s">
        <v>266</v>
      </c>
      <c r="E9469">
        <v>1</v>
      </c>
    </row>
    <row r="9470" spans="1:5" x14ac:dyDescent="0.25">
      <c r="A9470">
        <v>9469</v>
      </c>
      <c r="B9470">
        <v>9125744</v>
      </c>
      <c r="C9470" s="1" t="str">
        <f>HYPERLINK("http://stackoverflow.com/users/9125744", "Nawaaz")</f>
        <v>Nawaaz</v>
      </c>
      <c r="D9470" t="s">
        <v>5</v>
      </c>
      <c r="E9470">
        <v>1</v>
      </c>
    </row>
    <row r="9471" spans="1:5" x14ac:dyDescent="0.25">
      <c r="A9471">
        <v>9470</v>
      </c>
      <c r="B9471">
        <v>9125804</v>
      </c>
      <c r="C9471" s="1" t="str">
        <f>HYPERLINK("http://stackoverflow.com/users/9125804", "Ziyu LS")</f>
        <v>Ziyu LS</v>
      </c>
      <c r="D9471" t="s">
        <v>5</v>
      </c>
      <c r="E9471">
        <v>1</v>
      </c>
    </row>
    <row r="9472" spans="1:5" x14ac:dyDescent="0.25">
      <c r="A9472">
        <v>9471</v>
      </c>
      <c r="B9472">
        <v>3701374</v>
      </c>
      <c r="C9472" s="1" t="str">
        <f>HYPERLINK("http://stackoverflow.com/users/3701374", "michael")</f>
        <v>michael</v>
      </c>
      <c r="D9472" t="s">
        <v>5</v>
      </c>
      <c r="E9472">
        <v>1</v>
      </c>
    </row>
    <row r="9473" spans="1:5" x14ac:dyDescent="0.25">
      <c r="A9473">
        <v>9472</v>
      </c>
      <c r="B9473">
        <v>3701487</v>
      </c>
      <c r="C9473" s="1" t="str">
        <f>HYPERLINK("http://stackoverflow.com/users/3701487", "Kevin Feng")</f>
        <v>Kevin Feng</v>
      </c>
      <c r="D9473" t="s">
        <v>21</v>
      </c>
      <c r="E9473">
        <v>1</v>
      </c>
    </row>
    <row r="9474" spans="1:5" x14ac:dyDescent="0.25">
      <c r="A9474">
        <v>9473</v>
      </c>
      <c r="B9474">
        <v>9104325</v>
      </c>
      <c r="C9474" s="1" t="str">
        <f>HYPERLINK("http://stackoverflow.com/users/9104325", "Simonzhang")</f>
        <v>Simonzhang</v>
      </c>
      <c r="D9474" t="s">
        <v>55</v>
      </c>
      <c r="E9474">
        <v>1</v>
      </c>
    </row>
    <row r="9475" spans="1:5" x14ac:dyDescent="0.25">
      <c r="A9475">
        <v>9474</v>
      </c>
      <c r="B9475">
        <v>9104328</v>
      </c>
      <c r="C9475" s="1" t="str">
        <f>HYPERLINK("http://stackoverflow.com/users/9104328", "qingchun")</f>
        <v>qingchun</v>
      </c>
      <c r="D9475" t="s">
        <v>266</v>
      </c>
      <c r="E9475">
        <v>1</v>
      </c>
    </row>
    <row r="9476" spans="1:5" x14ac:dyDescent="0.25">
      <c r="A9476">
        <v>9475</v>
      </c>
      <c r="B9476">
        <v>7234698</v>
      </c>
      <c r="C9476" s="1" t="str">
        <f>HYPERLINK("http://stackoverflow.com/users/7234698", "Bill")</f>
        <v>Bill</v>
      </c>
      <c r="D9476" t="s">
        <v>57</v>
      </c>
      <c r="E9476">
        <v>1</v>
      </c>
    </row>
    <row r="9477" spans="1:5" x14ac:dyDescent="0.25">
      <c r="A9477">
        <v>9476</v>
      </c>
      <c r="B9477">
        <v>7234712</v>
      </c>
      <c r="C9477" s="1" t="str">
        <f>HYPERLINK("http://stackoverflow.com/users/7234712", "Ben")</f>
        <v>Ben</v>
      </c>
      <c r="D9477" t="s">
        <v>4</v>
      </c>
      <c r="E9477">
        <v>1</v>
      </c>
    </row>
    <row r="9478" spans="1:5" x14ac:dyDescent="0.25">
      <c r="A9478">
        <v>9477</v>
      </c>
      <c r="B9478">
        <v>7234794</v>
      </c>
      <c r="C9478" s="1" t="str">
        <f>HYPERLINK("http://stackoverflow.com/users/7234794", "Yu Tian")</f>
        <v>Yu Tian</v>
      </c>
      <c r="D9478" t="s">
        <v>177</v>
      </c>
      <c r="E9478">
        <v>1</v>
      </c>
    </row>
    <row r="9479" spans="1:5" x14ac:dyDescent="0.25">
      <c r="A9479">
        <v>9478</v>
      </c>
      <c r="B9479">
        <v>7235150</v>
      </c>
      <c r="C9479" s="1" t="str">
        <f>HYPERLINK("http://stackoverflow.com/users/7235150", "Claire")</f>
        <v>Claire</v>
      </c>
      <c r="D9479" t="s">
        <v>25</v>
      </c>
      <c r="E9479">
        <v>1</v>
      </c>
    </row>
    <row r="9480" spans="1:5" x14ac:dyDescent="0.25">
      <c r="A9480">
        <v>9479</v>
      </c>
      <c r="B9480">
        <v>1884210</v>
      </c>
      <c r="C9480" s="1" t="str">
        <f>HYPERLINK("http://stackoverflow.com/users/1884210", "zheng1")</f>
        <v>zheng1</v>
      </c>
      <c r="D9480" t="s">
        <v>5</v>
      </c>
      <c r="E9480">
        <v>1</v>
      </c>
    </row>
    <row r="9481" spans="1:5" x14ac:dyDescent="0.25">
      <c r="A9481">
        <v>9480</v>
      </c>
      <c r="B9481">
        <v>10895004</v>
      </c>
      <c r="C9481" s="1" t="str">
        <f>HYPERLINK("http://stackoverflow.com/users/10895004", "CF. Zhang")</f>
        <v>CF. Zhang</v>
      </c>
      <c r="D9481" t="s">
        <v>5</v>
      </c>
      <c r="E9481">
        <v>1</v>
      </c>
    </row>
    <row r="9482" spans="1:5" x14ac:dyDescent="0.25">
      <c r="A9482">
        <v>9481</v>
      </c>
      <c r="B9482">
        <v>10895345</v>
      </c>
      <c r="C9482" s="1" t="str">
        <f>HYPERLINK("http://stackoverflow.com/users/10895345", "Jock")</f>
        <v>Jock</v>
      </c>
      <c r="D9482" t="s">
        <v>52</v>
      </c>
      <c r="E9482">
        <v>1</v>
      </c>
    </row>
    <row r="9483" spans="1:5" x14ac:dyDescent="0.25">
      <c r="A9483">
        <v>9482</v>
      </c>
      <c r="B9483">
        <v>3677996</v>
      </c>
      <c r="C9483" s="1" t="str">
        <f>HYPERLINK("http://stackoverflow.com/users/3677996", "Yu Chen")</f>
        <v>Yu Chen</v>
      </c>
      <c r="D9483" t="s">
        <v>5</v>
      </c>
      <c r="E9483">
        <v>1</v>
      </c>
    </row>
    <row r="9484" spans="1:5" x14ac:dyDescent="0.25">
      <c r="A9484">
        <v>9483</v>
      </c>
      <c r="B9484">
        <v>3678069</v>
      </c>
      <c r="C9484" s="1" t="str">
        <f>HYPERLINK("http://stackoverflow.com/users/3678069", "crs0910")</f>
        <v>crs0910</v>
      </c>
      <c r="D9484" t="s">
        <v>21</v>
      </c>
      <c r="E9484">
        <v>1</v>
      </c>
    </row>
    <row r="9485" spans="1:5" x14ac:dyDescent="0.25">
      <c r="A9485">
        <v>9484</v>
      </c>
      <c r="B9485">
        <v>1878098</v>
      </c>
      <c r="C9485" s="1" t="str">
        <f>HYPERLINK("http://stackoverflow.com/users/1878098", "gdx311")</f>
        <v>gdx311</v>
      </c>
      <c r="D9485" t="s">
        <v>38</v>
      </c>
      <c r="E9485">
        <v>1</v>
      </c>
    </row>
    <row r="9486" spans="1:5" x14ac:dyDescent="0.25">
      <c r="A9486">
        <v>9485</v>
      </c>
      <c r="B9486">
        <v>5458688</v>
      </c>
      <c r="C9486" s="1" t="str">
        <f>HYPERLINK("http://stackoverflow.com/users/5458688", "Runze Li")</f>
        <v>Runze Li</v>
      </c>
      <c r="D9486" t="s">
        <v>514</v>
      </c>
      <c r="E9486">
        <v>1</v>
      </c>
    </row>
    <row r="9487" spans="1:5" x14ac:dyDescent="0.25">
      <c r="A9487">
        <v>9486</v>
      </c>
      <c r="B9487">
        <v>5454692</v>
      </c>
      <c r="C9487" s="1" t="str">
        <f>HYPERLINK("http://stackoverflow.com/users/5454692", "Xindong")</f>
        <v>Xindong</v>
      </c>
      <c r="D9487" t="s">
        <v>5</v>
      </c>
      <c r="E9487">
        <v>1</v>
      </c>
    </row>
    <row r="9488" spans="1:5" x14ac:dyDescent="0.25">
      <c r="A9488">
        <v>9487</v>
      </c>
      <c r="B9488">
        <v>7213251</v>
      </c>
      <c r="C9488" s="1" t="str">
        <f>HYPERLINK("http://stackoverflow.com/users/7213251", "Sky Sora")</f>
        <v>Sky Sora</v>
      </c>
      <c r="D9488" t="s">
        <v>4</v>
      </c>
      <c r="E9488">
        <v>1</v>
      </c>
    </row>
    <row r="9489" spans="1:5" x14ac:dyDescent="0.25">
      <c r="A9489">
        <v>9488</v>
      </c>
      <c r="B9489">
        <v>7213532</v>
      </c>
      <c r="C9489" s="1" t="str">
        <f>HYPERLINK("http://stackoverflow.com/users/7213532", "TeigeGao")</f>
        <v>TeigeGao</v>
      </c>
      <c r="D9489" t="s">
        <v>135</v>
      </c>
      <c r="E9489">
        <v>1</v>
      </c>
    </row>
    <row r="9490" spans="1:5" x14ac:dyDescent="0.25">
      <c r="A9490">
        <v>9489</v>
      </c>
      <c r="B9490">
        <v>7213571</v>
      </c>
      <c r="C9490" s="1" t="str">
        <f>HYPERLINK("http://stackoverflow.com/users/7213571", "Cecurio")</f>
        <v>Cecurio</v>
      </c>
      <c r="D9490" t="s">
        <v>55</v>
      </c>
      <c r="E9490">
        <v>1</v>
      </c>
    </row>
    <row r="9491" spans="1:5" x14ac:dyDescent="0.25">
      <c r="A9491">
        <v>9490</v>
      </c>
      <c r="B9491">
        <v>9074782</v>
      </c>
      <c r="C9491" s="1" t="str">
        <f>HYPERLINK("http://stackoverflow.com/users/9074782", "Youssef Bousfoul")</f>
        <v>Youssef Bousfoul</v>
      </c>
      <c r="D9491" t="s">
        <v>5</v>
      </c>
      <c r="E9491">
        <v>1</v>
      </c>
    </row>
    <row r="9492" spans="1:5" x14ac:dyDescent="0.25">
      <c r="A9492">
        <v>9491</v>
      </c>
      <c r="B9492">
        <v>9075110</v>
      </c>
      <c r="C9492" s="1" t="str">
        <f>HYPERLINK("http://stackoverflow.com/users/9075110", "黄景涛")</f>
        <v>黄景涛</v>
      </c>
      <c r="D9492" t="s">
        <v>5</v>
      </c>
      <c r="E9492">
        <v>1</v>
      </c>
    </row>
    <row r="9493" spans="1:5" x14ac:dyDescent="0.25">
      <c r="A9493">
        <v>9492</v>
      </c>
      <c r="B9493">
        <v>9075207</v>
      </c>
      <c r="C9493" s="1" t="str">
        <f>HYPERLINK("http://stackoverflow.com/users/9075207", "Charlie He")</f>
        <v>Charlie He</v>
      </c>
      <c r="D9493" t="s">
        <v>4</v>
      </c>
      <c r="E9493">
        <v>1</v>
      </c>
    </row>
    <row r="9494" spans="1:5" x14ac:dyDescent="0.25">
      <c r="A9494">
        <v>9493</v>
      </c>
      <c r="B9494">
        <v>9075236</v>
      </c>
      <c r="C9494" s="1" t="str">
        <f>HYPERLINK("http://stackoverflow.com/users/9075236", "snehulak")</f>
        <v>snehulak</v>
      </c>
      <c r="D9494" t="s">
        <v>79</v>
      </c>
      <c r="E9494">
        <v>1</v>
      </c>
    </row>
    <row r="9495" spans="1:5" x14ac:dyDescent="0.25">
      <c r="A9495">
        <v>9494</v>
      </c>
      <c r="B9495">
        <v>9075412</v>
      </c>
      <c r="C9495" s="1" t="str">
        <f>HYPERLINK("http://stackoverflow.com/users/9075412", "gideon mohzo")</f>
        <v>gideon mohzo</v>
      </c>
      <c r="D9495" t="s">
        <v>515</v>
      </c>
      <c r="E9495">
        <v>1</v>
      </c>
    </row>
    <row r="9496" spans="1:5" x14ac:dyDescent="0.25">
      <c r="A9496">
        <v>9495</v>
      </c>
      <c r="B9496">
        <v>1831544</v>
      </c>
      <c r="C9496" s="1" t="str">
        <f>HYPERLINK("http://stackoverflow.com/users/1831544", "reStart")</f>
        <v>reStart</v>
      </c>
      <c r="D9496" t="s">
        <v>37</v>
      </c>
      <c r="E9496">
        <v>1</v>
      </c>
    </row>
    <row r="9497" spans="1:5" x14ac:dyDescent="0.25">
      <c r="A9497">
        <v>9496</v>
      </c>
      <c r="B9497">
        <v>7195214</v>
      </c>
      <c r="C9497" s="1" t="str">
        <f>HYPERLINK("http://stackoverflow.com/users/7195214", "Zhangrong.Huang")</f>
        <v>Zhangrong.Huang</v>
      </c>
      <c r="D9497" t="s">
        <v>5</v>
      </c>
      <c r="E9497">
        <v>1</v>
      </c>
    </row>
    <row r="9498" spans="1:5" x14ac:dyDescent="0.25">
      <c r="A9498">
        <v>9497</v>
      </c>
      <c r="B9498">
        <v>10874768</v>
      </c>
      <c r="C9498" s="1" t="str">
        <f>HYPERLINK("http://stackoverflow.com/users/10874768", "Pengfei Yang")</f>
        <v>Pengfei Yang</v>
      </c>
      <c r="D9498" t="s">
        <v>52</v>
      </c>
      <c r="E9498">
        <v>1</v>
      </c>
    </row>
    <row r="9499" spans="1:5" x14ac:dyDescent="0.25">
      <c r="A9499">
        <v>9498</v>
      </c>
      <c r="B9499">
        <v>10877871</v>
      </c>
      <c r="C9499" s="1" t="str">
        <f>HYPERLINK("http://stackoverflow.com/users/10877871", "Xiaoqin")</f>
        <v>Xiaoqin</v>
      </c>
      <c r="D9499" t="s">
        <v>516</v>
      </c>
      <c r="E9499">
        <v>1</v>
      </c>
    </row>
    <row r="9500" spans="1:5" x14ac:dyDescent="0.25">
      <c r="A9500">
        <v>9499</v>
      </c>
      <c r="B9500">
        <v>10877928</v>
      </c>
      <c r="C9500" s="1" t="str">
        <f>HYPERLINK("http://stackoverflow.com/users/10877928", "junhui yu")</f>
        <v>junhui yu</v>
      </c>
      <c r="D9500" t="s">
        <v>74</v>
      </c>
      <c r="E9500">
        <v>1</v>
      </c>
    </row>
    <row r="9501" spans="1:5" x14ac:dyDescent="0.25">
      <c r="A9501">
        <v>9500</v>
      </c>
      <c r="B9501">
        <v>10878069</v>
      </c>
      <c r="C9501" s="1" t="str">
        <f>HYPERLINK("http://stackoverflow.com/users/10878069", "huang jing")</f>
        <v>huang jing</v>
      </c>
      <c r="D9501" t="s">
        <v>16</v>
      </c>
      <c r="E9501">
        <v>1</v>
      </c>
    </row>
    <row r="9502" spans="1:5" x14ac:dyDescent="0.25">
      <c r="A9502">
        <v>9501</v>
      </c>
      <c r="B9502">
        <v>5461370</v>
      </c>
      <c r="C9502" s="1" t="str">
        <f>HYPERLINK("http://stackoverflow.com/users/5461370", "Sunnyconductor")</f>
        <v>Sunnyconductor</v>
      </c>
      <c r="D9502" t="s">
        <v>5</v>
      </c>
      <c r="E9502">
        <v>1</v>
      </c>
    </row>
    <row r="9503" spans="1:5" x14ac:dyDescent="0.25">
      <c r="A9503">
        <v>9502</v>
      </c>
      <c r="B9503">
        <v>5461845</v>
      </c>
      <c r="C9503" s="1" t="str">
        <f>HYPERLINK("http://stackoverflow.com/users/5461845", "tongtong")</f>
        <v>tongtong</v>
      </c>
      <c r="D9503" t="s">
        <v>22</v>
      </c>
      <c r="E9503">
        <v>1</v>
      </c>
    </row>
    <row r="9504" spans="1:5" x14ac:dyDescent="0.25">
      <c r="A9504">
        <v>9503</v>
      </c>
      <c r="B9504">
        <v>5461872</v>
      </c>
      <c r="C9504" s="1" t="str">
        <f>HYPERLINK("http://stackoverflow.com/users/5461872", "coastline")</f>
        <v>coastline</v>
      </c>
      <c r="D9504" t="s">
        <v>5</v>
      </c>
      <c r="E9504">
        <v>1</v>
      </c>
    </row>
    <row r="9505" spans="1:5" x14ac:dyDescent="0.25">
      <c r="A9505">
        <v>9504</v>
      </c>
      <c r="B9505">
        <v>9083153</v>
      </c>
      <c r="C9505" s="1" t="str">
        <f>HYPERLINK("http://stackoverflow.com/users/9083153", "hua chao")</f>
        <v>hua chao</v>
      </c>
      <c r="D9505" t="s">
        <v>176</v>
      </c>
      <c r="E9505">
        <v>1</v>
      </c>
    </row>
    <row r="9506" spans="1:5" x14ac:dyDescent="0.25">
      <c r="A9506">
        <v>9505</v>
      </c>
      <c r="B9506">
        <v>9087624</v>
      </c>
      <c r="C9506" s="1" t="str">
        <f>HYPERLINK("http://stackoverflow.com/users/9087624", "Juay Chen")</f>
        <v>Juay Chen</v>
      </c>
      <c r="D9506" t="s">
        <v>4</v>
      </c>
      <c r="E9506">
        <v>1</v>
      </c>
    </row>
    <row r="9507" spans="1:5" x14ac:dyDescent="0.25">
      <c r="A9507">
        <v>9506</v>
      </c>
      <c r="B9507">
        <v>10881977</v>
      </c>
      <c r="C9507" s="1" t="str">
        <f>HYPERLINK("http://stackoverflow.com/users/10881977", "jie zhang")</f>
        <v>jie zhang</v>
      </c>
      <c r="D9507" t="s">
        <v>5</v>
      </c>
      <c r="E9507">
        <v>1</v>
      </c>
    </row>
    <row r="9508" spans="1:5" x14ac:dyDescent="0.25">
      <c r="A9508">
        <v>9507</v>
      </c>
      <c r="B9508">
        <v>10882178</v>
      </c>
      <c r="C9508" s="1" t="str">
        <f>HYPERLINK("http://stackoverflow.com/users/10882178", "platforms")</f>
        <v>platforms</v>
      </c>
      <c r="D9508" t="s">
        <v>16</v>
      </c>
      <c r="E9508">
        <v>1</v>
      </c>
    </row>
    <row r="9509" spans="1:5" x14ac:dyDescent="0.25">
      <c r="A9509">
        <v>9508</v>
      </c>
      <c r="B9509">
        <v>10882483</v>
      </c>
      <c r="C9509" s="1" t="str">
        <f>HYPERLINK("http://stackoverflow.com/users/10882483", "A.M")</f>
        <v>A.M</v>
      </c>
      <c r="D9509" t="s">
        <v>4</v>
      </c>
      <c r="E9509">
        <v>1</v>
      </c>
    </row>
    <row r="9510" spans="1:5" x14ac:dyDescent="0.25">
      <c r="A9510">
        <v>9509</v>
      </c>
      <c r="B9510">
        <v>10882634</v>
      </c>
      <c r="C9510" s="1" t="str">
        <f>HYPERLINK("http://stackoverflow.com/users/10882634", "Justin Chou")</f>
        <v>Justin Chou</v>
      </c>
      <c r="D9510" t="s">
        <v>5</v>
      </c>
      <c r="E9510">
        <v>1</v>
      </c>
    </row>
    <row r="9511" spans="1:5" x14ac:dyDescent="0.25">
      <c r="A9511">
        <v>9510</v>
      </c>
      <c r="B9511">
        <v>9091579</v>
      </c>
      <c r="C9511" s="1" t="str">
        <f>HYPERLINK("http://stackoverflow.com/users/9091579", "Yingyun Sun")</f>
        <v>Yingyun Sun</v>
      </c>
      <c r="D9511" t="s">
        <v>5</v>
      </c>
      <c r="E9511">
        <v>1</v>
      </c>
    </row>
    <row r="9512" spans="1:5" x14ac:dyDescent="0.25">
      <c r="A9512">
        <v>9511</v>
      </c>
      <c r="B9512">
        <v>9091633</v>
      </c>
      <c r="C9512" s="1" t="str">
        <f>HYPERLINK("http://stackoverflow.com/users/9091633", "user9091633")</f>
        <v>user9091633</v>
      </c>
      <c r="D9512" t="s">
        <v>517</v>
      </c>
      <c r="E9512">
        <v>1</v>
      </c>
    </row>
    <row r="9513" spans="1:5" x14ac:dyDescent="0.25">
      <c r="A9513">
        <v>9512</v>
      </c>
      <c r="B9513">
        <v>9091888</v>
      </c>
      <c r="C9513" s="1" t="str">
        <f>HYPERLINK("http://stackoverflow.com/users/9091888", "Lawrence He")</f>
        <v>Lawrence He</v>
      </c>
      <c r="D9513" t="s">
        <v>5</v>
      </c>
      <c r="E9513">
        <v>1</v>
      </c>
    </row>
    <row r="9514" spans="1:5" x14ac:dyDescent="0.25">
      <c r="A9514">
        <v>9513</v>
      </c>
      <c r="B9514">
        <v>3681866</v>
      </c>
      <c r="C9514" s="1" t="str">
        <f>HYPERLINK("http://stackoverflow.com/users/3681866", "xuhao199224")</f>
        <v>xuhao199224</v>
      </c>
      <c r="D9514" t="s">
        <v>5</v>
      </c>
      <c r="E9514">
        <v>1</v>
      </c>
    </row>
    <row r="9515" spans="1:5" x14ac:dyDescent="0.25">
      <c r="A9515">
        <v>9514</v>
      </c>
      <c r="B9515">
        <v>3682206</v>
      </c>
      <c r="C9515" s="1" t="str">
        <f>HYPERLINK("http://stackoverflow.com/users/3682206", "LouisCheung")</f>
        <v>LouisCheung</v>
      </c>
      <c r="D9515" t="s">
        <v>16</v>
      </c>
      <c r="E9515">
        <v>1</v>
      </c>
    </row>
    <row r="9516" spans="1:5" x14ac:dyDescent="0.25">
      <c r="A9516">
        <v>9515</v>
      </c>
      <c r="B9516">
        <v>5483804</v>
      </c>
      <c r="C9516" s="1" t="str">
        <f>HYPERLINK("http://stackoverflow.com/users/5483804", "Taiming")</f>
        <v>Taiming</v>
      </c>
      <c r="D9516" t="s">
        <v>5</v>
      </c>
      <c r="E9516">
        <v>1</v>
      </c>
    </row>
    <row r="9517" spans="1:5" x14ac:dyDescent="0.25">
      <c r="A9517">
        <v>9516</v>
      </c>
      <c r="B9517">
        <v>7239031</v>
      </c>
      <c r="C9517" s="1" t="str">
        <f>HYPERLINK("http://stackoverflow.com/users/7239031", "Pandor")</f>
        <v>Pandor</v>
      </c>
      <c r="D9517" t="s">
        <v>518</v>
      </c>
      <c r="E9517">
        <v>1</v>
      </c>
    </row>
    <row r="9518" spans="1:5" x14ac:dyDescent="0.25">
      <c r="A9518">
        <v>9517</v>
      </c>
      <c r="B9518">
        <v>7239266</v>
      </c>
      <c r="C9518" s="1" t="str">
        <f>HYPERLINK("http://stackoverflow.com/users/7239266", "Jason")</f>
        <v>Jason</v>
      </c>
      <c r="D9518" t="s">
        <v>15</v>
      </c>
      <c r="E9518">
        <v>1</v>
      </c>
    </row>
    <row r="9519" spans="1:5" x14ac:dyDescent="0.25">
      <c r="A9519">
        <v>9518</v>
      </c>
      <c r="B9519">
        <v>7239333</v>
      </c>
      <c r="C9519" s="1" t="str">
        <f>HYPERLINK("http://stackoverflow.com/users/7239333", "Chuankui Wei")</f>
        <v>Chuankui Wei</v>
      </c>
      <c r="D9519" t="s">
        <v>5</v>
      </c>
      <c r="E9519">
        <v>1</v>
      </c>
    </row>
    <row r="9520" spans="1:5" x14ac:dyDescent="0.25">
      <c r="A9520">
        <v>9519</v>
      </c>
      <c r="B9520">
        <v>9108747</v>
      </c>
      <c r="C9520" s="1" t="str">
        <f>HYPERLINK("http://stackoverflow.com/users/9108747", "codezm")</f>
        <v>codezm</v>
      </c>
      <c r="D9520" t="s">
        <v>79</v>
      </c>
      <c r="E9520">
        <v>1</v>
      </c>
    </row>
    <row r="9521" spans="1:5" x14ac:dyDescent="0.25">
      <c r="A9521">
        <v>9520</v>
      </c>
      <c r="B9521">
        <v>9109041</v>
      </c>
      <c r="C9521" s="1" t="str">
        <f>HYPERLINK("http://stackoverflow.com/users/9109041", "benny")</f>
        <v>benny</v>
      </c>
      <c r="D9521" t="s">
        <v>5</v>
      </c>
      <c r="E9521">
        <v>1</v>
      </c>
    </row>
    <row r="9522" spans="1:5" x14ac:dyDescent="0.25">
      <c r="A9522">
        <v>9521</v>
      </c>
      <c r="B9522">
        <v>9109102</v>
      </c>
      <c r="C9522" s="1" t="str">
        <f>HYPERLINK("http://stackoverflow.com/users/9109102", "Gordon")</f>
        <v>Gordon</v>
      </c>
      <c r="D9522" t="s">
        <v>5</v>
      </c>
      <c r="E9522">
        <v>1</v>
      </c>
    </row>
    <row r="9523" spans="1:5" x14ac:dyDescent="0.25">
      <c r="A9523">
        <v>9522</v>
      </c>
      <c r="B9523">
        <v>9109554</v>
      </c>
      <c r="C9523" s="1" t="str">
        <f>HYPERLINK("http://stackoverflow.com/users/9109554", "Bisrat")</f>
        <v>Bisrat</v>
      </c>
      <c r="D9523" t="s">
        <v>100</v>
      </c>
      <c r="E9523">
        <v>1</v>
      </c>
    </row>
    <row r="9524" spans="1:5" x14ac:dyDescent="0.25">
      <c r="A9524">
        <v>9523</v>
      </c>
      <c r="B9524">
        <v>10904277</v>
      </c>
      <c r="C9524" s="1" t="str">
        <f>HYPERLINK("http://stackoverflow.com/users/10904277", "Mingyu Ding")</f>
        <v>Mingyu Ding</v>
      </c>
      <c r="D9524" t="s">
        <v>5</v>
      </c>
      <c r="E9524">
        <v>1</v>
      </c>
    </row>
    <row r="9525" spans="1:5" x14ac:dyDescent="0.25">
      <c r="A9525">
        <v>9524</v>
      </c>
      <c r="B9525">
        <v>10904375</v>
      </c>
      <c r="C9525" s="1" t="str">
        <f>HYPERLINK("http://stackoverflow.com/users/10904375", "Kylin Xiang")</f>
        <v>Kylin Xiang</v>
      </c>
      <c r="D9525" t="s">
        <v>4</v>
      </c>
      <c r="E9525">
        <v>1</v>
      </c>
    </row>
    <row r="9526" spans="1:5" x14ac:dyDescent="0.25">
      <c r="A9526">
        <v>9525</v>
      </c>
      <c r="B9526">
        <v>5487500</v>
      </c>
      <c r="C9526" s="1" t="str">
        <f>HYPERLINK("http://stackoverflow.com/users/5487500", "zoro")</f>
        <v>zoro</v>
      </c>
      <c r="D9526" t="s">
        <v>5</v>
      </c>
      <c r="E9526">
        <v>1</v>
      </c>
    </row>
    <row r="9527" spans="1:5" x14ac:dyDescent="0.25">
      <c r="A9527">
        <v>9526</v>
      </c>
      <c r="B9527">
        <v>9113569</v>
      </c>
      <c r="C9527" s="1" t="str">
        <f>HYPERLINK("http://stackoverflow.com/users/9113569", "chendagui")</f>
        <v>chendagui</v>
      </c>
      <c r="D9527" t="s">
        <v>176</v>
      </c>
      <c r="E9527">
        <v>1</v>
      </c>
    </row>
    <row r="9528" spans="1:5" x14ac:dyDescent="0.25">
      <c r="A9528">
        <v>9527</v>
      </c>
      <c r="B9528">
        <v>9113616</v>
      </c>
      <c r="C9528" s="1" t="str">
        <f>HYPERLINK("http://stackoverflow.com/users/9113616", "Pepper")</f>
        <v>Pepper</v>
      </c>
      <c r="D9528" t="s">
        <v>131</v>
      </c>
      <c r="E9528">
        <v>1</v>
      </c>
    </row>
    <row r="9529" spans="1:5" x14ac:dyDescent="0.25">
      <c r="A9529">
        <v>9528</v>
      </c>
      <c r="B9529">
        <v>9116424</v>
      </c>
      <c r="C9529" s="1" t="str">
        <f>HYPERLINK("http://stackoverflow.com/users/9116424", "舞初恒")</f>
        <v>舞初恒</v>
      </c>
      <c r="D9529" t="s">
        <v>7</v>
      </c>
      <c r="E9529">
        <v>1</v>
      </c>
    </row>
    <row r="9530" spans="1:5" x14ac:dyDescent="0.25">
      <c r="A9530">
        <v>9529</v>
      </c>
      <c r="B9530">
        <v>9117152</v>
      </c>
      <c r="C9530" s="1" t="str">
        <f>HYPERLINK("http://stackoverflow.com/users/9117152", "ZicaiFeng")</f>
        <v>ZicaiFeng</v>
      </c>
      <c r="D9530" t="s">
        <v>131</v>
      </c>
      <c r="E9530">
        <v>1</v>
      </c>
    </row>
    <row r="9531" spans="1:5" x14ac:dyDescent="0.25">
      <c r="A9531">
        <v>9530</v>
      </c>
      <c r="B9531">
        <v>9117209</v>
      </c>
      <c r="C9531" s="1" t="str">
        <f>HYPERLINK("http://stackoverflow.com/users/9117209", "tian")</f>
        <v>tian</v>
      </c>
      <c r="D9531" t="s">
        <v>5</v>
      </c>
      <c r="E9531">
        <v>1</v>
      </c>
    </row>
    <row r="9532" spans="1:5" x14ac:dyDescent="0.25">
      <c r="A9532">
        <v>9531</v>
      </c>
      <c r="B9532">
        <v>1896481</v>
      </c>
      <c r="C9532" s="1" t="str">
        <f>HYPERLINK("http://stackoverflow.com/users/1896481", "Lgengsy")</f>
        <v>Lgengsy</v>
      </c>
      <c r="D9532" t="s">
        <v>5</v>
      </c>
      <c r="E9532">
        <v>1</v>
      </c>
    </row>
    <row r="9533" spans="1:5" x14ac:dyDescent="0.25">
      <c r="A9533">
        <v>9532</v>
      </c>
      <c r="B9533">
        <v>1896498</v>
      </c>
      <c r="C9533" s="1" t="str">
        <f>HYPERLINK("http://stackoverflow.com/users/1896498", "Justin")</f>
        <v>Justin</v>
      </c>
      <c r="D9533" t="s">
        <v>17</v>
      </c>
      <c r="E9533">
        <v>1</v>
      </c>
    </row>
    <row r="9534" spans="1:5" x14ac:dyDescent="0.25">
      <c r="A9534">
        <v>9533</v>
      </c>
      <c r="B9534">
        <v>1896939</v>
      </c>
      <c r="C9534" s="1" t="str">
        <f>HYPERLINK("http://stackoverflow.com/users/1896939", "Daniel Liu")</f>
        <v>Daniel Liu</v>
      </c>
      <c r="D9534" t="s">
        <v>4</v>
      </c>
      <c r="E9534">
        <v>1</v>
      </c>
    </row>
    <row r="9535" spans="1:5" x14ac:dyDescent="0.25">
      <c r="A9535">
        <v>9534</v>
      </c>
      <c r="B9535">
        <v>1897251</v>
      </c>
      <c r="C9535" s="1" t="str">
        <f>HYPERLINK("http://stackoverflow.com/users/1897251", "Funny")</f>
        <v>Funny</v>
      </c>
      <c r="D9535" t="s">
        <v>12</v>
      </c>
      <c r="E9535">
        <v>1</v>
      </c>
    </row>
    <row r="9536" spans="1:5" x14ac:dyDescent="0.25">
      <c r="A9536">
        <v>9535</v>
      </c>
      <c r="B9536">
        <v>1897552</v>
      </c>
      <c r="C9536" s="1" t="str">
        <f>HYPERLINK("http://stackoverflow.com/users/1897552", "Guaidaodl")</f>
        <v>Guaidaodl</v>
      </c>
      <c r="D9536" t="s">
        <v>5</v>
      </c>
      <c r="E9536">
        <v>1</v>
      </c>
    </row>
    <row r="9537" spans="1:5" x14ac:dyDescent="0.25">
      <c r="A9537">
        <v>9536</v>
      </c>
      <c r="B9537">
        <v>10912379</v>
      </c>
      <c r="C9537" s="1" t="str">
        <f>HYPERLINK("http://stackoverflow.com/users/10912379", "KampfWut")</f>
        <v>KampfWut</v>
      </c>
      <c r="D9537" t="s">
        <v>74</v>
      </c>
      <c r="E9537">
        <v>1</v>
      </c>
    </row>
    <row r="9538" spans="1:5" x14ac:dyDescent="0.25">
      <c r="A9538">
        <v>9537</v>
      </c>
      <c r="B9538">
        <v>5494463</v>
      </c>
      <c r="C9538" s="1" t="str">
        <f>HYPERLINK("http://stackoverflow.com/users/5494463", "Ethan")</f>
        <v>Ethan</v>
      </c>
      <c r="D9538" t="s">
        <v>5</v>
      </c>
      <c r="E9538">
        <v>1</v>
      </c>
    </row>
    <row r="9539" spans="1:5" x14ac:dyDescent="0.25">
      <c r="A9539">
        <v>9538</v>
      </c>
      <c r="B9539">
        <v>10916168</v>
      </c>
      <c r="C9539" s="1" t="str">
        <f>HYPERLINK("http://stackoverflow.com/users/10916168", "bestvitaminseries")</f>
        <v>bestvitaminseries</v>
      </c>
      <c r="D9539" t="s">
        <v>519</v>
      </c>
      <c r="E9539">
        <v>1</v>
      </c>
    </row>
    <row r="9540" spans="1:5" x14ac:dyDescent="0.25">
      <c r="A9540">
        <v>9539</v>
      </c>
      <c r="B9540">
        <v>9121297</v>
      </c>
      <c r="C9540" s="1" t="str">
        <f>HYPERLINK("http://stackoverflow.com/users/9121297", "Eulring")</f>
        <v>Eulring</v>
      </c>
      <c r="D9540" t="s">
        <v>4</v>
      </c>
      <c r="E9540">
        <v>1</v>
      </c>
    </row>
    <row r="9541" spans="1:5" x14ac:dyDescent="0.25">
      <c r="A9541">
        <v>9540</v>
      </c>
      <c r="B9541">
        <v>9121550</v>
      </c>
      <c r="C9541" s="1" t="str">
        <f>HYPERLINK("http://stackoverflow.com/users/9121550", "Cyrus Liu")</f>
        <v>Cyrus Liu</v>
      </c>
      <c r="D9541" t="s">
        <v>28</v>
      </c>
      <c r="E9541">
        <v>1</v>
      </c>
    </row>
    <row r="9542" spans="1:5" x14ac:dyDescent="0.25">
      <c r="A9542">
        <v>9541</v>
      </c>
      <c r="B9542">
        <v>7249932</v>
      </c>
      <c r="C9542" s="1" t="str">
        <f>HYPERLINK("http://stackoverflow.com/users/7249932", "Adelemm")</f>
        <v>Adelemm</v>
      </c>
      <c r="D9542" t="s">
        <v>4</v>
      </c>
      <c r="E9542">
        <v>1</v>
      </c>
    </row>
    <row r="9543" spans="1:5" x14ac:dyDescent="0.25">
      <c r="A9543">
        <v>9542</v>
      </c>
      <c r="B9543">
        <v>7249993</v>
      </c>
      <c r="C9543" s="1" t="str">
        <f>HYPERLINK("http://stackoverflow.com/users/7249993", "Henry")</f>
        <v>Henry</v>
      </c>
      <c r="D9543" t="s">
        <v>131</v>
      </c>
      <c r="E9543">
        <v>1</v>
      </c>
    </row>
    <row r="9544" spans="1:5" x14ac:dyDescent="0.25">
      <c r="A9544">
        <v>9543</v>
      </c>
      <c r="B9544">
        <v>7250042</v>
      </c>
      <c r="C9544" s="1" t="str">
        <f>HYPERLINK("http://stackoverflow.com/users/7250042", "P.Quanwei")</f>
        <v>P.Quanwei</v>
      </c>
      <c r="D9544" t="s">
        <v>5</v>
      </c>
      <c r="E9544">
        <v>1</v>
      </c>
    </row>
    <row r="9545" spans="1:5" x14ac:dyDescent="0.25">
      <c r="A9545">
        <v>9544</v>
      </c>
      <c r="B9545">
        <v>7250092</v>
      </c>
      <c r="C9545" s="1" t="str">
        <f>HYPERLINK("http://stackoverflow.com/users/7250092", "youngha")</f>
        <v>youngha</v>
      </c>
      <c r="D9545" t="s">
        <v>25</v>
      </c>
      <c r="E9545">
        <v>1</v>
      </c>
    </row>
    <row r="9546" spans="1:5" x14ac:dyDescent="0.25">
      <c r="A9546">
        <v>9545</v>
      </c>
      <c r="B9546">
        <v>7250102</v>
      </c>
      <c r="C9546" s="1" t="str">
        <f>HYPERLINK("http://stackoverflow.com/users/7250102", "nian huang")</f>
        <v>nian huang</v>
      </c>
      <c r="D9546" t="s">
        <v>7</v>
      </c>
      <c r="E9546">
        <v>1</v>
      </c>
    </row>
    <row r="9547" spans="1:5" x14ac:dyDescent="0.25">
      <c r="A9547">
        <v>9546</v>
      </c>
      <c r="B9547">
        <v>7250204</v>
      </c>
      <c r="C9547" s="1" t="str">
        <f>HYPERLINK("http://stackoverflow.com/users/7250204", "Sugianto")</f>
        <v>Sugianto</v>
      </c>
      <c r="D9547" t="s">
        <v>16</v>
      </c>
      <c r="E9547">
        <v>1</v>
      </c>
    </row>
    <row r="9548" spans="1:5" x14ac:dyDescent="0.25">
      <c r="A9548">
        <v>9547</v>
      </c>
      <c r="B9548">
        <v>7250253</v>
      </c>
      <c r="C9548" s="1" t="str">
        <f>HYPERLINK("http://stackoverflow.com/users/7250253", "michael chai")</f>
        <v>michael chai</v>
      </c>
      <c r="D9548" t="s">
        <v>5</v>
      </c>
      <c r="E9548">
        <v>1</v>
      </c>
    </row>
    <row r="9549" spans="1:5" x14ac:dyDescent="0.25">
      <c r="A9549">
        <v>9548</v>
      </c>
      <c r="B9549">
        <v>10845648</v>
      </c>
      <c r="C9549" s="1" t="str">
        <f>HYPERLINK("http://stackoverflow.com/users/10845648", "jinyi wu")</f>
        <v>jinyi wu</v>
      </c>
      <c r="D9549" t="s">
        <v>16</v>
      </c>
      <c r="E9549">
        <v>1</v>
      </c>
    </row>
    <row r="9550" spans="1:5" x14ac:dyDescent="0.25">
      <c r="A9550">
        <v>9549</v>
      </c>
      <c r="B9550">
        <v>10845768</v>
      </c>
      <c r="C9550" s="1" t="str">
        <f>HYPERLINK("http://stackoverflow.com/users/10845768", "Zongru Zhan")</f>
        <v>Zongru Zhan</v>
      </c>
      <c r="D9550" t="s">
        <v>16</v>
      </c>
      <c r="E9550">
        <v>1</v>
      </c>
    </row>
    <row r="9551" spans="1:5" x14ac:dyDescent="0.25">
      <c r="A9551">
        <v>9550</v>
      </c>
      <c r="B9551">
        <v>5434747</v>
      </c>
      <c r="C9551" s="1" t="str">
        <f>HYPERLINK("http://stackoverflow.com/users/5434747", "Joel.wy")</f>
        <v>Joel.wy</v>
      </c>
      <c r="D9551" t="s">
        <v>131</v>
      </c>
      <c r="E9551">
        <v>1</v>
      </c>
    </row>
    <row r="9552" spans="1:5" x14ac:dyDescent="0.25">
      <c r="A9552">
        <v>9551</v>
      </c>
      <c r="B9552">
        <v>10845047</v>
      </c>
      <c r="C9552" s="1" t="str">
        <f>HYPERLINK("http://stackoverflow.com/users/10845047", "OliverWan")</f>
        <v>OliverWan</v>
      </c>
      <c r="D9552" t="s">
        <v>43</v>
      </c>
      <c r="E9552">
        <v>1</v>
      </c>
    </row>
    <row r="9553" spans="1:5" x14ac:dyDescent="0.25">
      <c r="A9553">
        <v>9552</v>
      </c>
      <c r="B9553">
        <v>10845135</v>
      </c>
      <c r="C9553" s="1" t="str">
        <f>HYPERLINK("http://stackoverflow.com/users/10845135", "Tongz")</f>
        <v>Tongz</v>
      </c>
      <c r="D9553" t="s">
        <v>5</v>
      </c>
      <c r="E9553">
        <v>1</v>
      </c>
    </row>
    <row r="9554" spans="1:5" x14ac:dyDescent="0.25">
      <c r="A9554">
        <v>9553</v>
      </c>
      <c r="B9554">
        <v>1834891</v>
      </c>
      <c r="C9554" s="1" t="str">
        <f>HYPERLINK("http://stackoverflow.com/users/1834891", "xiaochun he")</f>
        <v>xiaochun he</v>
      </c>
      <c r="D9554" t="s">
        <v>17</v>
      </c>
      <c r="E9554">
        <v>1</v>
      </c>
    </row>
    <row r="9555" spans="1:5" x14ac:dyDescent="0.25">
      <c r="A9555">
        <v>9554</v>
      </c>
      <c r="B9555">
        <v>1835757</v>
      </c>
      <c r="C9555" s="1" t="str">
        <f>HYPERLINK("http://stackoverflow.com/users/1835757", "Yao Zhu")</f>
        <v>Yao Zhu</v>
      </c>
      <c r="D9555" t="s">
        <v>4</v>
      </c>
      <c r="E9555">
        <v>1</v>
      </c>
    </row>
    <row r="9556" spans="1:5" x14ac:dyDescent="0.25">
      <c r="A9556">
        <v>9555</v>
      </c>
      <c r="B9556">
        <v>1836015</v>
      </c>
      <c r="C9556" s="1" t="str">
        <f>HYPERLINK("http://stackoverflow.com/users/1836015", "lionelshen")</f>
        <v>lionelshen</v>
      </c>
      <c r="D9556" t="s">
        <v>37</v>
      </c>
      <c r="E9556">
        <v>1</v>
      </c>
    </row>
    <row r="9557" spans="1:5" x14ac:dyDescent="0.25">
      <c r="A9557">
        <v>9556</v>
      </c>
      <c r="B9557">
        <v>1836366</v>
      </c>
      <c r="C9557" s="1" t="str">
        <f>HYPERLINK("http://stackoverflow.com/users/1836366", "zyh-nankai university")</f>
        <v>zyh-nankai university</v>
      </c>
      <c r="D9557" t="s">
        <v>520</v>
      </c>
      <c r="E9557">
        <v>1</v>
      </c>
    </row>
    <row r="9558" spans="1:5" x14ac:dyDescent="0.25">
      <c r="A9558">
        <v>9557</v>
      </c>
      <c r="B9558">
        <v>10861740</v>
      </c>
      <c r="C9558" s="1" t="str">
        <f>HYPERLINK("http://stackoverflow.com/users/10861740", "TylerW")</f>
        <v>TylerW</v>
      </c>
      <c r="D9558" t="s">
        <v>35</v>
      </c>
      <c r="E9558">
        <v>1</v>
      </c>
    </row>
    <row r="9559" spans="1:5" x14ac:dyDescent="0.25">
      <c r="A9559">
        <v>9558</v>
      </c>
      <c r="B9559">
        <v>10862117</v>
      </c>
      <c r="C9559" s="1" t="str">
        <f>HYPERLINK("http://stackoverflow.com/users/10862117", "Jason Chen")</f>
        <v>Jason Chen</v>
      </c>
      <c r="D9559" t="s">
        <v>4</v>
      </c>
      <c r="E9559">
        <v>1</v>
      </c>
    </row>
    <row r="9560" spans="1:5" x14ac:dyDescent="0.25">
      <c r="A9560">
        <v>9559</v>
      </c>
      <c r="B9560">
        <v>9070793</v>
      </c>
      <c r="C9560" s="1" t="str">
        <f>HYPERLINK("http://stackoverflow.com/users/9070793", "John Snooker")</f>
        <v>John Snooker</v>
      </c>
      <c r="D9560" t="s">
        <v>4</v>
      </c>
      <c r="E9560">
        <v>1</v>
      </c>
    </row>
    <row r="9561" spans="1:5" x14ac:dyDescent="0.25">
      <c r="A9561">
        <v>9560</v>
      </c>
      <c r="B9561">
        <v>10865906</v>
      </c>
      <c r="C9561" s="1" t="str">
        <f>HYPERLINK("http://stackoverflow.com/users/10865906", "胡湖鹏")</f>
        <v>胡湖鹏</v>
      </c>
      <c r="D9561" t="s">
        <v>15</v>
      </c>
      <c r="E9561">
        <v>1</v>
      </c>
    </row>
    <row r="9562" spans="1:5" x14ac:dyDescent="0.25">
      <c r="A9562">
        <v>9561</v>
      </c>
      <c r="B9562">
        <v>5450509</v>
      </c>
      <c r="C9562" s="1" t="str">
        <f>HYPERLINK("http://stackoverflow.com/users/5450509", "liuyidi")</f>
        <v>liuyidi</v>
      </c>
      <c r="D9562" t="s">
        <v>12</v>
      </c>
      <c r="E9562">
        <v>1</v>
      </c>
    </row>
    <row r="9563" spans="1:5" x14ac:dyDescent="0.25">
      <c r="A9563">
        <v>9562</v>
      </c>
      <c r="B9563">
        <v>5450700</v>
      </c>
      <c r="C9563" s="1" t="str">
        <f>HYPERLINK("http://stackoverflow.com/users/5450700", "greatfox")</f>
        <v>greatfox</v>
      </c>
      <c r="D9563" t="s">
        <v>16</v>
      </c>
      <c r="E9563">
        <v>1</v>
      </c>
    </row>
    <row r="9564" spans="1:5" x14ac:dyDescent="0.25">
      <c r="A9564">
        <v>9563</v>
      </c>
      <c r="B9564">
        <v>1846410</v>
      </c>
      <c r="C9564" s="1" t="str">
        <f>HYPERLINK("http://stackoverflow.com/users/1846410", "scu_felix")</f>
        <v>scu_felix</v>
      </c>
      <c r="D9564" t="s">
        <v>5</v>
      </c>
      <c r="E9564">
        <v>1</v>
      </c>
    </row>
    <row r="9565" spans="1:5" x14ac:dyDescent="0.25">
      <c r="A9565">
        <v>9564</v>
      </c>
      <c r="B9565">
        <v>9045173</v>
      </c>
      <c r="C9565" s="1" t="str">
        <f>HYPERLINK("http://stackoverflow.com/users/9045173", "user9045173")</f>
        <v>user9045173</v>
      </c>
      <c r="D9565" t="s">
        <v>16</v>
      </c>
      <c r="E9565">
        <v>1</v>
      </c>
    </row>
    <row r="9566" spans="1:5" x14ac:dyDescent="0.25">
      <c r="A9566">
        <v>9565</v>
      </c>
      <c r="B9566">
        <v>7187795</v>
      </c>
      <c r="C9566" s="1" t="str">
        <f>HYPERLINK("http://stackoverflow.com/users/7187795", "Liu Helin")</f>
        <v>Liu Helin</v>
      </c>
      <c r="D9566" t="s">
        <v>129</v>
      </c>
      <c r="E9566">
        <v>1</v>
      </c>
    </row>
    <row r="9567" spans="1:5" x14ac:dyDescent="0.25">
      <c r="A9567">
        <v>9566</v>
      </c>
      <c r="B9567">
        <v>5431269</v>
      </c>
      <c r="C9567" s="1" t="str">
        <f>HYPERLINK("http://stackoverflow.com/users/5431269", "龙腾道")</f>
        <v>龙腾道</v>
      </c>
      <c r="D9567" t="s">
        <v>4</v>
      </c>
      <c r="E9567">
        <v>1</v>
      </c>
    </row>
    <row r="9568" spans="1:5" x14ac:dyDescent="0.25">
      <c r="A9568">
        <v>9567</v>
      </c>
      <c r="B9568">
        <v>1817535</v>
      </c>
      <c r="C9568" s="1" t="str">
        <f>HYPERLINK("http://stackoverflow.com/users/1817535", "chenjinlei")</f>
        <v>chenjinlei</v>
      </c>
      <c r="D9568" t="s">
        <v>521</v>
      </c>
      <c r="E9568">
        <v>1</v>
      </c>
    </row>
    <row r="9569" spans="1:5" x14ac:dyDescent="0.25">
      <c r="A9569">
        <v>9568</v>
      </c>
      <c r="B9569">
        <v>7182588</v>
      </c>
      <c r="C9569" s="1" t="str">
        <f>HYPERLINK("http://stackoverflow.com/users/7182588", " wang.hilbert")</f>
        <v xml:space="preserve"> wang.hilbert</v>
      </c>
      <c r="D9569" t="s">
        <v>5</v>
      </c>
      <c r="E9569">
        <v>1</v>
      </c>
    </row>
    <row r="9570" spans="1:5" x14ac:dyDescent="0.25">
      <c r="A9570">
        <v>9569</v>
      </c>
      <c r="B9570">
        <v>7187367</v>
      </c>
      <c r="C9570" s="1" t="str">
        <f>HYPERLINK("http://stackoverflow.com/users/7187367", "Liu Zhao")</f>
        <v>Liu Zhao</v>
      </c>
      <c r="D9570" t="s">
        <v>131</v>
      </c>
      <c r="E9570">
        <v>1</v>
      </c>
    </row>
    <row r="9571" spans="1:5" x14ac:dyDescent="0.25">
      <c r="A9571">
        <v>9570</v>
      </c>
      <c r="B9571">
        <v>7187463</v>
      </c>
      <c r="C9571" s="1" t="str">
        <f>HYPERLINK("http://stackoverflow.com/users/7187463", "Da Zhang")</f>
        <v>Da Zhang</v>
      </c>
      <c r="D9571" t="s">
        <v>5</v>
      </c>
      <c r="E9571">
        <v>1</v>
      </c>
    </row>
    <row r="9572" spans="1:5" x14ac:dyDescent="0.25">
      <c r="A9572">
        <v>9571</v>
      </c>
      <c r="B9572">
        <v>3634821</v>
      </c>
      <c r="C9572" s="1" t="str">
        <f>HYPERLINK("http://stackoverflow.com/users/3634821", "Dorben")</f>
        <v>Dorben</v>
      </c>
      <c r="D9572" t="s">
        <v>5</v>
      </c>
      <c r="E9572">
        <v>1</v>
      </c>
    </row>
    <row r="9573" spans="1:5" x14ac:dyDescent="0.25">
      <c r="A9573">
        <v>9572</v>
      </c>
      <c r="B9573">
        <v>9054701</v>
      </c>
      <c r="C9573" s="1" t="str">
        <f>HYPERLINK("http://stackoverflow.com/users/9054701", "leo yang")</f>
        <v>leo yang</v>
      </c>
      <c r="D9573" t="s">
        <v>4</v>
      </c>
      <c r="E9573">
        <v>1</v>
      </c>
    </row>
    <row r="9574" spans="1:5" x14ac:dyDescent="0.25">
      <c r="A9574">
        <v>9573</v>
      </c>
      <c r="B9574">
        <v>9054996</v>
      </c>
      <c r="C9574" s="1" t="str">
        <f>HYPERLINK("http://stackoverflow.com/users/9054996", "郭善明")</f>
        <v>郭善明</v>
      </c>
      <c r="D9574" t="s">
        <v>522</v>
      </c>
      <c r="E9574">
        <v>1</v>
      </c>
    </row>
    <row r="9575" spans="1:5" x14ac:dyDescent="0.25">
      <c r="A9575">
        <v>9574</v>
      </c>
      <c r="B9575">
        <v>9055068</v>
      </c>
      <c r="C9575" s="1" t="str">
        <f>HYPERLINK("http://stackoverflow.com/users/9055068", "Don")</f>
        <v>Don</v>
      </c>
      <c r="D9575" t="s">
        <v>25</v>
      </c>
      <c r="E9575">
        <v>1</v>
      </c>
    </row>
    <row r="9576" spans="1:5" x14ac:dyDescent="0.25">
      <c r="A9576">
        <v>9575</v>
      </c>
      <c r="B9576">
        <v>9055116</v>
      </c>
      <c r="C9576" s="1" t="str">
        <f>HYPERLINK("http://stackoverflow.com/users/9055116", "linsheng")</f>
        <v>linsheng</v>
      </c>
      <c r="D9576" t="s">
        <v>523</v>
      </c>
      <c r="E9576">
        <v>1</v>
      </c>
    </row>
    <row r="9577" spans="1:5" x14ac:dyDescent="0.25">
      <c r="A9577">
        <v>9576</v>
      </c>
      <c r="B9577">
        <v>5438861</v>
      </c>
      <c r="C9577" s="1" t="str">
        <f>HYPERLINK("http://stackoverflow.com/users/5438861", "LiuYuanhui")</f>
        <v>LiuYuanhui</v>
      </c>
      <c r="D9577" t="s">
        <v>3</v>
      </c>
      <c r="E9577">
        <v>1</v>
      </c>
    </row>
    <row r="9578" spans="1:5" x14ac:dyDescent="0.25">
      <c r="A9578">
        <v>9577</v>
      </c>
      <c r="B9578">
        <v>5438989</v>
      </c>
      <c r="C9578" s="1" t="str">
        <f>HYPERLINK("http://stackoverflow.com/users/5438989", "Ryan")</f>
        <v>Ryan</v>
      </c>
      <c r="D9578" t="s">
        <v>5</v>
      </c>
      <c r="E9578">
        <v>1</v>
      </c>
    </row>
    <row r="9579" spans="1:5" x14ac:dyDescent="0.25">
      <c r="A9579">
        <v>9578</v>
      </c>
      <c r="B9579">
        <v>5412123</v>
      </c>
      <c r="C9579" s="1" t="str">
        <f>HYPERLINK("http://stackoverflow.com/users/5412123", "enhiko")</f>
        <v>enhiko</v>
      </c>
      <c r="D9579" t="s">
        <v>4</v>
      </c>
      <c r="E9579">
        <v>1</v>
      </c>
    </row>
    <row r="9580" spans="1:5" x14ac:dyDescent="0.25">
      <c r="A9580">
        <v>9579</v>
      </c>
      <c r="B9580">
        <v>3612513</v>
      </c>
      <c r="C9580" s="1" t="str">
        <f>HYPERLINK("http://stackoverflow.com/users/3612513", "fangwentong")</f>
        <v>fangwentong</v>
      </c>
      <c r="D9580" t="s">
        <v>56</v>
      </c>
      <c r="E9580">
        <v>1</v>
      </c>
    </row>
    <row r="9581" spans="1:5" x14ac:dyDescent="0.25">
      <c r="A9581">
        <v>9580</v>
      </c>
      <c r="B9581">
        <v>3612729</v>
      </c>
      <c r="C9581" s="1" t="str">
        <f>HYPERLINK("http://stackoverflow.com/users/3612729", "BruceGuo")</f>
        <v>BruceGuo</v>
      </c>
      <c r="D9581" t="s">
        <v>21</v>
      </c>
      <c r="E9581">
        <v>1</v>
      </c>
    </row>
    <row r="9582" spans="1:5" x14ac:dyDescent="0.25">
      <c r="A9582">
        <v>9581</v>
      </c>
      <c r="B9582">
        <v>9029317</v>
      </c>
      <c r="C9582" s="1" t="str">
        <f>HYPERLINK("http://stackoverflow.com/users/9029317", "Sherry")</f>
        <v>Sherry</v>
      </c>
      <c r="D9582" t="s">
        <v>73</v>
      </c>
      <c r="E9582">
        <v>1</v>
      </c>
    </row>
    <row r="9583" spans="1:5" x14ac:dyDescent="0.25">
      <c r="A9583">
        <v>9582</v>
      </c>
      <c r="B9583">
        <v>9029338</v>
      </c>
      <c r="C9583" s="1" t="str">
        <f>HYPERLINK("http://stackoverflow.com/users/9029338", "vKyle")</f>
        <v>vKyle</v>
      </c>
      <c r="D9583" t="s">
        <v>120</v>
      </c>
      <c r="E9583">
        <v>1</v>
      </c>
    </row>
    <row r="9584" spans="1:5" x14ac:dyDescent="0.25">
      <c r="A9584">
        <v>9583</v>
      </c>
      <c r="B9584">
        <v>9029903</v>
      </c>
      <c r="C9584" s="1" t="str">
        <f>HYPERLINK("http://stackoverflow.com/users/9029903", "Ollie Taylor")</f>
        <v>Ollie Taylor</v>
      </c>
      <c r="D9584" t="s">
        <v>4</v>
      </c>
      <c r="E9584">
        <v>1</v>
      </c>
    </row>
    <row r="9585" spans="1:5" x14ac:dyDescent="0.25">
      <c r="A9585">
        <v>9584</v>
      </c>
      <c r="B9585">
        <v>9029959</v>
      </c>
      <c r="C9585" s="1" t="str">
        <f>HYPERLINK("http://stackoverflow.com/users/9029959", "Yi Chen")</f>
        <v>Yi Chen</v>
      </c>
      <c r="D9585" t="s">
        <v>28</v>
      </c>
      <c r="E9585">
        <v>1</v>
      </c>
    </row>
    <row r="9586" spans="1:5" x14ac:dyDescent="0.25">
      <c r="A9586">
        <v>9585</v>
      </c>
      <c r="B9586">
        <v>9030376</v>
      </c>
      <c r="C9586" s="1" t="str">
        <f>HYPERLINK("http://stackoverflow.com/users/9030376", "jiangkfe")</f>
        <v>jiangkfe</v>
      </c>
      <c r="D9586" t="s">
        <v>5</v>
      </c>
      <c r="E9586">
        <v>1</v>
      </c>
    </row>
    <row r="9587" spans="1:5" x14ac:dyDescent="0.25">
      <c r="A9587">
        <v>9586</v>
      </c>
      <c r="B9587">
        <v>7161144</v>
      </c>
      <c r="C9587" s="1" t="str">
        <f>HYPERLINK("http://stackoverflow.com/users/7161144", "M.King")</f>
        <v>M.King</v>
      </c>
      <c r="D9587" t="s">
        <v>4</v>
      </c>
      <c r="E9587">
        <v>1</v>
      </c>
    </row>
    <row r="9588" spans="1:5" x14ac:dyDescent="0.25">
      <c r="A9588">
        <v>9587</v>
      </c>
      <c r="B9588">
        <v>7161217</v>
      </c>
      <c r="C9588" s="1" t="str">
        <f>HYPERLINK("http://stackoverflow.com/users/7161217", "Sirius")</f>
        <v>Sirius</v>
      </c>
      <c r="D9588" t="s">
        <v>4</v>
      </c>
      <c r="E9588">
        <v>1</v>
      </c>
    </row>
    <row r="9589" spans="1:5" x14ac:dyDescent="0.25">
      <c r="A9589">
        <v>9588</v>
      </c>
      <c r="B9589">
        <v>5408795</v>
      </c>
      <c r="C9589" s="1" t="str">
        <f>HYPERLINK("http://stackoverflow.com/users/5408795", "yunfan")</f>
        <v>yunfan</v>
      </c>
      <c r="D9589" t="s">
        <v>28</v>
      </c>
      <c r="E9589">
        <v>1</v>
      </c>
    </row>
    <row r="9590" spans="1:5" x14ac:dyDescent="0.25">
      <c r="A9590">
        <v>9589</v>
      </c>
      <c r="B9590">
        <v>5408960</v>
      </c>
      <c r="C9590" s="1" t="str">
        <f>HYPERLINK("http://stackoverflow.com/users/5408960", "Aimee Zhu")</f>
        <v>Aimee Zhu</v>
      </c>
      <c r="D9590" t="s">
        <v>12</v>
      </c>
      <c r="E9590">
        <v>1</v>
      </c>
    </row>
    <row r="9591" spans="1:5" x14ac:dyDescent="0.25">
      <c r="A9591">
        <v>9590</v>
      </c>
      <c r="B9591">
        <v>5409017</v>
      </c>
      <c r="C9591" s="1" t="str">
        <f>HYPERLINK("http://stackoverflow.com/users/5409017", "Md Abdul Masud")</f>
        <v>Md Abdul Masud</v>
      </c>
      <c r="D9591" t="s">
        <v>258</v>
      </c>
      <c r="E9591">
        <v>1</v>
      </c>
    </row>
    <row r="9592" spans="1:5" x14ac:dyDescent="0.25">
      <c r="A9592">
        <v>9591</v>
      </c>
      <c r="B9592">
        <v>10819746</v>
      </c>
      <c r="C9592" s="1" t="str">
        <f>HYPERLINK("http://stackoverflow.com/users/10819746", "Jiaqi CHAI")</f>
        <v>Jiaqi CHAI</v>
      </c>
      <c r="D9592" t="s">
        <v>5</v>
      </c>
      <c r="E9592">
        <v>1</v>
      </c>
    </row>
    <row r="9593" spans="1:5" x14ac:dyDescent="0.25">
      <c r="A9593">
        <v>9592</v>
      </c>
      <c r="B9593">
        <v>9024160</v>
      </c>
      <c r="C9593" s="1" t="str">
        <f>HYPERLINK("http://stackoverflow.com/users/9024160", "kun qian")</f>
        <v>kun qian</v>
      </c>
      <c r="D9593" t="s">
        <v>55</v>
      </c>
      <c r="E9593">
        <v>1</v>
      </c>
    </row>
    <row r="9594" spans="1:5" x14ac:dyDescent="0.25">
      <c r="A9594">
        <v>9593</v>
      </c>
      <c r="B9594">
        <v>9024220</v>
      </c>
      <c r="C9594" s="1" t="str">
        <f>HYPERLINK("http://stackoverflow.com/users/9024220", "tsfeng")</f>
        <v>tsfeng</v>
      </c>
      <c r="D9594" t="s">
        <v>5</v>
      </c>
      <c r="E9594">
        <v>1</v>
      </c>
    </row>
    <row r="9595" spans="1:5" x14ac:dyDescent="0.25">
      <c r="A9595">
        <v>9594</v>
      </c>
      <c r="B9595">
        <v>9024658</v>
      </c>
      <c r="C9595" s="1" t="str">
        <f>HYPERLINK("http://stackoverflow.com/users/9024658", "manor")</f>
        <v>manor</v>
      </c>
      <c r="D9595" t="s">
        <v>7</v>
      </c>
      <c r="E9595">
        <v>1</v>
      </c>
    </row>
    <row r="9596" spans="1:5" x14ac:dyDescent="0.25">
      <c r="A9596">
        <v>9595</v>
      </c>
      <c r="B9596">
        <v>3608628</v>
      </c>
      <c r="C9596" s="1" t="str">
        <f>HYPERLINK("http://stackoverflow.com/users/3608628", "user3608628")</f>
        <v>user3608628</v>
      </c>
      <c r="D9596" t="s">
        <v>5</v>
      </c>
      <c r="E9596">
        <v>1</v>
      </c>
    </row>
    <row r="9597" spans="1:5" x14ac:dyDescent="0.25">
      <c r="A9597">
        <v>9596</v>
      </c>
      <c r="B9597">
        <v>3600927</v>
      </c>
      <c r="C9597" s="1" t="str">
        <f>HYPERLINK("http://stackoverflow.com/users/3600927", "Benjamin")</f>
        <v>Benjamin</v>
      </c>
      <c r="D9597" t="s">
        <v>17</v>
      </c>
      <c r="E9597">
        <v>1</v>
      </c>
    </row>
    <row r="9598" spans="1:5" x14ac:dyDescent="0.25">
      <c r="A9598">
        <v>9597</v>
      </c>
      <c r="B9598">
        <v>5423170</v>
      </c>
      <c r="C9598" s="1" t="str">
        <f>HYPERLINK("http://stackoverflow.com/users/5423170", "suyuexin")</f>
        <v>suyuexin</v>
      </c>
      <c r="D9598" t="s">
        <v>5</v>
      </c>
      <c r="E9598">
        <v>1</v>
      </c>
    </row>
    <row r="9599" spans="1:5" x14ac:dyDescent="0.25">
      <c r="A9599">
        <v>9598</v>
      </c>
      <c r="B9599">
        <v>10840494</v>
      </c>
      <c r="C9599" s="1" t="str">
        <f>HYPERLINK("http://stackoverflow.com/users/10840494", "Milowork")</f>
        <v>Milowork</v>
      </c>
      <c r="D9599" t="s">
        <v>54</v>
      </c>
      <c r="E9599">
        <v>1</v>
      </c>
    </row>
    <row r="9600" spans="1:5" x14ac:dyDescent="0.25">
      <c r="A9600">
        <v>9599</v>
      </c>
      <c r="B9600">
        <v>10835517</v>
      </c>
      <c r="C9600" s="1" t="str">
        <f>HYPERLINK("http://stackoverflow.com/users/10835517", "jiabao")</f>
        <v>jiabao</v>
      </c>
      <c r="D9600" t="s">
        <v>133</v>
      </c>
      <c r="E9600">
        <v>1</v>
      </c>
    </row>
    <row r="9601" spans="1:5" x14ac:dyDescent="0.25">
      <c r="A9601">
        <v>9600</v>
      </c>
      <c r="B9601">
        <v>10835944</v>
      </c>
      <c r="C9601" s="1" t="str">
        <f>HYPERLINK("http://stackoverflow.com/users/10835944", "Jenny MO")</f>
        <v>Jenny MO</v>
      </c>
      <c r="D9601" t="s">
        <v>7</v>
      </c>
      <c r="E9601">
        <v>1</v>
      </c>
    </row>
    <row r="9602" spans="1:5" x14ac:dyDescent="0.25">
      <c r="A9602">
        <v>9601</v>
      </c>
      <c r="B9602">
        <v>3625261</v>
      </c>
      <c r="C9602" s="1" t="str">
        <f>HYPERLINK("http://stackoverflow.com/users/3625261", "holybao")</f>
        <v>holybao</v>
      </c>
      <c r="D9602" t="s">
        <v>17</v>
      </c>
      <c r="E9602">
        <v>1</v>
      </c>
    </row>
    <row r="9603" spans="1:5" x14ac:dyDescent="0.25">
      <c r="A9603">
        <v>9602</v>
      </c>
      <c r="B9603">
        <v>1817062</v>
      </c>
      <c r="C9603" s="1" t="str">
        <f>HYPERLINK("http://stackoverflow.com/users/1817062", "desperado-boy")</f>
        <v>desperado-boy</v>
      </c>
      <c r="D9603" t="s">
        <v>4</v>
      </c>
      <c r="E9603">
        <v>1</v>
      </c>
    </row>
    <row r="9604" spans="1:5" x14ac:dyDescent="0.25">
      <c r="A9604">
        <v>9603</v>
      </c>
      <c r="B9604">
        <v>1817087</v>
      </c>
      <c r="C9604" s="1" t="str">
        <f>HYPERLINK("http://stackoverflow.com/users/1817087", "齐慧强")</f>
        <v>齐慧强</v>
      </c>
      <c r="D9604" t="s">
        <v>5</v>
      </c>
      <c r="E9604">
        <v>1</v>
      </c>
    </row>
    <row r="9605" spans="1:5" x14ac:dyDescent="0.25">
      <c r="A9605">
        <v>9604</v>
      </c>
      <c r="B9605">
        <v>1817130</v>
      </c>
      <c r="C9605" s="1" t="str">
        <f>HYPERLINK("http://stackoverflow.com/users/1817130", "sisiy")</f>
        <v>sisiy</v>
      </c>
      <c r="D9605" t="s">
        <v>5</v>
      </c>
      <c r="E9605">
        <v>1</v>
      </c>
    </row>
    <row r="9606" spans="1:5" x14ac:dyDescent="0.25">
      <c r="A9606">
        <v>9605</v>
      </c>
      <c r="B9606">
        <v>3600518</v>
      </c>
      <c r="C9606" s="1" t="str">
        <f>HYPERLINK("http://stackoverflow.com/users/3600518", "clancyzhu")</f>
        <v>clancyzhu</v>
      </c>
      <c r="D9606" t="s">
        <v>5</v>
      </c>
      <c r="E9606">
        <v>1</v>
      </c>
    </row>
    <row r="9607" spans="1:5" x14ac:dyDescent="0.25">
      <c r="A9607">
        <v>9606</v>
      </c>
      <c r="B9607">
        <v>3600713</v>
      </c>
      <c r="C9607" s="1" t="str">
        <f>HYPERLINK("http://stackoverflow.com/users/3600713", "mysee1989")</f>
        <v>mysee1989</v>
      </c>
      <c r="D9607" t="s">
        <v>37</v>
      </c>
      <c r="E9607">
        <v>1</v>
      </c>
    </row>
    <row r="9608" spans="1:5" x14ac:dyDescent="0.25">
      <c r="A9608">
        <v>9607</v>
      </c>
      <c r="B9608">
        <v>10814459</v>
      </c>
      <c r="C9608" s="1" t="str">
        <f>HYPERLINK("http://stackoverflow.com/users/10814459", "曾小明")</f>
        <v>曾小明</v>
      </c>
      <c r="D9608" t="s">
        <v>22</v>
      </c>
      <c r="E9608">
        <v>1</v>
      </c>
    </row>
    <row r="9609" spans="1:5" x14ac:dyDescent="0.25">
      <c r="A9609">
        <v>9608</v>
      </c>
      <c r="B9609">
        <v>7152712</v>
      </c>
      <c r="C9609" s="1" t="str">
        <f>HYPERLINK("http://stackoverflow.com/users/7152712", "Xiaodong Ma")</f>
        <v>Xiaodong Ma</v>
      </c>
      <c r="D9609" t="s">
        <v>5</v>
      </c>
      <c r="E9609">
        <v>1</v>
      </c>
    </row>
    <row r="9610" spans="1:5" x14ac:dyDescent="0.25">
      <c r="A9610">
        <v>9609</v>
      </c>
      <c r="B9610">
        <v>9006954</v>
      </c>
      <c r="C9610" s="1" t="str">
        <f>HYPERLINK("http://stackoverflow.com/users/9006954", "韩亦静")</f>
        <v>韩亦静</v>
      </c>
      <c r="D9610" t="s">
        <v>5</v>
      </c>
      <c r="E9610">
        <v>1</v>
      </c>
    </row>
    <row r="9611" spans="1:5" x14ac:dyDescent="0.25">
      <c r="A9611">
        <v>9610</v>
      </c>
      <c r="B9611">
        <v>3593231</v>
      </c>
      <c r="C9611" s="1" t="str">
        <f>HYPERLINK("http://stackoverflow.com/users/3593231", "dulq2012")</f>
        <v>dulq2012</v>
      </c>
      <c r="D9611" t="s">
        <v>5</v>
      </c>
      <c r="E9611">
        <v>1</v>
      </c>
    </row>
    <row r="9612" spans="1:5" x14ac:dyDescent="0.25">
      <c r="A9612">
        <v>9611</v>
      </c>
      <c r="B9612">
        <v>10809517</v>
      </c>
      <c r="C9612" s="1" t="str">
        <f>HYPERLINK("http://stackoverflow.com/users/10809517", "寒山可汗")</f>
        <v>寒山可汗</v>
      </c>
      <c r="D9612" t="s">
        <v>5</v>
      </c>
      <c r="E9612">
        <v>1</v>
      </c>
    </row>
    <row r="9613" spans="1:5" x14ac:dyDescent="0.25">
      <c r="A9613">
        <v>9612</v>
      </c>
      <c r="B9613">
        <v>9010273</v>
      </c>
      <c r="C9613" s="1" t="str">
        <f>HYPERLINK("http://stackoverflow.com/users/9010273", "Yu Wang")</f>
        <v>Yu Wang</v>
      </c>
      <c r="D9613" t="s">
        <v>28</v>
      </c>
      <c r="E9613">
        <v>1</v>
      </c>
    </row>
    <row r="9614" spans="1:5" x14ac:dyDescent="0.25">
      <c r="A9614">
        <v>9613</v>
      </c>
      <c r="B9614">
        <v>9010744</v>
      </c>
      <c r="C9614" s="1" t="str">
        <f>HYPERLINK("http://stackoverflow.com/users/9010744", "锦渊杨")</f>
        <v>锦渊杨</v>
      </c>
      <c r="D9614" t="s">
        <v>108</v>
      </c>
      <c r="E9614">
        <v>1</v>
      </c>
    </row>
    <row r="9615" spans="1:5" x14ac:dyDescent="0.25">
      <c r="A9615">
        <v>9614</v>
      </c>
      <c r="B9615">
        <v>3596767</v>
      </c>
      <c r="C9615" s="1" t="str">
        <f>HYPERLINK("http://stackoverflow.com/users/3596767", "hybeta")</f>
        <v>hybeta</v>
      </c>
      <c r="D9615" t="s">
        <v>12</v>
      </c>
      <c r="E9615">
        <v>1</v>
      </c>
    </row>
    <row r="9616" spans="1:5" x14ac:dyDescent="0.25">
      <c r="A9616">
        <v>9615</v>
      </c>
      <c r="B9616">
        <v>1782524</v>
      </c>
      <c r="C9616" s="1" t="str">
        <f>HYPERLINK("http://stackoverflow.com/users/1782524", "Lei.yang")</f>
        <v>Lei.yang</v>
      </c>
      <c r="D9616" t="s">
        <v>5</v>
      </c>
      <c r="E9616">
        <v>1</v>
      </c>
    </row>
    <row r="9617" spans="1:5" x14ac:dyDescent="0.25">
      <c r="A9617">
        <v>9616</v>
      </c>
      <c r="B9617">
        <v>1760832</v>
      </c>
      <c r="C9617" s="1" t="str">
        <f>HYPERLINK("http://stackoverflow.com/users/1760832", "wesnow")</f>
        <v>wesnow</v>
      </c>
      <c r="D9617" t="s">
        <v>17</v>
      </c>
      <c r="E9617">
        <v>1</v>
      </c>
    </row>
    <row r="9618" spans="1:5" x14ac:dyDescent="0.25">
      <c r="A9618">
        <v>9617</v>
      </c>
      <c r="B9618">
        <v>1761393</v>
      </c>
      <c r="C9618" s="1" t="str">
        <f>HYPERLINK("http://stackoverflow.com/users/1761393", "jackralf")</f>
        <v>jackralf</v>
      </c>
      <c r="D9618" t="s">
        <v>5</v>
      </c>
      <c r="E9618">
        <v>1</v>
      </c>
    </row>
    <row r="9619" spans="1:5" x14ac:dyDescent="0.25">
      <c r="A9619">
        <v>9618</v>
      </c>
      <c r="B9619">
        <v>3581607</v>
      </c>
      <c r="C9619" s="1" t="str">
        <f>HYPERLINK("http://stackoverflow.com/users/3581607", "wangwenbin")</f>
        <v>wangwenbin</v>
      </c>
      <c r="D9619" t="s">
        <v>5</v>
      </c>
      <c r="E9619">
        <v>1</v>
      </c>
    </row>
    <row r="9620" spans="1:5" x14ac:dyDescent="0.25">
      <c r="A9620">
        <v>9619</v>
      </c>
      <c r="B9620">
        <v>3581688</v>
      </c>
      <c r="C9620" s="1" t="str">
        <f>HYPERLINK("http://stackoverflow.com/users/3581688", "luke")</f>
        <v>luke</v>
      </c>
      <c r="D9620" t="s">
        <v>524</v>
      </c>
      <c r="E9620">
        <v>1</v>
      </c>
    </row>
    <row r="9621" spans="1:5" x14ac:dyDescent="0.25">
      <c r="A9621">
        <v>9620</v>
      </c>
      <c r="B9621">
        <v>8996120</v>
      </c>
      <c r="C9621" s="1" t="str">
        <f>HYPERLINK("http://stackoverflow.com/users/8996120", "fuxin")</f>
        <v>fuxin</v>
      </c>
      <c r="D9621" t="s">
        <v>86</v>
      </c>
      <c r="E9621">
        <v>1</v>
      </c>
    </row>
    <row r="9622" spans="1:5" x14ac:dyDescent="0.25">
      <c r="A9622">
        <v>9621</v>
      </c>
      <c r="B9622">
        <v>8996403</v>
      </c>
      <c r="C9622" s="1" t="str">
        <f>HYPERLINK("http://stackoverflow.com/users/8996403", "Sara Liu")</f>
        <v>Sara Liu</v>
      </c>
      <c r="D9622" t="s">
        <v>4</v>
      </c>
      <c r="E9622">
        <v>1</v>
      </c>
    </row>
    <row r="9623" spans="1:5" x14ac:dyDescent="0.25">
      <c r="A9623">
        <v>9622</v>
      </c>
      <c r="B9623">
        <v>3586440</v>
      </c>
      <c r="C9623" s="1" t="str">
        <f>HYPERLINK("http://stackoverflow.com/users/3586440", "3esmile")</f>
        <v>3esmile</v>
      </c>
      <c r="D9623" t="s">
        <v>15</v>
      </c>
      <c r="E9623">
        <v>1</v>
      </c>
    </row>
    <row r="9624" spans="1:5" x14ac:dyDescent="0.25">
      <c r="A9624">
        <v>9623</v>
      </c>
      <c r="B9624">
        <v>10800607</v>
      </c>
      <c r="C9624" s="1" t="str">
        <f>HYPERLINK("http://stackoverflow.com/users/10800607", "rusheng cui")</f>
        <v>rusheng cui</v>
      </c>
      <c r="D9624" t="s">
        <v>7</v>
      </c>
      <c r="E9624">
        <v>1</v>
      </c>
    </row>
    <row r="9625" spans="1:5" x14ac:dyDescent="0.25">
      <c r="A9625">
        <v>9624</v>
      </c>
      <c r="B9625">
        <v>9001744</v>
      </c>
      <c r="C9625" s="1" t="str">
        <f>HYPERLINK("http://stackoverflow.com/users/9001744", "CarbonW")</f>
        <v>CarbonW</v>
      </c>
      <c r="D9625" t="s">
        <v>37</v>
      </c>
      <c r="E9625">
        <v>1</v>
      </c>
    </row>
    <row r="9626" spans="1:5" x14ac:dyDescent="0.25">
      <c r="A9626">
        <v>9625</v>
      </c>
      <c r="B9626">
        <v>7148652</v>
      </c>
      <c r="C9626" s="1" t="str">
        <f>HYPERLINK("http://stackoverflow.com/users/7148652", "Laha Ale")</f>
        <v>Laha Ale</v>
      </c>
      <c r="D9626" t="s">
        <v>78</v>
      </c>
      <c r="E9626">
        <v>1</v>
      </c>
    </row>
    <row r="9627" spans="1:5" x14ac:dyDescent="0.25">
      <c r="A9627">
        <v>9626</v>
      </c>
      <c r="B9627">
        <v>1736851</v>
      </c>
      <c r="C9627" s="1" t="str">
        <f>HYPERLINK("http://stackoverflow.com/users/1736851", "Jarvis.Wu")</f>
        <v>Jarvis.Wu</v>
      </c>
      <c r="D9627" t="s">
        <v>21</v>
      </c>
      <c r="E9627">
        <v>1</v>
      </c>
    </row>
    <row r="9628" spans="1:5" x14ac:dyDescent="0.25">
      <c r="A9628">
        <v>9627</v>
      </c>
      <c r="B9628">
        <v>3559790</v>
      </c>
      <c r="C9628" s="1" t="str">
        <f>HYPERLINK("http://stackoverflow.com/users/3559790", "Kevin Taw")</f>
        <v>Kevin Taw</v>
      </c>
      <c r="D9628" t="s">
        <v>4</v>
      </c>
      <c r="E9628">
        <v>1</v>
      </c>
    </row>
    <row r="9629" spans="1:5" x14ac:dyDescent="0.25">
      <c r="A9629">
        <v>9628</v>
      </c>
      <c r="B9629">
        <v>8961588</v>
      </c>
      <c r="C9629" s="1" t="str">
        <f>HYPERLINK("http://stackoverflow.com/users/8961588", "ni_jeff")</f>
        <v>ni_jeff</v>
      </c>
      <c r="D9629" t="s">
        <v>25</v>
      </c>
      <c r="E9629">
        <v>1</v>
      </c>
    </row>
    <row r="9630" spans="1:5" x14ac:dyDescent="0.25">
      <c r="A9630">
        <v>9629</v>
      </c>
      <c r="B9630">
        <v>8961971</v>
      </c>
      <c r="C9630" s="1" t="str">
        <f>HYPERLINK("http://stackoverflow.com/users/8961971", "Darren Yin")</f>
        <v>Darren Yin</v>
      </c>
      <c r="D9630" t="s">
        <v>114</v>
      </c>
      <c r="E9630">
        <v>1</v>
      </c>
    </row>
    <row r="9631" spans="1:5" x14ac:dyDescent="0.25">
      <c r="A9631">
        <v>9630</v>
      </c>
      <c r="B9631">
        <v>10771055</v>
      </c>
      <c r="C9631" s="1" t="str">
        <f>HYPERLINK("http://stackoverflow.com/users/10771055", "ovteeng")</f>
        <v>ovteeng</v>
      </c>
      <c r="D9631" t="s">
        <v>55</v>
      </c>
      <c r="E9631">
        <v>1</v>
      </c>
    </row>
    <row r="9632" spans="1:5" x14ac:dyDescent="0.25">
      <c r="A9632">
        <v>9631</v>
      </c>
      <c r="B9632">
        <v>10771091</v>
      </c>
      <c r="C9632" s="1" t="str">
        <f>HYPERLINK("http://stackoverflow.com/users/10771091", "RuiMeng")</f>
        <v>RuiMeng</v>
      </c>
      <c r="D9632" t="s">
        <v>54</v>
      </c>
      <c r="E9632">
        <v>1</v>
      </c>
    </row>
    <row r="9633" spans="1:5" x14ac:dyDescent="0.25">
      <c r="A9633">
        <v>9632</v>
      </c>
      <c r="B9633">
        <v>7125273</v>
      </c>
      <c r="C9633" s="1" t="str">
        <f>HYPERLINK("http://stackoverflow.com/users/7125273", "righere")</f>
        <v>righere</v>
      </c>
      <c r="D9633" t="s">
        <v>28</v>
      </c>
      <c r="E9633">
        <v>1</v>
      </c>
    </row>
    <row r="9634" spans="1:5" x14ac:dyDescent="0.25">
      <c r="A9634">
        <v>9633</v>
      </c>
      <c r="B9634">
        <v>1745924</v>
      </c>
      <c r="C9634" s="1" t="str">
        <f>HYPERLINK("http://stackoverflow.com/users/1745924", "Logan")</f>
        <v>Logan</v>
      </c>
      <c r="D9634" t="s">
        <v>257</v>
      </c>
      <c r="E9634">
        <v>1</v>
      </c>
    </row>
    <row r="9635" spans="1:5" x14ac:dyDescent="0.25">
      <c r="A9635">
        <v>9634</v>
      </c>
      <c r="B9635">
        <v>1745951</v>
      </c>
      <c r="C9635" s="1" t="str">
        <f>HYPERLINK("http://stackoverflow.com/users/1745951", "xiaoao")</f>
        <v>xiaoao</v>
      </c>
      <c r="D9635" t="s">
        <v>5</v>
      </c>
      <c r="E9635">
        <v>1</v>
      </c>
    </row>
    <row r="9636" spans="1:5" x14ac:dyDescent="0.25">
      <c r="A9636">
        <v>9635</v>
      </c>
      <c r="B9636">
        <v>1745982</v>
      </c>
      <c r="C9636" s="1" t="str">
        <f>HYPERLINK("http://stackoverflow.com/users/1745982", "timonwong")</f>
        <v>timonwong</v>
      </c>
      <c r="D9636" t="s">
        <v>22</v>
      </c>
      <c r="E9636">
        <v>1</v>
      </c>
    </row>
    <row r="9637" spans="1:5" x14ac:dyDescent="0.25">
      <c r="A9637">
        <v>9636</v>
      </c>
      <c r="B9637">
        <v>1746875</v>
      </c>
      <c r="C9637" s="1" t="str">
        <f>HYPERLINK("http://stackoverflow.com/users/1746875", "red_star399")</f>
        <v>red_star399</v>
      </c>
      <c r="D9637" t="s">
        <v>31</v>
      </c>
      <c r="E9637">
        <v>1</v>
      </c>
    </row>
    <row r="9638" spans="1:5" x14ac:dyDescent="0.25">
      <c r="A9638">
        <v>9637</v>
      </c>
      <c r="B9638">
        <v>1747459</v>
      </c>
      <c r="C9638" s="1" t="str">
        <f>HYPERLINK("http://stackoverflow.com/users/1747459", "skyleft")</f>
        <v>skyleft</v>
      </c>
      <c r="D9638" t="s">
        <v>6</v>
      </c>
      <c r="E9638">
        <v>1</v>
      </c>
    </row>
    <row r="9639" spans="1:5" x14ac:dyDescent="0.25">
      <c r="A9639">
        <v>9638</v>
      </c>
      <c r="B9639">
        <v>8966472</v>
      </c>
      <c r="C9639" s="1" t="str">
        <f>HYPERLINK("http://stackoverflow.com/users/8966472", "Beast Senior")</f>
        <v>Beast Senior</v>
      </c>
      <c r="D9639" t="s">
        <v>62</v>
      </c>
      <c r="E9639">
        <v>1</v>
      </c>
    </row>
    <row r="9640" spans="1:5" x14ac:dyDescent="0.25">
      <c r="A9640">
        <v>9639</v>
      </c>
      <c r="B9640">
        <v>10774734</v>
      </c>
      <c r="C9640" s="1" t="str">
        <f>HYPERLINK("http://stackoverflow.com/users/10774734", "viewpvdcoatingsystems")</f>
        <v>viewpvdcoatingsystems</v>
      </c>
      <c r="D9640" t="s">
        <v>525</v>
      </c>
      <c r="E9640">
        <v>1</v>
      </c>
    </row>
    <row r="9641" spans="1:5" x14ac:dyDescent="0.25">
      <c r="A9641">
        <v>9640</v>
      </c>
      <c r="B9641">
        <v>10774945</v>
      </c>
      <c r="C9641" s="1" t="str">
        <f>HYPERLINK("http://stackoverflow.com/users/10774945", "Zhen Yang")</f>
        <v>Zhen Yang</v>
      </c>
      <c r="D9641" t="s">
        <v>16</v>
      </c>
      <c r="E9641">
        <v>1</v>
      </c>
    </row>
    <row r="9642" spans="1:5" x14ac:dyDescent="0.25">
      <c r="A9642">
        <v>9641</v>
      </c>
      <c r="B9642">
        <v>5368299</v>
      </c>
      <c r="C9642" s="1" t="str">
        <f>HYPERLINK("http://stackoverflow.com/users/5368299", "liyun")</f>
        <v>liyun</v>
      </c>
      <c r="D9642" t="s">
        <v>5</v>
      </c>
      <c r="E9642">
        <v>1</v>
      </c>
    </row>
    <row r="9643" spans="1:5" x14ac:dyDescent="0.25">
      <c r="A9643">
        <v>9642</v>
      </c>
      <c r="B9643">
        <v>5368480</v>
      </c>
      <c r="C9643" s="1" t="str">
        <f>HYPERLINK("http://stackoverflow.com/users/5368480", "Quanjiang")</f>
        <v>Quanjiang</v>
      </c>
      <c r="D9643" t="s">
        <v>54</v>
      </c>
      <c r="E9643">
        <v>1</v>
      </c>
    </row>
    <row r="9644" spans="1:5" x14ac:dyDescent="0.25">
      <c r="A9644">
        <v>9643</v>
      </c>
      <c r="B9644">
        <v>5368549</v>
      </c>
      <c r="C9644" s="1" t="str">
        <f>HYPERLINK("http://stackoverflow.com/users/5368549", "Alexandre Sonier")</f>
        <v>Alexandre Sonier</v>
      </c>
      <c r="D9644" t="s">
        <v>17</v>
      </c>
      <c r="E9644">
        <v>1</v>
      </c>
    </row>
    <row r="9645" spans="1:5" x14ac:dyDescent="0.25">
      <c r="A9645">
        <v>9644</v>
      </c>
      <c r="B9645">
        <v>5368604</v>
      </c>
      <c r="C9645" s="1" t="str">
        <f>HYPERLINK("http://stackoverflow.com/users/5368604", "shibazizhan")</f>
        <v>shibazizhan</v>
      </c>
      <c r="D9645" t="s">
        <v>4</v>
      </c>
      <c r="E9645">
        <v>1</v>
      </c>
    </row>
    <row r="9646" spans="1:5" x14ac:dyDescent="0.25">
      <c r="A9646">
        <v>9645</v>
      </c>
      <c r="B9646">
        <v>10780684</v>
      </c>
      <c r="C9646" s="1" t="str">
        <f>HYPERLINK("http://stackoverflow.com/users/10780684", "suresursus")</f>
        <v>suresursus</v>
      </c>
      <c r="D9646" t="s">
        <v>118</v>
      </c>
      <c r="E9646">
        <v>1</v>
      </c>
    </row>
    <row r="9647" spans="1:5" x14ac:dyDescent="0.25">
      <c r="A9647">
        <v>9646</v>
      </c>
      <c r="B9647">
        <v>7130671</v>
      </c>
      <c r="C9647" s="1" t="str">
        <f>HYPERLINK("http://stackoverflow.com/users/7130671", "bjdzliu")</f>
        <v>bjdzliu</v>
      </c>
      <c r="D9647" t="s">
        <v>5</v>
      </c>
      <c r="E9647">
        <v>1</v>
      </c>
    </row>
    <row r="9648" spans="1:5" x14ac:dyDescent="0.25">
      <c r="A9648">
        <v>9647</v>
      </c>
      <c r="B9648">
        <v>7130725</v>
      </c>
      <c r="C9648" s="1" t="str">
        <f>HYPERLINK("http://stackoverflow.com/users/7130725", "SN Z")</f>
        <v>SN Z</v>
      </c>
      <c r="D9648" t="s">
        <v>389</v>
      </c>
      <c r="E9648">
        <v>1</v>
      </c>
    </row>
    <row r="9649" spans="1:5" x14ac:dyDescent="0.25">
      <c r="A9649">
        <v>9648</v>
      </c>
      <c r="B9649">
        <v>5378317</v>
      </c>
      <c r="C9649" s="1" t="str">
        <f>HYPERLINK("http://stackoverflow.com/users/5378317", "Y.Wang")</f>
        <v>Y.Wang</v>
      </c>
      <c r="D9649" t="s">
        <v>37</v>
      </c>
      <c r="E9649">
        <v>1</v>
      </c>
    </row>
    <row r="9650" spans="1:5" x14ac:dyDescent="0.25">
      <c r="A9650">
        <v>9649</v>
      </c>
      <c r="B9650">
        <v>7134130</v>
      </c>
      <c r="C9650" s="1" t="str">
        <f>HYPERLINK("http://stackoverflow.com/users/7134130", "stadion")</f>
        <v>stadion</v>
      </c>
      <c r="D9650" t="s">
        <v>4</v>
      </c>
      <c r="E9650">
        <v>1</v>
      </c>
    </row>
    <row r="9651" spans="1:5" x14ac:dyDescent="0.25">
      <c r="A9651">
        <v>9650</v>
      </c>
      <c r="B9651">
        <v>2070662</v>
      </c>
      <c r="C9651" s="1" t="str">
        <f>HYPERLINK("http://stackoverflow.com/users/2070662", "Yiming Yang")</f>
        <v>Yiming Yang</v>
      </c>
      <c r="D9651" t="s">
        <v>4</v>
      </c>
      <c r="E9651">
        <v>1</v>
      </c>
    </row>
    <row r="9652" spans="1:5" x14ac:dyDescent="0.25">
      <c r="A9652">
        <v>9651</v>
      </c>
      <c r="B9652">
        <v>5631952</v>
      </c>
      <c r="C9652" s="1" t="str">
        <f>HYPERLINK("http://stackoverflow.com/users/5631952", "displayName")</f>
        <v>displayName</v>
      </c>
      <c r="D9652" t="s">
        <v>5</v>
      </c>
      <c r="E9652">
        <v>1</v>
      </c>
    </row>
    <row r="9653" spans="1:5" x14ac:dyDescent="0.25">
      <c r="A9653">
        <v>9652</v>
      </c>
      <c r="B9653">
        <v>9278647</v>
      </c>
      <c r="C9653" s="1" t="str">
        <f>HYPERLINK("http://stackoverflow.com/users/9278647", "JSmiracles")</f>
        <v>JSmiracles</v>
      </c>
      <c r="D9653" t="s">
        <v>52</v>
      </c>
      <c r="E9653">
        <v>1</v>
      </c>
    </row>
    <row r="9654" spans="1:5" x14ac:dyDescent="0.25">
      <c r="A9654">
        <v>9653</v>
      </c>
      <c r="B9654">
        <v>7378285</v>
      </c>
      <c r="C9654" s="1" t="str">
        <f>HYPERLINK("http://stackoverflow.com/users/7378285", "52Hertz")</f>
        <v>52Hertz</v>
      </c>
      <c r="D9654" t="s">
        <v>526</v>
      </c>
      <c r="E9654">
        <v>1</v>
      </c>
    </row>
    <row r="9655" spans="1:5" x14ac:dyDescent="0.25">
      <c r="A9655">
        <v>9654</v>
      </c>
      <c r="B9655">
        <v>9267076</v>
      </c>
      <c r="C9655" s="1" t="str">
        <f>HYPERLINK("http://stackoverflow.com/users/9267076", "Faker handsome")</f>
        <v>Faker handsome</v>
      </c>
      <c r="D9655" t="s">
        <v>52</v>
      </c>
      <c r="E9655">
        <v>1</v>
      </c>
    </row>
    <row r="9656" spans="1:5" x14ac:dyDescent="0.25">
      <c r="A9656">
        <v>9655</v>
      </c>
      <c r="B9656">
        <v>11061093</v>
      </c>
      <c r="C9656" s="1" t="str">
        <f>HYPERLINK("http://stackoverflow.com/users/11061093", "twinscrews")</f>
        <v>twinscrews</v>
      </c>
      <c r="D9656" t="s">
        <v>183</v>
      </c>
      <c r="E9656">
        <v>1</v>
      </c>
    </row>
    <row r="9657" spans="1:5" x14ac:dyDescent="0.25">
      <c r="A9657">
        <v>9656</v>
      </c>
      <c r="B9657">
        <v>5624948</v>
      </c>
      <c r="C9657" s="1" t="str">
        <f>HYPERLINK("http://stackoverflow.com/users/5624948", "Noah Chang")</f>
        <v>Noah Chang</v>
      </c>
      <c r="D9657" t="s">
        <v>4</v>
      </c>
      <c r="E9657">
        <v>1</v>
      </c>
    </row>
    <row r="9658" spans="1:5" x14ac:dyDescent="0.25">
      <c r="A9658">
        <v>9657</v>
      </c>
      <c r="B9658">
        <v>5625411</v>
      </c>
      <c r="C9658" s="1" t="str">
        <f>HYPERLINK("http://stackoverflow.com/users/5625411", "xbj")</f>
        <v>xbj</v>
      </c>
      <c r="D9658" t="s">
        <v>4</v>
      </c>
      <c r="E9658">
        <v>1</v>
      </c>
    </row>
    <row r="9659" spans="1:5" x14ac:dyDescent="0.25">
      <c r="A9659">
        <v>9658</v>
      </c>
      <c r="B9659">
        <v>11064999</v>
      </c>
      <c r="C9659" s="1" t="str">
        <f>HYPERLINK("http://stackoverflow.com/users/11064999", "Lin Har")</f>
        <v>Lin Har</v>
      </c>
      <c r="D9659" t="s">
        <v>146</v>
      </c>
      <c r="E9659">
        <v>1</v>
      </c>
    </row>
    <row r="9660" spans="1:5" x14ac:dyDescent="0.25">
      <c r="A9660">
        <v>9659</v>
      </c>
      <c r="B9660">
        <v>9270821</v>
      </c>
      <c r="C9660" s="1" t="str">
        <f>HYPERLINK("http://stackoverflow.com/users/9270821", "Moritz Uthoff")</f>
        <v>Moritz Uthoff</v>
      </c>
      <c r="D9660" t="s">
        <v>4</v>
      </c>
      <c r="E9660">
        <v>1</v>
      </c>
    </row>
    <row r="9661" spans="1:5" x14ac:dyDescent="0.25">
      <c r="A9661">
        <v>9660</v>
      </c>
      <c r="B9661">
        <v>9271116</v>
      </c>
      <c r="C9661" s="1" t="str">
        <f>HYPERLINK("http://stackoverflow.com/users/9271116", "Noah.Xiang")</f>
        <v>Noah.Xiang</v>
      </c>
      <c r="D9661" t="s">
        <v>5</v>
      </c>
      <c r="E9661">
        <v>1</v>
      </c>
    </row>
    <row r="9662" spans="1:5" x14ac:dyDescent="0.25">
      <c r="A9662">
        <v>9661</v>
      </c>
      <c r="B9662">
        <v>11068123</v>
      </c>
      <c r="C9662" s="1" t="str">
        <f>HYPERLINK("http://stackoverflow.com/users/11068123", "RichardGodfreyson")</f>
        <v>RichardGodfreyson</v>
      </c>
      <c r="D9662" t="s">
        <v>4</v>
      </c>
      <c r="E9662">
        <v>1</v>
      </c>
    </row>
    <row r="9663" spans="1:5" x14ac:dyDescent="0.25">
      <c r="A9663">
        <v>9662</v>
      </c>
      <c r="B9663">
        <v>3855328</v>
      </c>
      <c r="C9663" s="1" t="str">
        <f>HYPERLINK("http://stackoverflow.com/users/3855328", "caimayi2012")</f>
        <v>caimayi2012</v>
      </c>
      <c r="D9663" t="s">
        <v>38</v>
      </c>
      <c r="E9663">
        <v>1</v>
      </c>
    </row>
    <row r="9664" spans="1:5" x14ac:dyDescent="0.25">
      <c r="A9664">
        <v>9663</v>
      </c>
      <c r="B9664">
        <v>3855537</v>
      </c>
      <c r="C9664" s="1" t="str">
        <f>HYPERLINK("http://stackoverflow.com/users/3855537", "gaotongfei")</f>
        <v>gaotongfei</v>
      </c>
      <c r="D9664" t="s">
        <v>99</v>
      </c>
      <c r="E9664">
        <v>1</v>
      </c>
    </row>
    <row r="9665" spans="1:5" x14ac:dyDescent="0.25">
      <c r="A9665">
        <v>9664</v>
      </c>
      <c r="B9665">
        <v>7390617</v>
      </c>
      <c r="C9665" s="1" t="str">
        <f>HYPERLINK("http://stackoverflow.com/users/7390617", "nimohe")</f>
        <v>nimohe</v>
      </c>
      <c r="D9665" t="s">
        <v>5</v>
      </c>
      <c r="E9665">
        <v>1</v>
      </c>
    </row>
    <row r="9666" spans="1:5" x14ac:dyDescent="0.25">
      <c r="A9666">
        <v>9665</v>
      </c>
      <c r="B9666">
        <v>3847371</v>
      </c>
      <c r="C9666" s="1" t="str">
        <f>HYPERLINK("http://stackoverflow.com/users/3847371", "Linda Xia")</f>
        <v>Linda Xia</v>
      </c>
      <c r="D9666" t="s">
        <v>4</v>
      </c>
      <c r="E9666">
        <v>1</v>
      </c>
    </row>
    <row r="9667" spans="1:5" x14ac:dyDescent="0.25">
      <c r="A9667">
        <v>9666</v>
      </c>
      <c r="B9667">
        <v>3847436</v>
      </c>
      <c r="C9667" s="1" t="str">
        <f>HYPERLINK("http://stackoverflow.com/users/3847436", "vencentle")</f>
        <v>vencentle</v>
      </c>
      <c r="D9667" t="s">
        <v>5</v>
      </c>
      <c r="E9667">
        <v>1</v>
      </c>
    </row>
    <row r="9668" spans="1:5" x14ac:dyDescent="0.25">
      <c r="A9668">
        <v>9667</v>
      </c>
      <c r="B9668">
        <v>7390107</v>
      </c>
      <c r="C9668" s="1" t="str">
        <f>HYPERLINK("http://stackoverflow.com/users/7390107", "RealAnalysis")</f>
        <v>RealAnalysis</v>
      </c>
      <c r="D9668" t="s">
        <v>5</v>
      </c>
      <c r="E9668">
        <v>1</v>
      </c>
    </row>
    <row r="9669" spans="1:5" x14ac:dyDescent="0.25">
      <c r="A9669">
        <v>9668</v>
      </c>
      <c r="B9669">
        <v>9282166</v>
      </c>
      <c r="C9669" s="1" t="str">
        <f>HYPERLINK("http://stackoverflow.com/users/9282166", "zhongling wan")</f>
        <v>zhongling wan</v>
      </c>
      <c r="D9669" t="s">
        <v>4</v>
      </c>
      <c r="E9669">
        <v>1</v>
      </c>
    </row>
    <row r="9670" spans="1:5" x14ac:dyDescent="0.25">
      <c r="A9670">
        <v>9669</v>
      </c>
      <c r="B9670">
        <v>11076625</v>
      </c>
      <c r="C9670" s="1" t="str">
        <f>HYPERLINK("http://stackoverflow.com/users/11076625", "Luke")</f>
        <v>Luke</v>
      </c>
      <c r="D9670" t="s">
        <v>5</v>
      </c>
      <c r="E9670">
        <v>1</v>
      </c>
    </row>
    <row r="9671" spans="1:5" x14ac:dyDescent="0.25">
      <c r="A9671">
        <v>9670</v>
      </c>
      <c r="B9671">
        <v>9286481</v>
      </c>
      <c r="C9671" s="1" t="str">
        <f>HYPERLINK("http://stackoverflow.com/users/9286481", "leonard_tia")</f>
        <v>leonard_tia</v>
      </c>
      <c r="D9671" t="s">
        <v>52</v>
      </c>
      <c r="E9671">
        <v>1</v>
      </c>
    </row>
    <row r="9672" spans="1:5" x14ac:dyDescent="0.25">
      <c r="A9672">
        <v>9671</v>
      </c>
      <c r="B9672">
        <v>9286493</v>
      </c>
      <c r="C9672" s="1" t="str">
        <f>HYPERLINK("http://stackoverflow.com/users/9286493", "James.zhou")</f>
        <v>James.zhou</v>
      </c>
      <c r="D9672" t="s">
        <v>74</v>
      </c>
      <c r="E9672">
        <v>1</v>
      </c>
    </row>
    <row r="9673" spans="1:5" x14ac:dyDescent="0.25">
      <c r="A9673">
        <v>9672</v>
      </c>
      <c r="B9673">
        <v>2082797</v>
      </c>
      <c r="C9673" s="1" t="str">
        <f>HYPERLINK("http://stackoverflow.com/users/2082797", "ilike")</f>
        <v>ilike</v>
      </c>
      <c r="D9673" t="s">
        <v>4</v>
      </c>
      <c r="E9673">
        <v>1</v>
      </c>
    </row>
    <row r="9674" spans="1:5" x14ac:dyDescent="0.25">
      <c r="A9674">
        <v>9673</v>
      </c>
      <c r="B9674">
        <v>2083796</v>
      </c>
      <c r="C9674" s="1" t="str">
        <f>HYPERLINK("http://stackoverflow.com/users/2083796", "BinZone")</f>
        <v>BinZone</v>
      </c>
      <c r="D9674" t="s">
        <v>22</v>
      </c>
      <c r="E9674">
        <v>1</v>
      </c>
    </row>
    <row r="9675" spans="1:5" x14ac:dyDescent="0.25">
      <c r="A9675">
        <v>9674</v>
      </c>
      <c r="B9675">
        <v>2084013</v>
      </c>
      <c r="C9675" s="1" t="str">
        <f>HYPERLINK("http://stackoverflow.com/users/2084013", "Jolyon Zhou")</f>
        <v>Jolyon Zhou</v>
      </c>
      <c r="D9675" t="s">
        <v>62</v>
      </c>
      <c r="E9675">
        <v>1</v>
      </c>
    </row>
    <row r="9676" spans="1:5" x14ac:dyDescent="0.25">
      <c r="A9676">
        <v>9675</v>
      </c>
      <c r="B9676">
        <v>3855192</v>
      </c>
      <c r="C9676" s="1" t="str">
        <f>HYPERLINK("http://stackoverflow.com/users/3855192", "ijinmao")</f>
        <v>ijinmao</v>
      </c>
      <c r="D9676" t="s">
        <v>22</v>
      </c>
      <c r="E9676">
        <v>1</v>
      </c>
    </row>
    <row r="9677" spans="1:5" x14ac:dyDescent="0.25">
      <c r="A9677">
        <v>9676</v>
      </c>
      <c r="B9677">
        <v>3835527</v>
      </c>
      <c r="C9677" s="1" t="str">
        <f>HYPERLINK("http://stackoverflow.com/users/3835527", "GoBin")</f>
        <v>GoBin</v>
      </c>
      <c r="D9677" t="s">
        <v>5</v>
      </c>
      <c r="E9677">
        <v>1</v>
      </c>
    </row>
    <row r="9678" spans="1:5" x14ac:dyDescent="0.25">
      <c r="A9678">
        <v>9677</v>
      </c>
      <c r="B9678">
        <v>3835563</v>
      </c>
      <c r="C9678" s="1" t="str">
        <f>HYPERLINK("http://stackoverflow.com/users/3835563", "John Zhang")</f>
        <v>John Zhang</v>
      </c>
      <c r="D9678" t="s">
        <v>37</v>
      </c>
      <c r="E9678">
        <v>1</v>
      </c>
    </row>
    <row r="9679" spans="1:5" x14ac:dyDescent="0.25">
      <c r="A9679">
        <v>9678</v>
      </c>
      <c r="B9679">
        <v>3835607</v>
      </c>
      <c r="C9679" s="1" t="str">
        <f>HYPERLINK("http://stackoverflow.com/users/3835607", "user3835607")</f>
        <v>user3835607</v>
      </c>
      <c r="D9679" t="s">
        <v>4</v>
      </c>
      <c r="E9679">
        <v>1</v>
      </c>
    </row>
    <row r="9680" spans="1:5" x14ac:dyDescent="0.25">
      <c r="A9680">
        <v>9679</v>
      </c>
      <c r="B9680">
        <v>7377707</v>
      </c>
      <c r="C9680" s="1" t="str">
        <f>HYPERLINK("http://stackoverflow.com/users/7377707", "Akke Wu")</f>
        <v>Akke Wu</v>
      </c>
      <c r="D9680" t="s">
        <v>4</v>
      </c>
      <c r="E9680">
        <v>1</v>
      </c>
    </row>
    <row r="9681" spans="1:5" x14ac:dyDescent="0.25">
      <c r="A9681">
        <v>9680</v>
      </c>
      <c r="B9681">
        <v>7377732</v>
      </c>
      <c r="C9681" s="1" t="str">
        <f>HYPERLINK("http://stackoverflow.com/users/7377732", "user7377732")</f>
        <v>user7377732</v>
      </c>
      <c r="D9681" t="s">
        <v>25</v>
      </c>
      <c r="E9681">
        <v>1</v>
      </c>
    </row>
    <row r="9682" spans="1:5" x14ac:dyDescent="0.25">
      <c r="A9682">
        <v>9681</v>
      </c>
      <c r="B9682">
        <v>7374123</v>
      </c>
      <c r="C9682" s="1" t="str">
        <f>HYPERLINK("http://stackoverflow.com/users/7374123", "JMin")</f>
        <v>JMin</v>
      </c>
      <c r="D9682" t="s">
        <v>527</v>
      </c>
      <c r="E9682">
        <v>1</v>
      </c>
    </row>
    <row r="9683" spans="1:5" x14ac:dyDescent="0.25">
      <c r="A9683">
        <v>9682</v>
      </c>
      <c r="B9683">
        <v>7374342</v>
      </c>
      <c r="C9683" s="1" t="str">
        <f>HYPERLINK("http://stackoverflow.com/users/7374342", "Job")</f>
        <v>Job</v>
      </c>
      <c r="D9683" t="s">
        <v>5</v>
      </c>
      <c r="E9683">
        <v>1</v>
      </c>
    </row>
    <row r="9684" spans="1:5" x14ac:dyDescent="0.25">
      <c r="A9684">
        <v>9683</v>
      </c>
      <c r="B9684">
        <v>5617980</v>
      </c>
      <c r="C9684" s="1" t="str">
        <f>HYPERLINK("http://stackoverflow.com/users/5617980", "ChangXiaodong")</f>
        <v>ChangXiaodong</v>
      </c>
      <c r="D9684" t="s">
        <v>5</v>
      </c>
      <c r="E9684">
        <v>1</v>
      </c>
    </row>
    <row r="9685" spans="1:5" x14ac:dyDescent="0.25">
      <c r="A9685">
        <v>9684</v>
      </c>
      <c r="B9685">
        <v>2049533</v>
      </c>
      <c r="C9685" s="1" t="str">
        <f>HYPERLINK("http://stackoverflow.com/users/2049533", "scauhua")</f>
        <v>scauhua</v>
      </c>
      <c r="D9685" t="s">
        <v>7</v>
      </c>
      <c r="E9685">
        <v>1</v>
      </c>
    </row>
    <row r="9686" spans="1:5" x14ac:dyDescent="0.25">
      <c r="A9686">
        <v>9685</v>
      </c>
      <c r="B9686">
        <v>2054799</v>
      </c>
      <c r="C9686" s="1" t="str">
        <f>HYPERLINK("http://stackoverflow.com/users/2054799", "MaGang")</f>
        <v>MaGang</v>
      </c>
      <c r="D9686" t="s">
        <v>5</v>
      </c>
      <c r="E9686">
        <v>1</v>
      </c>
    </row>
    <row r="9687" spans="1:5" x14ac:dyDescent="0.25">
      <c r="A9687">
        <v>9686</v>
      </c>
      <c r="B9687">
        <v>9258412</v>
      </c>
      <c r="C9687" s="1" t="str">
        <f>HYPERLINK("http://stackoverflow.com/users/9258412", "xuan wiki")</f>
        <v>xuan wiki</v>
      </c>
      <c r="D9687" t="s">
        <v>131</v>
      </c>
      <c r="E9687">
        <v>1</v>
      </c>
    </row>
    <row r="9688" spans="1:5" x14ac:dyDescent="0.25">
      <c r="A9688">
        <v>9687</v>
      </c>
      <c r="B9688">
        <v>9262401</v>
      </c>
      <c r="C9688" s="1" t="str">
        <f>HYPERLINK("http://stackoverflow.com/users/9262401", "Кирилл Жуков")</f>
        <v>Кирилл Жуков</v>
      </c>
      <c r="D9688" t="s">
        <v>5</v>
      </c>
      <c r="E9688">
        <v>1</v>
      </c>
    </row>
    <row r="9689" spans="1:5" x14ac:dyDescent="0.25">
      <c r="A9689">
        <v>9688</v>
      </c>
      <c r="B9689">
        <v>9262756</v>
      </c>
      <c r="C9689" s="1" t="str">
        <f>HYPERLINK("http://stackoverflow.com/users/9262756", "hjk0918")</f>
        <v>hjk0918</v>
      </c>
      <c r="D9689" t="s">
        <v>6</v>
      </c>
      <c r="E9689">
        <v>1</v>
      </c>
    </row>
    <row r="9690" spans="1:5" x14ac:dyDescent="0.25">
      <c r="A9690">
        <v>9689</v>
      </c>
      <c r="B9690">
        <v>2043319</v>
      </c>
      <c r="C9690" s="1" t="str">
        <f>HYPERLINK("http://stackoverflow.com/users/2043319", "ved")</f>
        <v>ved</v>
      </c>
      <c r="D9690" t="s">
        <v>17</v>
      </c>
      <c r="E9690">
        <v>1</v>
      </c>
    </row>
    <row r="9691" spans="1:5" x14ac:dyDescent="0.25">
      <c r="A9691">
        <v>9690</v>
      </c>
      <c r="B9691">
        <v>2025065</v>
      </c>
      <c r="C9691" s="1" t="str">
        <f>HYPERLINK("http://stackoverflow.com/users/2025065", "WangXin")</f>
        <v>WangXin</v>
      </c>
      <c r="D9691" t="s">
        <v>5</v>
      </c>
      <c r="E9691">
        <v>1</v>
      </c>
    </row>
    <row r="9692" spans="1:5" x14ac:dyDescent="0.25">
      <c r="A9692">
        <v>9691</v>
      </c>
      <c r="B9692">
        <v>11043066</v>
      </c>
      <c r="C9692" s="1" t="str">
        <f>HYPERLINK("http://stackoverflow.com/users/11043066", "P.ShiR")</f>
        <v>P.ShiR</v>
      </c>
      <c r="D9692" t="s">
        <v>33</v>
      </c>
      <c r="E9692">
        <v>1</v>
      </c>
    </row>
    <row r="9693" spans="1:5" x14ac:dyDescent="0.25">
      <c r="A9693">
        <v>9692</v>
      </c>
      <c r="B9693">
        <v>11043113</v>
      </c>
      <c r="C9693" s="1" t="str">
        <f>HYPERLINK("http://stackoverflow.com/users/11043113", "bin he")</f>
        <v>bin he</v>
      </c>
      <c r="D9693" t="s">
        <v>4</v>
      </c>
      <c r="E9693">
        <v>1</v>
      </c>
    </row>
    <row r="9694" spans="1:5" x14ac:dyDescent="0.25">
      <c r="A9694">
        <v>9693</v>
      </c>
      <c r="B9694">
        <v>11043485</v>
      </c>
      <c r="C9694" s="1" t="str">
        <f>HYPERLINK("http://stackoverflow.com/users/11043485", "Forrest")</f>
        <v>Forrest</v>
      </c>
      <c r="D9694" t="s">
        <v>5</v>
      </c>
      <c r="E9694">
        <v>1</v>
      </c>
    </row>
    <row r="9695" spans="1:5" x14ac:dyDescent="0.25">
      <c r="A9695">
        <v>9694</v>
      </c>
      <c r="B9695">
        <v>2025825</v>
      </c>
      <c r="C9695" s="1" t="str">
        <f>HYPERLINK("http://stackoverflow.com/users/2025825", "EchoRenYuan")</f>
        <v>EchoRenYuan</v>
      </c>
      <c r="D9695" t="s">
        <v>5</v>
      </c>
      <c r="E9695">
        <v>1</v>
      </c>
    </row>
    <row r="9696" spans="1:5" x14ac:dyDescent="0.25">
      <c r="A9696">
        <v>9695</v>
      </c>
      <c r="B9696">
        <v>7346418</v>
      </c>
      <c r="C9696" s="1" t="str">
        <f>HYPERLINK("http://stackoverflow.com/users/7346418", "Azure")</f>
        <v>Azure</v>
      </c>
      <c r="D9696" t="s">
        <v>484</v>
      </c>
      <c r="E9696">
        <v>1</v>
      </c>
    </row>
    <row r="9697" spans="1:5" x14ac:dyDescent="0.25">
      <c r="A9697">
        <v>9696</v>
      </c>
      <c r="B9697">
        <v>5590988</v>
      </c>
      <c r="C9697" s="1" t="str">
        <f>HYPERLINK("http://stackoverflow.com/users/5590988", "CoderNovice")</f>
        <v>CoderNovice</v>
      </c>
      <c r="D9697" t="s">
        <v>37</v>
      </c>
      <c r="E9697">
        <v>1</v>
      </c>
    </row>
    <row r="9698" spans="1:5" x14ac:dyDescent="0.25">
      <c r="A9698">
        <v>9697</v>
      </c>
      <c r="B9698">
        <v>7350420</v>
      </c>
      <c r="C9698" s="1" t="str">
        <f>HYPERLINK("http://stackoverflow.com/users/7350420", "carrot")</f>
        <v>carrot</v>
      </c>
      <c r="D9698" t="s">
        <v>5</v>
      </c>
      <c r="E9698">
        <v>1</v>
      </c>
    </row>
    <row r="9699" spans="1:5" x14ac:dyDescent="0.25">
      <c r="A9699">
        <v>9698</v>
      </c>
      <c r="B9699">
        <v>5594930</v>
      </c>
      <c r="C9699" s="1" t="str">
        <f>HYPERLINK("http://stackoverflow.com/users/5594930", "Jerry Wang")</f>
        <v>Jerry Wang</v>
      </c>
      <c r="D9699" t="s">
        <v>34</v>
      </c>
      <c r="E9699">
        <v>1</v>
      </c>
    </row>
    <row r="9700" spans="1:5" x14ac:dyDescent="0.25">
      <c r="A9700">
        <v>9699</v>
      </c>
      <c r="B9700">
        <v>5595286</v>
      </c>
      <c r="C9700" s="1" t="str">
        <f>HYPERLINK("http://stackoverflow.com/users/5595286", "Xiangyun Wang")</f>
        <v>Xiangyun Wang</v>
      </c>
      <c r="D9700" t="s">
        <v>5</v>
      </c>
      <c r="E9700">
        <v>1</v>
      </c>
    </row>
    <row r="9701" spans="1:5" x14ac:dyDescent="0.25">
      <c r="A9701">
        <v>9700</v>
      </c>
      <c r="B9701">
        <v>5648439</v>
      </c>
      <c r="C9701" s="1" t="str">
        <f>HYPERLINK("http://stackoverflow.com/users/5648439", "Mr. Zhu")</f>
        <v>Mr. Zhu</v>
      </c>
      <c r="D9701" t="s">
        <v>16</v>
      </c>
      <c r="E9701">
        <v>1</v>
      </c>
    </row>
    <row r="9702" spans="1:5" x14ac:dyDescent="0.25">
      <c r="A9702">
        <v>9701</v>
      </c>
      <c r="B9702">
        <v>5648549</v>
      </c>
      <c r="C9702" s="1" t="str">
        <f>HYPERLINK("http://stackoverflow.com/users/5648549", "9ao2hen")</f>
        <v>9ao2hen</v>
      </c>
      <c r="D9702" t="s">
        <v>5</v>
      </c>
      <c r="E9702">
        <v>1</v>
      </c>
    </row>
    <row r="9703" spans="1:5" x14ac:dyDescent="0.25">
      <c r="A9703">
        <v>9702</v>
      </c>
      <c r="B9703">
        <v>11090451</v>
      </c>
      <c r="C9703" s="1" t="str">
        <f>HYPERLINK("http://stackoverflow.com/users/11090451", "NachtgeistW")</f>
        <v>NachtgeistW</v>
      </c>
      <c r="D9703" t="s">
        <v>417</v>
      </c>
      <c r="E9703">
        <v>1</v>
      </c>
    </row>
    <row r="9704" spans="1:5" x14ac:dyDescent="0.25">
      <c r="A9704">
        <v>9703</v>
      </c>
      <c r="B9704">
        <v>5648027</v>
      </c>
      <c r="C9704" s="1" t="str">
        <f>HYPERLINK("http://stackoverflow.com/users/5648027", "Toryznoco")</f>
        <v>Toryznoco</v>
      </c>
      <c r="D9704" t="s">
        <v>28</v>
      </c>
      <c r="E9704">
        <v>1</v>
      </c>
    </row>
    <row r="9705" spans="1:5" x14ac:dyDescent="0.25">
      <c r="A9705">
        <v>9704</v>
      </c>
      <c r="B9705">
        <v>5648115</v>
      </c>
      <c r="C9705" s="1" t="str">
        <f>HYPERLINK("http://stackoverflow.com/users/5648115", "BRZ")</f>
        <v>BRZ</v>
      </c>
      <c r="D9705" t="s">
        <v>90</v>
      </c>
      <c r="E9705">
        <v>1</v>
      </c>
    </row>
    <row r="9706" spans="1:5" x14ac:dyDescent="0.25">
      <c r="A9706">
        <v>9705</v>
      </c>
      <c r="B9706">
        <v>3855842</v>
      </c>
      <c r="C9706" s="1" t="str">
        <f>HYPERLINK("http://stackoverflow.com/users/3855842", "Duduscript")</f>
        <v>Duduscript</v>
      </c>
      <c r="D9706" t="s">
        <v>8</v>
      </c>
      <c r="E9706">
        <v>1</v>
      </c>
    </row>
    <row r="9707" spans="1:5" x14ac:dyDescent="0.25">
      <c r="A9707">
        <v>9706</v>
      </c>
      <c r="B9707">
        <v>5642334</v>
      </c>
      <c r="C9707" s="1" t="str">
        <f>HYPERLINK("http://stackoverflow.com/users/5642334", "Medusa")</f>
        <v>Medusa</v>
      </c>
      <c r="D9707" t="s">
        <v>5</v>
      </c>
      <c r="E9707">
        <v>1</v>
      </c>
    </row>
    <row r="9708" spans="1:5" x14ac:dyDescent="0.25">
      <c r="A9708">
        <v>9707</v>
      </c>
      <c r="B9708">
        <v>3855662</v>
      </c>
      <c r="C9708" s="1" t="str">
        <f>HYPERLINK("http://stackoverflow.com/users/3855662", "adousj")</f>
        <v>adousj</v>
      </c>
      <c r="D9708" t="s">
        <v>4</v>
      </c>
      <c r="E9708">
        <v>1</v>
      </c>
    </row>
    <row r="9709" spans="1:5" x14ac:dyDescent="0.25">
      <c r="A9709">
        <v>9708</v>
      </c>
      <c r="B9709">
        <v>7398330</v>
      </c>
      <c r="C9709" s="1" t="str">
        <f>HYPERLINK("http://stackoverflow.com/users/7398330", "user7398330")</f>
        <v>user7398330</v>
      </c>
      <c r="D9709" t="s">
        <v>74</v>
      </c>
      <c r="E9709">
        <v>1</v>
      </c>
    </row>
    <row r="9710" spans="1:5" x14ac:dyDescent="0.25">
      <c r="A9710">
        <v>9709</v>
      </c>
      <c r="B9710">
        <v>7398364</v>
      </c>
      <c r="C9710" s="1" t="str">
        <f>HYPERLINK("http://stackoverflow.com/users/7398364", "Natalie_ZG")</f>
        <v>Natalie_ZG</v>
      </c>
      <c r="D9710" t="s">
        <v>57</v>
      </c>
      <c r="E9710">
        <v>1</v>
      </c>
    </row>
    <row r="9711" spans="1:5" x14ac:dyDescent="0.25">
      <c r="A9711">
        <v>9710</v>
      </c>
      <c r="B9711">
        <v>7403189</v>
      </c>
      <c r="C9711" s="1" t="str">
        <f>HYPERLINK("http://stackoverflow.com/users/7403189", "Korialstrasz")</f>
        <v>Korialstrasz</v>
      </c>
      <c r="D9711" t="s">
        <v>28</v>
      </c>
      <c r="E9711">
        <v>1</v>
      </c>
    </row>
    <row r="9712" spans="1:5" x14ac:dyDescent="0.25">
      <c r="A9712">
        <v>9711</v>
      </c>
      <c r="B9712">
        <v>7403209</v>
      </c>
      <c r="C9712" s="1" t="str">
        <f>HYPERLINK("http://stackoverflow.com/users/7403209", "JohnnyZinc")</f>
        <v>JohnnyZinc</v>
      </c>
      <c r="D9712" t="s">
        <v>4</v>
      </c>
      <c r="E9712">
        <v>1</v>
      </c>
    </row>
    <row r="9713" spans="1:5" x14ac:dyDescent="0.25">
      <c r="A9713">
        <v>9712</v>
      </c>
      <c r="B9713">
        <v>7403872</v>
      </c>
      <c r="C9713" s="1" t="str">
        <f>HYPERLINK("http://stackoverflow.com/users/7403872", "kaixuan")</f>
        <v>kaixuan</v>
      </c>
      <c r="D9713" t="s">
        <v>4</v>
      </c>
      <c r="E9713">
        <v>1</v>
      </c>
    </row>
    <row r="9714" spans="1:5" x14ac:dyDescent="0.25">
      <c r="A9714">
        <v>9713</v>
      </c>
      <c r="B9714">
        <v>7403980</v>
      </c>
      <c r="C9714" s="1" t="str">
        <f>HYPERLINK("http://stackoverflow.com/users/7403980", "Haifeng Liu")</f>
        <v>Haifeng Liu</v>
      </c>
      <c r="D9714" t="s">
        <v>33</v>
      </c>
      <c r="E9714">
        <v>1</v>
      </c>
    </row>
    <row r="9715" spans="1:5" x14ac:dyDescent="0.25">
      <c r="A9715">
        <v>9714</v>
      </c>
      <c r="B9715">
        <v>2093595</v>
      </c>
      <c r="C9715" s="1" t="str">
        <f>HYPERLINK("http://stackoverflow.com/users/2093595", "sunzhuofeng")</f>
        <v>sunzhuofeng</v>
      </c>
      <c r="D9715" t="s">
        <v>244</v>
      </c>
      <c r="E9715">
        <v>1</v>
      </c>
    </row>
    <row r="9716" spans="1:5" x14ac:dyDescent="0.25">
      <c r="A9716">
        <v>9715</v>
      </c>
      <c r="B9716">
        <v>2093742</v>
      </c>
      <c r="C9716" s="1" t="str">
        <f>HYPERLINK("http://stackoverflow.com/users/2093742", "Jackie Liu")</f>
        <v>Jackie Liu</v>
      </c>
      <c r="D9716" t="s">
        <v>54</v>
      </c>
      <c r="E9716">
        <v>1</v>
      </c>
    </row>
    <row r="9717" spans="1:5" x14ac:dyDescent="0.25">
      <c r="A9717">
        <v>9716</v>
      </c>
      <c r="B9717">
        <v>2093751</v>
      </c>
      <c r="C9717" s="1" t="str">
        <f>HYPERLINK("http://stackoverflow.com/users/2093751", "Siran Yang")</f>
        <v>Siran Yang</v>
      </c>
      <c r="D9717" t="s">
        <v>31</v>
      </c>
      <c r="E9717">
        <v>1</v>
      </c>
    </row>
    <row r="9718" spans="1:5" x14ac:dyDescent="0.25">
      <c r="A9718">
        <v>9717</v>
      </c>
      <c r="B9718">
        <v>2095074</v>
      </c>
      <c r="C9718" s="1" t="str">
        <f>HYPERLINK("http://stackoverflow.com/users/2095074", "lufeipeng")</f>
        <v>lufeipeng</v>
      </c>
      <c r="D9718" t="s">
        <v>4</v>
      </c>
      <c r="E9718">
        <v>1</v>
      </c>
    </row>
    <row r="9719" spans="1:5" x14ac:dyDescent="0.25">
      <c r="A9719">
        <v>9718</v>
      </c>
      <c r="B9719">
        <v>9297377</v>
      </c>
      <c r="C9719" s="1" t="str">
        <f>HYPERLINK("http://stackoverflow.com/users/9297377", "Werner Booysen")</f>
        <v>Werner Booysen</v>
      </c>
      <c r="D9719" t="s">
        <v>28</v>
      </c>
      <c r="E9719">
        <v>1</v>
      </c>
    </row>
    <row r="9720" spans="1:5" x14ac:dyDescent="0.25">
      <c r="A9720">
        <v>9719</v>
      </c>
      <c r="B9720">
        <v>9297400</v>
      </c>
      <c r="C9720" s="1" t="str">
        <f>HYPERLINK("http://stackoverflow.com/users/9297400", "Jason C.")</f>
        <v>Jason C.</v>
      </c>
      <c r="D9720" t="s">
        <v>4</v>
      </c>
      <c r="E9720">
        <v>1</v>
      </c>
    </row>
    <row r="9721" spans="1:5" x14ac:dyDescent="0.25">
      <c r="A9721">
        <v>9720</v>
      </c>
      <c r="B9721">
        <v>9297488</v>
      </c>
      <c r="C9721" s="1" t="str">
        <f>HYPERLINK("http://stackoverflow.com/users/9297488", "Yang")</f>
        <v>Yang</v>
      </c>
      <c r="D9721" t="s">
        <v>5</v>
      </c>
      <c r="E9721">
        <v>1</v>
      </c>
    </row>
    <row r="9722" spans="1:5" x14ac:dyDescent="0.25">
      <c r="A9722">
        <v>9721</v>
      </c>
      <c r="B9722">
        <v>7407649</v>
      </c>
      <c r="C9722" s="1" t="str">
        <f>HYPERLINK("http://stackoverflow.com/users/7407649", "Jeffrey W")</f>
        <v>Jeffrey W</v>
      </c>
      <c r="D9722" t="s">
        <v>43</v>
      </c>
      <c r="E9722">
        <v>1</v>
      </c>
    </row>
    <row r="9723" spans="1:5" x14ac:dyDescent="0.25">
      <c r="A9723">
        <v>9722</v>
      </c>
      <c r="B9723">
        <v>7407729</v>
      </c>
      <c r="C9723" s="1" t="str">
        <f>HYPERLINK("http://stackoverflow.com/users/7407729", "Bruce Liu")</f>
        <v>Bruce Liu</v>
      </c>
      <c r="D9723" t="s">
        <v>4</v>
      </c>
      <c r="E9723">
        <v>1</v>
      </c>
    </row>
    <row r="9724" spans="1:5" x14ac:dyDescent="0.25">
      <c r="A9724">
        <v>9723</v>
      </c>
      <c r="B9724">
        <v>2094516</v>
      </c>
      <c r="C9724" s="1" t="str">
        <f>HYPERLINK("http://stackoverflow.com/users/2094516", "Xiong He")</f>
        <v>Xiong He</v>
      </c>
      <c r="D9724" t="s">
        <v>5</v>
      </c>
      <c r="E9724">
        <v>1</v>
      </c>
    </row>
    <row r="9725" spans="1:5" x14ac:dyDescent="0.25">
      <c r="A9725">
        <v>9724</v>
      </c>
      <c r="B9725">
        <v>2094523</v>
      </c>
      <c r="C9725" s="1" t="str">
        <f>HYPERLINK("http://stackoverflow.com/users/2094523", "kaifeng")</f>
        <v>kaifeng</v>
      </c>
      <c r="D9725" t="s">
        <v>4</v>
      </c>
      <c r="E9725">
        <v>1</v>
      </c>
    </row>
    <row r="9726" spans="1:5" x14ac:dyDescent="0.25">
      <c r="A9726">
        <v>9725</v>
      </c>
      <c r="B9726">
        <v>2094641</v>
      </c>
      <c r="C9726" s="1" t="str">
        <f>HYPERLINK("http://stackoverflow.com/users/2094641", "Jimsen")</f>
        <v>Jimsen</v>
      </c>
      <c r="D9726" t="s">
        <v>4</v>
      </c>
      <c r="E9726">
        <v>1</v>
      </c>
    </row>
    <row r="9727" spans="1:5" x14ac:dyDescent="0.25">
      <c r="A9727">
        <v>9726</v>
      </c>
      <c r="B9727">
        <v>2094816</v>
      </c>
      <c r="C9727" s="1" t="str">
        <f>HYPERLINK("http://stackoverflow.com/users/2094816", "Derek")</f>
        <v>Derek</v>
      </c>
      <c r="D9727" t="s">
        <v>5</v>
      </c>
      <c r="E9727">
        <v>1</v>
      </c>
    </row>
    <row r="9728" spans="1:5" x14ac:dyDescent="0.25">
      <c r="A9728">
        <v>9727</v>
      </c>
      <c r="B9728">
        <v>5653600</v>
      </c>
      <c r="C9728" s="1" t="str">
        <f>HYPERLINK("http://stackoverflow.com/users/5653600", "Li Robert")</f>
        <v>Li Robert</v>
      </c>
      <c r="D9728" t="s">
        <v>17</v>
      </c>
      <c r="E9728">
        <v>1</v>
      </c>
    </row>
    <row r="9729" spans="1:5" x14ac:dyDescent="0.25">
      <c r="A9729">
        <v>9728</v>
      </c>
      <c r="B9729">
        <v>2114107</v>
      </c>
      <c r="C9729" s="1" t="str">
        <f>HYPERLINK("http://stackoverflow.com/users/2114107", "Neal Ni")</f>
        <v>Neal Ni</v>
      </c>
      <c r="D9729" t="s">
        <v>5</v>
      </c>
      <c r="E9729">
        <v>1</v>
      </c>
    </row>
    <row r="9730" spans="1:5" x14ac:dyDescent="0.25">
      <c r="A9730">
        <v>9729</v>
      </c>
      <c r="B9730">
        <v>5653334</v>
      </c>
      <c r="C9730" s="1" t="str">
        <f>HYPERLINK("http://stackoverflow.com/users/5653334", "Z.Malt")</f>
        <v>Z.Malt</v>
      </c>
      <c r="D9730" t="s">
        <v>4</v>
      </c>
      <c r="E9730">
        <v>1</v>
      </c>
    </row>
    <row r="9731" spans="1:5" x14ac:dyDescent="0.25">
      <c r="A9731">
        <v>9730</v>
      </c>
      <c r="B9731">
        <v>2114604</v>
      </c>
      <c r="C9731" s="1" t="str">
        <f>HYPERLINK("http://stackoverflow.com/users/2114604", "litson.zhang")</f>
        <v>litson.zhang</v>
      </c>
      <c r="D9731" t="s">
        <v>5</v>
      </c>
      <c r="E9731">
        <v>1</v>
      </c>
    </row>
    <row r="9732" spans="1:5" x14ac:dyDescent="0.25">
      <c r="A9732">
        <v>9731</v>
      </c>
      <c r="B9732">
        <v>2114903</v>
      </c>
      <c r="C9732" s="1" t="str">
        <f>HYPERLINK("http://stackoverflow.com/users/2114903", "yreenchan")</f>
        <v>yreenchan</v>
      </c>
      <c r="D9732" t="s">
        <v>17</v>
      </c>
      <c r="E9732">
        <v>1</v>
      </c>
    </row>
    <row r="9733" spans="1:5" x14ac:dyDescent="0.25">
      <c r="A9733">
        <v>9732</v>
      </c>
      <c r="B9733">
        <v>7424265</v>
      </c>
      <c r="C9733" s="1" t="str">
        <f>HYPERLINK("http://stackoverflow.com/users/7424265", "Motlib")</f>
        <v>Motlib</v>
      </c>
      <c r="D9733" t="s">
        <v>4</v>
      </c>
      <c r="E9733">
        <v>1</v>
      </c>
    </row>
    <row r="9734" spans="1:5" x14ac:dyDescent="0.25">
      <c r="A9734">
        <v>9733</v>
      </c>
      <c r="B9734">
        <v>7424292</v>
      </c>
      <c r="C9734" s="1" t="str">
        <f>HYPERLINK("http://stackoverflow.com/users/7424292", "Yunyan")</f>
        <v>Yunyan</v>
      </c>
      <c r="D9734" t="s">
        <v>28</v>
      </c>
      <c r="E9734">
        <v>1</v>
      </c>
    </row>
    <row r="9735" spans="1:5" x14ac:dyDescent="0.25">
      <c r="A9735">
        <v>9734</v>
      </c>
      <c r="B9735">
        <v>7424570</v>
      </c>
      <c r="C9735" s="1" t="str">
        <f>HYPERLINK("http://stackoverflow.com/users/7424570", "Robell_Liu")</f>
        <v>Robell_Liu</v>
      </c>
      <c r="D9735" t="s">
        <v>4</v>
      </c>
      <c r="E9735">
        <v>1</v>
      </c>
    </row>
    <row r="9736" spans="1:5" x14ac:dyDescent="0.25">
      <c r="A9736">
        <v>9735</v>
      </c>
      <c r="B9736">
        <v>7424620</v>
      </c>
      <c r="C9736" s="1" t="str">
        <f>HYPERLINK("http://stackoverflow.com/users/7424620", "Kaifeng")</f>
        <v>Kaifeng</v>
      </c>
      <c r="D9736" t="s">
        <v>5</v>
      </c>
      <c r="E9736">
        <v>1</v>
      </c>
    </row>
    <row r="9737" spans="1:5" x14ac:dyDescent="0.25">
      <c r="A9737">
        <v>9736</v>
      </c>
      <c r="B9737">
        <v>7424727</v>
      </c>
      <c r="C9737" s="1" t="str">
        <f>HYPERLINK("http://stackoverflow.com/users/7424727", "Jason C Li")</f>
        <v>Jason C Li</v>
      </c>
      <c r="D9737" t="s">
        <v>4</v>
      </c>
      <c r="E9737">
        <v>1</v>
      </c>
    </row>
    <row r="9738" spans="1:5" x14ac:dyDescent="0.25">
      <c r="A9738">
        <v>9737</v>
      </c>
      <c r="B9738">
        <v>2099072</v>
      </c>
      <c r="C9738" s="1" t="str">
        <f>HYPERLINK("http://stackoverflow.com/users/2099072", "rickyliyi")</f>
        <v>rickyliyi</v>
      </c>
      <c r="D9738" t="s">
        <v>5</v>
      </c>
      <c r="E9738">
        <v>1</v>
      </c>
    </row>
    <row r="9739" spans="1:5" x14ac:dyDescent="0.25">
      <c r="A9739">
        <v>9738</v>
      </c>
      <c r="B9739">
        <v>2099495</v>
      </c>
      <c r="C9739" s="1" t="str">
        <f>HYPERLINK("http://stackoverflow.com/users/2099495", "Ouyang Yuezhi")</f>
        <v>Ouyang Yuezhi</v>
      </c>
      <c r="D9739" t="s">
        <v>5</v>
      </c>
      <c r="E9739">
        <v>1</v>
      </c>
    </row>
    <row r="9740" spans="1:5" x14ac:dyDescent="0.25">
      <c r="A9740">
        <v>9739</v>
      </c>
      <c r="B9740">
        <v>9305607</v>
      </c>
      <c r="C9740" s="1" t="str">
        <f>HYPERLINK("http://stackoverflow.com/users/9305607", "Noah Gao")</f>
        <v>Noah Gao</v>
      </c>
      <c r="D9740" t="s">
        <v>57</v>
      </c>
      <c r="E9740">
        <v>1</v>
      </c>
    </row>
    <row r="9741" spans="1:5" x14ac:dyDescent="0.25">
      <c r="A9741">
        <v>9740</v>
      </c>
      <c r="B9741">
        <v>2102783</v>
      </c>
      <c r="C9741" s="1" t="str">
        <f>HYPERLINK("http://stackoverflow.com/users/2102783", "yylang1987-old")</f>
        <v>yylang1987-old</v>
      </c>
      <c r="D9741" t="s">
        <v>5</v>
      </c>
      <c r="E9741">
        <v>1</v>
      </c>
    </row>
    <row r="9742" spans="1:5" x14ac:dyDescent="0.25">
      <c r="A9742">
        <v>9741</v>
      </c>
      <c r="B9742">
        <v>2103864</v>
      </c>
      <c r="C9742" s="1" t="str">
        <f>HYPERLINK("http://stackoverflow.com/users/2103864", "JebwizOscar")</f>
        <v>JebwizOscar</v>
      </c>
      <c r="D9742" t="s">
        <v>169</v>
      </c>
      <c r="E9742">
        <v>1</v>
      </c>
    </row>
    <row r="9743" spans="1:5" x14ac:dyDescent="0.25">
      <c r="A9743">
        <v>9742</v>
      </c>
      <c r="B9743">
        <v>11098973</v>
      </c>
      <c r="C9743" s="1" t="str">
        <f>HYPERLINK("http://stackoverflow.com/users/11098973", "徐德鑫")</f>
        <v>徐德鑫</v>
      </c>
      <c r="D9743" t="s">
        <v>74</v>
      </c>
      <c r="E9743">
        <v>1</v>
      </c>
    </row>
    <row r="9744" spans="1:5" x14ac:dyDescent="0.25">
      <c r="A9744">
        <v>9743</v>
      </c>
      <c r="B9744">
        <v>3876414</v>
      </c>
      <c r="C9744" s="1" t="str">
        <f>HYPERLINK("http://stackoverflow.com/users/3876414", "ldsink")</f>
        <v>ldsink</v>
      </c>
      <c r="D9744" t="s">
        <v>528</v>
      </c>
      <c r="E9744">
        <v>1</v>
      </c>
    </row>
    <row r="9745" spans="1:5" x14ac:dyDescent="0.25">
      <c r="A9745">
        <v>9744</v>
      </c>
      <c r="B9745">
        <v>7420344</v>
      </c>
      <c r="C9745" s="1" t="str">
        <f>HYPERLINK("http://stackoverflow.com/users/7420344", "markBin")</f>
        <v>markBin</v>
      </c>
      <c r="D9745" t="s">
        <v>28</v>
      </c>
      <c r="E9745">
        <v>1</v>
      </c>
    </row>
    <row r="9746" spans="1:5" x14ac:dyDescent="0.25">
      <c r="A9746">
        <v>9745</v>
      </c>
      <c r="B9746">
        <v>7420701</v>
      </c>
      <c r="C9746" s="1" t="str">
        <f>HYPERLINK("http://stackoverflow.com/users/7420701", "Li Huazou")</f>
        <v>Li Huazou</v>
      </c>
      <c r="D9746" t="s">
        <v>131</v>
      </c>
      <c r="E9746">
        <v>1</v>
      </c>
    </row>
    <row r="9747" spans="1:5" x14ac:dyDescent="0.25">
      <c r="A9747">
        <v>9746</v>
      </c>
      <c r="B9747">
        <v>3881470</v>
      </c>
      <c r="C9747" s="1" t="str">
        <f>HYPERLINK("http://stackoverflow.com/users/3881470", "sohunjug")</f>
        <v>sohunjug</v>
      </c>
      <c r="D9747" t="s">
        <v>17</v>
      </c>
      <c r="E9747">
        <v>1</v>
      </c>
    </row>
    <row r="9748" spans="1:5" x14ac:dyDescent="0.25">
      <c r="A9748">
        <v>9747</v>
      </c>
      <c r="B9748">
        <v>11109125</v>
      </c>
      <c r="C9748" s="1" t="str">
        <f>HYPERLINK("http://stackoverflow.com/users/11109125", "solıtoŋ")</f>
        <v>solıtoŋ</v>
      </c>
      <c r="D9748" t="s">
        <v>19</v>
      </c>
      <c r="E9748">
        <v>1</v>
      </c>
    </row>
    <row r="9749" spans="1:5" x14ac:dyDescent="0.25">
      <c r="A9749">
        <v>9748</v>
      </c>
      <c r="B9749">
        <v>2113647</v>
      </c>
      <c r="C9749" s="1" t="str">
        <f>HYPERLINK("http://stackoverflow.com/users/2113647", "vitosub")</f>
        <v>vitosub</v>
      </c>
      <c r="D9749" t="s">
        <v>59</v>
      </c>
      <c r="E9749">
        <v>1</v>
      </c>
    </row>
    <row r="9750" spans="1:5" x14ac:dyDescent="0.25">
      <c r="A9750">
        <v>9749</v>
      </c>
      <c r="B9750">
        <v>7408080</v>
      </c>
      <c r="C9750" s="1" t="str">
        <f>HYPERLINK("http://stackoverflow.com/users/7408080", "Kyle")</f>
        <v>Kyle</v>
      </c>
      <c r="D9750" t="s">
        <v>4</v>
      </c>
      <c r="E9750">
        <v>1</v>
      </c>
    </row>
    <row r="9751" spans="1:5" x14ac:dyDescent="0.25">
      <c r="A9751">
        <v>9750</v>
      </c>
      <c r="B9751">
        <v>7408167</v>
      </c>
      <c r="C9751" s="1" t="str">
        <f>HYPERLINK("http://stackoverflow.com/users/7408167", "colourfulMonkey")</f>
        <v>colourfulMonkey</v>
      </c>
      <c r="D9751" t="s">
        <v>131</v>
      </c>
      <c r="E9751">
        <v>1</v>
      </c>
    </row>
    <row r="9752" spans="1:5" x14ac:dyDescent="0.25">
      <c r="A9752">
        <v>9751</v>
      </c>
      <c r="B9752">
        <v>7408199</v>
      </c>
      <c r="C9752" s="1" t="str">
        <f>HYPERLINK("http://stackoverflow.com/users/7408199", "Meilin")</f>
        <v>Meilin</v>
      </c>
      <c r="D9752" t="s">
        <v>4</v>
      </c>
      <c r="E9752">
        <v>1</v>
      </c>
    </row>
    <row r="9753" spans="1:5" x14ac:dyDescent="0.25">
      <c r="A9753">
        <v>9752</v>
      </c>
      <c r="B9753">
        <v>7408216</v>
      </c>
      <c r="C9753" s="1" t="str">
        <f>HYPERLINK("http://stackoverflow.com/users/7408216", "wei liu")</f>
        <v>wei liu</v>
      </c>
      <c r="D9753" t="s">
        <v>5</v>
      </c>
      <c r="E9753">
        <v>1</v>
      </c>
    </row>
    <row r="9754" spans="1:5" x14ac:dyDescent="0.25">
      <c r="A9754">
        <v>9753</v>
      </c>
      <c r="B9754">
        <v>7408423</v>
      </c>
      <c r="C9754" s="1" t="str">
        <f>HYPERLINK("http://stackoverflow.com/users/7408423", "ccjiancui")</f>
        <v>ccjiancui</v>
      </c>
      <c r="D9754" t="s">
        <v>55</v>
      </c>
      <c r="E9754">
        <v>1</v>
      </c>
    </row>
    <row r="9755" spans="1:5" x14ac:dyDescent="0.25">
      <c r="A9755">
        <v>9754</v>
      </c>
      <c r="B9755">
        <v>11095235</v>
      </c>
      <c r="C9755" s="1" t="str">
        <f>HYPERLINK("http://stackoverflow.com/users/11095235", "Ziyi Huang")</f>
        <v>Ziyi Huang</v>
      </c>
      <c r="D9755" t="s">
        <v>4</v>
      </c>
      <c r="E9755">
        <v>1</v>
      </c>
    </row>
    <row r="9756" spans="1:5" x14ac:dyDescent="0.25">
      <c r="A9756">
        <v>9755</v>
      </c>
      <c r="B9756">
        <v>11095657</v>
      </c>
      <c r="C9756" s="1" t="str">
        <f>HYPERLINK("http://stackoverflow.com/users/11095657", "NjuLeon")</f>
        <v>NjuLeon</v>
      </c>
      <c r="D9756" t="s">
        <v>16</v>
      </c>
      <c r="E9756">
        <v>1</v>
      </c>
    </row>
    <row r="9757" spans="1:5" x14ac:dyDescent="0.25">
      <c r="A9757">
        <v>9756</v>
      </c>
      <c r="B9757">
        <v>11095757</v>
      </c>
      <c r="C9757" s="1" t="str">
        <f>HYPERLINK("http://stackoverflow.com/users/11095757", "Randy")</f>
        <v>Randy</v>
      </c>
      <c r="D9757" t="s">
        <v>7</v>
      </c>
      <c r="E9757">
        <v>1</v>
      </c>
    </row>
    <row r="9758" spans="1:5" x14ac:dyDescent="0.25">
      <c r="A9758">
        <v>9757</v>
      </c>
      <c r="B9758">
        <v>5653090</v>
      </c>
      <c r="C9758" s="1" t="str">
        <f>HYPERLINK("http://stackoverflow.com/users/5653090", "Playful Zhang")</f>
        <v>Playful Zhang</v>
      </c>
      <c r="D9758" t="s">
        <v>12</v>
      </c>
      <c r="E9758">
        <v>1</v>
      </c>
    </row>
    <row r="9759" spans="1:5" x14ac:dyDescent="0.25">
      <c r="A9759">
        <v>9758</v>
      </c>
      <c r="B9759">
        <v>7320269</v>
      </c>
      <c r="C9759" s="1" t="str">
        <f>HYPERLINK("http://stackoverflow.com/users/7320269", "Flr919")</f>
        <v>Flr919</v>
      </c>
      <c r="D9759" t="s">
        <v>4</v>
      </c>
      <c r="E9759">
        <v>1</v>
      </c>
    </row>
    <row r="9760" spans="1:5" x14ac:dyDescent="0.25">
      <c r="A9760">
        <v>9759</v>
      </c>
      <c r="B9760">
        <v>7320288</v>
      </c>
      <c r="C9760" s="1" t="str">
        <f>HYPERLINK("http://stackoverflow.com/users/7320288", "Vinoth")</f>
        <v>Vinoth</v>
      </c>
      <c r="D9760" t="s">
        <v>4</v>
      </c>
      <c r="E9760">
        <v>1</v>
      </c>
    </row>
    <row r="9761" spans="1:5" x14ac:dyDescent="0.25">
      <c r="A9761">
        <v>9760</v>
      </c>
      <c r="B9761">
        <v>7320397</v>
      </c>
      <c r="C9761" s="1" t="str">
        <f>HYPERLINK("http://stackoverflow.com/users/7320397", "Jun")</f>
        <v>Jun</v>
      </c>
      <c r="D9761" t="s">
        <v>5</v>
      </c>
      <c r="E9761">
        <v>1</v>
      </c>
    </row>
    <row r="9762" spans="1:5" x14ac:dyDescent="0.25">
      <c r="A9762">
        <v>9761</v>
      </c>
      <c r="B9762">
        <v>11000668</v>
      </c>
      <c r="C9762" s="1" t="str">
        <f>HYPERLINK("http://stackoverflow.com/users/11000668", "Mingjian Wang")</f>
        <v>Mingjian Wang</v>
      </c>
      <c r="D9762" t="s">
        <v>4</v>
      </c>
      <c r="E9762">
        <v>1</v>
      </c>
    </row>
    <row r="9763" spans="1:5" x14ac:dyDescent="0.25">
      <c r="A9763">
        <v>9762</v>
      </c>
      <c r="B9763">
        <v>9209808</v>
      </c>
      <c r="C9763" s="1" t="str">
        <f>HYPERLINK("http://stackoverflow.com/users/9209808", "JaneWu5")</f>
        <v>JaneWu5</v>
      </c>
      <c r="D9763" t="s">
        <v>5</v>
      </c>
      <c r="E9763">
        <v>1</v>
      </c>
    </row>
    <row r="9764" spans="1:5" x14ac:dyDescent="0.25">
      <c r="A9764">
        <v>9763</v>
      </c>
      <c r="B9764">
        <v>2000662</v>
      </c>
      <c r="C9764" s="1" t="str">
        <f>HYPERLINK("http://stackoverflow.com/users/2000662", "michael_yao")</f>
        <v>michael_yao</v>
      </c>
      <c r="D9764" t="s">
        <v>4</v>
      </c>
      <c r="E9764">
        <v>1</v>
      </c>
    </row>
    <row r="9765" spans="1:5" x14ac:dyDescent="0.25">
      <c r="A9765">
        <v>9764</v>
      </c>
      <c r="B9765">
        <v>5561400</v>
      </c>
      <c r="C9765" s="1" t="str">
        <f>HYPERLINK("http://stackoverflow.com/users/5561400", "Vince Lombardi")</f>
        <v>Vince Lombardi</v>
      </c>
      <c r="D9765" t="s">
        <v>17</v>
      </c>
      <c r="E9765">
        <v>1</v>
      </c>
    </row>
    <row r="9766" spans="1:5" x14ac:dyDescent="0.25">
      <c r="A9766">
        <v>9765</v>
      </c>
      <c r="B9766">
        <v>3773423</v>
      </c>
      <c r="C9766" s="1" t="str">
        <f>HYPERLINK("http://stackoverflow.com/users/3773423", "Bear")</f>
        <v>Bear</v>
      </c>
      <c r="D9766" t="s">
        <v>4</v>
      </c>
      <c r="E9766">
        <v>1</v>
      </c>
    </row>
    <row r="9767" spans="1:5" x14ac:dyDescent="0.25">
      <c r="A9767">
        <v>9766</v>
      </c>
      <c r="B9767">
        <v>3773453</v>
      </c>
      <c r="C9767" s="1" t="str">
        <f>HYPERLINK("http://stackoverflow.com/users/3773453", "Vince_Wang")</f>
        <v>Vince_Wang</v>
      </c>
      <c r="D9767" t="s">
        <v>194</v>
      </c>
      <c r="E9767">
        <v>1</v>
      </c>
    </row>
    <row r="9768" spans="1:5" x14ac:dyDescent="0.25">
      <c r="A9768">
        <v>9767</v>
      </c>
      <c r="B9768">
        <v>7328476</v>
      </c>
      <c r="C9768" s="1" t="str">
        <f>HYPERLINK("http://stackoverflow.com/users/7328476", "CrazyPudding")</f>
        <v>CrazyPudding</v>
      </c>
      <c r="D9768" t="s">
        <v>5</v>
      </c>
      <c r="E9768">
        <v>1</v>
      </c>
    </row>
    <row r="9769" spans="1:5" x14ac:dyDescent="0.25">
      <c r="A9769">
        <v>9768</v>
      </c>
      <c r="B9769">
        <v>7328691</v>
      </c>
      <c r="C9769" s="1" t="str">
        <f>HYPERLINK("http://stackoverflow.com/users/7328691", "Changrui Zhang")</f>
        <v>Changrui Zhang</v>
      </c>
      <c r="D9769" t="s">
        <v>118</v>
      </c>
      <c r="E9769">
        <v>1</v>
      </c>
    </row>
    <row r="9770" spans="1:5" x14ac:dyDescent="0.25">
      <c r="A9770">
        <v>9769</v>
      </c>
      <c r="B9770">
        <v>11004478</v>
      </c>
      <c r="C9770" s="1" t="str">
        <f>HYPERLINK("http://stackoverflow.com/users/11004478", "Monsson Song")</f>
        <v>Monsson Song</v>
      </c>
      <c r="D9770" t="s">
        <v>7</v>
      </c>
      <c r="E9770">
        <v>1</v>
      </c>
    </row>
    <row r="9771" spans="1:5" x14ac:dyDescent="0.25">
      <c r="A9771">
        <v>9770</v>
      </c>
      <c r="B9771">
        <v>5575552</v>
      </c>
      <c r="C9771" s="1" t="str">
        <f>HYPERLINK("http://stackoverflow.com/users/5575552", "David Wan")</f>
        <v>David Wan</v>
      </c>
      <c r="D9771" t="s">
        <v>12</v>
      </c>
      <c r="E9771">
        <v>1</v>
      </c>
    </row>
    <row r="9772" spans="1:5" x14ac:dyDescent="0.25">
      <c r="A9772">
        <v>9771</v>
      </c>
      <c r="B9772">
        <v>5575639</v>
      </c>
      <c r="C9772" s="1" t="str">
        <f>HYPERLINK("http://stackoverflow.com/users/5575639", "0xabc")</f>
        <v>0xabc</v>
      </c>
      <c r="D9772" t="s">
        <v>4</v>
      </c>
      <c r="E9772">
        <v>1</v>
      </c>
    </row>
    <row r="9773" spans="1:5" x14ac:dyDescent="0.25">
      <c r="A9773">
        <v>9772</v>
      </c>
      <c r="B9773">
        <v>7328391</v>
      </c>
      <c r="C9773" s="1" t="str">
        <f>HYPERLINK("http://stackoverflow.com/users/7328391", "Janus Wu")</f>
        <v>Janus Wu</v>
      </c>
      <c r="D9773" t="s">
        <v>4</v>
      </c>
      <c r="E9773">
        <v>1</v>
      </c>
    </row>
    <row r="9774" spans="1:5" x14ac:dyDescent="0.25">
      <c r="A9774">
        <v>9773</v>
      </c>
      <c r="B9774">
        <v>11008426</v>
      </c>
      <c r="C9774" s="1" t="str">
        <f>HYPERLINK("http://stackoverflow.com/users/11008426", "Dony")</f>
        <v>Dony</v>
      </c>
      <c r="D9774" t="s">
        <v>28</v>
      </c>
      <c r="E9774">
        <v>1</v>
      </c>
    </row>
    <row r="9775" spans="1:5" x14ac:dyDescent="0.25">
      <c r="A9775">
        <v>9774</v>
      </c>
      <c r="B9775">
        <v>11009104</v>
      </c>
      <c r="C9775" s="1" t="str">
        <f>HYPERLINK("http://stackoverflow.com/users/11009104", "Reuben Moy")</f>
        <v>Reuben Moy</v>
      </c>
      <c r="D9775" t="s">
        <v>52</v>
      </c>
      <c r="E9775">
        <v>1</v>
      </c>
    </row>
    <row r="9776" spans="1:5" x14ac:dyDescent="0.25">
      <c r="A9776">
        <v>9775</v>
      </c>
      <c r="B9776">
        <v>9218606</v>
      </c>
      <c r="C9776" s="1" t="str">
        <f>HYPERLINK("http://stackoverflow.com/users/9218606", "Li Deng")</f>
        <v>Li Deng</v>
      </c>
      <c r="D9776" t="s">
        <v>28</v>
      </c>
      <c r="E9776">
        <v>1</v>
      </c>
    </row>
    <row r="9777" spans="1:5" x14ac:dyDescent="0.25">
      <c r="A9777">
        <v>9776</v>
      </c>
      <c r="B9777">
        <v>9218634</v>
      </c>
      <c r="C9777" s="1" t="str">
        <f>HYPERLINK("http://stackoverflow.com/users/9218634", "firefly")</f>
        <v>firefly</v>
      </c>
      <c r="D9777" t="s">
        <v>7</v>
      </c>
      <c r="E9777">
        <v>1</v>
      </c>
    </row>
    <row r="9778" spans="1:5" x14ac:dyDescent="0.25">
      <c r="A9778">
        <v>9777</v>
      </c>
      <c r="B9778">
        <v>7335130</v>
      </c>
      <c r="C9778" s="1" t="str">
        <f>HYPERLINK("http://stackoverflow.com/users/7335130", "Yongm Z")</f>
        <v>Yongm Z</v>
      </c>
      <c r="D9778" t="s">
        <v>57</v>
      </c>
      <c r="E9778">
        <v>1</v>
      </c>
    </row>
    <row r="9779" spans="1:5" x14ac:dyDescent="0.25">
      <c r="A9779">
        <v>9778</v>
      </c>
      <c r="B9779">
        <v>2006727</v>
      </c>
      <c r="C9779" s="1" t="str">
        <f>HYPERLINK("http://stackoverflow.com/users/2006727", "Zhaojing Wang")</f>
        <v>Zhaojing Wang</v>
      </c>
      <c r="D9779" t="s">
        <v>4</v>
      </c>
      <c r="E9779">
        <v>1</v>
      </c>
    </row>
    <row r="9780" spans="1:5" x14ac:dyDescent="0.25">
      <c r="A9780">
        <v>9779</v>
      </c>
      <c r="B9780">
        <v>11012775</v>
      </c>
      <c r="C9780" s="1" t="str">
        <f>HYPERLINK("http://stackoverflow.com/users/11012775", "unknownalien")</f>
        <v>unknownalien</v>
      </c>
      <c r="D9780" t="s">
        <v>5</v>
      </c>
      <c r="E9780">
        <v>1</v>
      </c>
    </row>
    <row r="9781" spans="1:5" x14ac:dyDescent="0.25">
      <c r="A9781">
        <v>9780</v>
      </c>
      <c r="B9781">
        <v>11013245</v>
      </c>
      <c r="C9781" s="1" t="str">
        <f>HYPERLINK("http://stackoverflow.com/users/11013245", "Y. Jam")</f>
        <v>Y. Jam</v>
      </c>
      <c r="D9781" t="s">
        <v>43</v>
      </c>
      <c r="E9781">
        <v>1</v>
      </c>
    </row>
    <row r="9782" spans="1:5" x14ac:dyDescent="0.25">
      <c r="A9782">
        <v>9781</v>
      </c>
      <c r="B9782">
        <v>5579115</v>
      </c>
      <c r="C9782" s="1" t="str">
        <f>HYPERLINK("http://stackoverflow.com/users/5579115", "Zerlous")</f>
        <v>Zerlous</v>
      </c>
      <c r="D9782" t="s">
        <v>12</v>
      </c>
      <c r="E9782">
        <v>1</v>
      </c>
    </row>
    <row r="9783" spans="1:5" x14ac:dyDescent="0.25">
      <c r="A9783">
        <v>9782</v>
      </c>
      <c r="B9783">
        <v>5579282</v>
      </c>
      <c r="C9783" s="1" t="str">
        <f>HYPERLINK("http://stackoverflow.com/users/5579282", "rollingstoneW")</f>
        <v>rollingstoneW</v>
      </c>
      <c r="D9783" t="s">
        <v>193</v>
      </c>
      <c r="E9783">
        <v>1</v>
      </c>
    </row>
    <row r="9784" spans="1:5" x14ac:dyDescent="0.25">
      <c r="A9784">
        <v>9783</v>
      </c>
      <c r="B9784">
        <v>5579645</v>
      </c>
      <c r="C9784" s="1" t="str">
        <f>HYPERLINK("http://stackoverflow.com/users/5579645", "Roy.Wu")</f>
        <v>Roy.Wu</v>
      </c>
      <c r="D9784" t="s">
        <v>5</v>
      </c>
      <c r="E9784">
        <v>1</v>
      </c>
    </row>
    <row r="9785" spans="1:5" x14ac:dyDescent="0.25">
      <c r="A9785">
        <v>9784</v>
      </c>
      <c r="B9785">
        <v>9218786</v>
      </c>
      <c r="C9785" s="1" t="str">
        <f>HYPERLINK("http://stackoverflow.com/users/9218786", "Foxcles.Raven")</f>
        <v>Foxcles.Raven</v>
      </c>
      <c r="D9785" t="s">
        <v>529</v>
      </c>
      <c r="E9785">
        <v>1</v>
      </c>
    </row>
    <row r="9786" spans="1:5" x14ac:dyDescent="0.25">
      <c r="A9786">
        <v>9785</v>
      </c>
      <c r="B9786">
        <v>7338868</v>
      </c>
      <c r="C9786" s="1" t="str">
        <f>HYPERLINK("http://stackoverflow.com/users/7338868", "Ciafdx")</f>
        <v>Ciafdx</v>
      </c>
      <c r="D9786" t="s">
        <v>530</v>
      </c>
      <c r="E9786">
        <v>1</v>
      </c>
    </row>
    <row r="9787" spans="1:5" x14ac:dyDescent="0.25">
      <c r="A9787">
        <v>9786</v>
      </c>
      <c r="B9787">
        <v>2016837</v>
      </c>
      <c r="C9787" s="1" t="str">
        <f>HYPERLINK("http://stackoverflow.com/users/2016837", "user2016837")</f>
        <v>user2016837</v>
      </c>
      <c r="D9787" t="s">
        <v>531</v>
      </c>
      <c r="E9787">
        <v>1</v>
      </c>
    </row>
    <row r="9788" spans="1:5" x14ac:dyDescent="0.25">
      <c r="A9788">
        <v>9787</v>
      </c>
      <c r="B9788">
        <v>2016860</v>
      </c>
      <c r="C9788" s="1" t="str">
        <f>HYPERLINK("http://stackoverflow.com/users/2016860", "Leo")</f>
        <v>Leo</v>
      </c>
      <c r="D9788" t="s">
        <v>5</v>
      </c>
      <c r="E9788">
        <v>1</v>
      </c>
    </row>
    <row r="9789" spans="1:5" x14ac:dyDescent="0.25">
      <c r="A9789">
        <v>9788</v>
      </c>
      <c r="B9789">
        <v>9227734</v>
      </c>
      <c r="C9789" s="1" t="str">
        <f>HYPERLINK("http://stackoverflow.com/users/9227734", "姜昊 Jiang Hao")</f>
        <v>姜昊 Jiang Hao</v>
      </c>
      <c r="D9789" t="s">
        <v>16</v>
      </c>
      <c r="E9789">
        <v>1</v>
      </c>
    </row>
    <row r="9790" spans="1:5" x14ac:dyDescent="0.25">
      <c r="A9790">
        <v>9789</v>
      </c>
      <c r="B9790">
        <v>9227301</v>
      </c>
      <c r="C9790" s="1" t="str">
        <f>HYPERLINK("http://stackoverflow.com/users/9227301", "KitYiu")</f>
        <v>KitYiu</v>
      </c>
      <c r="D9790" t="s">
        <v>7</v>
      </c>
      <c r="E9790">
        <v>1</v>
      </c>
    </row>
    <row r="9791" spans="1:5" x14ac:dyDescent="0.25">
      <c r="A9791">
        <v>9790</v>
      </c>
      <c r="B9791">
        <v>9214717</v>
      </c>
      <c r="C9791" s="1" t="str">
        <f>HYPERLINK("http://stackoverflow.com/users/9214717", "Lawrence Wang")</f>
        <v>Lawrence Wang</v>
      </c>
      <c r="D9791" t="s">
        <v>28</v>
      </c>
      <c r="E9791">
        <v>1</v>
      </c>
    </row>
    <row r="9792" spans="1:5" x14ac:dyDescent="0.25">
      <c r="A9792">
        <v>9791</v>
      </c>
      <c r="B9792">
        <v>9218364</v>
      </c>
      <c r="C9792" s="1" t="str">
        <f>HYPERLINK("http://stackoverflow.com/users/9218364", "Umair Raza")</f>
        <v>Umair Raza</v>
      </c>
      <c r="D9792" t="s">
        <v>28</v>
      </c>
      <c r="E9792">
        <v>1</v>
      </c>
    </row>
    <row r="9793" spans="1:5" x14ac:dyDescent="0.25">
      <c r="A9793">
        <v>9792</v>
      </c>
      <c r="B9793">
        <v>11017525</v>
      </c>
      <c r="C9793" s="1" t="str">
        <f>HYPERLINK("http://stackoverflow.com/users/11017525", "Melvin Sun")</f>
        <v>Melvin Sun</v>
      </c>
      <c r="D9793" t="s">
        <v>4</v>
      </c>
      <c r="E9793">
        <v>1</v>
      </c>
    </row>
    <row r="9794" spans="1:5" x14ac:dyDescent="0.25">
      <c r="A9794">
        <v>9793</v>
      </c>
      <c r="B9794">
        <v>9222977</v>
      </c>
      <c r="C9794" s="1" t="str">
        <f>HYPERLINK("http://stackoverflow.com/users/9222977", "Mehwish")</f>
        <v>Mehwish</v>
      </c>
      <c r="D9794" t="s">
        <v>5</v>
      </c>
      <c r="E9794">
        <v>1</v>
      </c>
    </row>
    <row r="9795" spans="1:5" x14ac:dyDescent="0.25">
      <c r="A9795">
        <v>9794</v>
      </c>
      <c r="B9795">
        <v>7354084</v>
      </c>
      <c r="C9795" s="1" t="str">
        <f>HYPERLINK("http://stackoverflow.com/users/7354084", "Albert")</f>
        <v>Albert</v>
      </c>
      <c r="D9795" t="s">
        <v>4</v>
      </c>
      <c r="E9795">
        <v>1</v>
      </c>
    </row>
    <row r="9796" spans="1:5" x14ac:dyDescent="0.25">
      <c r="A9796">
        <v>9795</v>
      </c>
      <c r="B9796">
        <v>9239828</v>
      </c>
      <c r="C9796" s="1" t="str">
        <f>HYPERLINK("http://stackoverflow.com/users/9239828", "Simon Labi")</f>
        <v>Simon Labi</v>
      </c>
      <c r="D9796" t="s">
        <v>320</v>
      </c>
      <c r="E9796">
        <v>1</v>
      </c>
    </row>
    <row r="9797" spans="1:5" x14ac:dyDescent="0.25">
      <c r="A9797">
        <v>9796</v>
      </c>
      <c r="B9797">
        <v>9239930</v>
      </c>
      <c r="C9797" s="1" t="str">
        <f>HYPERLINK("http://stackoverflow.com/users/9239930", "汤启舟")</f>
        <v>汤启舟</v>
      </c>
      <c r="D9797" t="s">
        <v>416</v>
      </c>
      <c r="E9797">
        <v>1</v>
      </c>
    </row>
    <row r="9798" spans="1:5" x14ac:dyDescent="0.25">
      <c r="A9798">
        <v>9797</v>
      </c>
      <c r="B9798">
        <v>5597887</v>
      </c>
      <c r="C9798" s="1" t="str">
        <f>HYPERLINK("http://stackoverflow.com/users/5597887", "Rebie.Kong")</f>
        <v>Rebie.Kong</v>
      </c>
      <c r="D9798" t="s">
        <v>21</v>
      </c>
      <c r="E9798">
        <v>1</v>
      </c>
    </row>
    <row r="9799" spans="1:5" x14ac:dyDescent="0.25">
      <c r="A9799">
        <v>9798</v>
      </c>
      <c r="B9799">
        <v>5598260</v>
      </c>
      <c r="C9799" s="1" t="str">
        <f>HYPERLINK("http://stackoverflow.com/users/5598260", "eviloan")</f>
        <v>eviloan</v>
      </c>
      <c r="D9799" t="s">
        <v>4</v>
      </c>
      <c r="E9799">
        <v>1</v>
      </c>
    </row>
    <row r="9800" spans="1:5" x14ac:dyDescent="0.25">
      <c r="A9800">
        <v>9799</v>
      </c>
      <c r="B9800">
        <v>5598286</v>
      </c>
      <c r="C9800" s="1" t="str">
        <f>HYPERLINK("http://stackoverflow.com/users/5598286", "jiajia xu")</f>
        <v>jiajia xu</v>
      </c>
      <c r="D9800" t="s">
        <v>5</v>
      </c>
      <c r="E9800">
        <v>1</v>
      </c>
    </row>
    <row r="9801" spans="1:5" x14ac:dyDescent="0.25">
      <c r="A9801">
        <v>9800</v>
      </c>
      <c r="B9801">
        <v>5598306</v>
      </c>
      <c r="C9801" s="1" t="str">
        <f>HYPERLINK("http://stackoverflow.com/users/5598306", "Levy Qian")</f>
        <v>Levy Qian</v>
      </c>
      <c r="D9801" t="s">
        <v>4</v>
      </c>
      <c r="E9801">
        <v>1</v>
      </c>
    </row>
    <row r="9802" spans="1:5" x14ac:dyDescent="0.25">
      <c r="A9802">
        <v>9801</v>
      </c>
      <c r="B9802">
        <v>5598458</v>
      </c>
      <c r="C9802" s="1" t="str">
        <f>HYPERLINK("http://stackoverflow.com/users/5598458", "Yang Yul")</f>
        <v>Yang Yul</v>
      </c>
      <c r="D9802" t="s">
        <v>5</v>
      </c>
      <c r="E9802">
        <v>1</v>
      </c>
    </row>
    <row r="9803" spans="1:5" x14ac:dyDescent="0.25">
      <c r="A9803">
        <v>9802</v>
      </c>
      <c r="B9803">
        <v>5598488</v>
      </c>
      <c r="C9803" s="1" t="str">
        <f>HYPERLINK("http://stackoverflow.com/users/5598488", "Jeremy")</f>
        <v>Jeremy</v>
      </c>
      <c r="D9803" t="s">
        <v>4</v>
      </c>
      <c r="E9803">
        <v>1</v>
      </c>
    </row>
    <row r="9804" spans="1:5" x14ac:dyDescent="0.25">
      <c r="A9804">
        <v>9803</v>
      </c>
      <c r="B9804">
        <v>7354267</v>
      </c>
      <c r="C9804" s="1" t="str">
        <f>HYPERLINK("http://stackoverflow.com/users/7354267", "walkeraguo")</f>
        <v>walkeraguo</v>
      </c>
      <c r="D9804" t="s">
        <v>55</v>
      </c>
      <c r="E9804">
        <v>1</v>
      </c>
    </row>
    <row r="9805" spans="1:5" x14ac:dyDescent="0.25">
      <c r="A9805">
        <v>9804</v>
      </c>
      <c r="B9805">
        <v>7354513</v>
      </c>
      <c r="C9805" s="1" t="str">
        <f>HYPERLINK("http://stackoverflow.com/users/7354513", "John")</f>
        <v>John</v>
      </c>
      <c r="D9805" t="s">
        <v>4</v>
      </c>
      <c r="E9805">
        <v>1</v>
      </c>
    </row>
    <row r="9806" spans="1:5" x14ac:dyDescent="0.25">
      <c r="A9806">
        <v>9805</v>
      </c>
      <c r="B9806">
        <v>5602246</v>
      </c>
      <c r="C9806" s="1" t="str">
        <f>HYPERLINK("http://stackoverflow.com/users/5602246", "MILOSCRIPT")</f>
        <v>MILOSCRIPT</v>
      </c>
      <c r="D9806" t="s">
        <v>4</v>
      </c>
      <c r="E9806">
        <v>1</v>
      </c>
    </row>
    <row r="9807" spans="1:5" x14ac:dyDescent="0.25">
      <c r="A9807">
        <v>9806</v>
      </c>
      <c r="B9807">
        <v>5602367</v>
      </c>
      <c r="C9807" s="1" t="str">
        <f>HYPERLINK("http://stackoverflow.com/users/5602367", "Sammy Song")</f>
        <v>Sammy Song</v>
      </c>
      <c r="D9807" t="s">
        <v>3</v>
      </c>
      <c r="E9807">
        <v>1</v>
      </c>
    </row>
    <row r="9808" spans="1:5" x14ac:dyDescent="0.25">
      <c r="A9808">
        <v>9807</v>
      </c>
      <c r="B9808">
        <v>5602433</v>
      </c>
      <c r="C9808" s="1" t="str">
        <f>HYPERLINK("http://stackoverflow.com/users/5602433", "Jeluomsy")</f>
        <v>Jeluomsy</v>
      </c>
      <c r="D9808" t="s">
        <v>12</v>
      </c>
      <c r="E9808">
        <v>1</v>
      </c>
    </row>
    <row r="9809" spans="1:5" x14ac:dyDescent="0.25">
      <c r="A9809">
        <v>9808</v>
      </c>
      <c r="B9809">
        <v>9244967</v>
      </c>
      <c r="C9809" s="1" t="str">
        <f>HYPERLINK("http://stackoverflow.com/users/9244967", "JinLang")</f>
        <v>JinLang</v>
      </c>
      <c r="D9809" t="s">
        <v>33</v>
      </c>
      <c r="E9809">
        <v>1</v>
      </c>
    </row>
    <row r="9810" spans="1:5" x14ac:dyDescent="0.25">
      <c r="A9810">
        <v>9809</v>
      </c>
      <c r="B9810">
        <v>7295010</v>
      </c>
      <c r="C9810" s="1" t="str">
        <f>HYPERLINK("http://stackoverflow.com/users/7295010", "Allen")</f>
        <v>Allen</v>
      </c>
      <c r="D9810" t="s">
        <v>4</v>
      </c>
      <c r="E9810">
        <v>1</v>
      </c>
    </row>
    <row r="9811" spans="1:5" x14ac:dyDescent="0.25">
      <c r="A9811">
        <v>9810</v>
      </c>
      <c r="B9811">
        <v>9176173</v>
      </c>
      <c r="C9811" s="1" t="str">
        <f>HYPERLINK("http://stackoverflow.com/users/9176173", "FredCombuse")</f>
        <v>FredCombuse</v>
      </c>
      <c r="D9811" t="s">
        <v>532</v>
      </c>
      <c r="E9811">
        <v>1</v>
      </c>
    </row>
    <row r="9812" spans="1:5" x14ac:dyDescent="0.25">
      <c r="A9812">
        <v>9811</v>
      </c>
      <c r="B9812">
        <v>10970504</v>
      </c>
      <c r="C9812" s="1" t="str">
        <f>HYPERLINK("http://stackoverflow.com/users/10970504", "李宗儒")</f>
        <v>李宗儒</v>
      </c>
      <c r="D9812" t="s">
        <v>325</v>
      </c>
      <c r="E9812">
        <v>1</v>
      </c>
    </row>
    <row r="9813" spans="1:5" x14ac:dyDescent="0.25">
      <c r="A9813">
        <v>9812</v>
      </c>
      <c r="B9813">
        <v>10970565</v>
      </c>
      <c r="C9813" s="1" t="str">
        <f>HYPERLINK("http://stackoverflow.com/users/10970565", "毛玉翔")</f>
        <v>毛玉翔</v>
      </c>
      <c r="D9813" t="s">
        <v>178</v>
      </c>
      <c r="E9813">
        <v>1</v>
      </c>
    </row>
    <row r="9814" spans="1:5" x14ac:dyDescent="0.25">
      <c r="A9814">
        <v>9813</v>
      </c>
      <c r="B9814">
        <v>10970680</v>
      </c>
      <c r="C9814" s="1" t="str">
        <f>HYPERLINK("http://stackoverflow.com/users/10970680", "ustczx")</f>
        <v>ustczx</v>
      </c>
      <c r="D9814" t="s">
        <v>5</v>
      </c>
      <c r="E9814">
        <v>1</v>
      </c>
    </row>
    <row r="9815" spans="1:5" x14ac:dyDescent="0.25">
      <c r="A9815">
        <v>9814</v>
      </c>
      <c r="B9815">
        <v>9163158</v>
      </c>
      <c r="C9815" s="1" t="str">
        <f>HYPERLINK("http://stackoverflow.com/users/9163158", "ti4n")</f>
        <v>ti4n</v>
      </c>
      <c r="D9815" t="s">
        <v>28</v>
      </c>
      <c r="E9815">
        <v>1</v>
      </c>
    </row>
    <row r="9816" spans="1:5" x14ac:dyDescent="0.25">
      <c r="A9816">
        <v>9815</v>
      </c>
      <c r="B9816">
        <v>3739706</v>
      </c>
      <c r="C9816" s="1" t="str">
        <f>HYPERLINK("http://stackoverflow.com/users/3739706", "sfyumi")</f>
        <v>sfyumi</v>
      </c>
      <c r="D9816" t="s">
        <v>5</v>
      </c>
      <c r="E9816">
        <v>1</v>
      </c>
    </row>
    <row r="9817" spans="1:5" x14ac:dyDescent="0.25">
      <c r="A9817">
        <v>9816</v>
      </c>
      <c r="B9817">
        <v>10961918</v>
      </c>
      <c r="C9817" s="1" t="str">
        <f>HYPERLINK("http://stackoverflow.com/users/10961918", "Gilbert Zhang")</f>
        <v>Gilbert Zhang</v>
      </c>
      <c r="D9817" t="s">
        <v>7</v>
      </c>
      <c r="E9817">
        <v>1</v>
      </c>
    </row>
    <row r="9818" spans="1:5" x14ac:dyDescent="0.25">
      <c r="A9818">
        <v>9817</v>
      </c>
      <c r="B9818">
        <v>9167336</v>
      </c>
      <c r="C9818" s="1" t="str">
        <f>HYPERLINK("http://stackoverflow.com/users/9167336", "Meng Yang")</f>
        <v>Meng Yang</v>
      </c>
      <c r="D9818" t="s">
        <v>43</v>
      </c>
      <c r="E9818">
        <v>1</v>
      </c>
    </row>
    <row r="9819" spans="1:5" x14ac:dyDescent="0.25">
      <c r="A9819">
        <v>9818</v>
      </c>
      <c r="B9819">
        <v>9167512</v>
      </c>
      <c r="C9819" s="1" t="str">
        <f>HYPERLINK("http://stackoverflow.com/users/9167512", "rency")</f>
        <v>rency</v>
      </c>
      <c r="D9819" t="s">
        <v>4</v>
      </c>
      <c r="E9819">
        <v>1</v>
      </c>
    </row>
    <row r="9820" spans="1:5" x14ac:dyDescent="0.25">
      <c r="A9820">
        <v>9819</v>
      </c>
      <c r="B9820">
        <v>10953143</v>
      </c>
      <c r="C9820" s="1" t="str">
        <f>HYPERLINK("http://stackoverflow.com/users/10953143", "Allen")</f>
        <v>Allen</v>
      </c>
      <c r="D9820" t="s">
        <v>28</v>
      </c>
      <c r="E9820">
        <v>1</v>
      </c>
    </row>
    <row r="9821" spans="1:5" x14ac:dyDescent="0.25">
      <c r="A9821">
        <v>9820</v>
      </c>
      <c r="B9821">
        <v>3733288</v>
      </c>
      <c r="C9821" s="1" t="str">
        <f>HYPERLINK("http://stackoverflow.com/users/3733288", "PennerYu")</f>
        <v>PennerYu</v>
      </c>
      <c r="D9821" t="s">
        <v>4</v>
      </c>
      <c r="E9821">
        <v>1</v>
      </c>
    </row>
    <row r="9822" spans="1:5" x14ac:dyDescent="0.25">
      <c r="A9822">
        <v>9821</v>
      </c>
      <c r="B9822">
        <v>3733630</v>
      </c>
      <c r="C9822" s="1" t="str">
        <f>HYPERLINK("http://stackoverflow.com/users/3733630", "Dillin")</f>
        <v>Dillin</v>
      </c>
      <c r="D9822" t="s">
        <v>37</v>
      </c>
      <c r="E9822">
        <v>1</v>
      </c>
    </row>
    <row r="9823" spans="1:5" x14ac:dyDescent="0.25">
      <c r="A9823">
        <v>9822</v>
      </c>
      <c r="B9823">
        <v>9162177</v>
      </c>
      <c r="C9823" s="1" t="str">
        <f>HYPERLINK("http://stackoverflow.com/users/9162177", "Tsai Chan-Chang")</f>
        <v>Tsai Chan-Chang</v>
      </c>
      <c r="D9823" t="s">
        <v>16</v>
      </c>
      <c r="E9823">
        <v>1</v>
      </c>
    </row>
    <row r="9824" spans="1:5" x14ac:dyDescent="0.25">
      <c r="A9824">
        <v>9823</v>
      </c>
      <c r="B9824">
        <v>9162186</v>
      </c>
      <c r="C9824" s="1" t="str">
        <f>HYPERLINK("http://stackoverflow.com/users/9162186", "Evan Kong")</f>
        <v>Evan Kong</v>
      </c>
      <c r="D9824" t="s">
        <v>4</v>
      </c>
      <c r="E9824">
        <v>1</v>
      </c>
    </row>
    <row r="9825" spans="1:5" x14ac:dyDescent="0.25">
      <c r="A9825">
        <v>9824</v>
      </c>
      <c r="B9825">
        <v>9162327</v>
      </c>
      <c r="C9825" s="1" t="str">
        <f>HYPERLINK("http://stackoverflow.com/users/9162327", "胡磊磊")</f>
        <v>胡磊磊</v>
      </c>
      <c r="D9825" t="s">
        <v>533</v>
      </c>
      <c r="E9825">
        <v>1</v>
      </c>
    </row>
    <row r="9826" spans="1:5" x14ac:dyDescent="0.25">
      <c r="A9826">
        <v>9825</v>
      </c>
      <c r="B9826">
        <v>9162494</v>
      </c>
      <c r="C9826" s="1" t="str">
        <f>HYPERLINK("http://stackoverflow.com/users/9162494", "Celaeser")</f>
        <v>Celaeser</v>
      </c>
      <c r="D9826" t="s">
        <v>534</v>
      </c>
      <c r="E9826">
        <v>1</v>
      </c>
    </row>
    <row r="9827" spans="1:5" x14ac:dyDescent="0.25">
      <c r="A9827">
        <v>9826</v>
      </c>
      <c r="B9827">
        <v>9162533</v>
      </c>
      <c r="C9827" s="1" t="str">
        <f>HYPERLINK("http://stackoverflow.com/users/9162533", "Elvis Leng")</f>
        <v>Elvis Leng</v>
      </c>
      <c r="D9827" t="s">
        <v>16</v>
      </c>
      <c r="E9827">
        <v>1</v>
      </c>
    </row>
    <row r="9828" spans="1:5" x14ac:dyDescent="0.25">
      <c r="A9828">
        <v>9827</v>
      </c>
      <c r="B9828">
        <v>9162799</v>
      </c>
      <c r="C9828" s="1" t="str">
        <f>HYPERLINK("http://stackoverflow.com/users/9162799", "wuer")</f>
        <v>wuer</v>
      </c>
      <c r="D9828" t="s">
        <v>16</v>
      </c>
      <c r="E9828">
        <v>1</v>
      </c>
    </row>
    <row r="9829" spans="1:5" x14ac:dyDescent="0.25">
      <c r="A9829">
        <v>9828</v>
      </c>
      <c r="B9829">
        <v>1934374</v>
      </c>
      <c r="C9829" s="1" t="str">
        <f>HYPERLINK("http://stackoverflow.com/users/1934374", "Rocks Wang")</f>
        <v>Rocks Wang</v>
      </c>
      <c r="D9829" t="s">
        <v>5</v>
      </c>
      <c r="E9829">
        <v>1</v>
      </c>
    </row>
    <row r="9830" spans="1:5" x14ac:dyDescent="0.25">
      <c r="A9830">
        <v>9829</v>
      </c>
      <c r="B9830">
        <v>9150397</v>
      </c>
      <c r="C9830" s="1" t="str">
        <f>HYPERLINK("http://stackoverflow.com/users/9150397", "Sadaqat Rehman")</f>
        <v>Sadaqat Rehman</v>
      </c>
      <c r="D9830" t="s">
        <v>5</v>
      </c>
      <c r="E9830">
        <v>1</v>
      </c>
    </row>
    <row r="9831" spans="1:5" x14ac:dyDescent="0.25">
      <c r="A9831">
        <v>9830</v>
      </c>
      <c r="B9831">
        <v>3726101</v>
      </c>
      <c r="C9831" s="1" t="str">
        <f>HYPERLINK("http://stackoverflow.com/users/3726101", "raywang")</f>
        <v>raywang</v>
      </c>
      <c r="D9831" t="s">
        <v>5</v>
      </c>
      <c r="E9831">
        <v>1</v>
      </c>
    </row>
    <row r="9832" spans="1:5" x14ac:dyDescent="0.25">
      <c r="A9832">
        <v>9831</v>
      </c>
      <c r="B9832">
        <v>9154844</v>
      </c>
      <c r="C9832" s="1" t="str">
        <f>HYPERLINK("http://stackoverflow.com/users/9154844", "user9154844")</f>
        <v>user9154844</v>
      </c>
      <c r="D9832" t="s">
        <v>16</v>
      </c>
      <c r="E9832">
        <v>1</v>
      </c>
    </row>
    <row r="9833" spans="1:5" x14ac:dyDescent="0.25">
      <c r="A9833">
        <v>9832</v>
      </c>
      <c r="B9833">
        <v>9154942</v>
      </c>
      <c r="C9833" s="1" t="str">
        <f>HYPERLINK("http://stackoverflow.com/users/9154942", "Neva0Theresia")</f>
        <v>Neva0Theresia</v>
      </c>
      <c r="D9833" t="s">
        <v>27</v>
      </c>
      <c r="E9833">
        <v>1</v>
      </c>
    </row>
    <row r="9834" spans="1:5" x14ac:dyDescent="0.25">
      <c r="A9834">
        <v>9833</v>
      </c>
      <c r="B9834">
        <v>7278411</v>
      </c>
      <c r="C9834" s="1" t="str">
        <f>HYPERLINK("http://stackoverflow.com/users/7278411", "junchi")</f>
        <v>junchi</v>
      </c>
      <c r="D9834" t="s">
        <v>535</v>
      </c>
      <c r="E9834">
        <v>1</v>
      </c>
    </row>
    <row r="9835" spans="1:5" x14ac:dyDescent="0.25">
      <c r="A9835">
        <v>9834</v>
      </c>
      <c r="B9835">
        <v>7278749</v>
      </c>
      <c r="C9835" s="1" t="str">
        <f>HYPERLINK("http://stackoverflow.com/users/7278749", "L.Youyo")</f>
        <v>L.Youyo</v>
      </c>
      <c r="D9835" t="s">
        <v>22</v>
      </c>
      <c r="E9835">
        <v>1</v>
      </c>
    </row>
    <row r="9836" spans="1:5" x14ac:dyDescent="0.25">
      <c r="A9836">
        <v>9835</v>
      </c>
      <c r="B9836">
        <v>10949457</v>
      </c>
      <c r="C9836" s="1" t="str">
        <f>HYPERLINK("http://stackoverflow.com/users/10949457", "fraserbrookhouse")</f>
        <v>fraserbrookhouse</v>
      </c>
      <c r="D9836" t="s">
        <v>43</v>
      </c>
      <c r="E9836">
        <v>1</v>
      </c>
    </row>
    <row r="9837" spans="1:5" x14ac:dyDescent="0.25">
      <c r="A9837">
        <v>9836</v>
      </c>
      <c r="B9837">
        <v>10949459</v>
      </c>
      <c r="C9837" s="1" t="str">
        <f>HYPERLINK("http://stackoverflow.com/users/10949459", "abdullahi")</f>
        <v>abdullahi</v>
      </c>
      <c r="D9837" t="s">
        <v>33</v>
      </c>
      <c r="E9837">
        <v>1</v>
      </c>
    </row>
    <row r="9838" spans="1:5" x14ac:dyDescent="0.25">
      <c r="A9838">
        <v>9837</v>
      </c>
      <c r="B9838">
        <v>10949856</v>
      </c>
      <c r="C9838" s="1" t="str">
        <f>HYPERLINK("http://stackoverflow.com/users/10949856", "Haozhe Zhu")</f>
        <v>Haozhe Zhu</v>
      </c>
      <c r="D9838" t="s">
        <v>4</v>
      </c>
      <c r="E9838">
        <v>1</v>
      </c>
    </row>
    <row r="9839" spans="1:5" x14ac:dyDescent="0.25">
      <c r="A9839">
        <v>9838</v>
      </c>
      <c r="B9839">
        <v>5523629</v>
      </c>
      <c r="C9839" s="1" t="str">
        <f>HYPERLINK("http://stackoverflow.com/users/5523629", "kevin")</f>
        <v>kevin</v>
      </c>
      <c r="D9839" t="s">
        <v>22</v>
      </c>
      <c r="E9839">
        <v>1</v>
      </c>
    </row>
    <row r="9840" spans="1:5" x14ac:dyDescent="0.25">
      <c r="A9840">
        <v>9839</v>
      </c>
      <c r="B9840">
        <v>5553017</v>
      </c>
      <c r="C9840" s="1" t="str">
        <f>HYPERLINK("http://stackoverflow.com/users/5553017", "beijiahiddink")</f>
        <v>beijiahiddink</v>
      </c>
      <c r="D9840" t="s">
        <v>5</v>
      </c>
      <c r="E9840">
        <v>1</v>
      </c>
    </row>
    <row r="9841" spans="1:5" x14ac:dyDescent="0.25">
      <c r="A9841">
        <v>9840</v>
      </c>
      <c r="B9841">
        <v>5553047</v>
      </c>
      <c r="C9841" s="1" t="str">
        <f>HYPERLINK("http://stackoverflow.com/users/5553047", "Dave.Wu")</f>
        <v>Dave.Wu</v>
      </c>
      <c r="D9841" t="s">
        <v>5</v>
      </c>
      <c r="E9841">
        <v>1</v>
      </c>
    </row>
    <row r="9842" spans="1:5" x14ac:dyDescent="0.25">
      <c r="A9842">
        <v>9841</v>
      </c>
      <c r="B9842">
        <v>5553410</v>
      </c>
      <c r="C9842" s="1" t="str">
        <f>HYPERLINK("http://stackoverflow.com/users/5553410", "shuyankwok")</f>
        <v>shuyankwok</v>
      </c>
      <c r="D9842" t="s">
        <v>5</v>
      </c>
      <c r="E9842">
        <v>1</v>
      </c>
    </row>
    <row r="9843" spans="1:5" x14ac:dyDescent="0.25">
      <c r="A9843">
        <v>9842</v>
      </c>
      <c r="B9843">
        <v>7312976</v>
      </c>
      <c r="C9843" s="1" t="str">
        <f>HYPERLINK("http://stackoverflow.com/users/7312976", "chris")</f>
        <v>chris</v>
      </c>
      <c r="D9843" t="s">
        <v>55</v>
      </c>
      <c r="E9843">
        <v>1</v>
      </c>
    </row>
    <row r="9844" spans="1:5" x14ac:dyDescent="0.25">
      <c r="A9844">
        <v>9843</v>
      </c>
      <c r="B9844">
        <v>7313192</v>
      </c>
      <c r="C9844" s="1" t="str">
        <f>HYPERLINK("http://stackoverflow.com/users/7313192", "blackcat108 Tommy")</f>
        <v>blackcat108 Tommy</v>
      </c>
      <c r="D9844" t="s">
        <v>320</v>
      </c>
      <c r="E9844">
        <v>1</v>
      </c>
    </row>
    <row r="9845" spans="1:5" x14ac:dyDescent="0.25">
      <c r="A9845">
        <v>9844</v>
      </c>
      <c r="B9845">
        <v>7313304</v>
      </c>
      <c r="C9845" s="1" t="str">
        <f>HYPERLINK("http://stackoverflow.com/users/7313304", "LingYunpeng")</f>
        <v>LingYunpeng</v>
      </c>
      <c r="D9845" t="s">
        <v>4</v>
      </c>
      <c r="E9845">
        <v>1</v>
      </c>
    </row>
    <row r="9846" spans="1:5" x14ac:dyDescent="0.25">
      <c r="A9846">
        <v>9845</v>
      </c>
      <c r="B9846">
        <v>7316817</v>
      </c>
      <c r="C9846" s="1" t="str">
        <f>HYPERLINK("http://stackoverflow.com/users/7316817", "freetes")</f>
        <v>freetes</v>
      </c>
      <c r="D9846" t="s">
        <v>266</v>
      </c>
      <c r="E9846">
        <v>1</v>
      </c>
    </row>
    <row r="9847" spans="1:5" x14ac:dyDescent="0.25">
      <c r="A9847">
        <v>9846</v>
      </c>
      <c r="B9847">
        <v>9197584</v>
      </c>
      <c r="C9847" s="1" t="str">
        <f>HYPERLINK("http://stackoverflow.com/users/9197584", "blimjoe")</f>
        <v>blimjoe</v>
      </c>
      <c r="D9847" t="s">
        <v>5</v>
      </c>
      <c r="E9847">
        <v>1</v>
      </c>
    </row>
    <row r="9848" spans="1:5" x14ac:dyDescent="0.25">
      <c r="A9848">
        <v>9847</v>
      </c>
      <c r="B9848">
        <v>9197606</v>
      </c>
      <c r="C9848" s="1" t="str">
        <f>HYPERLINK("http://stackoverflow.com/users/9197606", "Peng Wu")</f>
        <v>Peng Wu</v>
      </c>
      <c r="D9848" t="s">
        <v>4</v>
      </c>
      <c r="E9848">
        <v>1</v>
      </c>
    </row>
    <row r="9849" spans="1:5" x14ac:dyDescent="0.25">
      <c r="A9849">
        <v>9848</v>
      </c>
      <c r="B9849">
        <v>5543239</v>
      </c>
      <c r="C9849" s="1" t="str">
        <f>HYPERLINK("http://stackoverflow.com/users/5543239", "Heatwave")</f>
        <v>Heatwave</v>
      </c>
      <c r="D9849" t="s">
        <v>37</v>
      </c>
      <c r="E9849">
        <v>1</v>
      </c>
    </row>
    <row r="9850" spans="1:5" x14ac:dyDescent="0.25">
      <c r="A9850">
        <v>9849</v>
      </c>
      <c r="B9850">
        <v>7302007</v>
      </c>
      <c r="C9850" s="1" t="str">
        <f>HYPERLINK("http://stackoverflow.com/users/7302007", "Rain Moon")</f>
        <v>Rain Moon</v>
      </c>
      <c r="D9850" t="s">
        <v>501</v>
      </c>
      <c r="E9850">
        <v>1</v>
      </c>
    </row>
    <row r="9851" spans="1:5" x14ac:dyDescent="0.25">
      <c r="A9851">
        <v>9850</v>
      </c>
      <c r="B9851">
        <v>10975376</v>
      </c>
      <c r="C9851" s="1" t="str">
        <f>HYPERLINK("http://stackoverflow.com/users/10975376", "hu tutu")</f>
        <v>hu tutu</v>
      </c>
      <c r="D9851" t="s">
        <v>4</v>
      </c>
      <c r="E9851">
        <v>1</v>
      </c>
    </row>
    <row r="9852" spans="1:5" x14ac:dyDescent="0.25">
      <c r="A9852">
        <v>9851</v>
      </c>
      <c r="B9852">
        <v>9180507</v>
      </c>
      <c r="C9852" s="1" t="str">
        <f>HYPERLINK("http://stackoverflow.com/users/9180507", "j0k3r")</f>
        <v>j0k3r</v>
      </c>
      <c r="D9852" t="s">
        <v>7</v>
      </c>
      <c r="E9852">
        <v>1</v>
      </c>
    </row>
    <row r="9853" spans="1:5" x14ac:dyDescent="0.25">
      <c r="A9853">
        <v>9852</v>
      </c>
      <c r="B9853">
        <v>3752372</v>
      </c>
      <c r="C9853" s="1" t="str">
        <f>HYPERLINK("http://stackoverflow.com/users/3752372", "huilin")</f>
        <v>huilin</v>
      </c>
      <c r="D9853" t="s">
        <v>5</v>
      </c>
      <c r="E9853">
        <v>1</v>
      </c>
    </row>
    <row r="9854" spans="1:5" x14ac:dyDescent="0.25">
      <c r="A9854">
        <v>9853</v>
      </c>
      <c r="B9854">
        <v>3756289</v>
      </c>
      <c r="C9854" s="1" t="str">
        <f>HYPERLINK("http://stackoverflow.com/users/3756289", "silenk1n")</f>
        <v>silenk1n</v>
      </c>
      <c r="D9854" t="s">
        <v>5</v>
      </c>
      <c r="E9854">
        <v>1</v>
      </c>
    </row>
    <row r="9855" spans="1:5" x14ac:dyDescent="0.25">
      <c r="A9855">
        <v>9854</v>
      </c>
      <c r="B9855">
        <v>10978456</v>
      </c>
      <c r="C9855" s="1" t="str">
        <f>HYPERLINK("http://stackoverflow.com/users/10978456", "h-dj")</f>
        <v>h-dj</v>
      </c>
      <c r="D9855" t="s">
        <v>25</v>
      </c>
      <c r="E9855">
        <v>1</v>
      </c>
    </row>
    <row r="9856" spans="1:5" x14ac:dyDescent="0.25">
      <c r="A9856">
        <v>9855</v>
      </c>
      <c r="B9856">
        <v>9183693</v>
      </c>
      <c r="C9856" s="1" t="str">
        <f>HYPERLINK("http://stackoverflow.com/users/9183693", "zcyemi")</f>
        <v>zcyemi</v>
      </c>
      <c r="D9856" t="s">
        <v>4</v>
      </c>
      <c r="E9856">
        <v>1</v>
      </c>
    </row>
    <row r="9857" spans="1:5" x14ac:dyDescent="0.25">
      <c r="A9857">
        <v>9856</v>
      </c>
      <c r="B9857">
        <v>10979047</v>
      </c>
      <c r="C9857" s="1" t="str">
        <f>HYPERLINK("http://stackoverflow.com/users/10979047", "Sun. D")</f>
        <v>Sun. D</v>
      </c>
      <c r="D9857" t="s">
        <v>281</v>
      </c>
      <c r="E9857">
        <v>1</v>
      </c>
    </row>
    <row r="9858" spans="1:5" x14ac:dyDescent="0.25">
      <c r="A9858">
        <v>9857</v>
      </c>
      <c r="B9858">
        <v>5549292</v>
      </c>
      <c r="C9858" s="1" t="str">
        <f>HYPERLINK("http://stackoverflow.com/users/5549292", "NailMan")</f>
        <v>NailMan</v>
      </c>
      <c r="D9858" t="s">
        <v>52</v>
      </c>
      <c r="E9858">
        <v>1</v>
      </c>
    </row>
    <row r="9859" spans="1:5" x14ac:dyDescent="0.25">
      <c r="A9859">
        <v>9858</v>
      </c>
      <c r="B9859">
        <v>5549466</v>
      </c>
      <c r="C9859" s="1" t="str">
        <f>HYPERLINK("http://stackoverflow.com/users/5549466", "leo")</f>
        <v>leo</v>
      </c>
      <c r="D9859" t="s">
        <v>5</v>
      </c>
      <c r="E9859">
        <v>1</v>
      </c>
    </row>
    <row r="9860" spans="1:5" x14ac:dyDescent="0.25">
      <c r="A9860">
        <v>9859</v>
      </c>
      <c r="B9860">
        <v>5549490</v>
      </c>
      <c r="C9860" s="1" t="str">
        <f>HYPERLINK("http://stackoverflow.com/users/5549490", "Smily Ruan")</f>
        <v>Smily Ruan</v>
      </c>
      <c r="D9860" t="s">
        <v>4</v>
      </c>
      <c r="E9860">
        <v>1</v>
      </c>
    </row>
    <row r="9861" spans="1:5" x14ac:dyDescent="0.25">
      <c r="A9861">
        <v>9860</v>
      </c>
      <c r="B9861">
        <v>10983170</v>
      </c>
      <c r="C9861" s="1" t="str">
        <f>HYPERLINK("http://stackoverflow.com/users/10983170", "eukire.J")</f>
        <v>eukire.J</v>
      </c>
      <c r="D9861" t="s">
        <v>37</v>
      </c>
      <c r="E9861">
        <v>1</v>
      </c>
    </row>
    <row r="9862" spans="1:5" x14ac:dyDescent="0.25">
      <c r="A9862">
        <v>9861</v>
      </c>
      <c r="B9862">
        <v>1977445</v>
      </c>
      <c r="C9862" s="1" t="str">
        <f>HYPERLINK("http://stackoverflow.com/users/1977445", "billy")</f>
        <v>billy</v>
      </c>
      <c r="D9862" t="s">
        <v>4</v>
      </c>
      <c r="E9862">
        <v>1</v>
      </c>
    </row>
    <row r="9863" spans="1:5" x14ac:dyDescent="0.25">
      <c r="A9863">
        <v>9862</v>
      </c>
      <c r="B9863">
        <v>7308989</v>
      </c>
      <c r="C9863" s="1" t="str">
        <f>HYPERLINK("http://stackoverflow.com/users/7308989", "TOBEPACER")</f>
        <v>TOBEPACER</v>
      </c>
      <c r="D9863" t="s">
        <v>7</v>
      </c>
      <c r="E9863">
        <v>1</v>
      </c>
    </row>
    <row r="9864" spans="1:5" x14ac:dyDescent="0.25">
      <c r="A9864">
        <v>9863</v>
      </c>
      <c r="B9864">
        <v>1977635</v>
      </c>
      <c r="C9864" s="1" t="str">
        <f>HYPERLINK("http://stackoverflow.com/users/1977635", "Bo Hua")</f>
        <v>Bo Hua</v>
      </c>
      <c r="D9864" t="s">
        <v>17</v>
      </c>
      <c r="E9864">
        <v>1</v>
      </c>
    </row>
    <row r="9865" spans="1:5" x14ac:dyDescent="0.25">
      <c r="A9865">
        <v>9864</v>
      </c>
      <c r="B9865">
        <v>1978608</v>
      </c>
      <c r="C9865" s="1" t="str">
        <f>HYPERLINK("http://stackoverflow.com/users/1978608", "Mike Zhou")</f>
        <v>Mike Zhou</v>
      </c>
      <c r="D9865" t="s">
        <v>5</v>
      </c>
      <c r="E9865">
        <v>1</v>
      </c>
    </row>
    <row r="9866" spans="1:5" x14ac:dyDescent="0.25">
      <c r="A9866">
        <v>9865</v>
      </c>
      <c r="B9866">
        <v>7493002</v>
      </c>
      <c r="C9866" s="1" t="str">
        <f>HYPERLINK("http://stackoverflow.com/users/7493002", "XiaoGuang Zeng")</f>
        <v>XiaoGuang Zeng</v>
      </c>
      <c r="D9866" t="s">
        <v>55</v>
      </c>
      <c r="E9866">
        <v>1</v>
      </c>
    </row>
    <row r="9867" spans="1:5" x14ac:dyDescent="0.25">
      <c r="A9867">
        <v>9866</v>
      </c>
      <c r="B9867">
        <v>5740021</v>
      </c>
      <c r="C9867" s="1" t="str">
        <f>HYPERLINK("http://stackoverflow.com/users/5740021", "zechun")</f>
        <v>zechun</v>
      </c>
      <c r="D9867" t="s">
        <v>21</v>
      </c>
      <c r="E9867">
        <v>1</v>
      </c>
    </row>
    <row r="9868" spans="1:5" x14ac:dyDescent="0.25">
      <c r="A9868">
        <v>9867</v>
      </c>
      <c r="B9868">
        <v>5737227</v>
      </c>
      <c r="C9868" s="1" t="str">
        <f>HYPERLINK("http://stackoverflow.com/users/5737227", "Gaoyi")</f>
        <v>Gaoyi</v>
      </c>
      <c r="D9868" t="s">
        <v>536</v>
      </c>
      <c r="E9868">
        <v>1</v>
      </c>
    </row>
    <row r="9869" spans="1:5" x14ac:dyDescent="0.25">
      <c r="A9869">
        <v>9868</v>
      </c>
      <c r="B9869">
        <v>2221686</v>
      </c>
      <c r="C9869" s="1" t="str">
        <f>HYPERLINK("http://stackoverflow.com/users/2221686", "Lessac")</f>
        <v>Lessac</v>
      </c>
      <c r="D9869" t="s">
        <v>55</v>
      </c>
      <c r="E9869">
        <v>1</v>
      </c>
    </row>
    <row r="9870" spans="1:5" x14ac:dyDescent="0.25">
      <c r="A9870">
        <v>9869</v>
      </c>
      <c r="B9870">
        <v>2222970</v>
      </c>
      <c r="C9870" s="1" t="str">
        <f>HYPERLINK("http://stackoverflow.com/users/2222970", "and1coder")</f>
        <v>and1coder</v>
      </c>
      <c r="D9870" t="s">
        <v>17</v>
      </c>
      <c r="E9870">
        <v>1</v>
      </c>
    </row>
    <row r="9871" spans="1:5" x14ac:dyDescent="0.25">
      <c r="A9871">
        <v>9870</v>
      </c>
      <c r="B9871">
        <v>11201121</v>
      </c>
      <c r="C9871" s="1" t="str">
        <f>HYPERLINK("http://stackoverflow.com/users/11201121", "feicay")</f>
        <v>feicay</v>
      </c>
      <c r="D9871" t="s">
        <v>4</v>
      </c>
      <c r="E9871">
        <v>1</v>
      </c>
    </row>
    <row r="9872" spans="1:5" x14ac:dyDescent="0.25">
      <c r="A9872">
        <v>9871</v>
      </c>
      <c r="B9872">
        <v>11201271</v>
      </c>
      <c r="C9872" s="1" t="str">
        <f>HYPERLINK("http://stackoverflow.com/users/11201271", "dumeym")</f>
        <v>dumeym</v>
      </c>
      <c r="D9872" t="s">
        <v>4</v>
      </c>
      <c r="E9872">
        <v>1</v>
      </c>
    </row>
    <row r="9873" spans="1:5" x14ac:dyDescent="0.25">
      <c r="A9873">
        <v>9872</v>
      </c>
      <c r="B9873">
        <v>11201317</v>
      </c>
      <c r="C9873" s="1" t="str">
        <f>HYPERLINK("http://stackoverflow.com/users/11201317", "stickpencilss")</f>
        <v>stickpencilss</v>
      </c>
      <c r="D9873" t="s">
        <v>11</v>
      </c>
      <c r="E9873">
        <v>1</v>
      </c>
    </row>
    <row r="9874" spans="1:5" x14ac:dyDescent="0.25">
      <c r="A9874">
        <v>9873</v>
      </c>
      <c r="B9874">
        <v>5751575</v>
      </c>
      <c r="C9874" s="1" t="str">
        <f>HYPERLINK("http://stackoverflow.com/users/5751575", "cnzsb")</f>
        <v>cnzsb</v>
      </c>
      <c r="D9874" t="s">
        <v>4</v>
      </c>
      <c r="E9874">
        <v>1</v>
      </c>
    </row>
    <row r="9875" spans="1:5" x14ac:dyDescent="0.25">
      <c r="A9875">
        <v>9874</v>
      </c>
      <c r="B9875">
        <v>5751600</v>
      </c>
      <c r="C9875" s="1" t="str">
        <f>HYPERLINK("http://stackoverflow.com/users/5751600", "YunOppa")</f>
        <v>YunOppa</v>
      </c>
      <c r="D9875" t="s">
        <v>22</v>
      </c>
      <c r="E9875">
        <v>1</v>
      </c>
    </row>
    <row r="9876" spans="1:5" x14ac:dyDescent="0.25">
      <c r="A9876">
        <v>9875</v>
      </c>
      <c r="B9876">
        <v>11209295</v>
      </c>
      <c r="C9876" s="1" t="str">
        <f>HYPERLINK("http://stackoverflow.com/users/11209295", "xieq")</f>
        <v>xieq</v>
      </c>
      <c r="D9876" t="s">
        <v>17</v>
      </c>
      <c r="E9876">
        <v>1</v>
      </c>
    </row>
    <row r="9877" spans="1:5" x14ac:dyDescent="0.25">
      <c r="A9877">
        <v>9876</v>
      </c>
      <c r="B9877">
        <v>2229034</v>
      </c>
      <c r="C9877" s="1" t="str">
        <f>HYPERLINK("http://stackoverflow.com/users/2229034", "Ji Han")</f>
        <v>Ji Han</v>
      </c>
      <c r="D9877" t="s">
        <v>55</v>
      </c>
      <c r="E9877">
        <v>1</v>
      </c>
    </row>
    <row r="9878" spans="1:5" x14ac:dyDescent="0.25">
      <c r="A9878">
        <v>9877</v>
      </c>
      <c r="B9878">
        <v>9427562</v>
      </c>
      <c r="C9878" s="1" t="str">
        <f>HYPERLINK("http://stackoverflow.com/users/9427562", "Yasin Shaw")</f>
        <v>Yasin Shaw</v>
      </c>
      <c r="D9878" t="s">
        <v>28</v>
      </c>
      <c r="E9878">
        <v>1</v>
      </c>
    </row>
    <row r="9879" spans="1:5" x14ac:dyDescent="0.25">
      <c r="A9879">
        <v>9878</v>
      </c>
      <c r="B9879">
        <v>7514679</v>
      </c>
      <c r="C9879" s="1" t="str">
        <f>HYPERLINK("http://stackoverflow.com/users/7514679", "user7514679")</f>
        <v>user7514679</v>
      </c>
      <c r="D9879" t="s">
        <v>21</v>
      </c>
      <c r="E9879">
        <v>1</v>
      </c>
    </row>
    <row r="9880" spans="1:5" x14ac:dyDescent="0.25">
      <c r="A9880">
        <v>9879</v>
      </c>
      <c r="B9880">
        <v>7514694</v>
      </c>
      <c r="C9880" s="1" t="str">
        <f>HYPERLINK("http://stackoverflow.com/users/7514694", "Zhao Yingru")</f>
        <v>Zhao Yingru</v>
      </c>
      <c r="D9880" t="s">
        <v>5</v>
      </c>
      <c r="E9880">
        <v>1</v>
      </c>
    </row>
    <row r="9881" spans="1:5" x14ac:dyDescent="0.25">
      <c r="A9881">
        <v>9880</v>
      </c>
      <c r="B9881">
        <v>11213828</v>
      </c>
      <c r="C9881" s="1" t="str">
        <f>HYPERLINK("http://stackoverflow.com/users/11213828", "Illyasviel")</f>
        <v>Illyasviel</v>
      </c>
      <c r="D9881" t="s">
        <v>52</v>
      </c>
      <c r="E9881">
        <v>1</v>
      </c>
    </row>
    <row r="9882" spans="1:5" x14ac:dyDescent="0.25">
      <c r="A9882">
        <v>9881</v>
      </c>
      <c r="B9882">
        <v>5755092</v>
      </c>
      <c r="C9882" s="1" t="str">
        <f>HYPERLINK("http://stackoverflow.com/users/5755092", "Daniel Ho")</f>
        <v>Daniel Ho</v>
      </c>
      <c r="D9882" t="s">
        <v>4</v>
      </c>
      <c r="E9882">
        <v>1</v>
      </c>
    </row>
    <row r="9883" spans="1:5" x14ac:dyDescent="0.25">
      <c r="A9883">
        <v>9882</v>
      </c>
      <c r="B9883">
        <v>5755120</v>
      </c>
      <c r="C9883" s="1" t="str">
        <f>HYPERLINK("http://stackoverflow.com/users/5755120", "right.zhang")</f>
        <v>right.zhang</v>
      </c>
      <c r="D9883" t="s">
        <v>22</v>
      </c>
      <c r="E9883">
        <v>1</v>
      </c>
    </row>
    <row r="9884" spans="1:5" x14ac:dyDescent="0.25">
      <c r="A9884">
        <v>9883</v>
      </c>
      <c r="B9884">
        <v>5755160</v>
      </c>
      <c r="C9884" s="1" t="str">
        <f>HYPERLINK("http://stackoverflow.com/users/5755160", "Eddy Huang")</f>
        <v>Eddy Huang</v>
      </c>
      <c r="D9884" t="s">
        <v>54</v>
      </c>
      <c r="E9884">
        <v>1</v>
      </c>
    </row>
    <row r="9885" spans="1:5" x14ac:dyDescent="0.25">
      <c r="A9885">
        <v>9884</v>
      </c>
      <c r="B9885">
        <v>5755163</v>
      </c>
      <c r="C9885" s="1" t="str">
        <f>HYPERLINK("http://stackoverflow.com/users/5755163", "jiang adam")</f>
        <v>jiang adam</v>
      </c>
      <c r="D9885" t="s">
        <v>17</v>
      </c>
      <c r="E9885">
        <v>1</v>
      </c>
    </row>
    <row r="9886" spans="1:5" x14ac:dyDescent="0.25">
      <c r="A9886">
        <v>9885</v>
      </c>
      <c r="B9886">
        <v>5755249</v>
      </c>
      <c r="C9886" s="1" t="str">
        <f>HYPERLINK("http://stackoverflow.com/users/5755249", "MikeFighting")</f>
        <v>MikeFighting</v>
      </c>
      <c r="D9886" t="s">
        <v>5</v>
      </c>
      <c r="E9886">
        <v>1</v>
      </c>
    </row>
    <row r="9887" spans="1:5" x14ac:dyDescent="0.25">
      <c r="A9887">
        <v>9886</v>
      </c>
      <c r="B9887">
        <v>5755262</v>
      </c>
      <c r="C9887" s="1" t="str">
        <f>HYPERLINK("http://stackoverflow.com/users/5755262", "karen luo")</f>
        <v>karen luo</v>
      </c>
      <c r="D9887" t="s">
        <v>12</v>
      </c>
      <c r="E9887">
        <v>1</v>
      </c>
    </row>
    <row r="9888" spans="1:5" x14ac:dyDescent="0.25">
      <c r="A9888">
        <v>9887</v>
      </c>
      <c r="B9888">
        <v>5755335</v>
      </c>
      <c r="C9888" s="1" t="str">
        <f>HYPERLINK("http://stackoverflow.com/users/5755335", "Gerald")</f>
        <v>Gerald</v>
      </c>
      <c r="D9888" t="s">
        <v>4</v>
      </c>
      <c r="E9888">
        <v>1</v>
      </c>
    </row>
    <row r="9889" spans="1:5" x14ac:dyDescent="0.25">
      <c r="A9889">
        <v>9888</v>
      </c>
      <c r="B9889">
        <v>5755367</v>
      </c>
      <c r="C9889" s="1" t="str">
        <f>HYPERLINK("http://stackoverflow.com/users/5755367", "Vacto Wang")</f>
        <v>Vacto Wang</v>
      </c>
      <c r="D9889" t="s">
        <v>5</v>
      </c>
      <c r="E9889">
        <v>1</v>
      </c>
    </row>
    <row r="9890" spans="1:5" x14ac:dyDescent="0.25">
      <c r="A9890">
        <v>9889</v>
      </c>
      <c r="B9890">
        <v>9421881</v>
      </c>
      <c r="C9890" s="1" t="str">
        <f>HYPERLINK("http://stackoverflow.com/users/9421881", "Elsa Pan")</f>
        <v>Elsa Pan</v>
      </c>
      <c r="D9890" t="s">
        <v>43</v>
      </c>
      <c r="E9890">
        <v>1</v>
      </c>
    </row>
    <row r="9891" spans="1:5" x14ac:dyDescent="0.25">
      <c r="A9891">
        <v>9890</v>
      </c>
      <c r="B9891">
        <v>9422479</v>
      </c>
      <c r="C9891" s="1" t="str">
        <f>HYPERLINK("http://stackoverflow.com/users/9422479", "user9422479")</f>
        <v>user9422479</v>
      </c>
      <c r="D9891" t="s">
        <v>367</v>
      </c>
      <c r="E9891">
        <v>1</v>
      </c>
    </row>
    <row r="9892" spans="1:5" x14ac:dyDescent="0.25">
      <c r="A9892">
        <v>9891</v>
      </c>
      <c r="B9892">
        <v>9422514</v>
      </c>
      <c r="C9892" s="1" t="str">
        <f>HYPERLINK("http://stackoverflow.com/users/9422514", "Hua Liu")</f>
        <v>Hua Liu</v>
      </c>
      <c r="D9892" t="s">
        <v>4</v>
      </c>
      <c r="E9892">
        <v>1</v>
      </c>
    </row>
    <row r="9893" spans="1:5" x14ac:dyDescent="0.25">
      <c r="A9893">
        <v>9892</v>
      </c>
      <c r="B9893">
        <v>7510465</v>
      </c>
      <c r="C9893" s="1" t="str">
        <f>HYPERLINK("http://stackoverflow.com/users/7510465", "Bin Meng")</f>
        <v>Bin Meng</v>
      </c>
      <c r="D9893" t="s">
        <v>537</v>
      </c>
      <c r="E9893">
        <v>1</v>
      </c>
    </row>
    <row r="9894" spans="1:5" x14ac:dyDescent="0.25">
      <c r="A9894">
        <v>9893</v>
      </c>
      <c r="B9894">
        <v>5758265</v>
      </c>
      <c r="C9894" s="1" t="str">
        <f>HYPERLINK("http://stackoverflow.com/users/5758265", "yangfch3")</f>
        <v>yangfch3</v>
      </c>
      <c r="D9894" t="s">
        <v>21</v>
      </c>
      <c r="E9894">
        <v>1</v>
      </c>
    </row>
    <row r="9895" spans="1:5" x14ac:dyDescent="0.25">
      <c r="A9895">
        <v>9894</v>
      </c>
      <c r="B9895">
        <v>3994119</v>
      </c>
      <c r="C9895" s="1" t="str">
        <f>HYPERLINK("http://stackoverflow.com/users/3994119", "Charlie")</f>
        <v>Charlie</v>
      </c>
      <c r="D9895" t="s">
        <v>5</v>
      </c>
      <c r="E9895">
        <v>1</v>
      </c>
    </row>
    <row r="9896" spans="1:5" x14ac:dyDescent="0.25">
      <c r="A9896">
        <v>9895</v>
      </c>
      <c r="B9896">
        <v>11229414</v>
      </c>
      <c r="C9896" s="1" t="str">
        <f>HYPERLINK("http://stackoverflow.com/users/11229414", "sugars")</f>
        <v>sugars</v>
      </c>
      <c r="D9896" t="s">
        <v>17</v>
      </c>
      <c r="E9896">
        <v>1</v>
      </c>
    </row>
    <row r="9897" spans="1:5" x14ac:dyDescent="0.25">
      <c r="A9897">
        <v>9896</v>
      </c>
      <c r="B9897">
        <v>11229900</v>
      </c>
      <c r="C9897" s="1" t="str">
        <f>HYPERLINK("http://stackoverflow.com/users/11229900", "Ian B")</f>
        <v>Ian B</v>
      </c>
      <c r="D9897" t="s">
        <v>4</v>
      </c>
      <c r="E9897">
        <v>1</v>
      </c>
    </row>
    <row r="9898" spans="1:5" x14ac:dyDescent="0.25">
      <c r="A9898">
        <v>9897</v>
      </c>
      <c r="B9898">
        <v>3997879</v>
      </c>
      <c r="C9898" s="1" t="str">
        <f>HYPERLINK("http://stackoverflow.com/users/3997879", "user3997879")</f>
        <v>user3997879</v>
      </c>
      <c r="D9898" t="s">
        <v>4</v>
      </c>
      <c r="E9898">
        <v>1</v>
      </c>
    </row>
    <row r="9899" spans="1:5" x14ac:dyDescent="0.25">
      <c r="A9899">
        <v>9898</v>
      </c>
      <c r="B9899">
        <v>9440109</v>
      </c>
      <c r="C9899" s="1" t="str">
        <f>HYPERLINK("http://stackoverflow.com/users/9440109", "Stack Huang")</f>
        <v>Stack Huang</v>
      </c>
      <c r="D9899" t="s">
        <v>4</v>
      </c>
      <c r="E9899">
        <v>1</v>
      </c>
    </row>
    <row r="9900" spans="1:5" x14ac:dyDescent="0.25">
      <c r="A9900">
        <v>9899</v>
      </c>
      <c r="B9900">
        <v>9440143</v>
      </c>
      <c r="C9900" s="1" t="str">
        <f>HYPERLINK("http://stackoverflow.com/users/9440143", "丁伟锋")</f>
        <v>丁伟锋</v>
      </c>
      <c r="D9900" t="s">
        <v>16</v>
      </c>
      <c r="E9900">
        <v>1</v>
      </c>
    </row>
    <row r="9901" spans="1:5" x14ac:dyDescent="0.25">
      <c r="A9901">
        <v>9900</v>
      </c>
      <c r="B9901">
        <v>11234995</v>
      </c>
      <c r="C9901" s="1" t="str">
        <f>HYPERLINK("http://stackoverflow.com/users/11234995", "user11234995")</f>
        <v>user11234995</v>
      </c>
      <c r="D9901" t="s">
        <v>10</v>
      </c>
      <c r="E9901">
        <v>1</v>
      </c>
    </row>
    <row r="9902" spans="1:5" x14ac:dyDescent="0.25">
      <c r="A9902">
        <v>9901</v>
      </c>
      <c r="B9902">
        <v>5778700</v>
      </c>
      <c r="C9902" s="1" t="str">
        <f>HYPERLINK("http://stackoverflow.com/users/5778700", "l_lori")</f>
        <v>l_lori</v>
      </c>
      <c r="D9902" t="s">
        <v>6</v>
      </c>
      <c r="E9902">
        <v>1</v>
      </c>
    </row>
    <row r="9903" spans="1:5" x14ac:dyDescent="0.25">
      <c r="A9903">
        <v>9902</v>
      </c>
      <c r="B9903">
        <v>9443843</v>
      </c>
      <c r="C9903" s="1" t="str">
        <f>HYPERLINK("http://stackoverflow.com/users/9443843", "pengyou_112")</f>
        <v>pengyou_112</v>
      </c>
      <c r="D9903" t="s">
        <v>5</v>
      </c>
      <c r="E9903">
        <v>1</v>
      </c>
    </row>
    <row r="9904" spans="1:5" x14ac:dyDescent="0.25">
      <c r="A9904">
        <v>9903</v>
      </c>
      <c r="B9904">
        <v>9444071</v>
      </c>
      <c r="C9904" s="1" t="str">
        <f>HYPERLINK("http://stackoverflow.com/users/9444071", "Yoking")</f>
        <v>Yoking</v>
      </c>
      <c r="D9904" t="s">
        <v>4</v>
      </c>
      <c r="E9904">
        <v>1</v>
      </c>
    </row>
    <row r="9905" spans="1:5" x14ac:dyDescent="0.25">
      <c r="A9905">
        <v>9904</v>
      </c>
      <c r="B9905">
        <v>9444167</v>
      </c>
      <c r="C9905" s="1" t="str">
        <f>HYPERLINK("http://stackoverflow.com/users/9444167", "ChesterChen")</f>
        <v>ChesterChen</v>
      </c>
      <c r="D9905" t="s">
        <v>55</v>
      </c>
      <c r="E9905">
        <v>1</v>
      </c>
    </row>
    <row r="9906" spans="1:5" x14ac:dyDescent="0.25">
      <c r="A9906">
        <v>9905</v>
      </c>
      <c r="B9906">
        <v>5782645</v>
      </c>
      <c r="C9906" s="1" t="str">
        <f>HYPERLINK("http://stackoverflow.com/users/5782645", "xiawe_i")</f>
        <v>xiawe_i</v>
      </c>
      <c r="D9906" t="s">
        <v>5</v>
      </c>
      <c r="E9906">
        <v>1</v>
      </c>
    </row>
    <row r="9907" spans="1:5" x14ac:dyDescent="0.25">
      <c r="A9907">
        <v>9906</v>
      </c>
      <c r="B9907">
        <v>7533442</v>
      </c>
      <c r="C9907" s="1" t="str">
        <f>HYPERLINK("http://stackoverflow.com/users/7533442", "Planck")</f>
        <v>Planck</v>
      </c>
      <c r="D9907" t="s">
        <v>4</v>
      </c>
      <c r="E9907">
        <v>1</v>
      </c>
    </row>
    <row r="9908" spans="1:5" x14ac:dyDescent="0.25">
      <c r="A9908">
        <v>9907</v>
      </c>
      <c r="B9908">
        <v>7533688</v>
      </c>
      <c r="C9908" s="1" t="str">
        <f>HYPERLINK("http://stackoverflow.com/users/7533688", "Yidian Gao")</f>
        <v>Yidian Gao</v>
      </c>
      <c r="D9908" t="s">
        <v>28</v>
      </c>
      <c r="E9908">
        <v>1</v>
      </c>
    </row>
    <row r="9909" spans="1:5" x14ac:dyDescent="0.25">
      <c r="A9909">
        <v>9908</v>
      </c>
      <c r="B9909">
        <v>7533730</v>
      </c>
      <c r="C9909" s="1" t="str">
        <f>HYPERLINK("http://stackoverflow.com/users/7533730", "William Senor Yee")</f>
        <v>William Senor Yee</v>
      </c>
      <c r="D9909" t="s">
        <v>5</v>
      </c>
      <c r="E9909">
        <v>1</v>
      </c>
    </row>
    <row r="9910" spans="1:5" x14ac:dyDescent="0.25">
      <c r="A9910">
        <v>9909</v>
      </c>
      <c r="B9910">
        <v>5763224</v>
      </c>
      <c r="C9910" s="1" t="str">
        <f>HYPERLINK("http://stackoverflow.com/users/5763224", "Roy Zhu")</f>
        <v>Roy Zhu</v>
      </c>
      <c r="D9910" t="s">
        <v>4</v>
      </c>
      <c r="E9910">
        <v>1</v>
      </c>
    </row>
    <row r="9911" spans="1:5" x14ac:dyDescent="0.25">
      <c r="A9911">
        <v>9910</v>
      </c>
      <c r="B9911">
        <v>11222082</v>
      </c>
      <c r="C9911" s="1" t="str">
        <f>HYPERLINK("http://stackoverflow.com/users/11222082", "topcoder")</f>
        <v>topcoder</v>
      </c>
      <c r="D9911" t="s">
        <v>538</v>
      </c>
      <c r="E9911">
        <v>1</v>
      </c>
    </row>
    <row r="9912" spans="1:5" x14ac:dyDescent="0.25">
      <c r="A9912">
        <v>9911</v>
      </c>
      <c r="B9912">
        <v>2237398</v>
      </c>
      <c r="C9912" s="1" t="str">
        <f>HYPERLINK("http://stackoverflow.com/users/2237398", "Ironmask")</f>
        <v>Ironmask</v>
      </c>
      <c r="D9912" t="s">
        <v>5</v>
      </c>
      <c r="E9912">
        <v>1</v>
      </c>
    </row>
    <row r="9913" spans="1:5" x14ac:dyDescent="0.25">
      <c r="A9913">
        <v>9912</v>
      </c>
      <c r="B9913">
        <v>7514737</v>
      </c>
      <c r="C9913" s="1" t="str">
        <f>HYPERLINK("http://stackoverflow.com/users/7514737", "HelloWorld")</f>
        <v>HelloWorld</v>
      </c>
      <c r="D9913" t="s">
        <v>55</v>
      </c>
      <c r="E9913">
        <v>1</v>
      </c>
    </row>
    <row r="9914" spans="1:5" x14ac:dyDescent="0.25">
      <c r="A9914">
        <v>9913</v>
      </c>
      <c r="B9914">
        <v>2238426</v>
      </c>
      <c r="C9914" s="1" t="str">
        <f>HYPERLINK("http://stackoverflow.com/users/2238426", "idlemind")</f>
        <v>idlemind</v>
      </c>
      <c r="D9914" t="s">
        <v>17</v>
      </c>
      <c r="E9914">
        <v>1</v>
      </c>
    </row>
    <row r="9915" spans="1:5" x14ac:dyDescent="0.25">
      <c r="A9915">
        <v>9914</v>
      </c>
      <c r="B9915">
        <v>2238520</v>
      </c>
      <c r="C9915" s="1" t="str">
        <f>HYPERLINK("http://stackoverflow.com/users/2238520", "Kate Lu")</f>
        <v>Kate Lu</v>
      </c>
      <c r="D9915" t="s">
        <v>17</v>
      </c>
      <c r="E9915">
        <v>1</v>
      </c>
    </row>
    <row r="9916" spans="1:5" x14ac:dyDescent="0.25">
      <c r="A9916">
        <v>9915</v>
      </c>
      <c r="B9916">
        <v>2239159</v>
      </c>
      <c r="C9916" s="1" t="str">
        <f>HYPERLINK("http://stackoverflow.com/users/2239159", "veil")</f>
        <v>veil</v>
      </c>
      <c r="D9916" t="s">
        <v>17</v>
      </c>
      <c r="E9916">
        <v>1</v>
      </c>
    </row>
    <row r="9917" spans="1:5" x14ac:dyDescent="0.25">
      <c r="A9917">
        <v>9916</v>
      </c>
      <c r="B9917">
        <v>9427723</v>
      </c>
      <c r="C9917" s="1" t="str">
        <f>HYPERLINK("http://stackoverflow.com/users/9427723", "fond Rain")</f>
        <v>fond Rain</v>
      </c>
      <c r="D9917" t="s">
        <v>33</v>
      </c>
      <c r="E9917">
        <v>1</v>
      </c>
    </row>
    <row r="9918" spans="1:5" x14ac:dyDescent="0.25">
      <c r="A9918">
        <v>9917</v>
      </c>
      <c r="B9918">
        <v>9427778</v>
      </c>
      <c r="C9918" s="1" t="str">
        <f>HYPERLINK("http://stackoverflow.com/users/9427778", "Weiwen Ren")</f>
        <v>Weiwen Ren</v>
      </c>
      <c r="D9918" t="s">
        <v>10</v>
      </c>
      <c r="E9918">
        <v>1</v>
      </c>
    </row>
    <row r="9919" spans="1:5" x14ac:dyDescent="0.25">
      <c r="A9919">
        <v>9918</v>
      </c>
      <c r="B9919">
        <v>9431913</v>
      </c>
      <c r="C9919" s="1" t="str">
        <f>HYPERLINK("http://stackoverflow.com/users/9431913", "Coco Brown")</f>
        <v>Coco Brown</v>
      </c>
      <c r="D9919" t="s">
        <v>539</v>
      </c>
      <c r="E9919">
        <v>1</v>
      </c>
    </row>
    <row r="9920" spans="1:5" x14ac:dyDescent="0.25">
      <c r="A9920">
        <v>9919</v>
      </c>
      <c r="B9920">
        <v>9432024</v>
      </c>
      <c r="C9920" s="1" t="str">
        <f>HYPERLINK("http://stackoverflow.com/users/9432024", "Luckygirlalisa")</f>
        <v>Luckygirlalisa</v>
      </c>
      <c r="D9920" t="s">
        <v>28</v>
      </c>
      <c r="E9920">
        <v>1</v>
      </c>
    </row>
    <row r="9921" spans="1:5" x14ac:dyDescent="0.25">
      <c r="A9921">
        <v>9920</v>
      </c>
      <c r="B9921">
        <v>3990777</v>
      </c>
      <c r="C9921" s="1" t="str">
        <f>HYPERLINK("http://stackoverflow.com/users/3990777", "jing liang")</f>
        <v>jing liang</v>
      </c>
      <c r="D9921" t="s">
        <v>5</v>
      </c>
      <c r="E9921">
        <v>1</v>
      </c>
    </row>
    <row r="9922" spans="1:5" x14ac:dyDescent="0.25">
      <c r="A9922">
        <v>9921</v>
      </c>
      <c r="B9922">
        <v>5767298</v>
      </c>
      <c r="C9922" s="1" t="str">
        <f>HYPERLINK("http://stackoverflow.com/users/5767298", "sfmDev")</f>
        <v>sfmDev</v>
      </c>
      <c r="D9922" t="s">
        <v>4</v>
      </c>
      <c r="E9922">
        <v>1</v>
      </c>
    </row>
    <row r="9923" spans="1:5" x14ac:dyDescent="0.25">
      <c r="A9923">
        <v>9922</v>
      </c>
      <c r="B9923">
        <v>4038949</v>
      </c>
      <c r="C9923" s="1" t="str">
        <f>HYPERLINK("http://stackoverflow.com/users/4038949", "Gavin Ziv")</f>
        <v>Gavin Ziv</v>
      </c>
      <c r="D9923" t="s">
        <v>4</v>
      </c>
      <c r="E9923">
        <v>1</v>
      </c>
    </row>
    <row r="9924" spans="1:5" x14ac:dyDescent="0.25">
      <c r="A9924">
        <v>9923</v>
      </c>
      <c r="B9924">
        <v>9479342</v>
      </c>
      <c r="C9924" s="1" t="str">
        <f>HYPERLINK("http://stackoverflow.com/users/9479342", "user9479342")</f>
        <v>user9479342</v>
      </c>
      <c r="D9924" t="s">
        <v>540</v>
      </c>
      <c r="E9924">
        <v>1</v>
      </c>
    </row>
    <row r="9925" spans="1:5" x14ac:dyDescent="0.25">
      <c r="A9925">
        <v>9924</v>
      </c>
      <c r="B9925">
        <v>11272995</v>
      </c>
      <c r="C9925" s="1" t="str">
        <f>HYPERLINK("http://stackoverflow.com/users/11272995", "dap1")</f>
        <v>dap1</v>
      </c>
      <c r="D9925" t="s">
        <v>16</v>
      </c>
      <c r="E9925">
        <v>1</v>
      </c>
    </row>
    <row r="9926" spans="1:5" x14ac:dyDescent="0.25">
      <c r="A9926">
        <v>9925</v>
      </c>
      <c r="B9926">
        <v>7563040</v>
      </c>
      <c r="C9926" s="1" t="str">
        <f>HYPERLINK("http://stackoverflow.com/users/7563040", "Zack Mak")</f>
        <v>Zack Mak</v>
      </c>
      <c r="D9926" t="s">
        <v>7</v>
      </c>
      <c r="E9926">
        <v>1</v>
      </c>
    </row>
    <row r="9927" spans="1:5" x14ac:dyDescent="0.25">
      <c r="A9927">
        <v>9926</v>
      </c>
      <c r="B9927">
        <v>9483366</v>
      </c>
      <c r="C9927" s="1" t="str">
        <f>HYPERLINK("http://stackoverflow.com/users/9483366", "Jerry")</f>
        <v>Jerry</v>
      </c>
      <c r="D9927" t="s">
        <v>28</v>
      </c>
      <c r="E9927">
        <v>1</v>
      </c>
    </row>
    <row r="9928" spans="1:5" x14ac:dyDescent="0.25">
      <c r="A9928">
        <v>9927</v>
      </c>
      <c r="B9928">
        <v>4038883</v>
      </c>
      <c r="C9928" s="1" t="str">
        <f>HYPERLINK("http://stackoverflow.com/users/4038883", "manbaum")</f>
        <v>manbaum</v>
      </c>
      <c r="D9928" t="s">
        <v>5</v>
      </c>
      <c r="E9928">
        <v>1</v>
      </c>
    </row>
    <row r="9929" spans="1:5" x14ac:dyDescent="0.25">
      <c r="A9929">
        <v>9928</v>
      </c>
      <c r="B9929">
        <v>5808498</v>
      </c>
      <c r="C9929" s="1" t="str">
        <f>HYPERLINK("http://stackoverflow.com/users/5808498", "M.moov")</f>
        <v>M.moov</v>
      </c>
      <c r="D9929" t="s">
        <v>22</v>
      </c>
      <c r="E9929">
        <v>1</v>
      </c>
    </row>
    <row r="9930" spans="1:5" x14ac:dyDescent="0.25">
      <c r="A9930">
        <v>9929</v>
      </c>
      <c r="B9930">
        <v>5808605</v>
      </c>
      <c r="C9930" s="1" t="str">
        <f>HYPERLINK("http://stackoverflow.com/users/5808605", "AK47")</f>
        <v>AK47</v>
      </c>
      <c r="D9930" t="s">
        <v>5</v>
      </c>
      <c r="E9930">
        <v>1</v>
      </c>
    </row>
    <row r="9931" spans="1:5" x14ac:dyDescent="0.25">
      <c r="A9931">
        <v>9930</v>
      </c>
      <c r="B9931">
        <v>5808718</v>
      </c>
      <c r="C9931" s="1" t="str">
        <f>HYPERLINK("http://stackoverflow.com/users/5808718", "Mayne")</f>
        <v>Mayne</v>
      </c>
      <c r="D9931" t="s">
        <v>7</v>
      </c>
      <c r="E9931">
        <v>1</v>
      </c>
    </row>
    <row r="9932" spans="1:5" x14ac:dyDescent="0.25">
      <c r="A9932">
        <v>9931</v>
      </c>
      <c r="B9932">
        <v>9478849</v>
      </c>
      <c r="C9932" s="1" t="str">
        <f>HYPERLINK("http://stackoverflow.com/users/9478849", "Sun Haoran")</f>
        <v>Sun Haoran</v>
      </c>
      <c r="D9932" t="s">
        <v>4</v>
      </c>
      <c r="E9932">
        <v>1</v>
      </c>
    </row>
    <row r="9933" spans="1:5" x14ac:dyDescent="0.25">
      <c r="A9933">
        <v>9932</v>
      </c>
      <c r="B9933">
        <v>7555556</v>
      </c>
      <c r="C9933" s="1" t="str">
        <f>HYPERLINK("http://stackoverflow.com/users/7555556", "akb barry")</f>
        <v>akb barry</v>
      </c>
      <c r="D9933" t="s">
        <v>55</v>
      </c>
      <c r="E9933">
        <v>1</v>
      </c>
    </row>
    <row r="9934" spans="1:5" x14ac:dyDescent="0.25">
      <c r="A9934">
        <v>9933</v>
      </c>
      <c r="B9934">
        <v>9474547</v>
      </c>
      <c r="C9934" s="1" t="str">
        <f>HYPERLINK("http://stackoverflow.com/users/9474547", "Manimaran")</f>
        <v>Manimaran</v>
      </c>
      <c r="D9934" t="s">
        <v>541</v>
      </c>
      <c r="E9934">
        <v>1</v>
      </c>
    </row>
    <row r="9935" spans="1:5" x14ac:dyDescent="0.25">
      <c r="A9935">
        <v>9934</v>
      </c>
      <c r="B9935">
        <v>9475050</v>
      </c>
      <c r="C9935" s="1" t="str">
        <f>HYPERLINK("http://stackoverflow.com/users/9475050", "HIT.Xin")</f>
        <v>HIT.Xin</v>
      </c>
      <c r="D9935" t="s">
        <v>215</v>
      </c>
      <c r="E9935">
        <v>1</v>
      </c>
    </row>
    <row r="9936" spans="1:5" x14ac:dyDescent="0.25">
      <c r="A9936">
        <v>9935</v>
      </c>
      <c r="B9936">
        <v>11269045</v>
      </c>
      <c r="C9936" s="1" t="str">
        <f>HYPERLINK("http://stackoverflow.com/users/11269045", "Clément Jean")</f>
        <v>Clément Jean</v>
      </c>
      <c r="D9936" t="s">
        <v>5</v>
      </c>
      <c r="E9936">
        <v>1</v>
      </c>
    </row>
    <row r="9937" spans="1:5" x14ac:dyDescent="0.25">
      <c r="A9937">
        <v>9936</v>
      </c>
      <c r="B9937">
        <v>11272862</v>
      </c>
      <c r="C9937" s="1" t="str">
        <f>HYPERLINK("http://stackoverflow.com/users/11272862", "wisdomhealth")</f>
        <v>wisdomhealth</v>
      </c>
      <c r="D9937" t="s">
        <v>4</v>
      </c>
      <c r="E9937">
        <v>1</v>
      </c>
    </row>
    <row r="9938" spans="1:5" x14ac:dyDescent="0.25">
      <c r="A9938">
        <v>9937</v>
      </c>
      <c r="B9938">
        <v>2293433</v>
      </c>
      <c r="C9938" s="1" t="str">
        <f>HYPERLINK("http://stackoverflow.com/users/2293433", "lovio")</f>
        <v>lovio</v>
      </c>
      <c r="D9938" t="s">
        <v>4</v>
      </c>
      <c r="E9938">
        <v>1</v>
      </c>
    </row>
    <row r="9939" spans="1:5" x14ac:dyDescent="0.25">
      <c r="A9939">
        <v>9938</v>
      </c>
      <c r="B9939">
        <v>9470435</v>
      </c>
      <c r="C9939" s="1" t="str">
        <f>HYPERLINK("http://stackoverflow.com/users/9470435", "IIInvincible X")</f>
        <v>IIInvincible X</v>
      </c>
      <c r="D9939" t="s">
        <v>37</v>
      </c>
      <c r="E9939">
        <v>1</v>
      </c>
    </row>
    <row r="9940" spans="1:5" x14ac:dyDescent="0.25">
      <c r="A9940">
        <v>9939</v>
      </c>
      <c r="B9940">
        <v>4024807</v>
      </c>
      <c r="C9940" s="1" t="str">
        <f>HYPERLINK("http://stackoverflow.com/users/4024807", "Aloys_寒风")</f>
        <v>Aloys_寒风</v>
      </c>
      <c r="D9940" t="s">
        <v>37</v>
      </c>
      <c r="E9940">
        <v>1</v>
      </c>
    </row>
    <row r="9941" spans="1:5" x14ac:dyDescent="0.25">
      <c r="A9941">
        <v>9940</v>
      </c>
      <c r="B9941">
        <v>4025388</v>
      </c>
      <c r="C9941" s="1" t="str">
        <f>HYPERLINK("http://stackoverflow.com/users/4025388", "wmzy")</f>
        <v>wmzy</v>
      </c>
      <c r="D9941" t="s">
        <v>5</v>
      </c>
      <c r="E9941">
        <v>1</v>
      </c>
    </row>
    <row r="9942" spans="1:5" x14ac:dyDescent="0.25">
      <c r="A9942">
        <v>9941</v>
      </c>
      <c r="B9942">
        <v>11263926</v>
      </c>
      <c r="C9942" s="1" t="str">
        <f>HYPERLINK("http://stackoverflow.com/users/11263926", "matthew.zhao")</f>
        <v>matthew.zhao</v>
      </c>
      <c r="D9942" t="s">
        <v>5</v>
      </c>
      <c r="E9942">
        <v>1</v>
      </c>
    </row>
    <row r="9943" spans="1:5" x14ac:dyDescent="0.25">
      <c r="A9943">
        <v>9942</v>
      </c>
      <c r="B9943">
        <v>11264061</v>
      </c>
      <c r="C9943" s="1" t="str">
        <f>HYPERLINK("http://stackoverflow.com/users/11264061", "Qiu Samule")</f>
        <v>Qiu Samule</v>
      </c>
      <c r="D9943" t="s">
        <v>15</v>
      </c>
      <c r="E9943">
        <v>1</v>
      </c>
    </row>
    <row r="9944" spans="1:5" x14ac:dyDescent="0.25">
      <c r="A9944">
        <v>9943</v>
      </c>
      <c r="B9944">
        <v>5800652</v>
      </c>
      <c r="C9944" s="1" t="str">
        <f>HYPERLINK("http://stackoverflow.com/users/5800652", "Michael Ling")</f>
        <v>Michael Ling</v>
      </c>
      <c r="D9944" t="s">
        <v>129</v>
      </c>
      <c r="E9944">
        <v>1</v>
      </c>
    </row>
    <row r="9945" spans="1:5" x14ac:dyDescent="0.25">
      <c r="A9945">
        <v>9944</v>
      </c>
      <c r="B9945">
        <v>5800668</v>
      </c>
      <c r="C9945" s="1" t="str">
        <f>HYPERLINK("http://stackoverflow.com/users/5800668", "Lee.Fly")</f>
        <v>Lee.Fly</v>
      </c>
      <c r="D9945" t="s">
        <v>22</v>
      </c>
      <c r="E9945">
        <v>1</v>
      </c>
    </row>
    <row r="9946" spans="1:5" x14ac:dyDescent="0.25">
      <c r="A9946">
        <v>9945</v>
      </c>
      <c r="B9946">
        <v>5800762</v>
      </c>
      <c r="C9946" s="1" t="str">
        <f>HYPERLINK("http://stackoverflow.com/users/5800762", "jacky")</f>
        <v>jacky</v>
      </c>
      <c r="D9946" t="s">
        <v>4</v>
      </c>
      <c r="E9946">
        <v>1</v>
      </c>
    </row>
    <row r="9947" spans="1:5" x14ac:dyDescent="0.25">
      <c r="A9947">
        <v>9946</v>
      </c>
      <c r="B9947">
        <v>2270047</v>
      </c>
      <c r="C9947" s="1" t="str">
        <f>HYPERLINK("http://stackoverflow.com/users/2270047", "Travelaround")</f>
        <v>Travelaround</v>
      </c>
      <c r="D9947" t="s">
        <v>5</v>
      </c>
      <c r="E9947">
        <v>1</v>
      </c>
    </row>
    <row r="9948" spans="1:5" x14ac:dyDescent="0.25">
      <c r="A9948">
        <v>9947</v>
      </c>
      <c r="B9948">
        <v>2270820</v>
      </c>
      <c r="C9948" s="1" t="str">
        <f>HYPERLINK("http://stackoverflow.com/users/2270820", "leking")</f>
        <v>leking</v>
      </c>
      <c r="D9948" t="s">
        <v>37</v>
      </c>
      <c r="E9948">
        <v>1</v>
      </c>
    </row>
    <row r="9949" spans="1:5" x14ac:dyDescent="0.25">
      <c r="A9949">
        <v>9948</v>
      </c>
      <c r="B9949">
        <v>5793536</v>
      </c>
      <c r="C9949" s="1" t="str">
        <f>HYPERLINK("http://stackoverflow.com/users/5793536", "jin.tao")</f>
        <v>jin.tao</v>
      </c>
      <c r="D9949" t="s">
        <v>4</v>
      </c>
      <c r="E9949">
        <v>1</v>
      </c>
    </row>
    <row r="9950" spans="1:5" x14ac:dyDescent="0.25">
      <c r="A9950">
        <v>9949</v>
      </c>
      <c r="B9950">
        <v>5794263</v>
      </c>
      <c r="C9950" s="1" t="str">
        <f>HYPERLINK("http://stackoverflow.com/users/5794263", "Hertz Young")</f>
        <v>Hertz Young</v>
      </c>
      <c r="D9950" t="s">
        <v>96</v>
      </c>
      <c r="E9950">
        <v>1</v>
      </c>
    </row>
    <row r="9951" spans="1:5" x14ac:dyDescent="0.25">
      <c r="A9951">
        <v>9950</v>
      </c>
      <c r="B9951">
        <v>5794449</v>
      </c>
      <c r="C9951" s="1" t="str">
        <f>HYPERLINK("http://stackoverflow.com/users/5794449", "Keinji")</f>
        <v>Keinji</v>
      </c>
      <c r="D9951" t="s">
        <v>87</v>
      </c>
      <c r="E9951">
        <v>1</v>
      </c>
    </row>
    <row r="9952" spans="1:5" x14ac:dyDescent="0.25">
      <c r="A9952">
        <v>9951</v>
      </c>
      <c r="B9952">
        <v>9462133</v>
      </c>
      <c r="C9952" s="1" t="str">
        <f>HYPERLINK("http://stackoverflow.com/users/9462133", "Dan.Ding")</f>
        <v>Dan.Ding</v>
      </c>
      <c r="D9952" t="s">
        <v>5</v>
      </c>
      <c r="E9952">
        <v>1</v>
      </c>
    </row>
    <row r="9953" spans="1:5" x14ac:dyDescent="0.25">
      <c r="A9953">
        <v>9952</v>
      </c>
      <c r="B9953">
        <v>9462191</v>
      </c>
      <c r="C9953" s="1" t="str">
        <f>HYPERLINK("http://stackoverflow.com/users/9462191", "Jin Li")</f>
        <v>Jin Li</v>
      </c>
      <c r="D9953" t="s">
        <v>542</v>
      </c>
      <c r="E9953">
        <v>1</v>
      </c>
    </row>
    <row r="9954" spans="1:5" x14ac:dyDescent="0.25">
      <c r="A9954">
        <v>9953</v>
      </c>
      <c r="B9954">
        <v>7545205</v>
      </c>
      <c r="C9954" s="1" t="str">
        <f>HYPERLINK("http://stackoverflow.com/users/7545205", "DenonChen")</f>
        <v>DenonChen</v>
      </c>
      <c r="D9954" t="s">
        <v>5</v>
      </c>
      <c r="E9954">
        <v>1</v>
      </c>
    </row>
    <row r="9955" spans="1:5" x14ac:dyDescent="0.25">
      <c r="A9955">
        <v>9954</v>
      </c>
      <c r="B9955">
        <v>9467433</v>
      </c>
      <c r="C9955" s="1" t="str">
        <f>HYPERLINK("http://stackoverflow.com/users/9467433", "Yao Hai")</f>
        <v>Yao Hai</v>
      </c>
      <c r="D9955" t="s">
        <v>7</v>
      </c>
      <c r="E9955">
        <v>1</v>
      </c>
    </row>
    <row r="9956" spans="1:5" x14ac:dyDescent="0.25">
      <c r="A9956">
        <v>9955</v>
      </c>
      <c r="B9956">
        <v>9467504</v>
      </c>
      <c r="C9956" s="1" t="str">
        <f>HYPERLINK("http://stackoverflow.com/users/9467504", "Chenxi Yu")</f>
        <v>Chenxi Yu</v>
      </c>
      <c r="D9956" t="s">
        <v>4</v>
      </c>
      <c r="E9956">
        <v>1</v>
      </c>
    </row>
    <row r="9957" spans="1:5" x14ac:dyDescent="0.25">
      <c r="A9957">
        <v>9956</v>
      </c>
      <c r="B9957">
        <v>9467920</v>
      </c>
      <c r="C9957" s="1" t="str">
        <f>HYPERLINK("http://stackoverflow.com/users/9467920", "Hinanawi")</f>
        <v>Hinanawi</v>
      </c>
      <c r="D9957" t="s">
        <v>5</v>
      </c>
      <c r="E9957">
        <v>1</v>
      </c>
    </row>
    <row r="9958" spans="1:5" x14ac:dyDescent="0.25">
      <c r="A9958">
        <v>9957</v>
      </c>
      <c r="B9958">
        <v>5798192</v>
      </c>
      <c r="C9958" s="1" t="str">
        <f>HYPERLINK("http://stackoverflow.com/users/5798192", "leojin")</f>
        <v>leojin</v>
      </c>
      <c r="D9958" t="s">
        <v>21</v>
      </c>
      <c r="E9958">
        <v>1</v>
      </c>
    </row>
    <row r="9959" spans="1:5" x14ac:dyDescent="0.25">
      <c r="A9959">
        <v>9958</v>
      </c>
      <c r="B9959">
        <v>11262088</v>
      </c>
      <c r="C9959" s="1" t="str">
        <f>HYPERLINK("http://stackoverflow.com/users/11262088", "Souley Vlogs")</f>
        <v>Souley Vlogs</v>
      </c>
      <c r="D9959" t="s">
        <v>33</v>
      </c>
      <c r="E9959">
        <v>1</v>
      </c>
    </row>
    <row r="9960" spans="1:5" x14ac:dyDescent="0.25">
      <c r="A9960">
        <v>9959</v>
      </c>
      <c r="B9960">
        <v>7549353</v>
      </c>
      <c r="C9960" s="1" t="str">
        <f>HYPERLINK("http://stackoverflow.com/users/7549353", "TengFei Li")</f>
        <v>TengFei Li</v>
      </c>
      <c r="D9960" t="s">
        <v>5</v>
      </c>
      <c r="E9960">
        <v>1</v>
      </c>
    </row>
    <row r="9961" spans="1:5" x14ac:dyDescent="0.25">
      <c r="A9961">
        <v>9960</v>
      </c>
      <c r="B9961">
        <v>7549360</v>
      </c>
      <c r="C9961" s="1" t="str">
        <f>HYPERLINK("http://stackoverflow.com/users/7549360", "Jerry")</f>
        <v>Jerry</v>
      </c>
      <c r="D9961" t="s">
        <v>4</v>
      </c>
      <c r="E9961">
        <v>1</v>
      </c>
    </row>
    <row r="9962" spans="1:5" x14ac:dyDescent="0.25">
      <c r="A9962">
        <v>9961</v>
      </c>
      <c r="B9962">
        <v>2285436</v>
      </c>
      <c r="C9962" s="1" t="str">
        <f>HYPERLINK("http://stackoverflow.com/users/2285436", "teeceepee")</f>
        <v>teeceepee</v>
      </c>
      <c r="D9962" t="s">
        <v>4</v>
      </c>
      <c r="E9962">
        <v>1</v>
      </c>
    </row>
    <row r="9963" spans="1:5" x14ac:dyDescent="0.25">
      <c r="A9963">
        <v>9962</v>
      </c>
      <c r="B9963">
        <v>2265442</v>
      </c>
      <c r="C9963" s="1" t="str">
        <f>HYPERLINK("http://stackoverflow.com/users/2265442", "lovebing")</f>
        <v>lovebing</v>
      </c>
      <c r="D9963" t="s">
        <v>7</v>
      </c>
      <c r="E9963">
        <v>1</v>
      </c>
    </row>
    <row r="9964" spans="1:5" x14ac:dyDescent="0.25">
      <c r="A9964">
        <v>9963</v>
      </c>
      <c r="B9964">
        <v>2264635</v>
      </c>
      <c r="C9964" s="1" t="str">
        <f>HYPERLINK("http://stackoverflow.com/users/2264635", "strong future")</f>
        <v>strong future</v>
      </c>
      <c r="D9964" t="s">
        <v>5</v>
      </c>
      <c r="E9964">
        <v>1</v>
      </c>
    </row>
    <row r="9965" spans="1:5" x14ac:dyDescent="0.25">
      <c r="A9965">
        <v>9964</v>
      </c>
      <c r="B9965">
        <v>7538344</v>
      </c>
      <c r="C9965" s="1" t="str">
        <f>HYPERLINK("http://stackoverflow.com/users/7538344", "Charles.Zhang")</f>
        <v>Charles.Zhang</v>
      </c>
      <c r="D9965" t="s">
        <v>5</v>
      </c>
      <c r="E9965">
        <v>1</v>
      </c>
    </row>
    <row r="9966" spans="1:5" x14ac:dyDescent="0.25">
      <c r="A9966">
        <v>9965</v>
      </c>
      <c r="B9966">
        <v>2264221</v>
      </c>
      <c r="C9966" s="1" t="str">
        <f>HYPERLINK("http://stackoverflow.com/users/2264221", "Jeffrey Hu")</f>
        <v>Jeffrey Hu</v>
      </c>
      <c r="D9966" t="s">
        <v>12</v>
      </c>
      <c r="E9966">
        <v>1</v>
      </c>
    </row>
    <row r="9967" spans="1:5" x14ac:dyDescent="0.25">
      <c r="A9967">
        <v>9966</v>
      </c>
      <c r="B9967">
        <v>7534060</v>
      </c>
      <c r="C9967" s="1" t="str">
        <f>HYPERLINK("http://stackoverflow.com/users/7534060", "Zeiro")</f>
        <v>Zeiro</v>
      </c>
      <c r="D9967" t="s">
        <v>162</v>
      </c>
      <c r="E9967">
        <v>1</v>
      </c>
    </row>
    <row r="9968" spans="1:5" x14ac:dyDescent="0.25">
      <c r="A9968">
        <v>9967</v>
      </c>
      <c r="B9968">
        <v>9448742</v>
      </c>
      <c r="C9968" s="1" t="str">
        <f>HYPERLINK("http://stackoverflow.com/users/9448742", "pengpeng")</f>
        <v>pengpeng</v>
      </c>
      <c r="D9968" t="s">
        <v>543</v>
      </c>
      <c r="E9968">
        <v>1</v>
      </c>
    </row>
    <row r="9969" spans="1:5" x14ac:dyDescent="0.25">
      <c r="A9969">
        <v>9968</v>
      </c>
      <c r="B9969">
        <v>11242514</v>
      </c>
      <c r="C9969" s="1" t="str">
        <f>HYPERLINK("http://stackoverflow.com/users/11242514", "qinggniq")</f>
        <v>qinggniq</v>
      </c>
      <c r="D9969" t="s">
        <v>5</v>
      </c>
      <c r="E9969">
        <v>1</v>
      </c>
    </row>
    <row r="9970" spans="1:5" x14ac:dyDescent="0.25">
      <c r="A9970">
        <v>9969</v>
      </c>
      <c r="B9970">
        <v>11242747</v>
      </c>
      <c r="C9970" s="1" t="str">
        <f>HYPERLINK("http://stackoverflow.com/users/11242747", "madgoose")</f>
        <v>madgoose</v>
      </c>
      <c r="D9970" t="s">
        <v>131</v>
      </c>
      <c r="E9970">
        <v>1</v>
      </c>
    </row>
    <row r="9971" spans="1:5" x14ac:dyDescent="0.25">
      <c r="A9971">
        <v>9970</v>
      </c>
      <c r="B9971">
        <v>7537691</v>
      </c>
      <c r="C9971" s="1" t="str">
        <f>HYPERLINK("http://stackoverflow.com/users/7537691", "jiajun zhang")</f>
        <v>jiajun zhang</v>
      </c>
      <c r="D9971" t="s">
        <v>19</v>
      </c>
      <c r="E9971">
        <v>1</v>
      </c>
    </row>
    <row r="9972" spans="1:5" x14ac:dyDescent="0.25">
      <c r="A9972">
        <v>9971</v>
      </c>
      <c r="B9972">
        <v>7537758</v>
      </c>
      <c r="C9972" s="1" t="str">
        <f>HYPERLINK("http://stackoverflow.com/users/7537758", "liyongguang")</f>
        <v>liyongguang</v>
      </c>
      <c r="D9972" t="s">
        <v>25</v>
      </c>
      <c r="E9972">
        <v>1</v>
      </c>
    </row>
    <row r="9973" spans="1:5" x14ac:dyDescent="0.25">
      <c r="A9973">
        <v>9972</v>
      </c>
      <c r="B9973">
        <v>7537834</v>
      </c>
      <c r="C9973" s="1" t="str">
        <f>HYPERLINK("http://stackoverflow.com/users/7537834", "bobo")</f>
        <v>bobo</v>
      </c>
      <c r="D9973" t="s">
        <v>91</v>
      </c>
      <c r="E9973">
        <v>1</v>
      </c>
    </row>
    <row r="9974" spans="1:5" x14ac:dyDescent="0.25">
      <c r="A9974">
        <v>9973</v>
      </c>
      <c r="B9974">
        <v>9359613</v>
      </c>
      <c r="C9974" s="1" t="str">
        <f>HYPERLINK("http://stackoverflow.com/users/9359613", "Ahmed")</f>
        <v>Ahmed</v>
      </c>
      <c r="D9974" t="s">
        <v>28</v>
      </c>
      <c r="E9974">
        <v>1</v>
      </c>
    </row>
    <row r="9975" spans="1:5" x14ac:dyDescent="0.25">
      <c r="A9975">
        <v>9974</v>
      </c>
      <c r="B9975">
        <v>2168339</v>
      </c>
      <c r="C9975" s="1" t="str">
        <f>HYPERLINK("http://stackoverflow.com/users/2168339", "Jeff")</f>
        <v>Jeff</v>
      </c>
      <c r="D9975" t="s">
        <v>3</v>
      </c>
      <c r="E9975">
        <v>1</v>
      </c>
    </row>
    <row r="9976" spans="1:5" x14ac:dyDescent="0.25">
      <c r="A9976">
        <v>9975</v>
      </c>
      <c r="B9976">
        <v>2168399</v>
      </c>
      <c r="C9976" s="1" t="str">
        <f>HYPERLINK("http://stackoverflow.com/users/2168399", "happyjlq")</f>
        <v>happyjlq</v>
      </c>
      <c r="D9976" t="s">
        <v>5</v>
      </c>
      <c r="E9976">
        <v>1</v>
      </c>
    </row>
    <row r="9977" spans="1:5" x14ac:dyDescent="0.25">
      <c r="A9977">
        <v>9976</v>
      </c>
      <c r="B9977">
        <v>11152214</v>
      </c>
      <c r="C9977" s="1" t="str">
        <f>HYPERLINK("http://stackoverflow.com/users/11152214", "Rose.Tom")</f>
        <v>Rose.Tom</v>
      </c>
      <c r="D9977" t="s">
        <v>4</v>
      </c>
      <c r="E9977">
        <v>1</v>
      </c>
    </row>
    <row r="9978" spans="1:5" x14ac:dyDescent="0.25">
      <c r="A9978">
        <v>9977</v>
      </c>
      <c r="B9978">
        <v>3927551</v>
      </c>
      <c r="C9978" s="1" t="str">
        <f>HYPERLINK("http://stackoverflow.com/users/3927551", "Jiang Bin")</f>
        <v>Jiang Bin</v>
      </c>
      <c r="D9978" t="s">
        <v>5</v>
      </c>
      <c r="E9978">
        <v>1</v>
      </c>
    </row>
    <row r="9979" spans="1:5" x14ac:dyDescent="0.25">
      <c r="A9979">
        <v>9978</v>
      </c>
      <c r="B9979">
        <v>7460506</v>
      </c>
      <c r="C9979" s="1" t="str">
        <f>HYPERLINK("http://stackoverflow.com/users/7460506", "numens")</f>
        <v>numens</v>
      </c>
      <c r="D9979" t="s">
        <v>25</v>
      </c>
      <c r="E9979">
        <v>1</v>
      </c>
    </row>
    <row r="9980" spans="1:5" x14ac:dyDescent="0.25">
      <c r="A9980">
        <v>9979</v>
      </c>
      <c r="B9980">
        <v>7460655</v>
      </c>
      <c r="C9980" s="1" t="str">
        <f>HYPERLINK("http://stackoverflow.com/users/7460655", "Tommy.T")</f>
        <v>Tommy.T</v>
      </c>
      <c r="D9980" t="s">
        <v>544</v>
      </c>
      <c r="E9980">
        <v>1</v>
      </c>
    </row>
    <row r="9981" spans="1:5" x14ac:dyDescent="0.25">
      <c r="A9981">
        <v>9980</v>
      </c>
      <c r="B9981">
        <v>2167847</v>
      </c>
      <c r="C9981" s="1" t="str">
        <f>HYPERLINK("http://stackoverflow.com/users/2167847", "user2167847")</f>
        <v>user2167847</v>
      </c>
      <c r="D9981" t="s">
        <v>57</v>
      </c>
      <c r="E9981">
        <v>1</v>
      </c>
    </row>
    <row r="9982" spans="1:5" x14ac:dyDescent="0.25">
      <c r="A9982">
        <v>9981</v>
      </c>
      <c r="B9982">
        <v>2168031</v>
      </c>
      <c r="C9982" s="1" t="str">
        <f>HYPERLINK("http://stackoverflow.com/users/2168031", "wINTEN")</f>
        <v>wINTEN</v>
      </c>
      <c r="D9982" t="s">
        <v>4</v>
      </c>
      <c r="E9982">
        <v>1</v>
      </c>
    </row>
    <row r="9983" spans="1:5" x14ac:dyDescent="0.25">
      <c r="A9983">
        <v>9982</v>
      </c>
      <c r="B9983">
        <v>5707745</v>
      </c>
      <c r="C9983" s="1" t="str">
        <f>HYPERLINK("http://stackoverflow.com/users/5707745", "ncepuzhengyi")</f>
        <v>ncepuzhengyi</v>
      </c>
      <c r="D9983" t="s">
        <v>57</v>
      </c>
      <c r="E9983">
        <v>1</v>
      </c>
    </row>
    <row r="9984" spans="1:5" x14ac:dyDescent="0.25">
      <c r="A9984">
        <v>9983</v>
      </c>
      <c r="B9984">
        <v>5710810</v>
      </c>
      <c r="C9984" s="1" t="str">
        <f>HYPERLINK("http://stackoverflow.com/users/5710810", "Shijun Qin")</f>
        <v>Shijun Qin</v>
      </c>
      <c r="D9984" t="s">
        <v>5</v>
      </c>
      <c r="E9984">
        <v>1</v>
      </c>
    </row>
    <row r="9985" spans="1:5" x14ac:dyDescent="0.25">
      <c r="A9985">
        <v>9984</v>
      </c>
      <c r="B9985">
        <v>5710860</v>
      </c>
      <c r="C9985" s="1" t="str">
        <f>HYPERLINK("http://stackoverflow.com/users/5710860", "Miaomiao.Wang")</f>
        <v>Miaomiao.Wang</v>
      </c>
      <c r="D9985" t="s">
        <v>12</v>
      </c>
      <c r="E9985">
        <v>1</v>
      </c>
    </row>
    <row r="9986" spans="1:5" x14ac:dyDescent="0.25">
      <c r="A9986">
        <v>9985</v>
      </c>
      <c r="B9986">
        <v>2169184</v>
      </c>
      <c r="C9986" s="1" t="str">
        <f>HYPERLINK("http://stackoverflow.com/users/2169184", "wxin9")</f>
        <v>wxin9</v>
      </c>
      <c r="D9986" t="s">
        <v>59</v>
      </c>
      <c r="E9986">
        <v>1</v>
      </c>
    </row>
    <row r="9987" spans="1:5" x14ac:dyDescent="0.25">
      <c r="A9987">
        <v>9986</v>
      </c>
      <c r="B9987">
        <v>2169216</v>
      </c>
      <c r="C9987" s="1" t="str">
        <f>HYPERLINK("http://stackoverflow.com/users/2169216", "chenyijiu")</f>
        <v>chenyijiu</v>
      </c>
      <c r="D9987" t="s">
        <v>5</v>
      </c>
      <c r="E9987">
        <v>1</v>
      </c>
    </row>
    <row r="9988" spans="1:5" x14ac:dyDescent="0.25">
      <c r="A9988">
        <v>9987</v>
      </c>
      <c r="B9988">
        <v>2168586</v>
      </c>
      <c r="C9988" s="1" t="str">
        <f>HYPERLINK("http://stackoverflow.com/users/2168586", "st316")</f>
        <v>st316</v>
      </c>
      <c r="D9988" t="s">
        <v>5</v>
      </c>
      <c r="E9988">
        <v>1</v>
      </c>
    </row>
    <row r="9989" spans="1:5" x14ac:dyDescent="0.25">
      <c r="A9989">
        <v>9988</v>
      </c>
      <c r="B9989">
        <v>2168635</v>
      </c>
      <c r="C9989" s="1" t="str">
        <f>HYPERLINK("http://stackoverflow.com/users/2168635", "Duke Guo")</f>
        <v>Duke Guo</v>
      </c>
      <c r="D9989" t="s">
        <v>545</v>
      </c>
      <c r="E9989">
        <v>1</v>
      </c>
    </row>
    <row r="9990" spans="1:5" x14ac:dyDescent="0.25">
      <c r="A9990">
        <v>9989</v>
      </c>
      <c r="B9990">
        <v>11161164</v>
      </c>
      <c r="C9990" s="1" t="str">
        <f>HYPERLINK("http://stackoverflow.com/users/11161164", "Aranne -")</f>
        <v>Aranne -</v>
      </c>
      <c r="D9990" t="s">
        <v>5</v>
      </c>
      <c r="E9990">
        <v>1</v>
      </c>
    </row>
    <row r="9991" spans="1:5" x14ac:dyDescent="0.25">
      <c r="A9991">
        <v>9990</v>
      </c>
      <c r="B9991">
        <v>9372090</v>
      </c>
      <c r="C9991" s="1" t="str">
        <f>HYPERLINK("http://stackoverflow.com/users/9372090", "jueti")</f>
        <v>jueti</v>
      </c>
      <c r="D9991" t="s">
        <v>21</v>
      </c>
      <c r="E9991">
        <v>1</v>
      </c>
    </row>
    <row r="9992" spans="1:5" x14ac:dyDescent="0.25">
      <c r="A9992">
        <v>9991</v>
      </c>
      <c r="B9992">
        <v>11163950</v>
      </c>
      <c r="C9992" s="1" t="str">
        <f>HYPERLINK("http://stackoverflow.com/users/11163950", "maobiao.yao")</f>
        <v>maobiao.yao</v>
      </c>
      <c r="D9992" t="s">
        <v>4</v>
      </c>
      <c r="E9992">
        <v>1</v>
      </c>
    </row>
    <row r="9993" spans="1:5" x14ac:dyDescent="0.25">
      <c r="A9993">
        <v>9992</v>
      </c>
      <c r="B9993">
        <v>11163973</v>
      </c>
      <c r="C9993" s="1" t="str">
        <f>HYPERLINK("http://stackoverflow.com/users/11163973", "Lynn")</f>
        <v>Lynn</v>
      </c>
      <c r="D9993" t="s">
        <v>4</v>
      </c>
      <c r="E9993">
        <v>1</v>
      </c>
    </row>
    <row r="9994" spans="1:5" x14ac:dyDescent="0.25">
      <c r="A9994">
        <v>9993</v>
      </c>
      <c r="B9994">
        <v>7468347</v>
      </c>
      <c r="C9994" s="1" t="str">
        <f>HYPERLINK("http://stackoverflow.com/users/7468347", "Lrivk")</f>
        <v>Lrivk</v>
      </c>
      <c r="D9994" t="s">
        <v>15</v>
      </c>
      <c r="E9994">
        <v>1</v>
      </c>
    </row>
    <row r="9995" spans="1:5" x14ac:dyDescent="0.25">
      <c r="A9995">
        <v>9994</v>
      </c>
      <c r="B9995">
        <v>5714359</v>
      </c>
      <c r="C9995" s="1" t="str">
        <f>HYPERLINK("http://stackoverflow.com/users/5714359", "SindriLin")</f>
        <v>SindriLin</v>
      </c>
      <c r="D9995" t="s">
        <v>21</v>
      </c>
      <c r="E9995">
        <v>1</v>
      </c>
    </row>
    <row r="9996" spans="1:5" x14ac:dyDescent="0.25">
      <c r="A9996">
        <v>9995</v>
      </c>
      <c r="B9996">
        <v>5714436</v>
      </c>
      <c r="C9996" s="1" t="str">
        <f>HYPERLINK("http://stackoverflow.com/users/5714436", "kimi013")</f>
        <v>kimi013</v>
      </c>
      <c r="D9996" t="s">
        <v>33</v>
      </c>
      <c r="E9996">
        <v>1</v>
      </c>
    </row>
    <row r="9997" spans="1:5" x14ac:dyDescent="0.25">
      <c r="A9997">
        <v>9996</v>
      </c>
      <c r="B9997">
        <v>5714474</v>
      </c>
      <c r="C9997" s="1" t="str">
        <f>HYPERLINK("http://stackoverflow.com/users/5714474", "howq")</f>
        <v>howq</v>
      </c>
      <c r="D9997" t="s">
        <v>22</v>
      </c>
      <c r="E9997">
        <v>1</v>
      </c>
    </row>
    <row r="9998" spans="1:5" x14ac:dyDescent="0.25">
      <c r="A9998">
        <v>9997</v>
      </c>
      <c r="B9998">
        <v>5714582</v>
      </c>
      <c r="C9998" s="1" t="str">
        <f>HYPERLINK("http://stackoverflow.com/users/5714582", "Iporer")</f>
        <v>Iporer</v>
      </c>
      <c r="D9998" t="s">
        <v>3</v>
      </c>
      <c r="E9998">
        <v>1</v>
      </c>
    </row>
    <row r="9999" spans="1:5" x14ac:dyDescent="0.25">
      <c r="A9999">
        <v>9998</v>
      </c>
      <c r="B9999">
        <v>2181674</v>
      </c>
      <c r="C9999" s="1" t="str">
        <f>HYPERLINK("http://stackoverflow.com/users/2181674", "wywon")</f>
        <v>wywon</v>
      </c>
      <c r="D9999" t="s">
        <v>17</v>
      </c>
      <c r="E9999">
        <v>1</v>
      </c>
    </row>
    <row r="10000" spans="1:5" x14ac:dyDescent="0.25">
      <c r="A10000">
        <v>9999</v>
      </c>
      <c r="B10000">
        <v>3939553</v>
      </c>
      <c r="C10000" s="1" t="str">
        <f>HYPERLINK("http://stackoverflow.com/users/3939553", "Erik Fei")</f>
        <v>Erik Fei</v>
      </c>
      <c r="D10000" t="s">
        <v>521</v>
      </c>
      <c r="E10000">
        <v>1</v>
      </c>
    </row>
    <row r="10001" spans="1:5" x14ac:dyDescent="0.25">
      <c r="A10001">
        <v>10000</v>
      </c>
      <c r="B10001">
        <v>3931690</v>
      </c>
      <c r="C10001" s="1" t="str">
        <f>HYPERLINK("http://stackoverflow.com/users/3931690", "Juve_GodBless")</f>
        <v>Juve_GodBless</v>
      </c>
      <c r="D10001" t="s">
        <v>5</v>
      </c>
      <c r="E10001">
        <v>1</v>
      </c>
    </row>
    <row r="10002" spans="1:5" x14ac:dyDescent="0.25">
      <c r="A10002">
        <v>10001</v>
      </c>
      <c r="B10002">
        <v>5718012</v>
      </c>
      <c r="C10002" s="1" t="str">
        <f>HYPERLINK("http://stackoverflow.com/users/5718012", "Gc W")</f>
        <v>Gc W</v>
      </c>
      <c r="D10002" t="s">
        <v>15</v>
      </c>
      <c r="E10002">
        <v>1</v>
      </c>
    </row>
    <row r="10003" spans="1:5" x14ac:dyDescent="0.25">
      <c r="A10003">
        <v>10002</v>
      </c>
      <c r="B10003">
        <v>11168456</v>
      </c>
      <c r="C10003" s="1" t="str">
        <f>HYPERLINK("http://stackoverflow.com/users/11168456", "user11168456")</f>
        <v>user11168456</v>
      </c>
      <c r="D10003" t="s">
        <v>5</v>
      </c>
      <c r="E10003">
        <v>1</v>
      </c>
    </row>
    <row r="10004" spans="1:5" x14ac:dyDescent="0.25">
      <c r="A10004">
        <v>10003</v>
      </c>
      <c r="B10004">
        <v>7474693</v>
      </c>
      <c r="C10004" s="1" t="str">
        <f>HYPERLINK("http://stackoverflow.com/users/7474693", "Jason Chiv")</f>
        <v>Jason Chiv</v>
      </c>
      <c r="D10004" t="s">
        <v>28</v>
      </c>
      <c r="E10004">
        <v>1</v>
      </c>
    </row>
    <row r="10005" spans="1:5" x14ac:dyDescent="0.25">
      <c r="A10005">
        <v>10004</v>
      </c>
      <c r="B10005">
        <v>3943363</v>
      </c>
      <c r="C10005" s="1" t="str">
        <f>HYPERLINK("http://stackoverflow.com/users/3943363", "heil_the_helper")</f>
        <v>heil_the_helper</v>
      </c>
      <c r="D10005" t="s">
        <v>4</v>
      </c>
      <c r="E10005">
        <v>1</v>
      </c>
    </row>
    <row r="10006" spans="1:5" x14ac:dyDescent="0.25">
      <c r="A10006">
        <v>10005</v>
      </c>
      <c r="B10006">
        <v>5729332</v>
      </c>
      <c r="C10006" s="1" t="str">
        <f>HYPERLINK("http://stackoverflow.com/users/5729332", "JZ_")</f>
        <v>JZ_</v>
      </c>
      <c r="D10006" t="s">
        <v>22</v>
      </c>
      <c r="E10006">
        <v>1</v>
      </c>
    </row>
    <row r="10007" spans="1:5" x14ac:dyDescent="0.25">
      <c r="A10007">
        <v>10006</v>
      </c>
      <c r="B10007">
        <v>11184092</v>
      </c>
      <c r="C10007" s="1" t="str">
        <f>HYPERLINK("http://stackoverflow.com/users/11184092", "user11184092")</f>
        <v>user11184092</v>
      </c>
      <c r="D10007" t="s">
        <v>7</v>
      </c>
      <c r="E10007">
        <v>1</v>
      </c>
    </row>
    <row r="10008" spans="1:5" x14ac:dyDescent="0.25">
      <c r="A10008">
        <v>10007</v>
      </c>
      <c r="B10008">
        <v>9390132</v>
      </c>
      <c r="C10008" s="1" t="str">
        <f>HYPERLINK("http://stackoverflow.com/users/9390132", "Pei Tiffany")</f>
        <v>Pei Tiffany</v>
      </c>
      <c r="D10008" t="s">
        <v>4</v>
      </c>
      <c r="E10008">
        <v>1</v>
      </c>
    </row>
    <row r="10009" spans="1:5" x14ac:dyDescent="0.25">
      <c r="A10009">
        <v>10008</v>
      </c>
      <c r="B10009">
        <v>2195126</v>
      </c>
      <c r="C10009" s="1" t="str">
        <f>HYPERLINK("http://stackoverflow.com/users/2195126", "sonydvd123")</f>
        <v>sonydvd123</v>
      </c>
      <c r="D10009" t="s">
        <v>38</v>
      </c>
      <c r="E10009">
        <v>1</v>
      </c>
    </row>
    <row r="10010" spans="1:5" x14ac:dyDescent="0.25">
      <c r="A10010">
        <v>10009</v>
      </c>
      <c r="B10010">
        <v>2195302</v>
      </c>
      <c r="C10010" s="1" t="str">
        <f>HYPERLINK("http://stackoverflow.com/users/2195302", "ChanTung_cn")</f>
        <v>ChanTung_cn</v>
      </c>
      <c r="D10010" t="s">
        <v>22</v>
      </c>
      <c r="E10010">
        <v>1</v>
      </c>
    </row>
    <row r="10011" spans="1:5" x14ac:dyDescent="0.25">
      <c r="A10011">
        <v>10010</v>
      </c>
      <c r="B10011">
        <v>2195681</v>
      </c>
      <c r="C10011" s="1" t="str">
        <f>HYPERLINK("http://stackoverflow.com/users/2195681", "madre_ma")</f>
        <v>madre_ma</v>
      </c>
      <c r="D10011" t="s">
        <v>5</v>
      </c>
      <c r="E10011">
        <v>1</v>
      </c>
    </row>
    <row r="10012" spans="1:5" x14ac:dyDescent="0.25">
      <c r="A10012">
        <v>10011</v>
      </c>
      <c r="B10012">
        <v>7485594</v>
      </c>
      <c r="C10012" s="1" t="str">
        <f>HYPERLINK("http://stackoverflow.com/users/7485594", "YanLu")</f>
        <v>YanLu</v>
      </c>
      <c r="D10012" t="s">
        <v>131</v>
      </c>
      <c r="E10012">
        <v>1</v>
      </c>
    </row>
    <row r="10013" spans="1:5" x14ac:dyDescent="0.25">
      <c r="A10013">
        <v>10012</v>
      </c>
      <c r="B10013">
        <v>7485840</v>
      </c>
      <c r="C10013" s="1" t="str">
        <f>HYPERLINK("http://stackoverflow.com/users/7485840", "Stephane")</f>
        <v>Stephane</v>
      </c>
      <c r="D10013" t="s">
        <v>546</v>
      </c>
      <c r="E10013">
        <v>1</v>
      </c>
    </row>
    <row r="10014" spans="1:5" x14ac:dyDescent="0.25">
      <c r="A10014">
        <v>10013</v>
      </c>
      <c r="B10014">
        <v>9394766</v>
      </c>
      <c r="C10014" s="1" t="str">
        <f>HYPERLINK("http://stackoverflow.com/users/9394766", "abbott guo")</f>
        <v>abbott guo</v>
      </c>
      <c r="D10014" t="s">
        <v>184</v>
      </c>
      <c r="E10014">
        <v>1</v>
      </c>
    </row>
    <row r="10015" spans="1:5" x14ac:dyDescent="0.25">
      <c r="A10015">
        <v>10014</v>
      </c>
      <c r="B10015">
        <v>9394466</v>
      </c>
      <c r="C10015" s="1" t="str">
        <f>HYPERLINK("http://stackoverflow.com/users/9394466", "shilixing")</f>
        <v>shilixing</v>
      </c>
      <c r="D10015" t="s">
        <v>4</v>
      </c>
      <c r="E10015">
        <v>1</v>
      </c>
    </row>
    <row r="10016" spans="1:5" x14ac:dyDescent="0.25">
      <c r="A10016">
        <v>10015</v>
      </c>
      <c r="B10016">
        <v>3940186</v>
      </c>
      <c r="C10016" s="1" t="str">
        <f>HYPERLINK("http://stackoverflow.com/users/3940186", "Littlewin")</f>
        <v>Littlewin</v>
      </c>
      <c r="D10016" t="s">
        <v>17</v>
      </c>
      <c r="E10016">
        <v>1</v>
      </c>
    </row>
    <row r="10017" spans="1:5" x14ac:dyDescent="0.25">
      <c r="A10017">
        <v>10016</v>
      </c>
      <c r="B10017">
        <v>11178730</v>
      </c>
      <c r="C10017" s="1" t="str">
        <f>HYPERLINK("http://stackoverflow.com/users/11178730", "Cdh")</f>
        <v>Cdh</v>
      </c>
      <c r="D10017" t="s">
        <v>175</v>
      </c>
      <c r="E10017">
        <v>1</v>
      </c>
    </row>
    <row r="10018" spans="1:5" x14ac:dyDescent="0.25">
      <c r="A10018">
        <v>10017</v>
      </c>
      <c r="B10018">
        <v>11178946</v>
      </c>
      <c r="C10018" s="1" t="str">
        <f>HYPERLINK("http://stackoverflow.com/users/11178946", "Shawn Painkiller")</f>
        <v>Shawn Painkiller</v>
      </c>
      <c r="D10018" t="s">
        <v>4</v>
      </c>
      <c r="E10018">
        <v>1</v>
      </c>
    </row>
    <row r="10019" spans="1:5" x14ac:dyDescent="0.25">
      <c r="A10019">
        <v>10018</v>
      </c>
      <c r="B10019">
        <v>11178996</v>
      </c>
      <c r="C10019" s="1" t="str">
        <f>HYPERLINK("http://stackoverflow.com/users/11178996", "AI King")</f>
        <v>AI King</v>
      </c>
      <c r="D10019" t="s">
        <v>4</v>
      </c>
      <c r="E10019">
        <v>1</v>
      </c>
    </row>
    <row r="10020" spans="1:5" x14ac:dyDescent="0.25">
      <c r="A10020">
        <v>10019</v>
      </c>
      <c r="B10020">
        <v>2189891</v>
      </c>
      <c r="C10020" s="1" t="str">
        <f>HYPERLINK("http://stackoverflow.com/users/2189891", "airtrack")</f>
        <v>airtrack</v>
      </c>
      <c r="D10020" t="s">
        <v>17</v>
      </c>
      <c r="E10020">
        <v>1</v>
      </c>
    </row>
    <row r="10021" spans="1:5" x14ac:dyDescent="0.25">
      <c r="A10021">
        <v>10020</v>
      </c>
      <c r="B10021">
        <v>2190262</v>
      </c>
      <c r="C10021" s="1" t="str">
        <f>HYPERLINK("http://stackoverflow.com/users/2190262", "user2190262")</f>
        <v>user2190262</v>
      </c>
      <c r="D10021" t="s">
        <v>21</v>
      </c>
      <c r="E10021">
        <v>1</v>
      </c>
    </row>
    <row r="10022" spans="1:5" x14ac:dyDescent="0.25">
      <c r="A10022">
        <v>10021</v>
      </c>
      <c r="B10022">
        <v>2191014</v>
      </c>
      <c r="C10022" s="1" t="str">
        <f>HYPERLINK("http://stackoverflow.com/users/2191014", "口玉文刀")</f>
        <v>口玉文刀</v>
      </c>
      <c r="D10022" t="s">
        <v>38</v>
      </c>
      <c r="E10022">
        <v>1</v>
      </c>
    </row>
    <row r="10023" spans="1:5" x14ac:dyDescent="0.25">
      <c r="A10023">
        <v>10022</v>
      </c>
      <c r="B10023">
        <v>2191031</v>
      </c>
      <c r="C10023" s="1" t="str">
        <f>HYPERLINK("http://stackoverflow.com/users/2191031", "xnslong")</f>
        <v>xnslong</v>
      </c>
      <c r="D10023" t="s">
        <v>152</v>
      </c>
      <c r="E10023">
        <v>1</v>
      </c>
    </row>
    <row r="10024" spans="1:5" x14ac:dyDescent="0.25">
      <c r="A10024">
        <v>10023</v>
      </c>
      <c r="B10024">
        <v>7482662</v>
      </c>
      <c r="C10024" s="1" t="str">
        <f>HYPERLINK("http://stackoverflow.com/users/7482662", "Charles Taylor")</f>
        <v>Charles Taylor</v>
      </c>
      <c r="D10024" t="s">
        <v>55</v>
      </c>
      <c r="E10024">
        <v>1</v>
      </c>
    </row>
    <row r="10025" spans="1:5" x14ac:dyDescent="0.25">
      <c r="A10025">
        <v>10024</v>
      </c>
      <c r="B10025">
        <v>7482954</v>
      </c>
      <c r="C10025" s="1" t="str">
        <f>HYPERLINK("http://stackoverflow.com/users/7482954", "zzqz1z2")</f>
        <v>zzqz1z2</v>
      </c>
      <c r="D10025" t="s">
        <v>266</v>
      </c>
      <c r="E10025">
        <v>1</v>
      </c>
    </row>
    <row r="10026" spans="1:5" x14ac:dyDescent="0.25">
      <c r="A10026">
        <v>10025</v>
      </c>
      <c r="B10026">
        <v>5729018</v>
      </c>
      <c r="C10026" s="1" t="str">
        <f>HYPERLINK("http://stackoverflow.com/users/5729018", "温伟华")</f>
        <v>温伟华</v>
      </c>
      <c r="D10026" t="s">
        <v>21</v>
      </c>
      <c r="E10026">
        <v>1</v>
      </c>
    </row>
    <row r="10027" spans="1:5" x14ac:dyDescent="0.25">
      <c r="A10027">
        <v>10026</v>
      </c>
      <c r="B10027">
        <v>3894833</v>
      </c>
      <c r="C10027" s="1" t="str">
        <f>HYPERLINK("http://stackoverflow.com/users/3894833", "Wayen")</f>
        <v>Wayen</v>
      </c>
      <c r="D10027" t="s">
        <v>21</v>
      </c>
      <c r="E10027">
        <v>1</v>
      </c>
    </row>
    <row r="10028" spans="1:5" x14ac:dyDescent="0.25">
      <c r="A10028">
        <v>10027</v>
      </c>
      <c r="B10028">
        <v>2130328</v>
      </c>
      <c r="C10028" s="1" t="str">
        <f>HYPERLINK("http://stackoverflow.com/users/2130328", "Dawson.Liu")</f>
        <v>Dawson.Liu</v>
      </c>
      <c r="D10028" t="s">
        <v>4</v>
      </c>
      <c r="E10028">
        <v>1</v>
      </c>
    </row>
    <row r="10029" spans="1:5" x14ac:dyDescent="0.25">
      <c r="A10029">
        <v>10028</v>
      </c>
      <c r="B10029">
        <v>3897984</v>
      </c>
      <c r="C10029" s="1" t="str">
        <f>HYPERLINK("http://stackoverflow.com/users/3897984", "Yuan Chongwei")</f>
        <v>Yuan Chongwei</v>
      </c>
      <c r="D10029" t="s">
        <v>4</v>
      </c>
      <c r="E10029">
        <v>1</v>
      </c>
    </row>
    <row r="10030" spans="1:5" x14ac:dyDescent="0.25">
      <c r="A10030">
        <v>10029</v>
      </c>
      <c r="B10030">
        <v>3898150</v>
      </c>
      <c r="C10030" s="1" t="str">
        <f>HYPERLINK("http://stackoverflow.com/users/3898150", "EvenGui")</f>
        <v>EvenGui</v>
      </c>
      <c r="D10030" t="s">
        <v>17</v>
      </c>
      <c r="E10030">
        <v>1</v>
      </c>
    </row>
    <row r="10031" spans="1:5" x14ac:dyDescent="0.25">
      <c r="A10031">
        <v>10030</v>
      </c>
      <c r="B10031">
        <v>2138601</v>
      </c>
      <c r="C10031" s="1" t="str">
        <f>HYPERLINK("http://stackoverflow.com/users/2138601", "Sunny")</f>
        <v>Sunny</v>
      </c>
      <c r="D10031" t="s">
        <v>4</v>
      </c>
      <c r="E10031">
        <v>1</v>
      </c>
    </row>
    <row r="10032" spans="1:5" x14ac:dyDescent="0.25">
      <c r="A10032">
        <v>10031</v>
      </c>
      <c r="B10032">
        <v>2138998</v>
      </c>
      <c r="C10032" s="1" t="str">
        <f>HYPERLINK("http://stackoverflow.com/users/2138998", "JanIsADog")</f>
        <v>JanIsADog</v>
      </c>
      <c r="D10032" t="s">
        <v>4</v>
      </c>
      <c r="E10032">
        <v>1</v>
      </c>
    </row>
    <row r="10033" spans="1:5" x14ac:dyDescent="0.25">
      <c r="A10033">
        <v>10032</v>
      </c>
      <c r="B10033">
        <v>9333472</v>
      </c>
      <c r="C10033" s="1" t="str">
        <f>HYPERLINK("http://stackoverflow.com/users/9333472", "Charlie Chen")</f>
        <v>Charlie Chen</v>
      </c>
      <c r="D10033" t="s">
        <v>4</v>
      </c>
      <c r="E10033">
        <v>1</v>
      </c>
    </row>
    <row r="10034" spans="1:5" x14ac:dyDescent="0.25">
      <c r="A10034">
        <v>10033</v>
      </c>
      <c r="B10034">
        <v>7435457</v>
      </c>
      <c r="C10034" s="1" t="str">
        <f>HYPERLINK("http://stackoverflow.com/users/7435457", "allen Smith")</f>
        <v>allen Smith</v>
      </c>
      <c r="D10034" t="s">
        <v>5</v>
      </c>
      <c r="E10034">
        <v>1</v>
      </c>
    </row>
    <row r="10035" spans="1:5" x14ac:dyDescent="0.25">
      <c r="A10035">
        <v>10034</v>
      </c>
      <c r="B10035">
        <v>5682024</v>
      </c>
      <c r="C10035" s="1" t="str">
        <f>HYPERLINK("http://stackoverflow.com/users/5682024", "endlessflier")</f>
        <v>endlessflier</v>
      </c>
      <c r="D10035" t="s">
        <v>74</v>
      </c>
      <c r="E10035">
        <v>1</v>
      </c>
    </row>
    <row r="10036" spans="1:5" x14ac:dyDescent="0.25">
      <c r="A10036">
        <v>10035</v>
      </c>
      <c r="B10036">
        <v>5682135</v>
      </c>
      <c r="C10036" s="1" t="str">
        <f>HYPERLINK("http://stackoverflow.com/users/5682135", "SayHelloWen")</f>
        <v>SayHelloWen</v>
      </c>
      <c r="D10036" t="s">
        <v>21</v>
      </c>
      <c r="E10036">
        <v>1</v>
      </c>
    </row>
    <row r="10037" spans="1:5" x14ac:dyDescent="0.25">
      <c r="A10037">
        <v>10036</v>
      </c>
      <c r="B10037">
        <v>5682381</v>
      </c>
      <c r="C10037" s="1" t="str">
        <f>HYPERLINK("http://stackoverflow.com/users/5682381", "iospp")</f>
        <v>iospp</v>
      </c>
      <c r="D10037" t="s">
        <v>5</v>
      </c>
      <c r="E10037">
        <v>1</v>
      </c>
    </row>
    <row r="10038" spans="1:5" x14ac:dyDescent="0.25">
      <c r="A10038">
        <v>10037</v>
      </c>
      <c r="B10038">
        <v>5682738</v>
      </c>
      <c r="C10038" s="1" t="str">
        <f>HYPERLINK("http://stackoverflow.com/users/5682738", "idiotfan")</f>
        <v>idiotfan</v>
      </c>
      <c r="D10038" t="s">
        <v>12</v>
      </c>
      <c r="E10038">
        <v>1</v>
      </c>
    </row>
    <row r="10039" spans="1:5" x14ac:dyDescent="0.25">
      <c r="A10039">
        <v>10038</v>
      </c>
      <c r="B10039">
        <v>9337463</v>
      </c>
      <c r="C10039" s="1" t="str">
        <f>HYPERLINK("http://stackoverflow.com/users/9337463", "Vincent Liu")</f>
        <v>Vincent Liu</v>
      </c>
      <c r="D10039" t="s">
        <v>4</v>
      </c>
      <c r="E10039">
        <v>1</v>
      </c>
    </row>
    <row r="10040" spans="1:5" x14ac:dyDescent="0.25">
      <c r="A10040">
        <v>10039</v>
      </c>
      <c r="B10040">
        <v>2138187</v>
      </c>
      <c r="C10040" s="1" t="str">
        <f>HYPERLINK("http://stackoverflow.com/users/2138187", "yanue")</f>
        <v>yanue</v>
      </c>
      <c r="D10040" t="s">
        <v>17</v>
      </c>
      <c r="E10040">
        <v>1</v>
      </c>
    </row>
    <row r="10041" spans="1:5" x14ac:dyDescent="0.25">
      <c r="A10041">
        <v>10040</v>
      </c>
      <c r="B10041">
        <v>3894026</v>
      </c>
      <c r="C10041" s="1" t="str">
        <f>HYPERLINK("http://stackoverflow.com/users/3894026", "66beta")</f>
        <v>66beta</v>
      </c>
      <c r="D10041" t="s">
        <v>4</v>
      </c>
      <c r="E10041">
        <v>1</v>
      </c>
    </row>
    <row r="10042" spans="1:5" x14ac:dyDescent="0.25">
      <c r="A10042">
        <v>10041</v>
      </c>
      <c r="B10042">
        <v>5674090</v>
      </c>
      <c r="C10042" s="1" t="str">
        <f>HYPERLINK("http://stackoverflow.com/users/5674090", "Eric Deng")</f>
        <v>Eric Deng</v>
      </c>
      <c r="D10042" t="s">
        <v>4</v>
      </c>
      <c r="E10042">
        <v>1</v>
      </c>
    </row>
    <row r="10043" spans="1:5" x14ac:dyDescent="0.25">
      <c r="A10043">
        <v>10042</v>
      </c>
      <c r="B10043">
        <v>5674094</v>
      </c>
      <c r="C10043" s="1" t="str">
        <f>HYPERLINK("http://stackoverflow.com/users/5674094", "Ma Steven")</f>
        <v>Ma Steven</v>
      </c>
      <c r="D10043" t="s">
        <v>17</v>
      </c>
      <c r="E10043">
        <v>1</v>
      </c>
    </row>
    <row r="10044" spans="1:5" x14ac:dyDescent="0.25">
      <c r="A10044">
        <v>10043</v>
      </c>
      <c r="B10044">
        <v>5673995</v>
      </c>
      <c r="C10044" s="1" t="str">
        <f>HYPERLINK("http://stackoverflow.com/users/5673995", "Haoxuan Li")</f>
        <v>Haoxuan Li</v>
      </c>
      <c r="D10044" t="s">
        <v>4</v>
      </c>
      <c r="E10044">
        <v>1</v>
      </c>
    </row>
    <row r="10045" spans="1:5" x14ac:dyDescent="0.25">
      <c r="A10045">
        <v>10044</v>
      </c>
      <c r="B10045">
        <v>11117458</v>
      </c>
      <c r="C10045" s="1" t="str">
        <f>HYPERLINK("http://stackoverflow.com/users/11117458", "Johnny Liu")</f>
        <v>Johnny Liu</v>
      </c>
      <c r="D10045" t="s">
        <v>4</v>
      </c>
      <c r="E10045">
        <v>1</v>
      </c>
    </row>
    <row r="10046" spans="1:5" x14ac:dyDescent="0.25">
      <c r="A10046">
        <v>10045</v>
      </c>
      <c r="B10046">
        <v>11117664</v>
      </c>
      <c r="C10046" s="1" t="str">
        <f>HYPERLINK("http://stackoverflow.com/users/11117664", "shine shen")</f>
        <v>shine shen</v>
      </c>
      <c r="D10046" t="s">
        <v>4</v>
      </c>
      <c r="E10046">
        <v>1</v>
      </c>
    </row>
    <row r="10047" spans="1:5" x14ac:dyDescent="0.25">
      <c r="A10047">
        <v>10046</v>
      </c>
      <c r="B10047">
        <v>5673666</v>
      </c>
      <c r="C10047" s="1" t="str">
        <f>HYPERLINK("http://stackoverflow.com/users/5673666", "康亚博")</f>
        <v>康亚博</v>
      </c>
      <c r="D10047" t="s">
        <v>12</v>
      </c>
      <c r="E10047">
        <v>1</v>
      </c>
    </row>
    <row r="10048" spans="1:5" x14ac:dyDescent="0.25">
      <c r="A10048">
        <v>10047</v>
      </c>
      <c r="B10048">
        <v>2120320</v>
      </c>
      <c r="C10048" s="1" t="str">
        <f>HYPERLINK("http://stackoverflow.com/users/2120320", "UFO")</f>
        <v>UFO</v>
      </c>
      <c r="D10048" t="s">
        <v>4</v>
      </c>
      <c r="E10048">
        <v>1</v>
      </c>
    </row>
    <row r="10049" spans="1:5" x14ac:dyDescent="0.25">
      <c r="A10049">
        <v>10048</v>
      </c>
      <c r="B10049">
        <v>9320619</v>
      </c>
      <c r="C10049" s="1" t="str">
        <f>HYPERLINK("http://stackoverflow.com/users/9320619", "yancheng he")</f>
        <v>yancheng he</v>
      </c>
      <c r="D10049" t="s">
        <v>52</v>
      </c>
      <c r="E10049">
        <v>1</v>
      </c>
    </row>
    <row r="10050" spans="1:5" x14ac:dyDescent="0.25">
      <c r="A10050">
        <v>10049</v>
      </c>
      <c r="B10050">
        <v>9321069</v>
      </c>
      <c r="C10050" s="1" t="str">
        <f>HYPERLINK("http://stackoverflow.com/users/9321069", "Jonyhy96")</f>
        <v>Jonyhy96</v>
      </c>
      <c r="D10050" t="s">
        <v>28</v>
      </c>
      <c r="E10050">
        <v>1</v>
      </c>
    </row>
    <row r="10051" spans="1:5" x14ac:dyDescent="0.25">
      <c r="A10051">
        <v>10050</v>
      </c>
      <c r="B10051">
        <v>11139762</v>
      </c>
      <c r="C10051" s="1" t="str">
        <f>HYPERLINK("http://stackoverflow.com/users/11139762", "Polina Lemenkova")</f>
        <v>Polina Lemenkova</v>
      </c>
      <c r="D10051" t="s">
        <v>79</v>
      </c>
      <c r="E10051">
        <v>1</v>
      </c>
    </row>
    <row r="10052" spans="1:5" x14ac:dyDescent="0.25">
      <c r="A10052">
        <v>10051</v>
      </c>
      <c r="B10052">
        <v>11139816</v>
      </c>
      <c r="C10052" s="1" t="str">
        <f>HYPERLINK("http://stackoverflow.com/users/11139816", "Donglin Peng")</f>
        <v>Donglin Peng</v>
      </c>
      <c r="D10052" t="s">
        <v>5</v>
      </c>
      <c r="E10052">
        <v>1</v>
      </c>
    </row>
    <row r="10053" spans="1:5" x14ac:dyDescent="0.25">
      <c r="A10053">
        <v>10052</v>
      </c>
      <c r="B10053">
        <v>2153933</v>
      </c>
      <c r="C10053" s="1" t="str">
        <f>HYPERLINK("http://stackoverflow.com/users/2153933", "Roger")</f>
        <v>Roger</v>
      </c>
      <c r="D10053" t="s">
        <v>4</v>
      </c>
      <c r="E10053">
        <v>1</v>
      </c>
    </row>
    <row r="10054" spans="1:5" x14ac:dyDescent="0.25">
      <c r="A10054">
        <v>10053</v>
      </c>
      <c r="B10054">
        <v>11143635</v>
      </c>
      <c r="C10054" s="1" t="str">
        <f>HYPERLINK("http://stackoverflow.com/users/11143635", "Younntone Shih")</f>
        <v>Younntone Shih</v>
      </c>
      <c r="D10054" t="s">
        <v>52</v>
      </c>
      <c r="E10054">
        <v>1</v>
      </c>
    </row>
    <row r="10055" spans="1:5" x14ac:dyDescent="0.25">
      <c r="A10055">
        <v>10054</v>
      </c>
      <c r="B10055">
        <v>11147439</v>
      </c>
      <c r="C10055" s="1" t="str">
        <f>HYPERLINK("http://stackoverflow.com/users/11147439", "welledgefinders")</f>
        <v>welledgefinders</v>
      </c>
      <c r="D10055" t="s">
        <v>547</v>
      </c>
      <c r="E10055">
        <v>1</v>
      </c>
    </row>
    <row r="10056" spans="1:5" x14ac:dyDescent="0.25">
      <c r="A10056">
        <v>10055</v>
      </c>
      <c r="B10056">
        <v>11147575</v>
      </c>
      <c r="C10056" s="1" t="str">
        <f>HYPERLINK("http://stackoverflow.com/users/11147575", "蔡洪华")</f>
        <v>蔡洪华</v>
      </c>
      <c r="D10056" t="s">
        <v>47</v>
      </c>
      <c r="E10056">
        <v>1</v>
      </c>
    </row>
    <row r="10057" spans="1:5" x14ac:dyDescent="0.25">
      <c r="A10057">
        <v>10056</v>
      </c>
      <c r="B10057">
        <v>11147905</v>
      </c>
      <c r="C10057" s="1" t="str">
        <f>HYPERLINK("http://stackoverflow.com/users/11147905", "Gaoxiang Cheng")</f>
        <v>Gaoxiang Cheng</v>
      </c>
      <c r="D10057" t="s">
        <v>115</v>
      </c>
      <c r="E10057">
        <v>1</v>
      </c>
    </row>
    <row r="10058" spans="1:5" x14ac:dyDescent="0.25">
      <c r="A10058">
        <v>10057</v>
      </c>
      <c r="B10058">
        <v>3922717</v>
      </c>
      <c r="C10058" s="1" t="str">
        <f>HYPERLINK("http://stackoverflow.com/users/3922717", "Benjamin")</f>
        <v>Benjamin</v>
      </c>
      <c r="D10058" t="s">
        <v>31</v>
      </c>
      <c r="E10058">
        <v>1</v>
      </c>
    </row>
    <row r="10059" spans="1:5" x14ac:dyDescent="0.25">
      <c r="A10059">
        <v>10058</v>
      </c>
      <c r="B10059">
        <v>5699946</v>
      </c>
      <c r="C10059" s="1" t="str">
        <f>HYPERLINK("http://stackoverflow.com/users/5699946", "Ethan")</f>
        <v>Ethan</v>
      </c>
      <c r="D10059" t="s">
        <v>4</v>
      </c>
      <c r="E10059">
        <v>1</v>
      </c>
    </row>
    <row r="10060" spans="1:5" x14ac:dyDescent="0.25">
      <c r="A10060">
        <v>10059</v>
      </c>
      <c r="B10060">
        <v>11148228</v>
      </c>
      <c r="C10060" s="1" t="str">
        <f>HYPERLINK("http://stackoverflow.com/users/11148228", "Junwei Lu")</f>
        <v>Junwei Lu</v>
      </c>
      <c r="D10060" t="s">
        <v>4</v>
      </c>
      <c r="E10060">
        <v>1</v>
      </c>
    </row>
    <row r="10061" spans="1:5" x14ac:dyDescent="0.25">
      <c r="A10061">
        <v>10060</v>
      </c>
      <c r="B10061">
        <v>7452996</v>
      </c>
      <c r="C10061" s="1" t="str">
        <f>HYPERLINK("http://stackoverflow.com/users/7452996", "Huiquan Deng")</f>
        <v>Huiquan Deng</v>
      </c>
      <c r="D10061" t="s">
        <v>25</v>
      </c>
      <c r="E10061">
        <v>1</v>
      </c>
    </row>
    <row r="10062" spans="1:5" x14ac:dyDescent="0.25">
      <c r="A10062">
        <v>10061</v>
      </c>
      <c r="B10062">
        <v>5685995</v>
      </c>
      <c r="C10062" s="1" t="str">
        <f>HYPERLINK("http://stackoverflow.com/users/5685995", "LuckyRay")</f>
        <v>LuckyRay</v>
      </c>
      <c r="D10062" t="s">
        <v>5</v>
      </c>
      <c r="E10062">
        <v>1</v>
      </c>
    </row>
    <row r="10063" spans="1:5" x14ac:dyDescent="0.25">
      <c r="A10063">
        <v>10062</v>
      </c>
      <c r="B10063">
        <v>5686016</v>
      </c>
      <c r="C10063" s="1" t="str">
        <f>HYPERLINK("http://stackoverflow.com/users/5686016", "keshawn")</f>
        <v>keshawn</v>
      </c>
      <c r="D10063" t="s">
        <v>5</v>
      </c>
      <c r="E10063">
        <v>1</v>
      </c>
    </row>
    <row r="10064" spans="1:5" x14ac:dyDescent="0.25">
      <c r="A10064">
        <v>10063</v>
      </c>
      <c r="B10064">
        <v>7439245</v>
      </c>
      <c r="C10064" s="1" t="str">
        <f>HYPERLINK("http://stackoverflow.com/users/7439245", "qfu")</f>
        <v>qfu</v>
      </c>
      <c r="D10064" t="s">
        <v>5</v>
      </c>
      <c r="E10064">
        <v>1</v>
      </c>
    </row>
    <row r="10065" spans="1:5" x14ac:dyDescent="0.25">
      <c r="A10065">
        <v>10064</v>
      </c>
      <c r="B10065">
        <v>5685926</v>
      </c>
      <c r="C10065" s="1" t="str">
        <f>HYPERLINK("http://stackoverflow.com/users/5685926", "lidudu")</f>
        <v>lidudu</v>
      </c>
      <c r="D10065" t="s">
        <v>57</v>
      </c>
      <c r="E10065">
        <v>1</v>
      </c>
    </row>
    <row r="10066" spans="1:5" x14ac:dyDescent="0.25">
      <c r="A10066">
        <v>10065</v>
      </c>
      <c r="B10066">
        <v>5685699</v>
      </c>
      <c r="C10066" s="1" t="str">
        <f>HYPERLINK("http://stackoverflow.com/users/5685699", "TonyMonster")</f>
        <v>TonyMonster</v>
      </c>
      <c r="D10066" t="s">
        <v>5</v>
      </c>
      <c r="E10066">
        <v>1</v>
      </c>
    </row>
    <row r="10067" spans="1:5" x14ac:dyDescent="0.25">
      <c r="A10067">
        <v>10066</v>
      </c>
      <c r="B10067">
        <v>7445220</v>
      </c>
      <c r="C10067" s="1" t="str">
        <f>HYPERLINK("http://stackoverflow.com/users/7445220", "licannlfj")</f>
        <v>licannlfj</v>
      </c>
      <c r="D10067" t="s">
        <v>28</v>
      </c>
      <c r="E10067">
        <v>1</v>
      </c>
    </row>
    <row r="10068" spans="1:5" x14ac:dyDescent="0.25">
      <c r="A10068">
        <v>10067</v>
      </c>
      <c r="B10068">
        <v>7445330</v>
      </c>
      <c r="C10068" s="1" t="str">
        <f>HYPERLINK("http://stackoverflow.com/users/7445330", "Hyia")</f>
        <v>Hyia</v>
      </c>
      <c r="D10068" t="s">
        <v>548</v>
      </c>
      <c r="E10068">
        <v>1</v>
      </c>
    </row>
    <row r="10069" spans="1:5" x14ac:dyDescent="0.25">
      <c r="A10069">
        <v>10068</v>
      </c>
      <c r="B10069">
        <v>7445346</v>
      </c>
      <c r="C10069" s="1" t="str">
        <f>HYPERLINK("http://stackoverflow.com/users/7445346", "Alex hou")</f>
        <v>Alex hou</v>
      </c>
      <c r="D10069" t="s">
        <v>5</v>
      </c>
      <c r="E10069">
        <v>1</v>
      </c>
    </row>
    <row r="10070" spans="1:5" x14ac:dyDescent="0.25">
      <c r="A10070">
        <v>10069</v>
      </c>
      <c r="B10070">
        <v>7445349</v>
      </c>
      <c r="C10070" s="1" t="str">
        <f>HYPERLINK("http://stackoverflow.com/users/7445349", "miniccc")</f>
        <v>miniccc</v>
      </c>
      <c r="D10070" t="s">
        <v>16</v>
      </c>
      <c r="E10070">
        <v>1</v>
      </c>
    </row>
    <row r="10071" spans="1:5" x14ac:dyDescent="0.25">
      <c r="A10071">
        <v>10070</v>
      </c>
      <c r="B10071">
        <v>9346718</v>
      </c>
      <c r="C10071" s="1" t="str">
        <f>HYPERLINK("http://stackoverflow.com/users/9346718", "Xuanchen Lin")</f>
        <v>Xuanchen Lin</v>
      </c>
      <c r="D10071" t="s">
        <v>242</v>
      </c>
      <c r="E10071">
        <v>1</v>
      </c>
    </row>
    <row r="10072" spans="1:5" x14ac:dyDescent="0.25">
      <c r="A10072">
        <v>10071</v>
      </c>
      <c r="B10072">
        <v>5689174</v>
      </c>
      <c r="C10072" s="1" t="str">
        <f>HYPERLINK("http://stackoverflow.com/users/5689174", "J.Doe")</f>
        <v>J.Doe</v>
      </c>
      <c r="D10072" t="s">
        <v>5</v>
      </c>
      <c r="E10072">
        <v>1</v>
      </c>
    </row>
    <row r="10073" spans="1:5" x14ac:dyDescent="0.25">
      <c r="A10073">
        <v>10072</v>
      </c>
      <c r="B10073">
        <v>5689284</v>
      </c>
      <c r="C10073" s="1" t="str">
        <f>HYPERLINK("http://stackoverflow.com/users/5689284", "Bourne")</f>
        <v>Bourne</v>
      </c>
      <c r="D10073" t="s">
        <v>5</v>
      </c>
      <c r="E10073">
        <v>1</v>
      </c>
    </row>
    <row r="10074" spans="1:5" x14ac:dyDescent="0.25">
      <c r="A10074">
        <v>10073</v>
      </c>
      <c r="B10074">
        <v>5689713</v>
      </c>
      <c r="C10074" s="1" t="str">
        <f>HYPERLINK("http://stackoverflow.com/users/5689713", "Hanwei Lang")</f>
        <v>Hanwei Lang</v>
      </c>
      <c r="D10074" t="s">
        <v>5</v>
      </c>
      <c r="E10074">
        <v>1</v>
      </c>
    </row>
    <row r="10075" spans="1:5" x14ac:dyDescent="0.25">
      <c r="A10075">
        <v>10074</v>
      </c>
      <c r="B10075">
        <v>7718523</v>
      </c>
      <c r="C10075" s="1" t="str">
        <f>HYPERLINK("http://stackoverflow.com/users/7718523", "Kevin Li")</f>
        <v>Kevin Li</v>
      </c>
      <c r="D10075" t="s">
        <v>5</v>
      </c>
      <c r="E10075">
        <v>1</v>
      </c>
    </row>
    <row r="10076" spans="1:5" x14ac:dyDescent="0.25">
      <c r="A10076">
        <v>10075</v>
      </c>
      <c r="B10076">
        <v>7710512</v>
      </c>
      <c r="C10076" s="1" t="str">
        <f>HYPERLINK("http://stackoverflow.com/users/7710512", "Sotter Chu")</f>
        <v>Sotter Chu</v>
      </c>
      <c r="D10076" t="s">
        <v>5</v>
      </c>
      <c r="E10076">
        <v>1</v>
      </c>
    </row>
    <row r="10077" spans="1:5" x14ac:dyDescent="0.25">
      <c r="A10077">
        <v>10076</v>
      </c>
      <c r="B10077">
        <v>4204922</v>
      </c>
      <c r="C10077" s="1" t="str">
        <f>HYPERLINK("http://stackoverflow.com/users/4204922", "Eric Wang")</f>
        <v>Eric Wang</v>
      </c>
      <c r="D10077" t="s">
        <v>4</v>
      </c>
      <c r="E10077">
        <v>1</v>
      </c>
    </row>
    <row r="10078" spans="1:5" x14ac:dyDescent="0.25">
      <c r="A10078">
        <v>10077</v>
      </c>
      <c r="B10078">
        <v>4204944</v>
      </c>
      <c r="C10078" s="1" t="str">
        <f>HYPERLINK("http://stackoverflow.com/users/4204944", "zander")</f>
        <v>zander</v>
      </c>
      <c r="D10078" t="s">
        <v>28</v>
      </c>
      <c r="E10078">
        <v>1</v>
      </c>
    </row>
    <row r="10079" spans="1:5" x14ac:dyDescent="0.25">
      <c r="A10079">
        <v>10078</v>
      </c>
      <c r="B10079">
        <v>7718690</v>
      </c>
      <c r="C10079" s="1" t="str">
        <f>HYPERLINK("http://stackoverflow.com/users/7718690", "kuku")</f>
        <v>kuku</v>
      </c>
      <c r="D10079" t="s">
        <v>29</v>
      </c>
      <c r="E10079">
        <v>1</v>
      </c>
    </row>
    <row r="10080" spans="1:5" x14ac:dyDescent="0.25">
      <c r="A10080">
        <v>10079</v>
      </c>
      <c r="B10080">
        <v>7724715</v>
      </c>
      <c r="C10080" s="1" t="str">
        <f>HYPERLINK("http://stackoverflow.com/users/7724715", "Chris")</f>
        <v>Chris</v>
      </c>
      <c r="D10080" t="s">
        <v>5</v>
      </c>
      <c r="E10080">
        <v>1</v>
      </c>
    </row>
    <row r="10081" spans="1:5" x14ac:dyDescent="0.25">
      <c r="A10081">
        <v>10080</v>
      </c>
      <c r="B10081">
        <v>5981384</v>
      </c>
      <c r="C10081" s="1" t="str">
        <f>HYPERLINK("http://stackoverflow.com/users/5981384", "Hujun")</f>
        <v>Hujun</v>
      </c>
      <c r="D10081" t="s">
        <v>5</v>
      </c>
      <c r="E10081">
        <v>1</v>
      </c>
    </row>
    <row r="10082" spans="1:5" x14ac:dyDescent="0.25">
      <c r="A10082">
        <v>10081</v>
      </c>
      <c r="B10082">
        <v>7694230</v>
      </c>
      <c r="C10082" s="1" t="str">
        <f>HYPERLINK("http://stackoverflow.com/users/7694230", "Irsg.Joe")</f>
        <v>Irsg.Joe</v>
      </c>
      <c r="D10082" t="s">
        <v>217</v>
      </c>
      <c r="E10082">
        <v>1</v>
      </c>
    </row>
    <row r="10083" spans="1:5" x14ac:dyDescent="0.25">
      <c r="A10083">
        <v>10082</v>
      </c>
      <c r="B10083">
        <v>7694572</v>
      </c>
      <c r="C10083" s="1" t="str">
        <f>HYPERLINK("http://stackoverflow.com/users/7694572", "johnny wang")</f>
        <v>johnny wang</v>
      </c>
      <c r="D10083" t="s">
        <v>4</v>
      </c>
      <c r="E10083">
        <v>1</v>
      </c>
    </row>
    <row r="10084" spans="1:5" x14ac:dyDescent="0.25">
      <c r="A10084">
        <v>10083</v>
      </c>
      <c r="B10084">
        <v>5932889</v>
      </c>
      <c r="C10084" s="1" t="str">
        <f>HYPERLINK("http://stackoverflow.com/users/5932889", "user5932889")</f>
        <v>user5932889</v>
      </c>
      <c r="D10084" t="s">
        <v>52</v>
      </c>
      <c r="E10084">
        <v>1</v>
      </c>
    </row>
    <row r="10085" spans="1:5" x14ac:dyDescent="0.25">
      <c r="A10085">
        <v>10084</v>
      </c>
      <c r="B10085">
        <v>5924033</v>
      </c>
      <c r="C10085" s="1" t="str">
        <f>HYPERLINK("http://stackoverflow.com/users/5924033", "Flint Ning")</f>
        <v>Flint Ning</v>
      </c>
      <c r="D10085" t="s">
        <v>5</v>
      </c>
      <c r="E10085">
        <v>1</v>
      </c>
    </row>
    <row r="10086" spans="1:5" x14ac:dyDescent="0.25">
      <c r="A10086">
        <v>10085</v>
      </c>
      <c r="B10086">
        <v>7672797</v>
      </c>
      <c r="C10086" s="1" t="str">
        <f>HYPERLINK("http://stackoverflow.com/users/7672797", "Andy Verne")</f>
        <v>Andy Verne</v>
      </c>
      <c r="D10086" t="s">
        <v>5</v>
      </c>
      <c r="E10086">
        <v>1</v>
      </c>
    </row>
    <row r="10087" spans="1:5" x14ac:dyDescent="0.25">
      <c r="A10087">
        <v>10086</v>
      </c>
      <c r="B10087">
        <v>4158061</v>
      </c>
      <c r="C10087" s="1" t="str">
        <f>HYPERLINK("http://stackoverflow.com/users/4158061", "NathanielLee")</f>
        <v>NathanielLee</v>
      </c>
      <c r="D10087" t="s">
        <v>5</v>
      </c>
      <c r="E10087">
        <v>1</v>
      </c>
    </row>
    <row r="10088" spans="1:5" x14ac:dyDescent="0.25">
      <c r="A10088">
        <v>10087</v>
      </c>
      <c r="B10088">
        <v>7678892</v>
      </c>
      <c r="C10088" s="1" t="str">
        <f>HYPERLINK("http://stackoverflow.com/users/7678892", "Zimeni")</f>
        <v>Zimeni</v>
      </c>
      <c r="D10088" t="s">
        <v>16</v>
      </c>
      <c r="E10088">
        <v>1</v>
      </c>
    </row>
    <row r="10089" spans="1:5" x14ac:dyDescent="0.25">
      <c r="A10089">
        <v>10088</v>
      </c>
      <c r="B10089">
        <v>7703291</v>
      </c>
      <c r="C10089" s="1" t="str">
        <f>HYPERLINK("http://stackoverflow.com/users/7703291", "Vious.Xie")</f>
        <v>Vious.Xie</v>
      </c>
      <c r="D10089" t="s">
        <v>19</v>
      </c>
      <c r="E10089">
        <v>1</v>
      </c>
    </row>
    <row r="10090" spans="1:5" x14ac:dyDescent="0.25">
      <c r="A10090">
        <v>10089</v>
      </c>
      <c r="B10090">
        <v>5957571</v>
      </c>
      <c r="C10090" s="1" t="str">
        <f>HYPERLINK("http://stackoverflow.com/users/5957571", "Steven Bliek")</f>
        <v>Steven Bliek</v>
      </c>
      <c r="D10090" t="s">
        <v>5</v>
      </c>
      <c r="E10090">
        <v>1</v>
      </c>
    </row>
    <row r="10091" spans="1:5" x14ac:dyDescent="0.25">
      <c r="A10091">
        <v>10090</v>
      </c>
      <c r="B10091">
        <v>7703664</v>
      </c>
      <c r="C10091" s="1" t="str">
        <f>HYPERLINK("http://stackoverflow.com/users/7703664", "Shian Yip")</f>
        <v>Shian Yip</v>
      </c>
      <c r="D10091" t="s">
        <v>5</v>
      </c>
      <c r="E10091">
        <v>1</v>
      </c>
    </row>
    <row r="10092" spans="1:5" x14ac:dyDescent="0.25">
      <c r="A10092">
        <v>10091</v>
      </c>
      <c r="B10092">
        <v>7703807</v>
      </c>
      <c r="C10092" s="1" t="str">
        <f>HYPERLINK("http://stackoverflow.com/users/7703807", "Gouwa")</f>
        <v>Gouwa</v>
      </c>
      <c r="D10092" t="s">
        <v>7</v>
      </c>
      <c r="E10092">
        <v>1</v>
      </c>
    </row>
    <row r="10093" spans="1:5" x14ac:dyDescent="0.25">
      <c r="A10093">
        <v>10092</v>
      </c>
      <c r="B10093">
        <v>7703866</v>
      </c>
      <c r="C10093" s="1" t="str">
        <f>HYPERLINK("http://stackoverflow.com/users/7703866", "Chenhui Lau")</f>
        <v>Chenhui Lau</v>
      </c>
      <c r="D10093" t="s">
        <v>25</v>
      </c>
      <c r="E10093">
        <v>1</v>
      </c>
    </row>
    <row r="10094" spans="1:5" x14ac:dyDescent="0.25">
      <c r="A10094">
        <v>10093</v>
      </c>
      <c r="B10094">
        <v>7708919</v>
      </c>
      <c r="C10094" s="1" t="str">
        <f>HYPERLINK("http://stackoverflow.com/users/7708919", "Hac")</f>
        <v>Hac</v>
      </c>
      <c r="D10094" t="s">
        <v>16</v>
      </c>
      <c r="E10094">
        <v>1</v>
      </c>
    </row>
    <row r="10095" spans="1:5" x14ac:dyDescent="0.25">
      <c r="A10095">
        <v>10094</v>
      </c>
      <c r="B10095">
        <v>7709263</v>
      </c>
      <c r="C10095" s="1" t="str">
        <f>HYPERLINK("http://stackoverflow.com/users/7709263", "J.Bowen")</f>
        <v>J.Bowen</v>
      </c>
      <c r="D10095" t="s">
        <v>135</v>
      </c>
      <c r="E10095">
        <v>1</v>
      </c>
    </row>
    <row r="10096" spans="1:5" x14ac:dyDescent="0.25">
      <c r="A10096">
        <v>10095</v>
      </c>
      <c r="B10096">
        <v>7709297</v>
      </c>
      <c r="C10096" s="1" t="str">
        <f>HYPERLINK("http://stackoverflow.com/users/7709297", "Jinr Tang")</f>
        <v>Jinr Tang</v>
      </c>
      <c r="D10096" t="s">
        <v>28</v>
      </c>
      <c r="E10096">
        <v>1</v>
      </c>
    </row>
    <row r="10097" spans="1:5" x14ac:dyDescent="0.25">
      <c r="A10097">
        <v>10096</v>
      </c>
      <c r="B10097">
        <v>7666660</v>
      </c>
      <c r="C10097" s="1" t="str">
        <f>HYPERLINK("http://stackoverflow.com/users/7666660", "chasen")</f>
        <v>chasen</v>
      </c>
      <c r="D10097" t="s">
        <v>28</v>
      </c>
      <c r="E10097">
        <v>1</v>
      </c>
    </row>
    <row r="10098" spans="1:5" x14ac:dyDescent="0.25">
      <c r="A10098">
        <v>10097</v>
      </c>
      <c r="B10098">
        <v>4150263</v>
      </c>
      <c r="C10098" s="1" t="str">
        <f>HYPERLINK("http://stackoverflow.com/users/4150263", "Yaxiong Zou")</f>
        <v>Yaxiong Zou</v>
      </c>
      <c r="D10098" t="s">
        <v>7</v>
      </c>
      <c r="E10098">
        <v>1</v>
      </c>
    </row>
    <row r="10099" spans="1:5" x14ac:dyDescent="0.25">
      <c r="A10099">
        <v>10098</v>
      </c>
      <c r="B10099">
        <v>7671382</v>
      </c>
      <c r="C10099" s="1" t="str">
        <f>HYPERLINK("http://stackoverflow.com/users/7671382", "君太郎")</f>
        <v>君太郎</v>
      </c>
      <c r="D10099" t="s">
        <v>25</v>
      </c>
      <c r="E10099">
        <v>1</v>
      </c>
    </row>
    <row r="10100" spans="1:5" x14ac:dyDescent="0.25">
      <c r="A10100">
        <v>10099</v>
      </c>
      <c r="B10100">
        <v>7660054</v>
      </c>
      <c r="C10100" s="1" t="str">
        <f>HYPERLINK("http://stackoverflow.com/users/7660054", "luo liang")</f>
        <v>luo liang</v>
      </c>
      <c r="D10100" t="s">
        <v>16</v>
      </c>
      <c r="E10100">
        <v>1</v>
      </c>
    </row>
    <row r="10101" spans="1:5" x14ac:dyDescent="0.25">
      <c r="A10101">
        <v>10100</v>
      </c>
      <c r="B10101">
        <v>7660423</v>
      </c>
      <c r="C10101" s="1" t="str">
        <f>HYPERLINK("http://stackoverflow.com/users/7660423", "Yisheng Yang")</f>
        <v>Yisheng Yang</v>
      </c>
      <c r="D10101" t="s">
        <v>4</v>
      </c>
      <c r="E10101">
        <v>1</v>
      </c>
    </row>
    <row r="10102" spans="1:5" x14ac:dyDescent="0.25">
      <c r="A10102">
        <v>10101</v>
      </c>
      <c r="B10102">
        <v>7660438</v>
      </c>
      <c r="C10102" s="1" t="str">
        <f>HYPERLINK("http://stackoverflow.com/users/7660438", "Hans0924")</f>
        <v>Hans0924</v>
      </c>
      <c r="D10102" t="s">
        <v>549</v>
      </c>
      <c r="E10102">
        <v>1</v>
      </c>
    </row>
    <row r="10103" spans="1:5" x14ac:dyDescent="0.25">
      <c r="A10103">
        <v>10102</v>
      </c>
      <c r="B10103">
        <v>7679469</v>
      </c>
      <c r="C10103" s="1" t="str">
        <f>HYPERLINK("http://stackoverflow.com/users/7679469", "figo_geng")</f>
        <v>figo_geng</v>
      </c>
      <c r="D10103" t="s">
        <v>5</v>
      </c>
      <c r="E10103">
        <v>1</v>
      </c>
    </row>
    <row r="10104" spans="1:5" x14ac:dyDescent="0.25">
      <c r="A10104">
        <v>10103</v>
      </c>
      <c r="B10104">
        <v>4165819</v>
      </c>
      <c r="C10104" s="1" t="str">
        <f>HYPERLINK("http://stackoverflow.com/users/4165819", "Channing")</f>
        <v>Channing</v>
      </c>
      <c r="D10104" t="s">
        <v>54</v>
      </c>
      <c r="E10104">
        <v>1</v>
      </c>
    </row>
    <row r="10105" spans="1:5" x14ac:dyDescent="0.25">
      <c r="A10105">
        <v>10104</v>
      </c>
      <c r="B10105">
        <v>7687540</v>
      </c>
      <c r="C10105" s="1" t="str">
        <f>HYPERLINK("http://stackoverflow.com/users/7687540", "Xiaoxiq Chen")</f>
        <v>Xiaoxiq Chen</v>
      </c>
      <c r="D10105" t="s">
        <v>550</v>
      </c>
      <c r="E10105">
        <v>1</v>
      </c>
    </row>
    <row r="10106" spans="1:5" x14ac:dyDescent="0.25">
      <c r="A10106">
        <v>10105</v>
      </c>
      <c r="B10106">
        <v>7687543</v>
      </c>
      <c r="C10106" s="1" t="str">
        <f>HYPERLINK("http://stackoverflow.com/users/7687543", "Marcus Zhang")</f>
        <v>Marcus Zhang</v>
      </c>
      <c r="D10106" t="s">
        <v>100</v>
      </c>
      <c r="E10106">
        <v>1</v>
      </c>
    </row>
    <row r="10107" spans="1:5" x14ac:dyDescent="0.25">
      <c r="A10107">
        <v>10106</v>
      </c>
      <c r="B10107">
        <v>7687608</v>
      </c>
      <c r="C10107" s="1" t="str">
        <f>HYPERLINK("http://stackoverflow.com/users/7687608", "steveMoriya")</f>
        <v>steveMoriya</v>
      </c>
      <c r="D10107" t="s">
        <v>4</v>
      </c>
      <c r="E10107">
        <v>1</v>
      </c>
    </row>
    <row r="10108" spans="1:5" x14ac:dyDescent="0.25">
      <c r="A10108">
        <v>10107</v>
      </c>
      <c r="B10108">
        <v>7687685</v>
      </c>
      <c r="C10108" s="1" t="str">
        <f>HYPERLINK("http://stackoverflow.com/users/7687685", "Chris Yan")</f>
        <v>Chris Yan</v>
      </c>
      <c r="D10108" t="s">
        <v>55</v>
      </c>
      <c r="E10108">
        <v>1</v>
      </c>
    </row>
    <row r="10109" spans="1:5" x14ac:dyDescent="0.25">
      <c r="A10109">
        <v>10108</v>
      </c>
      <c r="B10109">
        <v>7687716</v>
      </c>
      <c r="C10109" s="1" t="str">
        <f>HYPERLINK("http://stackoverflow.com/users/7687716", "Kairen Yang")</f>
        <v>Kairen Yang</v>
      </c>
      <c r="D10109" t="s">
        <v>5</v>
      </c>
      <c r="E10109">
        <v>1</v>
      </c>
    </row>
    <row r="10110" spans="1:5" x14ac:dyDescent="0.25">
      <c r="A10110">
        <v>10109</v>
      </c>
      <c r="B10110">
        <v>7687728</v>
      </c>
      <c r="C10110" s="1" t="str">
        <f>HYPERLINK("http://stackoverflow.com/users/7687728", "上行诗至明")</f>
        <v>上行诗至明</v>
      </c>
      <c r="D10110" t="s">
        <v>28</v>
      </c>
      <c r="E10110">
        <v>1</v>
      </c>
    </row>
    <row r="10111" spans="1:5" x14ac:dyDescent="0.25">
      <c r="A10111">
        <v>10110</v>
      </c>
      <c r="B10111">
        <v>7687732</v>
      </c>
      <c r="C10111" s="1" t="str">
        <f>HYPERLINK("http://stackoverflow.com/users/7687732", "Hansen")</f>
        <v>Hansen</v>
      </c>
      <c r="D10111" t="s">
        <v>4</v>
      </c>
      <c r="E10111">
        <v>1</v>
      </c>
    </row>
    <row r="10112" spans="1:5" x14ac:dyDescent="0.25">
      <c r="A10112">
        <v>10111</v>
      </c>
      <c r="B10112">
        <v>7687996</v>
      </c>
      <c r="C10112" s="1" t="str">
        <f>HYPERLINK("http://stackoverflow.com/users/7687996", "kavin98")</f>
        <v>kavin98</v>
      </c>
      <c r="D10112" t="s">
        <v>5</v>
      </c>
      <c r="E10112">
        <v>1</v>
      </c>
    </row>
    <row r="10113" spans="1:5" x14ac:dyDescent="0.25">
      <c r="A10113">
        <v>10112</v>
      </c>
      <c r="B10113">
        <v>7693430</v>
      </c>
      <c r="C10113" s="1" t="str">
        <f>HYPERLINK("http://stackoverflow.com/users/7693430", "Elspeth")</f>
        <v>Elspeth</v>
      </c>
      <c r="D10113" t="s">
        <v>4</v>
      </c>
      <c r="E10113">
        <v>1</v>
      </c>
    </row>
    <row r="10114" spans="1:5" x14ac:dyDescent="0.25">
      <c r="A10114">
        <v>10113</v>
      </c>
      <c r="B10114">
        <v>7694158</v>
      </c>
      <c r="C10114" s="1" t="str">
        <f>HYPERLINK("http://stackoverflow.com/users/7694158", "Tony Liu")</f>
        <v>Tony Liu</v>
      </c>
      <c r="D10114" t="s">
        <v>4</v>
      </c>
      <c r="E10114">
        <v>1</v>
      </c>
    </row>
    <row r="10115" spans="1:5" x14ac:dyDescent="0.25">
      <c r="A10115">
        <v>10114</v>
      </c>
      <c r="B10115">
        <v>7645614</v>
      </c>
      <c r="C10115" s="1" t="str">
        <f>HYPERLINK("http://stackoverflow.com/users/7645614", "Promomilia")</f>
        <v>Promomilia</v>
      </c>
      <c r="D10115" t="s">
        <v>551</v>
      </c>
      <c r="E10115">
        <v>1</v>
      </c>
    </row>
    <row r="10116" spans="1:5" x14ac:dyDescent="0.25">
      <c r="A10116">
        <v>10115</v>
      </c>
      <c r="B10116">
        <v>7645732</v>
      </c>
      <c r="C10116" s="1" t="str">
        <f>HYPERLINK("http://stackoverflow.com/users/7645732", "Gupern")</f>
        <v>Gupern</v>
      </c>
      <c r="D10116" t="s">
        <v>7</v>
      </c>
      <c r="E10116">
        <v>1</v>
      </c>
    </row>
    <row r="10117" spans="1:5" x14ac:dyDescent="0.25">
      <c r="A10117">
        <v>10116</v>
      </c>
      <c r="B10117">
        <v>5897296</v>
      </c>
      <c r="C10117" s="1" t="str">
        <f>HYPERLINK("http://stackoverflow.com/users/5897296", "PakG1")</f>
        <v>PakG1</v>
      </c>
      <c r="D10117" t="s">
        <v>17</v>
      </c>
      <c r="E10117">
        <v>1</v>
      </c>
    </row>
    <row r="10118" spans="1:5" x14ac:dyDescent="0.25">
      <c r="A10118">
        <v>10117</v>
      </c>
      <c r="B10118">
        <v>4127902</v>
      </c>
      <c r="C10118" s="1" t="str">
        <f>HYPERLINK("http://stackoverflow.com/users/4127902", "Xiaolong")</f>
        <v>Xiaolong</v>
      </c>
      <c r="D10118" t="s">
        <v>5</v>
      </c>
      <c r="E10118">
        <v>1</v>
      </c>
    </row>
    <row r="10119" spans="1:5" x14ac:dyDescent="0.25">
      <c r="A10119">
        <v>10118</v>
      </c>
      <c r="B10119">
        <v>7650469</v>
      </c>
      <c r="C10119" s="1" t="str">
        <f>HYPERLINK("http://stackoverflow.com/users/7650469", "James GUO")</f>
        <v>James GUO</v>
      </c>
      <c r="D10119" t="s">
        <v>5</v>
      </c>
      <c r="E10119">
        <v>1</v>
      </c>
    </row>
    <row r="10120" spans="1:5" x14ac:dyDescent="0.25">
      <c r="A10120">
        <v>10119</v>
      </c>
      <c r="B10120">
        <v>9588415</v>
      </c>
      <c r="C10120" s="1" t="str">
        <f>HYPERLINK("http://stackoverflow.com/users/9588415", "Da Liu")</f>
        <v>Da Liu</v>
      </c>
      <c r="D10120" t="s">
        <v>16</v>
      </c>
      <c r="E10120">
        <v>1</v>
      </c>
    </row>
    <row r="10121" spans="1:5" x14ac:dyDescent="0.25">
      <c r="A10121">
        <v>10120</v>
      </c>
      <c r="B10121">
        <v>9588701</v>
      </c>
      <c r="C10121" s="1" t="str">
        <f>HYPERLINK("http://stackoverflow.com/users/9588701", "Jackie Huang")</f>
        <v>Jackie Huang</v>
      </c>
      <c r="D10121" t="s">
        <v>4</v>
      </c>
      <c r="E10121">
        <v>1</v>
      </c>
    </row>
    <row r="10122" spans="1:5" x14ac:dyDescent="0.25">
      <c r="A10122">
        <v>10121</v>
      </c>
      <c r="B10122">
        <v>2414405</v>
      </c>
      <c r="C10122" s="1" t="str">
        <f>HYPERLINK("http://stackoverflow.com/users/2414405", "Storm")</f>
        <v>Storm</v>
      </c>
      <c r="D10122" t="s">
        <v>25</v>
      </c>
      <c r="E10122">
        <v>1</v>
      </c>
    </row>
    <row r="10123" spans="1:5" x14ac:dyDescent="0.25">
      <c r="A10123">
        <v>10122</v>
      </c>
      <c r="B10123">
        <v>2414737</v>
      </c>
      <c r="C10123" s="1" t="str">
        <f>HYPERLINK("http://stackoverflow.com/users/2414737", "Ziki")</f>
        <v>Ziki</v>
      </c>
      <c r="D10123" t="s">
        <v>12</v>
      </c>
      <c r="E10123">
        <v>1</v>
      </c>
    </row>
    <row r="10124" spans="1:5" x14ac:dyDescent="0.25">
      <c r="A10124">
        <v>10123</v>
      </c>
      <c r="B10124">
        <v>4132226</v>
      </c>
      <c r="C10124" s="1" t="str">
        <f>HYPERLINK("http://stackoverflow.com/users/4132226", "Maooyer")</f>
        <v>Maooyer</v>
      </c>
      <c r="D10124" t="s">
        <v>17</v>
      </c>
      <c r="E10124">
        <v>1</v>
      </c>
    </row>
    <row r="10125" spans="1:5" x14ac:dyDescent="0.25">
      <c r="A10125">
        <v>10124</v>
      </c>
      <c r="B10125">
        <v>9593534</v>
      </c>
      <c r="C10125" s="1" t="str">
        <f>HYPERLINK("http://stackoverflow.com/users/9593534", "Shahbaz Siddeeq")</f>
        <v>Shahbaz Siddeeq</v>
      </c>
      <c r="D10125" t="s">
        <v>4</v>
      </c>
      <c r="E10125">
        <v>1</v>
      </c>
    </row>
    <row r="10126" spans="1:5" x14ac:dyDescent="0.25">
      <c r="A10126">
        <v>10125</v>
      </c>
      <c r="B10126">
        <v>7654627</v>
      </c>
      <c r="C10126" s="1" t="str">
        <f>HYPERLINK("http://stackoverflow.com/users/7654627", "Samson Y.")</f>
        <v>Samson Y.</v>
      </c>
      <c r="D10126" t="s">
        <v>217</v>
      </c>
      <c r="E10126">
        <v>1</v>
      </c>
    </row>
    <row r="10127" spans="1:5" x14ac:dyDescent="0.25">
      <c r="A10127">
        <v>10126</v>
      </c>
      <c r="B10127">
        <v>5907241</v>
      </c>
      <c r="C10127" s="1" t="str">
        <f>HYPERLINK("http://stackoverflow.com/users/5907241", "qclaogui")</f>
        <v>qclaogui</v>
      </c>
      <c r="D10127" t="s">
        <v>5</v>
      </c>
      <c r="E10127">
        <v>1</v>
      </c>
    </row>
    <row r="10128" spans="1:5" x14ac:dyDescent="0.25">
      <c r="A10128">
        <v>10127</v>
      </c>
      <c r="B10128">
        <v>9599499</v>
      </c>
      <c r="C10128" s="1" t="str">
        <f>HYPERLINK("http://stackoverflow.com/users/9599499", "Ian")</f>
        <v>Ian</v>
      </c>
      <c r="D10128" t="s">
        <v>25</v>
      </c>
      <c r="E10128">
        <v>1</v>
      </c>
    </row>
    <row r="10129" spans="1:5" x14ac:dyDescent="0.25">
      <c r="A10129">
        <v>10128</v>
      </c>
      <c r="B10129">
        <v>7760689</v>
      </c>
      <c r="C10129" s="1" t="str">
        <f>HYPERLINK("http://stackoverflow.com/users/7760689", "bouilli")</f>
        <v>bouilli</v>
      </c>
      <c r="D10129" t="s">
        <v>4</v>
      </c>
      <c r="E10129">
        <v>1</v>
      </c>
    </row>
    <row r="10130" spans="1:5" x14ac:dyDescent="0.25">
      <c r="A10130">
        <v>10129</v>
      </c>
      <c r="B10130">
        <v>7760796</v>
      </c>
      <c r="C10130" s="1" t="str">
        <f>HYPERLINK("http://stackoverflow.com/users/7760796", "Yumin Sang")</f>
        <v>Yumin Sang</v>
      </c>
      <c r="D10130" t="s">
        <v>5</v>
      </c>
      <c r="E10130">
        <v>1</v>
      </c>
    </row>
    <row r="10131" spans="1:5" x14ac:dyDescent="0.25">
      <c r="A10131">
        <v>10130</v>
      </c>
      <c r="B10131">
        <v>4257083</v>
      </c>
      <c r="C10131" s="1" t="str">
        <f>HYPERLINK("http://stackoverflow.com/users/4257083", "Jincheng Shan")</f>
        <v>Jincheng Shan</v>
      </c>
      <c r="D10131" t="s">
        <v>169</v>
      </c>
      <c r="E10131">
        <v>1</v>
      </c>
    </row>
    <row r="10132" spans="1:5" x14ac:dyDescent="0.25">
      <c r="A10132">
        <v>10131</v>
      </c>
      <c r="B10132">
        <v>7740036</v>
      </c>
      <c r="C10132" s="1" t="str">
        <f>HYPERLINK("http://stackoverflow.com/users/7740036", "C.Lu")</f>
        <v>C.Lu</v>
      </c>
      <c r="D10132" t="s">
        <v>5</v>
      </c>
      <c r="E10132">
        <v>1</v>
      </c>
    </row>
    <row r="10133" spans="1:5" x14ac:dyDescent="0.25">
      <c r="A10133">
        <v>10132</v>
      </c>
      <c r="B10133">
        <v>7743901</v>
      </c>
      <c r="C10133" s="1" t="str">
        <f>HYPERLINK("http://stackoverflow.com/users/7743901", "Happy")</f>
        <v>Happy</v>
      </c>
      <c r="D10133" t="s">
        <v>4</v>
      </c>
      <c r="E10133">
        <v>1</v>
      </c>
    </row>
    <row r="10134" spans="1:5" x14ac:dyDescent="0.25">
      <c r="A10134">
        <v>10133</v>
      </c>
      <c r="B10134">
        <v>7739614</v>
      </c>
      <c r="C10134" s="1" t="str">
        <f>HYPERLINK("http://stackoverflow.com/users/7739614", "limit")</f>
        <v>limit</v>
      </c>
      <c r="D10134" t="s">
        <v>16</v>
      </c>
      <c r="E10134">
        <v>1</v>
      </c>
    </row>
    <row r="10135" spans="1:5" x14ac:dyDescent="0.25">
      <c r="A10135">
        <v>10134</v>
      </c>
      <c r="B10135">
        <v>7760891</v>
      </c>
      <c r="C10135" s="1" t="str">
        <f>HYPERLINK("http://stackoverflow.com/users/7760891", "Boosen")</f>
        <v>Boosen</v>
      </c>
      <c r="D10135" t="s">
        <v>5</v>
      </c>
      <c r="E10135">
        <v>1</v>
      </c>
    </row>
    <row r="10136" spans="1:5" x14ac:dyDescent="0.25">
      <c r="A10136">
        <v>10135</v>
      </c>
      <c r="B10136">
        <v>7760906</v>
      </c>
      <c r="C10136" s="1" t="str">
        <f>HYPERLINK("http://stackoverflow.com/users/7760906", "Sapphire")</f>
        <v>Sapphire</v>
      </c>
      <c r="D10136" t="s">
        <v>7</v>
      </c>
      <c r="E10136">
        <v>1</v>
      </c>
    </row>
    <row r="10137" spans="1:5" x14ac:dyDescent="0.25">
      <c r="A10137">
        <v>10136</v>
      </c>
      <c r="B10137">
        <v>7761180</v>
      </c>
      <c r="C10137" s="1" t="str">
        <f>HYPERLINK("http://stackoverflow.com/users/7761180", "邱鸿霖")</f>
        <v>邱鸿霖</v>
      </c>
      <c r="D10137" t="s">
        <v>16</v>
      </c>
      <c r="E10137">
        <v>1</v>
      </c>
    </row>
    <row r="10138" spans="1:5" x14ac:dyDescent="0.25">
      <c r="A10138">
        <v>10137</v>
      </c>
      <c r="B10138">
        <v>7761441</v>
      </c>
      <c r="C10138" s="1" t="str">
        <f>HYPERLINK("http://stackoverflow.com/users/7761441", "ECYX")</f>
        <v>ECYX</v>
      </c>
      <c r="D10138" t="s">
        <v>19</v>
      </c>
      <c r="E10138">
        <v>1</v>
      </c>
    </row>
    <row r="10139" spans="1:5" x14ac:dyDescent="0.25">
      <c r="A10139">
        <v>10138</v>
      </c>
      <c r="B10139">
        <v>7761468</v>
      </c>
      <c r="C10139" s="1" t="str">
        <f>HYPERLINK("http://stackoverflow.com/users/7761468", "wwbwayne")</f>
        <v>wwbwayne</v>
      </c>
      <c r="D10139" t="s">
        <v>154</v>
      </c>
      <c r="E10139">
        <v>1</v>
      </c>
    </row>
    <row r="10140" spans="1:5" x14ac:dyDescent="0.25">
      <c r="A10140">
        <v>10139</v>
      </c>
      <c r="B10140">
        <v>4256918</v>
      </c>
      <c r="C10140" s="1" t="str">
        <f>HYPERLINK("http://stackoverflow.com/users/4256918", "Ming")</f>
        <v>Ming</v>
      </c>
      <c r="D10140" t="s">
        <v>4</v>
      </c>
      <c r="E10140">
        <v>1</v>
      </c>
    </row>
    <row r="10141" spans="1:5" x14ac:dyDescent="0.25">
      <c r="A10141">
        <v>10140</v>
      </c>
      <c r="B10141">
        <v>7768497</v>
      </c>
      <c r="C10141" s="1" t="str">
        <f>HYPERLINK("http://stackoverflow.com/users/7768497", "jean")</f>
        <v>jean</v>
      </c>
      <c r="D10141" t="s">
        <v>374</v>
      </c>
      <c r="E10141">
        <v>1</v>
      </c>
    </row>
    <row r="10142" spans="1:5" x14ac:dyDescent="0.25">
      <c r="A10142">
        <v>10141</v>
      </c>
      <c r="B10142">
        <v>7768753</v>
      </c>
      <c r="C10142" s="1" t="str">
        <f>HYPERLINK("http://stackoverflow.com/users/7768753", "biznow")</f>
        <v>biznow</v>
      </c>
      <c r="D10142" t="s">
        <v>4</v>
      </c>
      <c r="E10142">
        <v>1</v>
      </c>
    </row>
    <row r="10143" spans="1:5" x14ac:dyDescent="0.25">
      <c r="A10143">
        <v>10142</v>
      </c>
      <c r="B10143">
        <v>6029373</v>
      </c>
      <c r="C10143" s="1" t="str">
        <f>HYPERLINK("http://stackoverflow.com/users/6029373", "AxsPlayer")</f>
        <v>AxsPlayer</v>
      </c>
      <c r="D10143" t="s">
        <v>4</v>
      </c>
      <c r="E10143">
        <v>1</v>
      </c>
    </row>
    <row r="10144" spans="1:5" x14ac:dyDescent="0.25">
      <c r="A10144">
        <v>10143</v>
      </c>
      <c r="B10144">
        <v>7724831</v>
      </c>
      <c r="C10144" s="1" t="str">
        <f>HYPERLINK("http://stackoverflow.com/users/7724831", "zhangzhe")</f>
        <v>zhangzhe</v>
      </c>
      <c r="D10144" t="s">
        <v>552</v>
      </c>
      <c r="E10144">
        <v>1</v>
      </c>
    </row>
    <row r="10145" spans="1:5" x14ac:dyDescent="0.25">
      <c r="A10145">
        <v>10144</v>
      </c>
      <c r="B10145">
        <v>7725000</v>
      </c>
      <c r="C10145" s="1" t="str">
        <f>HYPERLINK("http://stackoverflow.com/users/7725000", "being go")</f>
        <v>being go</v>
      </c>
      <c r="D10145" t="s">
        <v>16</v>
      </c>
      <c r="E10145">
        <v>1</v>
      </c>
    </row>
    <row r="10146" spans="1:5" x14ac:dyDescent="0.25">
      <c r="A10146">
        <v>10145</v>
      </c>
      <c r="B10146">
        <v>7730731</v>
      </c>
      <c r="C10146" s="1" t="str">
        <f>HYPERLINK("http://stackoverflow.com/users/7730731", "Alfred.Lo")</f>
        <v>Alfred.Lo</v>
      </c>
      <c r="D10146" t="s">
        <v>5</v>
      </c>
      <c r="E10146">
        <v>1</v>
      </c>
    </row>
    <row r="10147" spans="1:5" x14ac:dyDescent="0.25">
      <c r="A10147">
        <v>10146</v>
      </c>
      <c r="B10147">
        <v>7730901</v>
      </c>
      <c r="C10147" s="1" t="str">
        <f>HYPERLINK("http://stackoverflow.com/users/7730901", "codingbeautifully")</f>
        <v>codingbeautifully</v>
      </c>
      <c r="D10147" t="s">
        <v>553</v>
      </c>
      <c r="E10147">
        <v>1</v>
      </c>
    </row>
    <row r="10148" spans="1:5" x14ac:dyDescent="0.25">
      <c r="A10148">
        <v>10147</v>
      </c>
      <c r="B10148">
        <v>7730987</v>
      </c>
      <c r="C10148" s="1" t="str">
        <f>HYPERLINK("http://stackoverflow.com/users/7730987", "mluo")</f>
        <v>mluo</v>
      </c>
      <c r="D10148" t="s">
        <v>16</v>
      </c>
      <c r="E10148">
        <v>1</v>
      </c>
    </row>
    <row r="10149" spans="1:5" x14ac:dyDescent="0.25">
      <c r="A10149">
        <v>10148</v>
      </c>
      <c r="B10149">
        <v>5989238</v>
      </c>
      <c r="C10149" s="1" t="str">
        <f>HYPERLINK("http://stackoverflow.com/users/5989238", "woodenfish")</f>
        <v>woodenfish</v>
      </c>
      <c r="D10149" t="s">
        <v>16</v>
      </c>
      <c r="E10149">
        <v>1</v>
      </c>
    </row>
    <row r="10150" spans="1:5" x14ac:dyDescent="0.25">
      <c r="A10150">
        <v>10149</v>
      </c>
      <c r="B10150">
        <v>7738915</v>
      </c>
      <c r="C10150" s="1" t="str">
        <f>HYPERLINK("http://stackoverflow.com/users/7738915", "PercyHan")</f>
        <v>PercyHan</v>
      </c>
      <c r="D10150" t="s">
        <v>5</v>
      </c>
      <c r="E10150">
        <v>1</v>
      </c>
    </row>
    <row r="10151" spans="1:5" x14ac:dyDescent="0.25">
      <c r="A10151">
        <v>10150</v>
      </c>
      <c r="B10151">
        <v>7744343</v>
      </c>
      <c r="C10151" s="1" t="str">
        <f>HYPERLINK("http://stackoverflow.com/users/7744343", "Matriks")</f>
        <v>Matriks</v>
      </c>
      <c r="D10151" t="s">
        <v>79</v>
      </c>
      <c r="E10151">
        <v>1</v>
      </c>
    </row>
    <row r="10152" spans="1:5" x14ac:dyDescent="0.25">
      <c r="A10152">
        <v>10151</v>
      </c>
      <c r="B10152">
        <v>7744361</v>
      </c>
      <c r="C10152" s="1" t="str">
        <f>HYPERLINK("http://stackoverflow.com/users/7744361", "Scott Xu")</f>
        <v>Scott Xu</v>
      </c>
      <c r="D10152" t="s">
        <v>4</v>
      </c>
      <c r="E10152">
        <v>1</v>
      </c>
    </row>
    <row r="10153" spans="1:5" x14ac:dyDescent="0.25">
      <c r="A10153">
        <v>10152</v>
      </c>
      <c r="B10153">
        <v>4231766</v>
      </c>
      <c r="C10153" s="1" t="str">
        <f>HYPERLINK("http://stackoverflow.com/users/4231766", "Jackie Chen")</f>
        <v>Jackie Chen</v>
      </c>
      <c r="D10153" t="s">
        <v>5</v>
      </c>
      <c r="E10153">
        <v>1</v>
      </c>
    </row>
    <row r="10154" spans="1:5" x14ac:dyDescent="0.25">
      <c r="A10154">
        <v>10153</v>
      </c>
      <c r="B10154">
        <v>7744745</v>
      </c>
      <c r="C10154" s="1" t="str">
        <f>HYPERLINK("http://stackoverflow.com/users/7744745", "Mingliang")</f>
        <v>Mingliang</v>
      </c>
      <c r="D10154" t="s">
        <v>5</v>
      </c>
      <c r="E10154">
        <v>1</v>
      </c>
    </row>
    <row r="10155" spans="1:5" x14ac:dyDescent="0.25">
      <c r="A10155">
        <v>10154</v>
      </c>
      <c r="B10155">
        <v>7752503</v>
      </c>
      <c r="C10155" s="1" t="str">
        <f>HYPERLINK("http://stackoverflow.com/users/7752503", "ryan")</f>
        <v>ryan</v>
      </c>
      <c r="D10155" t="s">
        <v>5</v>
      </c>
      <c r="E10155">
        <v>1</v>
      </c>
    </row>
    <row r="10156" spans="1:5" x14ac:dyDescent="0.25">
      <c r="A10156">
        <v>10155</v>
      </c>
      <c r="B10156">
        <v>7753246</v>
      </c>
      <c r="C10156" s="1" t="str">
        <f>HYPERLINK("http://stackoverflow.com/users/7753246", "Pitra Doliveira Gracia")</f>
        <v>Pitra Doliveira Gracia</v>
      </c>
      <c r="D10156" t="s">
        <v>208</v>
      </c>
      <c r="E10156">
        <v>1</v>
      </c>
    </row>
    <row r="10157" spans="1:5" x14ac:dyDescent="0.25">
      <c r="A10157">
        <v>10156</v>
      </c>
      <c r="B10157">
        <v>4247978</v>
      </c>
      <c r="C10157" s="1" t="str">
        <f>HYPERLINK("http://stackoverflow.com/users/4247978", "Alanx Will")</f>
        <v>Alanx Will</v>
      </c>
      <c r="D10157" t="s">
        <v>4</v>
      </c>
      <c r="E10157">
        <v>1</v>
      </c>
    </row>
    <row r="10158" spans="1:5" x14ac:dyDescent="0.25">
      <c r="A10158">
        <v>10157</v>
      </c>
      <c r="B10158">
        <v>7760320</v>
      </c>
      <c r="C10158" s="1" t="str">
        <f>HYPERLINK("http://stackoverflow.com/users/7760320", "Jian Yu")</f>
        <v>Jian Yu</v>
      </c>
      <c r="D10158" t="s">
        <v>27</v>
      </c>
      <c r="E10158">
        <v>1</v>
      </c>
    </row>
    <row r="10159" spans="1:5" x14ac:dyDescent="0.25">
      <c r="A10159">
        <v>10158</v>
      </c>
      <c r="B10159">
        <v>7769311</v>
      </c>
      <c r="C10159" s="1" t="str">
        <f>HYPERLINK("http://stackoverflow.com/users/7769311", "Li Zhao")</f>
        <v>Li Zhao</v>
      </c>
      <c r="D10159" t="s">
        <v>5</v>
      </c>
      <c r="E10159">
        <v>1</v>
      </c>
    </row>
    <row r="10160" spans="1:5" x14ac:dyDescent="0.25">
      <c r="A10160">
        <v>10159</v>
      </c>
      <c r="B10160">
        <v>4257620</v>
      </c>
      <c r="C10160" s="1" t="str">
        <f>HYPERLINK("http://stackoverflow.com/users/4257620", "Qian Lv")</f>
        <v>Qian Lv</v>
      </c>
      <c r="D10160" t="s">
        <v>4</v>
      </c>
      <c r="E10160">
        <v>1</v>
      </c>
    </row>
    <row r="10161" spans="1:5" x14ac:dyDescent="0.25">
      <c r="A10161">
        <v>10160</v>
      </c>
      <c r="B10161">
        <v>4273475</v>
      </c>
      <c r="C10161" s="1" t="str">
        <f>HYPERLINK("http://stackoverflow.com/users/4273475", "Peter Geng")</f>
        <v>Peter Geng</v>
      </c>
      <c r="D10161" t="s">
        <v>5</v>
      </c>
      <c r="E10161">
        <v>1</v>
      </c>
    </row>
    <row r="10162" spans="1:5" x14ac:dyDescent="0.25">
      <c r="A10162">
        <v>10161</v>
      </c>
      <c r="B10162">
        <v>7784206</v>
      </c>
      <c r="C10162" s="1" t="str">
        <f>HYPERLINK("http://stackoverflow.com/users/7784206", "Lion.Chen")</f>
        <v>Lion.Chen</v>
      </c>
      <c r="D10162" t="s">
        <v>25</v>
      </c>
      <c r="E10162">
        <v>1</v>
      </c>
    </row>
    <row r="10163" spans="1:5" x14ac:dyDescent="0.25">
      <c r="A10163">
        <v>10162</v>
      </c>
      <c r="B10163">
        <v>7785074</v>
      </c>
      <c r="C10163" s="1" t="str">
        <f>HYPERLINK("http://stackoverflow.com/users/7785074", "JasonQSY")</f>
        <v>JasonQSY</v>
      </c>
      <c r="D10163" t="s">
        <v>4</v>
      </c>
      <c r="E10163">
        <v>1</v>
      </c>
    </row>
    <row r="10164" spans="1:5" x14ac:dyDescent="0.25">
      <c r="A10164">
        <v>10163</v>
      </c>
      <c r="B10164">
        <v>2408596</v>
      </c>
      <c r="C10164" s="1" t="str">
        <f>HYPERLINK("http://stackoverflow.com/users/2408596", "Mark Wang")</f>
        <v>Mark Wang</v>
      </c>
      <c r="D10164" t="s">
        <v>57</v>
      </c>
      <c r="E10164">
        <v>1</v>
      </c>
    </row>
    <row r="10165" spans="1:5" x14ac:dyDescent="0.25">
      <c r="A10165">
        <v>10164</v>
      </c>
      <c r="B10165">
        <v>2408287</v>
      </c>
      <c r="C10165" s="1" t="str">
        <f>HYPERLINK("http://stackoverflow.com/users/2408287", "iamryan")</f>
        <v>iamryan</v>
      </c>
      <c r="D10165" t="s">
        <v>5</v>
      </c>
      <c r="E10165">
        <v>1</v>
      </c>
    </row>
    <row r="10166" spans="1:5" x14ac:dyDescent="0.25">
      <c r="A10166">
        <v>10165</v>
      </c>
      <c r="B10166">
        <v>2409590</v>
      </c>
      <c r="C10166" s="1" t="str">
        <f>HYPERLINK("http://stackoverflow.com/users/2409590", "yhaoy")</f>
        <v>yhaoy</v>
      </c>
      <c r="D10166" t="s">
        <v>28</v>
      </c>
      <c r="E10166">
        <v>1</v>
      </c>
    </row>
    <row r="10167" spans="1:5" x14ac:dyDescent="0.25">
      <c r="A10167">
        <v>10166</v>
      </c>
      <c r="B10167">
        <v>9582630</v>
      </c>
      <c r="C10167" s="1" t="str">
        <f>HYPERLINK("http://stackoverflow.com/users/9582630", "dreamer")</f>
        <v>dreamer</v>
      </c>
      <c r="D10167" t="s">
        <v>5</v>
      </c>
      <c r="E10167">
        <v>1</v>
      </c>
    </row>
    <row r="10168" spans="1:5" x14ac:dyDescent="0.25">
      <c r="A10168">
        <v>10167</v>
      </c>
      <c r="B10168">
        <v>9582667</v>
      </c>
      <c r="C10168" s="1" t="str">
        <f>HYPERLINK("http://stackoverflow.com/users/9582667", "Liu Chaofan")</f>
        <v>Liu Chaofan</v>
      </c>
      <c r="D10168" t="s">
        <v>5</v>
      </c>
      <c r="E10168">
        <v>1</v>
      </c>
    </row>
    <row r="10169" spans="1:5" x14ac:dyDescent="0.25">
      <c r="A10169">
        <v>10168</v>
      </c>
      <c r="B10169">
        <v>7645223</v>
      </c>
      <c r="C10169" s="1" t="str">
        <f>HYPERLINK("http://stackoverflow.com/users/7645223", "李罩羚")</f>
        <v>李罩羚</v>
      </c>
      <c r="D10169" t="s">
        <v>554</v>
      </c>
      <c r="E10169">
        <v>1</v>
      </c>
    </row>
    <row r="10170" spans="1:5" x14ac:dyDescent="0.25">
      <c r="A10170">
        <v>10169</v>
      </c>
      <c r="B10170">
        <v>2404179</v>
      </c>
      <c r="C10170" s="1" t="str">
        <f>HYPERLINK("http://stackoverflow.com/users/2404179", "Stone Yang")</f>
        <v>Stone Yang</v>
      </c>
      <c r="D10170" t="s">
        <v>5</v>
      </c>
      <c r="E10170">
        <v>1</v>
      </c>
    </row>
    <row r="10171" spans="1:5" x14ac:dyDescent="0.25">
      <c r="A10171">
        <v>10170</v>
      </c>
      <c r="B10171">
        <v>2404191</v>
      </c>
      <c r="C10171" s="1" t="str">
        <f>HYPERLINK("http://stackoverflow.com/users/2404191", "Yuanyang")</f>
        <v>Yuanyang</v>
      </c>
      <c r="D10171" t="s">
        <v>5</v>
      </c>
      <c r="E10171">
        <v>1</v>
      </c>
    </row>
    <row r="10172" spans="1:5" x14ac:dyDescent="0.25">
      <c r="A10172">
        <v>10171</v>
      </c>
      <c r="B10172">
        <v>2404356</v>
      </c>
      <c r="C10172" s="1" t="str">
        <f>HYPERLINK("http://stackoverflow.com/users/2404356", "wildcloud")</f>
        <v>wildcloud</v>
      </c>
      <c r="D10172" t="s">
        <v>4</v>
      </c>
      <c r="E10172">
        <v>1</v>
      </c>
    </row>
    <row r="10173" spans="1:5" x14ac:dyDescent="0.25">
      <c r="A10173">
        <v>10172</v>
      </c>
      <c r="B10173">
        <v>2403997</v>
      </c>
      <c r="C10173" s="1" t="str">
        <f>HYPERLINK("http://stackoverflow.com/users/2403997", "malinkang")</f>
        <v>malinkang</v>
      </c>
      <c r="D10173" t="s">
        <v>5</v>
      </c>
      <c r="E10173">
        <v>1</v>
      </c>
    </row>
    <row r="10174" spans="1:5" x14ac:dyDescent="0.25">
      <c r="A10174">
        <v>10173</v>
      </c>
      <c r="B10174">
        <v>2404016</v>
      </c>
      <c r="C10174" s="1" t="str">
        <f>HYPERLINK("http://stackoverflow.com/users/2404016", "Castlebin")</f>
        <v>Castlebin</v>
      </c>
      <c r="D10174" t="s">
        <v>12</v>
      </c>
      <c r="E10174">
        <v>1</v>
      </c>
    </row>
    <row r="10175" spans="1:5" x14ac:dyDescent="0.25">
      <c r="A10175">
        <v>10174</v>
      </c>
      <c r="B10175">
        <v>2398080</v>
      </c>
      <c r="C10175" s="1" t="str">
        <f>HYPERLINK("http://stackoverflow.com/users/2398080", "Fortune Lee")</f>
        <v>Fortune Lee</v>
      </c>
      <c r="D10175" t="s">
        <v>17</v>
      </c>
      <c r="E10175">
        <v>1</v>
      </c>
    </row>
    <row r="10176" spans="1:5" x14ac:dyDescent="0.25">
      <c r="A10176">
        <v>10175</v>
      </c>
      <c r="B10176">
        <v>2397374</v>
      </c>
      <c r="C10176" s="1" t="str">
        <f>HYPERLINK("http://stackoverflow.com/users/2397374", "wheam")</f>
        <v>wheam</v>
      </c>
      <c r="D10176" t="s">
        <v>5</v>
      </c>
      <c r="E10176">
        <v>1</v>
      </c>
    </row>
    <row r="10177" spans="1:5" x14ac:dyDescent="0.25">
      <c r="A10177">
        <v>10176</v>
      </c>
      <c r="B10177">
        <v>2390574</v>
      </c>
      <c r="C10177" s="1" t="str">
        <f>HYPERLINK("http://stackoverflow.com/users/2390574", "chih")</f>
        <v>chih</v>
      </c>
      <c r="D10177" t="s">
        <v>12</v>
      </c>
      <c r="E10177">
        <v>1</v>
      </c>
    </row>
    <row r="10178" spans="1:5" x14ac:dyDescent="0.25">
      <c r="A10178">
        <v>10177</v>
      </c>
      <c r="B10178">
        <v>7635899</v>
      </c>
      <c r="C10178" s="1" t="str">
        <f>HYPERLINK("http://stackoverflow.com/users/7635899", "Shenggui Xue")</f>
        <v>Shenggui Xue</v>
      </c>
      <c r="D10178" t="s">
        <v>16</v>
      </c>
      <c r="E10178">
        <v>1</v>
      </c>
    </row>
    <row r="10179" spans="1:5" x14ac:dyDescent="0.25">
      <c r="A10179">
        <v>10178</v>
      </c>
      <c r="B10179">
        <v>9572535</v>
      </c>
      <c r="C10179" s="1" t="str">
        <f>HYPERLINK("http://stackoverflow.com/users/9572535", "chen chengnuo")</f>
        <v>chen chengnuo</v>
      </c>
      <c r="D10179" t="s">
        <v>555</v>
      </c>
      <c r="E10179">
        <v>1</v>
      </c>
    </row>
    <row r="10180" spans="1:5" x14ac:dyDescent="0.25">
      <c r="A10180">
        <v>10179</v>
      </c>
      <c r="B10180">
        <v>2397225</v>
      </c>
      <c r="C10180" s="1" t="str">
        <f>HYPERLINK("http://stackoverflow.com/users/2397225", "Edwin Du")</f>
        <v>Edwin Du</v>
      </c>
      <c r="D10180" t="s">
        <v>5</v>
      </c>
      <c r="E10180">
        <v>1</v>
      </c>
    </row>
    <row r="10181" spans="1:5" x14ac:dyDescent="0.25">
      <c r="A10181">
        <v>10180</v>
      </c>
      <c r="B10181">
        <v>2398383</v>
      </c>
      <c r="C10181" s="1" t="str">
        <f>HYPERLINK("http://stackoverflow.com/users/2398383", "sumiplus")</f>
        <v>sumiplus</v>
      </c>
      <c r="D10181" t="s">
        <v>55</v>
      </c>
      <c r="E10181">
        <v>1</v>
      </c>
    </row>
    <row r="10182" spans="1:5" x14ac:dyDescent="0.25">
      <c r="A10182">
        <v>10181</v>
      </c>
      <c r="B10182">
        <v>2398676</v>
      </c>
      <c r="C10182" s="1" t="str">
        <f>HYPERLINK("http://stackoverflow.com/users/2398676", "flying")</f>
        <v>flying</v>
      </c>
      <c r="D10182" t="s">
        <v>5</v>
      </c>
      <c r="E10182">
        <v>1</v>
      </c>
    </row>
    <row r="10183" spans="1:5" x14ac:dyDescent="0.25">
      <c r="A10183">
        <v>10182</v>
      </c>
      <c r="B10183">
        <v>2398741</v>
      </c>
      <c r="C10183" s="1" t="str">
        <f>HYPERLINK("http://stackoverflow.com/users/2398741", "WalterInSH")</f>
        <v>WalterInSH</v>
      </c>
      <c r="D10183" t="s">
        <v>4</v>
      </c>
      <c r="E10183">
        <v>1</v>
      </c>
    </row>
    <row r="10184" spans="1:5" x14ac:dyDescent="0.25">
      <c r="A10184">
        <v>10183</v>
      </c>
      <c r="B10184">
        <v>7640732</v>
      </c>
      <c r="C10184" s="1" t="str">
        <f>HYPERLINK("http://stackoverflow.com/users/7640732", "Alex Y. Ran")</f>
        <v>Alex Y. Ran</v>
      </c>
      <c r="D10184" t="s">
        <v>42</v>
      </c>
      <c r="E10184">
        <v>1</v>
      </c>
    </row>
    <row r="10185" spans="1:5" x14ac:dyDescent="0.25">
      <c r="A10185">
        <v>10184</v>
      </c>
      <c r="B10185">
        <v>2403635</v>
      </c>
      <c r="C10185" s="1" t="str">
        <f>HYPERLINK("http://stackoverflow.com/users/2403635", "StoneAMG")</f>
        <v>StoneAMG</v>
      </c>
      <c r="D10185" t="s">
        <v>8</v>
      </c>
      <c r="E10185">
        <v>1</v>
      </c>
    </row>
    <row r="10186" spans="1:5" x14ac:dyDescent="0.25">
      <c r="A10186">
        <v>10185</v>
      </c>
      <c r="B10186">
        <v>2403776</v>
      </c>
      <c r="C10186" s="1" t="str">
        <f>HYPERLINK("http://stackoverflow.com/users/2403776", "Jas")</f>
        <v>Jas</v>
      </c>
      <c r="D10186" t="s">
        <v>5</v>
      </c>
      <c r="E10186">
        <v>1</v>
      </c>
    </row>
    <row r="10187" spans="1:5" x14ac:dyDescent="0.25">
      <c r="A10187">
        <v>10186</v>
      </c>
      <c r="B10187">
        <v>2403804</v>
      </c>
      <c r="C10187" s="1" t="str">
        <f>HYPERLINK("http://stackoverflow.com/users/2403804", "liubin5")</f>
        <v>liubin5</v>
      </c>
      <c r="D10187" t="s">
        <v>5</v>
      </c>
      <c r="E10187">
        <v>1</v>
      </c>
    </row>
    <row r="10188" spans="1:5" x14ac:dyDescent="0.25">
      <c r="A10188">
        <v>10187</v>
      </c>
      <c r="B10188">
        <v>2390205</v>
      </c>
      <c r="C10188" s="1" t="str">
        <f>HYPERLINK("http://stackoverflow.com/users/2390205", "Sheng Yuang")</f>
        <v>Sheng Yuang</v>
      </c>
      <c r="D10188" t="s">
        <v>5</v>
      </c>
      <c r="E10188">
        <v>1</v>
      </c>
    </row>
    <row r="10189" spans="1:5" x14ac:dyDescent="0.25">
      <c r="A10189">
        <v>10188</v>
      </c>
      <c r="B10189">
        <v>2376852</v>
      </c>
      <c r="C10189" s="1" t="str">
        <f>HYPERLINK("http://stackoverflow.com/users/2376852", "skywatcher")</f>
        <v>skywatcher</v>
      </c>
      <c r="D10189" t="s">
        <v>5</v>
      </c>
      <c r="E10189">
        <v>1</v>
      </c>
    </row>
    <row r="10190" spans="1:5" x14ac:dyDescent="0.25">
      <c r="A10190">
        <v>10189</v>
      </c>
      <c r="B10190">
        <v>2377052</v>
      </c>
      <c r="C10190" s="1" t="str">
        <f>HYPERLINK("http://stackoverflow.com/users/2377052", "yangjunjun")</f>
        <v>yangjunjun</v>
      </c>
      <c r="D10190" t="s">
        <v>4</v>
      </c>
      <c r="E10190">
        <v>1</v>
      </c>
    </row>
    <row r="10191" spans="1:5" x14ac:dyDescent="0.25">
      <c r="A10191">
        <v>10190</v>
      </c>
      <c r="B10191">
        <v>7622099</v>
      </c>
      <c r="C10191" s="1" t="str">
        <f>HYPERLINK("http://stackoverflow.com/users/7622099", "adhesive_tape")</f>
        <v>adhesive_tape</v>
      </c>
      <c r="D10191" t="s">
        <v>389</v>
      </c>
      <c r="E10191">
        <v>1</v>
      </c>
    </row>
    <row r="10192" spans="1:5" x14ac:dyDescent="0.25">
      <c r="A10192">
        <v>10191</v>
      </c>
      <c r="B10192">
        <v>5876910</v>
      </c>
      <c r="C10192" s="1" t="str">
        <f>HYPERLINK("http://stackoverflow.com/users/5876910", "wangbiwen")</f>
        <v>wangbiwen</v>
      </c>
      <c r="D10192" t="s">
        <v>5</v>
      </c>
      <c r="E10192">
        <v>1</v>
      </c>
    </row>
    <row r="10193" spans="1:5" x14ac:dyDescent="0.25">
      <c r="A10193">
        <v>10192</v>
      </c>
      <c r="B10193">
        <v>5876994</v>
      </c>
      <c r="C10193" s="1" t="str">
        <f>HYPERLINK("http://stackoverflow.com/users/5876994", "hujunwei")</f>
        <v>hujunwei</v>
      </c>
      <c r="D10193" t="s">
        <v>16</v>
      </c>
      <c r="E10193">
        <v>1</v>
      </c>
    </row>
    <row r="10194" spans="1:5" x14ac:dyDescent="0.25">
      <c r="A10194">
        <v>10193</v>
      </c>
      <c r="B10194">
        <v>9559408</v>
      </c>
      <c r="C10194" s="1" t="str">
        <f>HYPERLINK("http://stackoverflow.com/users/9559408", "Matthew Fulgenzihle")</f>
        <v>Matthew Fulgenzihle</v>
      </c>
      <c r="D10194" t="s">
        <v>4</v>
      </c>
      <c r="E10194">
        <v>1</v>
      </c>
    </row>
    <row r="10195" spans="1:5" x14ac:dyDescent="0.25">
      <c r="A10195">
        <v>10194</v>
      </c>
      <c r="B10195">
        <v>9564676</v>
      </c>
      <c r="C10195" s="1" t="str">
        <f>HYPERLINK("http://stackoverflow.com/users/9564676", "Zhang Z.")</f>
        <v>Zhang Z.</v>
      </c>
      <c r="D10195" t="s">
        <v>556</v>
      </c>
      <c r="E10195">
        <v>1</v>
      </c>
    </row>
    <row r="10196" spans="1:5" x14ac:dyDescent="0.25">
      <c r="A10196">
        <v>10195</v>
      </c>
      <c r="B10196">
        <v>7629895</v>
      </c>
      <c r="C10196" s="1" t="str">
        <f>HYPERLINK("http://stackoverflow.com/users/7629895", "CaiHua")</f>
        <v>CaiHua</v>
      </c>
      <c r="D10196" t="s">
        <v>320</v>
      </c>
      <c r="E10196">
        <v>1</v>
      </c>
    </row>
    <row r="10197" spans="1:5" x14ac:dyDescent="0.25">
      <c r="A10197">
        <v>10196</v>
      </c>
      <c r="B10197">
        <v>9548148</v>
      </c>
      <c r="C10197" s="1" t="str">
        <f>HYPERLINK("http://stackoverflow.com/users/9548148", "MyonKeminta")</f>
        <v>MyonKeminta</v>
      </c>
      <c r="D10197" t="s">
        <v>5</v>
      </c>
      <c r="E10197">
        <v>1</v>
      </c>
    </row>
    <row r="10198" spans="1:5" x14ac:dyDescent="0.25">
      <c r="A10198">
        <v>10197</v>
      </c>
      <c r="B10198">
        <v>5868120</v>
      </c>
      <c r="C10198" s="1" t="str">
        <f>HYPERLINK("http://stackoverflow.com/users/5868120", "AliFM")</f>
        <v>AliFM</v>
      </c>
      <c r="D10198" t="s">
        <v>4</v>
      </c>
      <c r="E10198">
        <v>1</v>
      </c>
    </row>
    <row r="10199" spans="1:5" x14ac:dyDescent="0.25">
      <c r="A10199">
        <v>10198</v>
      </c>
      <c r="B10199">
        <v>9549112</v>
      </c>
      <c r="C10199" s="1" t="str">
        <f>HYPERLINK("http://stackoverflow.com/users/9549112", "Lee HuaYu")</f>
        <v>Lee HuaYu</v>
      </c>
      <c r="D10199" t="s">
        <v>5</v>
      </c>
      <c r="E10199">
        <v>1</v>
      </c>
    </row>
    <row r="10200" spans="1:5" x14ac:dyDescent="0.25">
      <c r="A10200">
        <v>10199</v>
      </c>
      <c r="B10200">
        <v>7617506</v>
      </c>
      <c r="C10200" s="1" t="str">
        <f>HYPERLINK("http://stackoverflow.com/users/7617506", "a1nc")</f>
        <v>a1nc</v>
      </c>
      <c r="D10200" t="s">
        <v>135</v>
      </c>
      <c r="E10200">
        <v>1</v>
      </c>
    </row>
    <row r="10201" spans="1:5" x14ac:dyDescent="0.25">
      <c r="A10201">
        <v>10200</v>
      </c>
      <c r="B10201">
        <v>7617700</v>
      </c>
      <c r="C10201" s="1" t="str">
        <f>HYPERLINK("http://stackoverflow.com/users/7617700", "Billy")</f>
        <v>Billy</v>
      </c>
      <c r="D10201" t="s">
        <v>76</v>
      </c>
      <c r="E10201">
        <v>1</v>
      </c>
    </row>
    <row r="10202" spans="1:5" x14ac:dyDescent="0.25">
      <c r="A10202">
        <v>10201</v>
      </c>
      <c r="B10202">
        <v>9553534</v>
      </c>
      <c r="C10202" s="1" t="str">
        <f>HYPERLINK("http://stackoverflow.com/users/9553534", "feng lu")</f>
        <v>feng lu</v>
      </c>
      <c r="D10202" t="s">
        <v>55</v>
      </c>
      <c r="E10202">
        <v>1</v>
      </c>
    </row>
    <row r="10203" spans="1:5" x14ac:dyDescent="0.25">
      <c r="A10203">
        <v>10202</v>
      </c>
      <c r="B10203">
        <v>7609008</v>
      </c>
      <c r="C10203" s="1" t="str">
        <f>HYPERLINK("http://stackoverflow.com/users/7609008", "Frank Chen")</f>
        <v>Frank Chen</v>
      </c>
      <c r="D10203" t="s">
        <v>43</v>
      </c>
      <c r="E10203">
        <v>1</v>
      </c>
    </row>
    <row r="10204" spans="1:5" x14ac:dyDescent="0.25">
      <c r="A10204">
        <v>10203</v>
      </c>
      <c r="B10204">
        <v>2376188</v>
      </c>
      <c r="C10204" s="1" t="str">
        <f>HYPERLINK("http://stackoverflow.com/users/2376188", "Werner")</f>
        <v>Werner</v>
      </c>
      <c r="D10204" t="s">
        <v>22</v>
      </c>
      <c r="E10204">
        <v>1</v>
      </c>
    </row>
    <row r="10205" spans="1:5" x14ac:dyDescent="0.25">
      <c r="A10205">
        <v>10204</v>
      </c>
      <c r="B10205">
        <v>9538083</v>
      </c>
      <c r="C10205" s="1" t="str">
        <f>HYPERLINK("http://stackoverflow.com/users/9538083", "edbertsan")</f>
        <v>edbertsan</v>
      </c>
      <c r="D10205" t="s">
        <v>25</v>
      </c>
      <c r="E10205">
        <v>1</v>
      </c>
    </row>
    <row r="10206" spans="1:5" x14ac:dyDescent="0.25">
      <c r="A10206">
        <v>10205</v>
      </c>
      <c r="B10206">
        <v>9538118</v>
      </c>
      <c r="C10206" s="1" t="str">
        <f>HYPERLINK("http://stackoverflow.com/users/9538118", "Hecmay")</f>
        <v>Hecmay</v>
      </c>
      <c r="D10206" t="s">
        <v>5</v>
      </c>
      <c r="E10206">
        <v>1</v>
      </c>
    </row>
    <row r="10207" spans="1:5" x14ac:dyDescent="0.25">
      <c r="A10207">
        <v>10206</v>
      </c>
      <c r="B10207">
        <v>7613242</v>
      </c>
      <c r="C10207" s="1" t="str">
        <f>HYPERLINK("http://stackoverflow.com/users/7613242", "Tele")</f>
        <v>Tele</v>
      </c>
      <c r="D10207" t="s">
        <v>5</v>
      </c>
      <c r="E10207">
        <v>1</v>
      </c>
    </row>
    <row r="10208" spans="1:5" x14ac:dyDescent="0.25">
      <c r="A10208">
        <v>10207</v>
      </c>
      <c r="B10208">
        <v>7613423</v>
      </c>
      <c r="C10208" s="1" t="str">
        <f>HYPERLINK("http://stackoverflow.com/users/7613423", "Handymax")</f>
        <v>Handymax</v>
      </c>
      <c r="D10208" t="s">
        <v>214</v>
      </c>
      <c r="E10208">
        <v>1</v>
      </c>
    </row>
    <row r="10209" spans="1:5" x14ac:dyDescent="0.25">
      <c r="A10209">
        <v>10208</v>
      </c>
      <c r="B10209">
        <v>5864046</v>
      </c>
      <c r="C10209" s="1" t="str">
        <f>HYPERLINK("http://stackoverflow.com/users/5864046", "Damonare")</f>
        <v>Damonare</v>
      </c>
      <c r="D10209" t="s">
        <v>302</v>
      </c>
      <c r="E10209">
        <v>1</v>
      </c>
    </row>
    <row r="10210" spans="1:5" x14ac:dyDescent="0.25">
      <c r="A10210">
        <v>10209</v>
      </c>
      <c r="B10210">
        <v>5864099</v>
      </c>
      <c r="C10210" s="1" t="str">
        <f>HYPERLINK("http://stackoverflow.com/users/5864099", "Tsun Wenn")</f>
        <v>Tsun Wenn</v>
      </c>
      <c r="D10210" t="s">
        <v>266</v>
      </c>
      <c r="E10210">
        <v>1</v>
      </c>
    </row>
    <row r="10211" spans="1:5" x14ac:dyDescent="0.25">
      <c r="A10211">
        <v>10210</v>
      </c>
      <c r="B10211">
        <v>5864121</v>
      </c>
      <c r="C10211" s="1" t="str">
        <f>HYPERLINK("http://stackoverflow.com/users/5864121", "qi yuan")</f>
        <v>qi yuan</v>
      </c>
      <c r="D10211" t="s">
        <v>557</v>
      </c>
      <c r="E10211">
        <v>1</v>
      </c>
    </row>
    <row r="10212" spans="1:5" x14ac:dyDescent="0.25">
      <c r="A10212">
        <v>10211</v>
      </c>
      <c r="B10212">
        <v>5864128</v>
      </c>
      <c r="C10212" s="1" t="str">
        <f>HYPERLINK("http://stackoverflow.com/users/5864128", "Jason Wang")</f>
        <v>Jason Wang</v>
      </c>
      <c r="D10212" t="s">
        <v>5</v>
      </c>
      <c r="E10212">
        <v>1</v>
      </c>
    </row>
    <row r="10213" spans="1:5" x14ac:dyDescent="0.25">
      <c r="A10213">
        <v>10212</v>
      </c>
      <c r="B10213">
        <v>4089478</v>
      </c>
      <c r="C10213" s="1" t="str">
        <f>HYPERLINK("http://stackoverflow.com/users/4089478", "The_Third_Wave")</f>
        <v>The_Third_Wave</v>
      </c>
      <c r="D10213" t="s">
        <v>4</v>
      </c>
      <c r="E10213">
        <v>1</v>
      </c>
    </row>
    <row r="10214" spans="1:5" x14ac:dyDescent="0.25">
      <c r="A10214">
        <v>10213</v>
      </c>
      <c r="B10214">
        <v>4089651</v>
      </c>
      <c r="C10214" s="1" t="str">
        <f>HYPERLINK("http://stackoverflow.com/users/4089651", "Yang SEN")</f>
        <v>Yang SEN</v>
      </c>
      <c r="D10214" t="s">
        <v>61</v>
      </c>
      <c r="E10214">
        <v>1</v>
      </c>
    </row>
    <row r="10215" spans="1:5" x14ac:dyDescent="0.25">
      <c r="A10215">
        <v>10214</v>
      </c>
      <c r="B10215">
        <v>7566566</v>
      </c>
      <c r="C10215" s="1" t="str">
        <f>HYPERLINK("http://stackoverflow.com/users/7566566", "Li Ran")</f>
        <v>Li Ran</v>
      </c>
      <c r="D10215" t="s">
        <v>7</v>
      </c>
      <c r="E10215">
        <v>1</v>
      </c>
    </row>
    <row r="10216" spans="1:5" x14ac:dyDescent="0.25">
      <c r="A10216">
        <v>10215</v>
      </c>
      <c r="B10216">
        <v>5820075</v>
      </c>
      <c r="C10216" s="1" t="str">
        <f>HYPERLINK("http://stackoverflow.com/users/5820075", "Marx.P")</f>
        <v>Marx.P</v>
      </c>
      <c r="D10216" t="s">
        <v>5</v>
      </c>
      <c r="E10216">
        <v>1</v>
      </c>
    </row>
    <row r="10217" spans="1:5" x14ac:dyDescent="0.25">
      <c r="A10217">
        <v>10216</v>
      </c>
      <c r="B10217">
        <v>5820102</v>
      </c>
      <c r="C10217" s="1" t="str">
        <f>HYPERLINK("http://stackoverflow.com/users/5820102", "user5820102")</f>
        <v>user5820102</v>
      </c>
      <c r="D10217" t="s">
        <v>558</v>
      </c>
      <c r="E10217">
        <v>1</v>
      </c>
    </row>
    <row r="10218" spans="1:5" x14ac:dyDescent="0.25">
      <c r="A10218">
        <v>10217</v>
      </c>
      <c r="B10218">
        <v>4045180</v>
      </c>
      <c r="C10218" s="1" t="str">
        <f>HYPERLINK("http://stackoverflow.com/users/4045180", "Vaayne")</f>
        <v>Vaayne</v>
      </c>
      <c r="D10218" t="s">
        <v>5</v>
      </c>
      <c r="E10218">
        <v>1</v>
      </c>
    </row>
    <row r="10219" spans="1:5" x14ac:dyDescent="0.25">
      <c r="A10219">
        <v>10218</v>
      </c>
      <c r="B10219">
        <v>2303424</v>
      </c>
      <c r="C10219" s="1" t="str">
        <f>HYPERLINK("http://stackoverflow.com/users/2303424", "SteveGY")</f>
        <v>SteveGY</v>
      </c>
      <c r="D10219" t="s">
        <v>4</v>
      </c>
      <c r="E10219">
        <v>1</v>
      </c>
    </row>
    <row r="10220" spans="1:5" x14ac:dyDescent="0.25">
      <c r="A10220">
        <v>10219</v>
      </c>
      <c r="B10220">
        <v>2303510</v>
      </c>
      <c r="C10220" s="1" t="str">
        <f>HYPERLINK("http://stackoverflow.com/users/2303510", "tidezyc")</f>
        <v>tidezyc</v>
      </c>
      <c r="D10220" t="s">
        <v>5</v>
      </c>
      <c r="E10220">
        <v>1</v>
      </c>
    </row>
    <row r="10221" spans="1:5" x14ac:dyDescent="0.25">
      <c r="A10221">
        <v>10220</v>
      </c>
      <c r="B10221">
        <v>2303532</v>
      </c>
      <c r="C10221" s="1" t="str">
        <f>HYPERLINK("http://stackoverflow.com/users/2303532", "Wentao Ji")</f>
        <v>Wentao Ji</v>
      </c>
      <c r="D10221" t="s">
        <v>31</v>
      </c>
      <c r="E10221">
        <v>1</v>
      </c>
    </row>
    <row r="10222" spans="1:5" x14ac:dyDescent="0.25">
      <c r="A10222">
        <v>10221</v>
      </c>
      <c r="B10222">
        <v>7566258</v>
      </c>
      <c r="C10222" s="1" t="str">
        <f>HYPERLINK("http://stackoverflow.com/users/7566258", "kevingates")</f>
        <v>kevingates</v>
      </c>
      <c r="D10222" t="s">
        <v>4</v>
      </c>
      <c r="E10222">
        <v>1</v>
      </c>
    </row>
    <row r="10223" spans="1:5" x14ac:dyDescent="0.25">
      <c r="A10223">
        <v>10222</v>
      </c>
      <c r="B10223">
        <v>4039321</v>
      </c>
      <c r="C10223" s="1" t="str">
        <f>HYPERLINK("http://stackoverflow.com/users/4039321", "reaper")</f>
        <v>reaper</v>
      </c>
      <c r="D10223" t="s">
        <v>4</v>
      </c>
      <c r="E10223">
        <v>1</v>
      </c>
    </row>
    <row r="10224" spans="1:5" x14ac:dyDescent="0.25">
      <c r="A10224">
        <v>10223</v>
      </c>
      <c r="B10224">
        <v>2302270</v>
      </c>
      <c r="C10224" s="1" t="str">
        <f>HYPERLINK("http://stackoverflow.com/users/2302270", "Eric Tang")</f>
        <v>Eric Tang</v>
      </c>
      <c r="D10224" t="s">
        <v>21</v>
      </c>
      <c r="E10224">
        <v>1</v>
      </c>
    </row>
    <row r="10225" spans="1:5" x14ac:dyDescent="0.25">
      <c r="A10225">
        <v>10224</v>
      </c>
      <c r="B10225">
        <v>2322275</v>
      </c>
      <c r="C10225" s="1" t="str">
        <f>HYPERLINK("http://stackoverflow.com/users/2322275", "Longeek")</f>
        <v>Longeek</v>
      </c>
      <c r="D10225" t="s">
        <v>5</v>
      </c>
      <c r="E10225">
        <v>1</v>
      </c>
    </row>
    <row r="10226" spans="1:5" x14ac:dyDescent="0.25">
      <c r="A10226">
        <v>10225</v>
      </c>
      <c r="B10226">
        <v>2322760</v>
      </c>
      <c r="C10226" s="1" t="str">
        <f>HYPERLINK("http://stackoverflow.com/users/2322760", "Xie Yanke")</f>
        <v>Xie Yanke</v>
      </c>
      <c r="D10226" t="s">
        <v>5</v>
      </c>
      <c r="E10226">
        <v>1</v>
      </c>
    </row>
    <row r="10227" spans="1:5" x14ac:dyDescent="0.25">
      <c r="A10227">
        <v>10226</v>
      </c>
      <c r="B10227">
        <v>2322793</v>
      </c>
      <c r="C10227" s="1" t="str">
        <f>HYPERLINK("http://stackoverflow.com/users/2322793", "chen2012")</f>
        <v>chen2012</v>
      </c>
      <c r="D10227" t="s">
        <v>48</v>
      </c>
      <c r="E10227">
        <v>1</v>
      </c>
    </row>
    <row r="10228" spans="1:5" x14ac:dyDescent="0.25">
      <c r="A10228">
        <v>10227</v>
      </c>
      <c r="B10228">
        <v>2322823</v>
      </c>
      <c r="C10228" s="1" t="str">
        <f>HYPERLINK("http://stackoverflow.com/users/2322823", "Darkdream")</f>
        <v>Darkdream</v>
      </c>
      <c r="D10228" t="s">
        <v>559</v>
      </c>
      <c r="E10228">
        <v>1</v>
      </c>
    </row>
    <row r="10229" spans="1:5" x14ac:dyDescent="0.25">
      <c r="A10229">
        <v>10228</v>
      </c>
      <c r="B10229">
        <v>2322860</v>
      </c>
      <c r="C10229" s="1" t="str">
        <f>HYPERLINK("http://stackoverflow.com/users/2322860", "Darthin")</f>
        <v>Darthin</v>
      </c>
      <c r="D10229" t="s">
        <v>17</v>
      </c>
      <c r="E10229">
        <v>1</v>
      </c>
    </row>
    <row r="10230" spans="1:5" x14ac:dyDescent="0.25">
      <c r="A10230">
        <v>10229</v>
      </c>
      <c r="B10230">
        <v>2322928</v>
      </c>
      <c r="C10230" s="1" t="str">
        <f>HYPERLINK("http://stackoverflow.com/users/2322928", "hhbmyth")</f>
        <v>hhbmyth</v>
      </c>
      <c r="D10230" t="s">
        <v>8</v>
      </c>
      <c r="E10230">
        <v>1</v>
      </c>
    </row>
    <row r="10231" spans="1:5" x14ac:dyDescent="0.25">
      <c r="A10231">
        <v>10230</v>
      </c>
      <c r="B10231">
        <v>2323022</v>
      </c>
      <c r="C10231" s="1" t="str">
        <f>HYPERLINK("http://stackoverflow.com/users/2323022", "pythonroar")</f>
        <v>pythonroar</v>
      </c>
      <c r="D10231" t="s">
        <v>5</v>
      </c>
      <c r="E10231">
        <v>1</v>
      </c>
    </row>
    <row r="10232" spans="1:5" x14ac:dyDescent="0.25">
      <c r="A10232">
        <v>10231</v>
      </c>
      <c r="B10232">
        <v>7584773</v>
      </c>
      <c r="C10232" s="1" t="str">
        <f>HYPERLINK("http://stackoverflow.com/users/7584773", "F.ShAn")</f>
        <v>F.ShAn</v>
      </c>
      <c r="D10232" t="s">
        <v>5</v>
      </c>
      <c r="E10232">
        <v>1</v>
      </c>
    </row>
    <row r="10233" spans="1:5" x14ac:dyDescent="0.25">
      <c r="A10233">
        <v>10232</v>
      </c>
      <c r="B10233">
        <v>9509793</v>
      </c>
      <c r="C10233" s="1" t="str">
        <f>HYPERLINK("http://stackoverflow.com/users/9509793", "Yuanchen Wang")</f>
        <v>Yuanchen Wang</v>
      </c>
      <c r="D10233" t="s">
        <v>4</v>
      </c>
      <c r="E10233">
        <v>1</v>
      </c>
    </row>
    <row r="10234" spans="1:5" x14ac:dyDescent="0.25">
      <c r="A10234">
        <v>10233</v>
      </c>
      <c r="B10234">
        <v>2313560</v>
      </c>
      <c r="C10234" s="1" t="str">
        <f>HYPERLINK("http://stackoverflow.com/users/2313560", "truman")</f>
        <v>truman</v>
      </c>
      <c r="D10234" t="s">
        <v>5</v>
      </c>
      <c r="E10234">
        <v>1</v>
      </c>
    </row>
    <row r="10235" spans="1:5" x14ac:dyDescent="0.25">
      <c r="A10235">
        <v>10234</v>
      </c>
      <c r="B10235">
        <v>2313576</v>
      </c>
      <c r="C10235" s="1" t="str">
        <f>HYPERLINK("http://stackoverflow.com/users/2313576", "Terry")</f>
        <v>Terry</v>
      </c>
      <c r="D10235" t="s">
        <v>4</v>
      </c>
      <c r="E10235">
        <v>1</v>
      </c>
    </row>
    <row r="10236" spans="1:5" x14ac:dyDescent="0.25">
      <c r="A10236">
        <v>10235</v>
      </c>
      <c r="B10236">
        <v>2313842</v>
      </c>
      <c r="C10236" s="1" t="str">
        <f>HYPERLINK("http://stackoverflow.com/users/2313842", "Gary")</f>
        <v>Gary</v>
      </c>
      <c r="D10236" t="s">
        <v>560</v>
      </c>
      <c r="E10236">
        <v>1</v>
      </c>
    </row>
    <row r="10237" spans="1:5" x14ac:dyDescent="0.25">
      <c r="A10237">
        <v>10236</v>
      </c>
      <c r="B10237">
        <v>9500571</v>
      </c>
      <c r="C10237" s="1" t="str">
        <f>HYPERLINK("http://stackoverflow.com/users/9500571", "micheal")</f>
        <v>micheal</v>
      </c>
      <c r="D10237" t="s">
        <v>28</v>
      </c>
      <c r="E10237">
        <v>1</v>
      </c>
    </row>
    <row r="10238" spans="1:5" x14ac:dyDescent="0.25">
      <c r="A10238">
        <v>10237</v>
      </c>
      <c r="B10238">
        <v>9500585</v>
      </c>
      <c r="C10238" s="1" t="str">
        <f>HYPERLINK("http://stackoverflow.com/users/9500585", "xinyuan Cao")</f>
        <v>xinyuan Cao</v>
      </c>
      <c r="D10238" t="s">
        <v>135</v>
      </c>
      <c r="E10238">
        <v>1</v>
      </c>
    </row>
    <row r="10239" spans="1:5" x14ac:dyDescent="0.25">
      <c r="A10239">
        <v>10238</v>
      </c>
      <c r="B10239">
        <v>7581170</v>
      </c>
      <c r="C10239" s="1" t="str">
        <f>HYPERLINK("http://stackoverflow.com/users/7581170", "Shilei")</f>
        <v>Shilei</v>
      </c>
      <c r="D10239" t="s">
        <v>4</v>
      </c>
      <c r="E10239">
        <v>1</v>
      </c>
    </row>
    <row r="10240" spans="1:5" x14ac:dyDescent="0.25">
      <c r="A10240">
        <v>10239</v>
      </c>
      <c r="B10240">
        <v>11290095</v>
      </c>
      <c r="C10240" s="1" t="str">
        <f>HYPERLINK("http://stackoverflow.com/users/11290095", "张巍骞")</f>
        <v>张巍骞</v>
      </c>
      <c r="D10240" t="s">
        <v>4</v>
      </c>
      <c r="E10240">
        <v>1</v>
      </c>
    </row>
    <row r="10241" spans="1:5" x14ac:dyDescent="0.25">
      <c r="A10241">
        <v>10240</v>
      </c>
      <c r="B10241">
        <v>9495802</v>
      </c>
      <c r="C10241" s="1" t="str">
        <f>HYPERLINK("http://stackoverflow.com/users/9495802", "Baigao Chang")</f>
        <v>Baigao Chang</v>
      </c>
      <c r="D10241" t="s">
        <v>325</v>
      </c>
      <c r="E10241">
        <v>1</v>
      </c>
    </row>
    <row r="10242" spans="1:5" x14ac:dyDescent="0.25">
      <c r="A10242">
        <v>10241</v>
      </c>
      <c r="B10242">
        <v>9495813</v>
      </c>
      <c r="C10242" s="1" t="str">
        <f>HYPERLINK("http://stackoverflow.com/users/9495813", "wenshuangsong")</f>
        <v>wenshuangsong</v>
      </c>
      <c r="D10242" t="s">
        <v>5</v>
      </c>
      <c r="E10242">
        <v>1</v>
      </c>
    </row>
    <row r="10243" spans="1:5" x14ac:dyDescent="0.25">
      <c r="A10243">
        <v>10242</v>
      </c>
      <c r="B10243">
        <v>11312107</v>
      </c>
      <c r="C10243" s="1" t="str">
        <f>HYPERLINK("http://stackoverflow.com/users/11312107", "LeoHsiao")</f>
        <v>LeoHsiao</v>
      </c>
      <c r="D10243" t="s">
        <v>106</v>
      </c>
      <c r="E10243">
        <v>1</v>
      </c>
    </row>
    <row r="10244" spans="1:5" x14ac:dyDescent="0.25">
      <c r="A10244">
        <v>10243</v>
      </c>
      <c r="B10244">
        <v>5842200</v>
      </c>
      <c r="C10244" s="1" t="str">
        <f>HYPERLINK("http://stackoverflow.com/users/5842200", "EarlGrey")</f>
        <v>EarlGrey</v>
      </c>
      <c r="D10244" t="s">
        <v>17</v>
      </c>
      <c r="E10244">
        <v>1</v>
      </c>
    </row>
    <row r="10245" spans="1:5" x14ac:dyDescent="0.25">
      <c r="A10245">
        <v>10244</v>
      </c>
      <c r="B10245">
        <v>5842278</v>
      </c>
      <c r="C10245" s="1" t="str">
        <f>HYPERLINK("http://stackoverflow.com/users/5842278", "Jobs Hu")</f>
        <v>Jobs Hu</v>
      </c>
      <c r="D10245" t="s">
        <v>4</v>
      </c>
      <c r="E10245">
        <v>1</v>
      </c>
    </row>
    <row r="10246" spans="1:5" x14ac:dyDescent="0.25">
      <c r="A10246">
        <v>10245</v>
      </c>
      <c r="B10246">
        <v>11303712</v>
      </c>
      <c r="C10246" s="1" t="str">
        <f>HYPERLINK("http://stackoverflow.com/users/11303712", "Barik")</f>
        <v>Barik</v>
      </c>
      <c r="D10246" t="s">
        <v>55</v>
      </c>
      <c r="E10246">
        <v>1</v>
      </c>
    </row>
    <row r="10247" spans="1:5" x14ac:dyDescent="0.25">
      <c r="A10247">
        <v>10246</v>
      </c>
      <c r="B10247">
        <v>7587285</v>
      </c>
      <c r="C10247" s="1" t="str">
        <f>HYPERLINK("http://stackoverflow.com/users/7587285", "Alex-kai")</f>
        <v>Alex-kai</v>
      </c>
      <c r="D10247" t="s">
        <v>131</v>
      </c>
      <c r="E10247">
        <v>1</v>
      </c>
    </row>
    <row r="10248" spans="1:5" x14ac:dyDescent="0.25">
      <c r="A10248">
        <v>10247</v>
      </c>
      <c r="B10248">
        <v>7587343</v>
      </c>
      <c r="C10248" s="1" t="str">
        <f>HYPERLINK("http://stackoverflow.com/users/7587343", "Damon")</f>
        <v>Damon</v>
      </c>
      <c r="D10248" t="s">
        <v>561</v>
      </c>
      <c r="E10248">
        <v>1</v>
      </c>
    </row>
    <row r="10249" spans="1:5" x14ac:dyDescent="0.25">
      <c r="A10249">
        <v>10248</v>
      </c>
      <c r="B10249">
        <v>7587479</v>
      </c>
      <c r="C10249" s="1" t="str">
        <f>HYPERLINK("http://stackoverflow.com/users/7587479", "imhuster")</f>
        <v>imhuster</v>
      </c>
      <c r="D10249" t="s">
        <v>52</v>
      </c>
      <c r="E10249">
        <v>1</v>
      </c>
    </row>
    <row r="10250" spans="1:5" x14ac:dyDescent="0.25">
      <c r="A10250">
        <v>10249</v>
      </c>
      <c r="B10250">
        <v>9522886</v>
      </c>
      <c r="C10250" s="1" t="str">
        <f>HYPERLINK("http://stackoverflow.com/users/9522886", "Tsing")</f>
        <v>Tsing</v>
      </c>
      <c r="D10250" t="s">
        <v>7</v>
      </c>
      <c r="E10250">
        <v>1</v>
      </c>
    </row>
    <row r="10251" spans="1:5" x14ac:dyDescent="0.25">
      <c r="A10251">
        <v>10250</v>
      </c>
      <c r="B10251">
        <v>9523080</v>
      </c>
      <c r="C10251" s="1" t="str">
        <f>HYPERLINK("http://stackoverflow.com/users/9523080", "Shun Zhang")</f>
        <v>Shun Zhang</v>
      </c>
      <c r="D10251" t="s">
        <v>37</v>
      </c>
      <c r="E10251">
        <v>1</v>
      </c>
    </row>
    <row r="10252" spans="1:5" x14ac:dyDescent="0.25">
      <c r="A10252">
        <v>10251</v>
      </c>
      <c r="B10252">
        <v>5845535</v>
      </c>
      <c r="C10252" s="1" t="str">
        <f>HYPERLINK("http://stackoverflow.com/users/5845535", "xueqin")</f>
        <v>xueqin</v>
      </c>
      <c r="D10252" t="s">
        <v>5</v>
      </c>
      <c r="E10252">
        <v>1</v>
      </c>
    </row>
    <row r="10253" spans="1:5" x14ac:dyDescent="0.25">
      <c r="A10253">
        <v>10252</v>
      </c>
      <c r="B10253">
        <v>5845891</v>
      </c>
      <c r="C10253" s="1" t="str">
        <f>HYPERLINK("http://stackoverflow.com/users/5845891", "Yun Il")</f>
        <v>Yun Il</v>
      </c>
      <c r="D10253" t="s">
        <v>340</v>
      </c>
      <c r="E10253">
        <v>1</v>
      </c>
    </row>
    <row r="10254" spans="1:5" x14ac:dyDescent="0.25">
      <c r="A10254">
        <v>10253</v>
      </c>
      <c r="B10254">
        <v>7598511</v>
      </c>
      <c r="C10254" s="1" t="str">
        <f>HYPERLINK("http://stackoverflow.com/users/7598511", "Zoctopus Zhang")</f>
        <v>Zoctopus Zhang</v>
      </c>
      <c r="D10254" t="s">
        <v>28</v>
      </c>
      <c r="E10254">
        <v>1</v>
      </c>
    </row>
    <row r="10255" spans="1:5" x14ac:dyDescent="0.25">
      <c r="A10255">
        <v>10254</v>
      </c>
      <c r="B10255">
        <v>7598715</v>
      </c>
      <c r="C10255" s="1" t="str">
        <f>HYPERLINK("http://stackoverflow.com/users/7598715", "Adam Romyn")</f>
        <v>Adam Romyn</v>
      </c>
      <c r="D10255" t="s">
        <v>338</v>
      </c>
      <c r="E10255">
        <v>1</v>
      </c>
    </row>
    <row r="10256" spans="1:5" x14ac:dyDescent="0.25">
      <c r="A10256">
        <v>10255</v>
      </c>
      <c r="B10256">
        <v>7598864</v>
      </c>
      <c r="C10256" s="1" t="str">
        <f>HYPERLINK("http://stackoverflow.com/users/7598864", "Frk_Wsking")</f>
        <v>Frk_Wsking</v>
      </c>
      <c r="D10256" t="s">
        <v>266</v>
      </c>
      <c r="E10256">
        <v>1</v>
      </c>
    </row>
    <row r="10257" spans="1:5" x14ac:dyDescent="0.25">
      <c r="A10257">
        <v>10256</v>
      </c>
      <c r="B10257">
        <v>7602948</v>
      </c>
      <c r="C10257" s="1" t="str">
        <f>HYPERLINK("http://stackoverflow.com/users/7602948", "SacreDsouL")</f>
        <v>SacreDsouL</v>
      </c>
      <c r="D10257" t="s">
        <v>74</v>
      </c>
      <c r="E10257">
        <v>1</v>
      </c>
    </row>
    <row r="10258" spans="1:5" x14ac:dyDescent="0.25">
      <c r="A10258">
        <v>10257</v>
      </c>
      <c r="B10258">
        <v>7602995</v>
      </c>
      <c r="C10258" s="1" t="str">
        <f>HYPERLINK("http://stackoverflow.com/users/7602995", "xud")</f>
        <v>xud</v>
      </c>
      <c r="D10258" t="s">
        <v>4</v>
      </c>
      <c r="E10258">
        <v>1</v>
      </c>
    </row>
    <row r="10259" spans="1:5" x14ac:dyDescent="0.25">
      <c r="A10259">
        <v>10258</v>
      </c>
      <c r="B10259">
        <v>7603006</v>
      </c>
      <c r="C10259" s="1" t="str">
        <f>HYPERLINK("http://stackoverflow.com/users/7603006", "梁海 Liang Hai")</f>
        <v>梁海 Liang Hai</v>
      </c>
      <c r="D10259" t="s">
        <v>5</v>
      </c>
      <c r="E10259">
        <v>1</v>
      </c>
    </row>
    <row r="10260" spans="1:5" x14ac:dyDescent="0.25">
      <c r="A10260">
        <v>10259</v>
      </c>
      <c r="B10260">
        <v>7603031</v>
      </c>
      <c r="C10260" s="1" t="str">
        <f>HYPERLINK("http://stackoverflow.com/users/7603031", "R.Mie")</f>
        <v>R.Mie</v>
      </c>
      <c r="D10260" t="s">
        <v>562</v>
      </c>
      <c r="E10260">
        <v>1</v>
      </c>
    </row>
    <row r="10261" spans="1:5" x14ac:dyDescent="0.25">
      <c r="A10261">
        <v>10260</v>
      </c>
      <c r="B10261">
        <v>7603316</v>
      </c>
      <c r="C10261" s="1" t="str">
        <f>HYPERLINK("http://stackoverflow.com/users/7603316", "Fuen Wu")</f>
        <v>Fuen Wu</v>
      </c>
      <c r="D10261" t="s">
        <v>43</v>
      </c>
      <c r="E10261">
        <v>1</v>
      </c>
    </row>
    <row r="10262" spans="1:5" x14ac:dyDescent="0.25">
      <c r="A10262">
        <v>10261</v>
      </c>
      <c r="B10262">
        <v>2353920</v>
      </c>
      <c r="C10262" s="1" t="str">
        <f>HYPERLINK("http://stackoverflow.com/users/2353920", "mgcnrx11")</f>
        <v>mgcnrx11</v>
      </c>
      <c r="D10262" t="s">
        <v>21</v>
      </c>
      <c r="E10262">
        <v>1</v>
      </c>
    </row>
    <row r="10263" spans="1:5" x14ac:dyDescent="0.25">
      <c r="A10263">
        <v>10262</v>
      </c>
      <c r="B10263">
        <v>7608203</v>
      </c>
      <c r="C10263" s="1" t="str">
        <f>HYPERLINK("http://stackoverflow.com/users/7608203", "Xiaoliang")</f>
        <v>Xiaoliang</v>
      </c>
      <c r="D10263" t="s">
        <v>4</v>
      </c>
      <c r="E10263">
        <v>1</v>
      </c>
    </row>
    <row r="10264" spans="1:5" x14ac:dyDescent="0.25">
      <c r="A10264">
        <v>10263</v>
      </c>
      <c r="B10264">
        <v>7608311</v>
      </c>
      <c r="C10264" s="1" t="str">
        <f>HYPERLINK("http://stackoverflow.com/users/7608311", "geeksans")</f>
        <v>geeksans</v>
      </c>
      <c r="D10264" t="s">
        <v>16</v>
      </c>
      <c r="E10264">
        <v>1</v>
      </c>
    </row>
    <row r="10265" spans="1:5" x14ac:dyDescent="0.25">
      <c r="A10265">
        <v>10264</v>
      </c>
      <c r="B10265">
        <v>9537571</v>
      </c>
      <c r="C10265" s="1" t="str">
        <f>HYPERLINK("http://stackoverflow.com/users/9537571", "herve bilomba")</f>
        <v>herve bilomba</v>
      </c>
      <c r="D10265" t="s">
        <v>265</v>
      </c>
      <c r="E10265">
        <v>1</v>
      </c>
    </row>
    <row r="10266" spans="1:5" x14ac:dyDescent="0.25">
      <c r="A10266">
        <v>10265</v>
      </c>
      <c r="B10266">
        <v>7608451</v>
      </c>
      <c r="C10266" s="1" t="str">
        <f>HYPERLINK("http://stackoverflow.com/users/7608451", "LiuJiLiang")</f>
        <v>LiuJiLiang</v>
      </c>
      <c r="D10266" t="s">
        <v>7</v>
      </c>
      <c r="E10266">
        <v>1</v>
      </c>
    </row>
    <row r="10267" spans="1:5" x14ac:dyDescent="0.25">
      <c r="A10267">
        <v>10266</v>
      </c>
      <c r="B10267">
        <v>2354049</v>
      </c>
      <c r="C10267" s="1" t="str">
        <f>HYPERLINK("http://stackoverflow.com/users/2354049", "Keith Leong")</f>
        <v>Keith Leong</v>
      </c>
      <c r="D10267" t="s">
        <v>21</v>
      </c>
      <c r="E10267">
        <v>1</v>
      </c>
    </row>
    <row r="10268" spans="1:5" x14ac:dyDescent="0.25">
      <c r="A10268">
        <v>10267</v>
      </c>
      <c r="B10268">
        <v>2354067</v>
      </c>
      <c r="C10268" s="1" t="str">
        <f>HYPERLINK("http://stackoverflow.com/users/2354067", "刘艾德")</f>
        <v>刘艾德</v>
      </c>
      <c r="D10268" t="s">
        <v>5</v>
      </c>
      <c r="E10268">
        <v>1</v>
      </c>
    </row>
    <row r="10269" spans="1:5" x14ac:dyDescent="0.25">
      <c r="A10269">
        <v>10268</v>
      </c>
      <c r="B10269">
        <v>2354070</v>
      </c>
      <c r="C10269" s="1" t="str">
        <f>HYPERLINK("http://stackoverflow.com/users/2354070", "NoDurex")</f>
        <v>NoDurex</v>
      </c>
      <c r="D10269" t="s">
        <v>12</v>
      </c>
      <c r="E10269">
        <v>1</v>
      </c>
    </row>
    <row r="10270" spans="1:5" x14ac:dyDescent="0.25">
      <c r="A10270">
        <v>10269</v>
      </c>
      <c r="B10270">
        <v>2354828</v>
      </c>
      <c r="C10270" s="1" t="str">
        <f>HYPERLINK("http://stackoverflow.com/users/2354828", "harris")</f>
        <v>harris</v>
      </c>
      <c r="D10270" t="s">
        <v>5</v>
      </c>
      <c r="E10270">
        <v>1</v>
      </c>
    </row>
    <row r="10271" spans="1:5" x14ac:dyDescent="0.25">
      <c r="A10271">
        <v>10270</v>
      </c>
      <c r="B10271">
        <v>2355002</v>
      </c>
      <c r="C10271" s="1" t="str">
        <f>HYPERLINK("http://stackoverflow.com/users/2355002", "chj")</f>
        <v>chj</v>
      </c>
      <c r="D10271" t="s">
        <v>21</v>
      </c>
      <c r="E10271">
        <v>1</v>
      </c>
    </row>
    <row r="10272" spans="1:5" x14ac:dyDescent="0.25">
      <c r="A10272">
        <v>10271</v>
      </c>
      <c r="B10272">
        <v>9532992</v>
      </c>
      <c r="C10272" s="1" t="str">
        <f>HYPERLINK("http://stackoverflow.com/users/9532992", "Malygose")</f>
        <v>Malygose</v>
      </c>
      <c r="D10272" t="s">
        <v>7</v>
      </c>
      <c r="E10272">
        <v>1</v>
      </c>
    </row>
    <row r="10273" spans="1:5" x14ac:dyDescent="0.25">
      <c r="A10273">
        <v>10272</v>
      </c>
      <c r="B10273">
        <v>9533062</v>
      </c>
      <c r="C10273" s="1" t="str">
        <f>HYPERLINK("http://stackoverflow.com/users/9533062", "Liu Fengrui")</f>
        <v>Liu Fengrui</v>
      </c>
      <c r="D10273" t="s">
        <v>5</v>
      </c>
      <c r="E10273">
        <v>1</v>
      </c>
    </row>
    <row r="10274" spans="1:5" x14ac:dyDescent="0.25">
      <c r="A10274">
        <v>10273</v>
      </c>
      <c r="B10274">
        <v>9533070</v>
      </c>
      <c r="C10274" s="1" t="str">
        <f>HYPERLINK("http://stackoverflow.com/users/9533070", "Joseph Lee")</f>
        <v>Joseph Lee</v>
      </c>
      <c r="D10274" t="s">
        <v>25</v>
      </c>
      <c r="E10274">
        <v>1</v>
      </c>
    </row>
    <row r="10275" spans="1:5" x14ac:dyDescent="0.25">
      <c r="A10275">
        <v>10274</v>
      </c>
      <c r="B10275">
        <v>4081419</v>
      </c>
      <c r="C10275" s="1" t="str">
        <f>HYPERLINK("http://stackoverflow.com/users/4081419", "lpe234")</f>
        <v>lpe234</v>
      </c>
      <c r="D10275" t="s">
        <v>5</v>
      </c>
      <c r="E10275">
        <v>1</v>
      </c>
    </row>
    <row r="10276" spans="1:5" x14ac:dyDescent="0.25">
      <c r="A10276">
        <v>10275</v>
      </c>
      <c r="B10276">
        <v>8174559</v>
      </c>
      <c r="C10276" s="1" t="str">
        <f>HYPERLINK("http://stackoverflow.com/users/8174559", "Cheney")</f>
        <v>Cheney</v>
      </c>
      <c r="D10276" t="s">
        <v>7</v>
      </c>
      <c r="E10276">
        <v>1</v>
      </c>
    </row>
    <row r="10277" spans="1:5" x14ac:dyDescent="0.25">
      <c r="A10277">
        <v>10276</v>
      </c>
      <c r="B10277">
        <v>8174977</v>
      </c>
      <c r="C10277" s="1" t="str">
        <f>HYPERLINK("http://stackoverflow.com/users/8174977", "Faker")</f>
        <v>Faker</v>
      </c>
      <c r="D10277" t="s">
        <v>25</v>
      </c>
      <c r="E10277">
        <v>1</v>
      </c>
    </row>
    <row r="10278" spans="1:5" x14ac:dyDescent="0.25">
      <c r="A10278">
        <v>10277</v>
      </c>
      <c r="B10278">
        <v>8175194</v>
      </c>
      <c r="C10278" s="1" t="str">
        <f>HYPERLINK("http://stackoverflow.com/users/8175194", "Qitong Wang")</f>
        <v>Qitong Wang</v>
      </c>
      <c r="D10278" t="s">
        <v>4</v>
      </c>
      <c r="E10278">
        <v>1</v>
      </c>
    </row>
    <row r="10279" spans="1:5" x14ac:dyDescent="0.25">
      <c r="A10279">
        <v>10278</v>
      </c>
      <c r="B10279">
        <v>4657134</v>
      </c>
      <c r="C10279" s="1" t="str">
        <f>HYPERLINK("http://stackoverflow.com/users/4657134", "Kit kwok")</f>
        <v>Kit kwok</v>
      </c>
      <c r="D10279" t="s">
        <v>21</v>
      </c>
      <c r="E10279">
        <v>1</v>
      </c>
    </row>
    <row r="10280" spans="1:5" x14ac:dyDescent="0.25">
      <c r="A10280">
        <v>10279</v>
      </c>
      <c r="B10280">
        <v>6376829</v>
      </c>
      <c r="C10280" s="1" t="str">
        <f>HYPERLINK("http://stackoverflow.com/users/6376829", "wesley zhang")</f>
        <v>wesley zhang</v>
      </c>
      <c r="D10280" t="s">
        <v>3</v>
      </c>
      <c r="E10280">
        <v>1</v>
      </c>
    </row>
    <row r="10281" spans="1:5" x14ac:dyDescent="0.25">
      <c r="A10281">
        <v>10280</v>
      </c>
      <c r="B10281">
        <v>2825905</v>
      </c>
      <c r="C10281" s="1" t="str">
        <f>HYPERLINK("http://stackoverflow.com/users/2825905", "randyyet")</f>
        <v>randyyet</v>
      </c>
      <c r="D10281" t="s">
        <v>21</v>
      </c>
      <c r="E10281">
        <v>1</v>
      </c>
    </row>
    <row r="10282" spans="1:5" x14ac:dyDescent="0.25">
      <c r="A10282">
        <v>10281</v>
      </c>
      <c r="B10282">
        <v>2825917</v>
      </c>
      <c r="C10282" s="1" t="str">
        <f>HYPERLINK("http://stackoverflow.com/users/2825917", "Hardy Liu")</f>
        <v>Hardy Liu</v>
      </c>
      <c r="D10282" t="s">
        <v>4</v>
      </c>
      <c r="E10282">
        <v>1</v>
      </c>
    </row>
    <row r="10283" spans="1:5" x14ac:dyDescent="0.25">
      <c r="A10283">
        <v>10282</v>
      </c>
      <c r="B10283">
        <v>2825723</v>
      </c>
      <c r="C10283" s="1" t="str">
        <f>HYPERLINK("http://stackoverflow.com/users/2825723", "syllor")</f>
        <v>syllor</v>
      </c>
      <c r="D10283" t="s">
        <v>5</v>
      </c>
      <c r="E10283">
        <v>1</v>
      </c>
    </row>
    <row r="10284" spans="1:5" x14ac:dyDescent="0.25">
      <c r="A10284">
        <v>10283</v>
      </c>
      <c r="B10284">
        <v>696861</v>
      </c>
      <c r="C10284" s="1" t="str">
        <f>HYPERLINK("http://stackoverflow.com/users/696861", "Bo Xiao")</f>
        <v>Bo Xiao</v>
      </c>
      <c r="D10284" t="s">
        <v>35</v>
      </c>
      <c r="E10284">
        <v>1</v>
      </c>
    </row>
    <row r="10285" spans="1:5" x14ac:dyDescent="0.25">
      <c r="A10285">
        <v>10284</v>
      </c>
      <c r="B10285">
        <v>8186252</v>
      </c>
      <c r="C10285" s="1" t="str">
        <f>HYPERLINK("http://stackoverflow.com/users/8186252", "Dennis LU")</f>
        <v>Dennis LU</v>
      </c>
      <c r="D10285" t="s">
        <v>7</v>
      </c>
      <c r="E10285">
        <v>1</v>
      </c>
    </row>
    <row r="10286" spans="1:5" x14ac:dyDescent="0.25">
      <c r="A10286">
        <v>10285</v>
      </c>
      <c r="B10286">
        <v>8186515</v>
      </c>
      <c r="C10286" s="1" t="str">
        <f>HYPERLINK("http://stackoverflow.com/users/8186515", "Solon")</f>
        <v>Solon</v>
      </c>
      <c r="D10286" t="s">
        <v>4</v>
      </c>
      <c r="E10286">
        <v>1</v>
      </c>
    </row>
    <row r="10287" spans="1:5" x14ac:dyDescent="0.25">
      <c r="A10287">
        <v>10286</v>
      </c>
      <c r="B10287">
        <v>8186831</v>
      </c>
      <c r="C10287" s="1" t="str">
        <f>HYPERLINK("http://stackoverflow.com/users/8186831", "johnvenn")</f>
        <v>johnvenn</v>
      </c>
      <c r="D10287" t="s">
        <v>4</v>
      </c>
      <c r="E10287">
        <v>1</v>
      </c>
    </row>
    <row r="10288" spans="1:5" x14ac:dyDescent="0.25">
      <c r="A10288">
        <v>10287</v>
      </c>
      <c r="B10288">
        <v>10000438</v>
      </c>
      <c r="C10288" s="1" t="str">
        <f>HYPERLINK("http://stackoverflow.com/users/10000438", "dasinlsb")</f>
        <v>dasinlsb</v>
      </c>
      <c r="D10288" t="s">
        <v>25</v>
      </c>
      <c r="E10288">
        <v>1</v>
      </c>
    </row>
    <row r="10289" spans="1:5" x14ac:dyDescent="0.25">
      <c r="A10289">
        <v>10288</v>
      </c>
      <c r="B10289">
        <v>9992738</v>
      </c>
      <c r="C10289" s="1" t="str">
        <f>HYPERLINK("http://stackoverflow.com/users/9992738", "sakishum")</f>
        <v>sakishum</v>
      </c>
      <c r="D10289" t="s">
        <v>7</v>
      </c>
      <c r="E10289">
        <v>1</v>
      </c>
    </row>
    <row r="10290" spans="1:5" x14ac:dyDescent="0.25">
      <c r="A10290">
        <v>10289</v>
      </c>
      <c r="B10290">
        <v>2817733</v>
      </c>
      <c r="C10290" s="1" t="str">
        <f>HYPERLINK("http://stackoverflow.com/users/2817733", "ycc0545")</f>
        <v>ycc0545</v>
      </c>
      <c r="D10290" t="s">
        <v>21</v>
      </c>
      <c r="E10290">
        <v>1</v>
      </c>
    </row>
    <row r="10291" spans="1:5" x14ac:dyDescent="0.25">
      <c r="A10291">
        <v>10290</v>
      </c>
      <c r="B10291">
        <v>6389993</v>
      </c>
      <c r="C10291" s="1" t="str">
        <f>HYPERLINK("http://stackoverflow.com/users/6389993", "wishly")</f>
        <v>wishly</v>
      </c>
      <c r="D10291" t="s">
        <v>563</v>
      </c>
      <c r="E10291">
        <v>1</v>
      </c>
    </row>
    <row r="10292" spans="1:5" x14ac:dyDescent="0.25">
      <c r="A10292">
        <v>10291</v>
      </c>
      <c r="B10292">
        <v>701924</v>
      </c>
      <c r="C10292" s="1" t="str">
        <f>HYPERLINK("http://stackoverflow.com/users/701924", "pengsu")</f>
        <v>pengsu</v>
      </c>
      <c r="D10292" t="s">
        <v>34</v>
      </c>
      <c r="E10292">
        <v>1</v>
      </c>
    </row>
    <row r="10293" spans="1:5" x14ac:dyDescent="0.25">
      <c r="A10293">
        <v>10292</v>
      </c>
      <c r="B10293">
        <v>701663</v>
      </c>
      <c r="C10293" s="1" t="str">
        <f>HYPERLINK("http://stackoverflow.com/users/701663", "Berry")</f>
        <v>Berry</v>
      </c>
      <c r="D10293" t="s">
        <v>21</v>
      </c>
      <c r="E10293">
        <v>1</v>
      </c>
    </row>
    <row r="10294" spans="1:5" x14ac:dyDescent="0.25">
      <c r="A10294">
        <v>10293</v>
      </c>
      <c r="B10294">
        <v>6393806</v>
      </c>
      <c r="C10294" s="1" t="str">
        <f>HYPERLINK("http://stackoverflow.com/users/6393806", "半城烟沙king")</f>
        <v>半城烟沙king</v>
      </c>
      <c r="D10294" t="s">
        <v>4</v>
      </c>
      <c r="E10294">
        <v>1</v>
      </c>
    </row>
    <row r="10295" spans="1:5" x14ac:dyDescent="0.25">
      <c r="A10295">
        <v>10294</v>
      </c>
      <c r="B10295">
        <v>4673186</v>
      </c>
      <c r="C10295" s="1" t="str">
        <f>HYPERLINK("http://stackoverflow.com/users/4673186", "Wuxingogo")</f>
        <v>Wuxingogo</v>
      </c>
      <c r="D10295" t="s">
        <v>5</v>
      </c>
      <c r="E10295">
        <v>1</v>
      </c>
    </row>
    <row r="10296" spans="1:5" x14ac:dyDescent="0.25">
      <c r="A10296">
        <v>10295</v>
      </c>
      <c r="B10296">
        <v>8191372</v>
      </c>
      <c r="C10296" s="1" t="str">
        <f>HYPERLINK("http://stackoverflow.com/users/8191372", "ruishe")</f>
        <v>ruishe</v>
      </c>
      <c r="D10296" t="s">
        <v>96</v>
      </c>
      <c r="E10296">
        <v>1</v>
      </c>
    </row>
    <row r="10297" spans="1:5" x14ac:dyDescent="0.25">
      <c r="A10297">
        <v>10296</v>
      </c>
      <c r="B10297">
        <v>8191591</v>
      </c>
      <c r="C10297" s="1" t="str">
        <f>HYPERLINK("http://stackoverflow.com/users/8191591", "shaowei")</f>
        <v>shaowei</v>
      </c>
      <c r="D10297" t="s">
        <v>25</v>
      </c>
      <c r="E10297">
        <v>1</v>
      </c>
    </row>
    <row r="10298" spans="1:5" x14ac:dyDescent="0.25">
      <c r="A10298">
        <v>10297</v>
      </c>
      <c r="B10298">
        <v>8191640</v>
      </c>
      <c r="C10298" s="1" t="str">
        <f>HYPERLINK("http://stackoverflow.com/users/8191640", "Eason K")</f>
        <v>Eason K</v>
      </c>
      <c r="D10298" t="s">
        <v>16</v>
      </c>
      <c r="E10298">
        <v>1</v>
      </c>
    </row>
    <row r="10299" spans="1:5" x14ac:dyDescent="0.25">
      <c r="A10299">
        <v>10298</v>
      </c>
      <c r="B10299">
        <v>6401474</v>
      </c>
      <c r="C10299" s="1" t="str">
        <f>HYPERLINK("http://stackoverflow.com/users/6401474", "Sha")</f>
        <v>Sha</v>
      </c>
      <c r="D10299" t="s">
        <v>4</v>
      </c>
      <c r="E10299">
        <v>1</v>
      </c>
    </row>
    <row r="10300" spans="1:5" x14ac:dyDescent="0.25">
      <c r="A10300">
        <v>10299</v>
      </c>
      <c r="B10300">
        <v>10009887</v>
      </c>
      <c r="C10300" s="1" t="str">
        <f>HYPERLINK("http://stackoverflow.com/users/10009887", "Xuying Pan")</f>
        <v>Xuying Pan</v>
      </c>
      <c r="D10300" t="s">
        <v>7</v>
      </c>
      <c r="E10300">
        <v>1</v>
      </c>
    </row>
    <row r="10301" spans="1:5" x14ac:dyDescent="0.25">
      <c r="A10301">
        <v>10300</v>
      </c>
      <c r="B10301">
        <v>10009923</v>
      </c>
      <c r="C10301" s="1" t="str">
        <f>HYPERLINK("http://stackoverflow.com/users/10009923", "Gskull")</f>
        <v>Gskull</v>
      </c>
      <c r="D10301" t="s">
        <v>4</v>
      </c>
      <c r="E10301">
        <v>1</v>
      </c>
    </row>
    <row r="10302" spans="1:5" x14ac:dyDescent="0.25">
      <c r="A10302">
        <v>10301</v>
      </c>
      <c r="B10302">
        <v>714863</v>
      </c>
      <c r="C10302" s="1" t="str">
        <f>HYPERLINK("http://stackoverflow.com/users/714863", "gxujin")</f>
        <v>gxujin</v>
      </c>
      <c r="D10302" t="s">
        <v>435</v>
      </c>
      <c r="E10302">
        <v>1</v>
      </c>
    </row>
    <row r="10303" spans="1:5" x14ac:dyDescent="0.25">
      <c r="A10303">
        <v>10302</v>
      </c>
      <c r="B10303">
        <v>716260</v>
      </c>
      <c r="C10303" s="1" t="str">
        <f>HYPERLINK("http://stackoverflow.com/users/716260", "daviddang")</f>
        <v>daviddang</v>
      </c>
      <c r="D10303" t="s">
        <v>54</v>
      </c>
      <c r="E10303">
        <v>1</v>
      </c>
    </row>
    <row r="10304" spans="1:5" x14ac:dyDescent="0.25">
      <c r="A10304">
        <v>10303</v>
      </c>
      <c r="B10304">
        <v>716502</v>
      </c>
      <c r="C10304" s="1" t="str">
        <f>HYPERLINK("http://stackoverflow.com/users/716502", "rryu")</f>
        <v>rryu</v>
      </c>
      <c r="D10304" t="s">
        <v>5</v>
      </c>
      <c r="E10304">
        <v>1</v>
      </c>
    </row>
    <row r="10305" spans="1:5" x14ac:dyDescent="0.25">
      <c r="A10305">
        <v>10304</v>
      </c>
      <c r="B10305">
        <v>10014539</v>
      </c>
      <c r="C10305" s="1" t="str">
        <f>HYPERLINK("http://stackoverflow.com/users/10014539", "CHandlERVe5")</f>
        <v>CHandlERVe5</v>
      </c>
      <c r="D10305" t="s">
        <v>55</v>
      </c>
      <c r="E10305">
        <v>1</v>
      </c>
    </row>
    <row r="10306" spans="1:5" x14ac:dyDescent="0.25">
      <c r="A10306">
        <v>10305</v>
      </c>
      <c r="B10306">
        <v>8200475</v>
      </c>
      <c r="C10306" s="1" t="str">
        <f>HYPERLINK("http://stackoverflow.com/users/8200475", "Simon Zhang")</f>
        <v>Simon Zhang</v>
      </c>
      <c r="D10306" t="s">
        <v>4</v>
      </c>
      <c r="E10306">
        <v>1</v>
      </c>
    </row>
    <row r="10307" spans="1:5" x14ac:dyDescent="0.25">
      <c r="A10307">
        <v>10306</v>
      </c>
      <c r="B10307">
        <v>8200869</v>
      </c>
      <c r="C10307" s="1" t="str">
        <f>HYPERLINK("http://stackoverflow.com/users/8200869", "HongwahChu")</f>
        <v>HongwahChu</v>
      </c>
      <c r="D10307" t="s">
        <v>25</v>
      </c>
      <c r="E10307">
        <v>1</v>
      </c>
    </row>
    <row r="10308" spans="1:5" x14ac:dyDescent="0.25">
      <c r="A10308">
        <v>10307</v>
      </c>
      <c r="B10308">
        <v>2850926</v>
      </c>
      <c r="C10308" s="1" t="str">
        <f>HYPERLINK("http://stackoverflow.com/users/2850926", "Kiveen")</f>
        <v>Kiveen</v>
      </c>
      <c r="D10308" t="s">
        <v>17</v>
      </c>
      <c r="E10308">
        <v>1</v>
      </c>
    </row>
    <row r="10309" spans="1:5" x14ac:dyDescent="0.25">
      <c r="A10309">
        <v>10308</v>
      </c>
      <c r="B10309">
        <v>10019834</v>
      </c>
      <c r="C10309" s="1" t="str">
        <f>HYPERLINK("http://stackoverflow.com/users/10019834", "Yi Zhang")</f>
        <v>Yi Zhang</v>
      </c>
      <c r="D10309" t="s">
        <v>5</v>
      </c>
      <c r="E10309">
        <v>1</v>
      </c>
    </row>
    <row r="10310" spans="1:5" x14ac:dyDescent="0.25">
      <c r="A10310">
        <v>10309</v>
      </c>
      <c r="B10310">
        <v>735727</v>
      </c>
      <c r="C10310" s="1" t="str">
        <f>HYPERLINK("http://stackoverflow.com/users/735727", "Lyang Hsueh")</f>
        <v>Lyang Hsueh</v>
      </c>
      <c r="D10310" t="s">
        <v>4</v>
      </c>
      <c r="E10310">
        <v>1</v>
      </c>
    </row>
    <row r="10311" spans="1:5" x14ac:dyDescent="0.25">
      <c r="A10311">
        <v>10310</v>
      </c>
      <c r="B10311">
        <v>8165071</v>
      </c>
      <c r="C10311" s="1" t="str">
        <f>HYPERLINK("http://stackoverflow.com/users/8165071", "bill.chi")</f>
        <v>bill.chi</v>
      </c>
      <c r="D10311" t="s">
        <v>5</v>
      </c>
      <c r="E10311">
        <v>1</v>
      </c>
    </row>
    <row r="10312" spans="1:5" x14ac:dyDescent="0.25">
      <c r="A10312">
        <v>10311</v>
      </c>
      <c r="B10312">
        <v>674079</v>
      </c>
      <c r="C10312" s="1" t="str">
        <f>HYPERLINK("http://stackoverflow.com/users/674079", "jzhang533")</f>
        <v>jzhang533</v>
      </c>
      <c r="D10312" t="s">
        <v>5</v>
      </c>
      <c r="E10312">
        <v>1</v>
      </c>
    </row>
    <row r="10313" spans="1:5" x14ac:dyDescent="0.25">
      <c r="A10313">
        <v>10312</v>
      </c>
      <c r="B10313">
        <v>9972313</v>
      </c>
      <c r="C10313" s="1" t="str">
        <f>HYPERLINK("http://stackoverflow.com/users/9972313", "Yiwei Liu")</f>
        <v>Yiwei Liu</v>
      </c>
      <c r="D10313" t="s">
        <v>7</v>
      </c>
      <c r="E10313">
        <v>1</v>
      </c>
    </row>
    <row r="10314" spans="1:5" x14ac:dyDescent="0.25">
      <c r="A10314">
        <v>10313</v>
      </c>
      <c r="B10314">
        <v>8157741</v>
      </c>
      <c r="C10314" s="1" t="str">
        <f>HYPERLINK("http://stackoverflow.com/users/8157741", "karthick v")</f>
        <v>karthick v</v>
      </c>
      <c r="D10314" t="s">
        <v>4</v>
      </c>
      <c r="E10314">
        <v>1</v>
      </c>
    </row>
    <row r="10315" spans="1:5" x14ac:dyDescent="0.25">
      <c r="A10315">
        <v>10314</v>
      </c>
      <c r="B10315">
        <v>8157829</v>
      </c>
      <c r="C10315" s="1" t="str">
        <f>HYPERLINK("http://stackoverflow.com/users/8157829", "Gigibond")</f>
        <v>Gigibond</v>
      </c>
      <c r="D10315" t="s">
        <v>564</v>
      </c>
      <c r="E10315">
        <v>1</v>
      </c>
    </row>
    <row r="10316" spans="1:5" x14ac:dyDescent="0.25">
      <c r="A10316">
        <v>10315</v>
      </c>
      <c r="B10316">
        <v>6369008</v>
      </c>
      <c r="C10316" s="1" t="str">
        <f>HYPERLINK("http://stackoverflow.com/users/6369008", "Skylar Zheng")</f>
        <v>Skylar Zheng</v>
      </c>
      <c r="D10316" t="s">
        <v>5</v>
      </c>
      <c r="E10316">
        <v>1</v>
      </c>
    </row>
    <row r="10317" spans="1:5" x14ac:dyDescent="0.25">
      <c r="A10317">
        <v>10316</v>
      </c>
      <c r="B10317">
        <v>6369061</v>
      </c>
      <c r="C10317" s="1" t="str">
        <f>HYPERLINK("http://stackoverflow.com/users/6369061", "mick.lin")</f>
        <v>mick.lin</v>
      </c>
      <c r="D10317" t="s">
        <v>16</v>
      </c>
      <c r="E10317">
        <v>1</v>
      </c>
    </row>
    <row r="10318" spans="1:5" x14ac:dyDescent="0.25">
      <c r="A10318">
        <v>10317</v>
      </c>
      <c r="B10318">
        <v>6369100</v>
      </c>
      <c r="C10318" s="1" t="str">
        <f>HYPERLINK("http://stackoverflow.com/users/6369100", "Kamon")</f>
        <v>Kamon</v>
      </c>
      <c r="D10318" t="s">
        <v>4</v>
      </c>
      <c r="E10318">
        <v>1</v>
      </c>
    </row>
    <row r="10319" spans="1:5" x14ac:dyDescent="0.25">
      <c r="A10319">
        <v>10318</v>
      </c>
      <c r="B10319">
        <v>2802078</v>
      </c>
      <c r="C10319" s="1" t="str">
        <f>HYPERLINK("http://stackoverflow.com/users/2802078", "Xia Mengyu")</f>
        <v>Xia Mengyu</v>
      </c>
      <c r="D10319" t="s">
        <v>5</v>
      </c>
      <c r="E10319">
        <v>1</v>
      </c>
    </row>
    <row r="10320" spans="1:5" x14ac:dyDescent="0.25">
      <c r="A10320">
        <v>10319</v>
      </c>
      <c r="B10320">
        <v>8153342</v>
      </c>
      <c r="C10320" s="1" t="str">
        <f>HYPERLINK("http://stackoverflow.com/users/8153342", "Min Shine")</f>
        <v>Min Shine</v>
      </c>
      <c r="D10320" t="s">
        <v>4</v>
      </c>
      <c r="E10320">
        <v>1</v>
      </c>
    </row>
    <row r="10321" spans="1:5" x14ac:dyDescent="0.25">
      <c r="A10321">
        <v>10320</v>
      </c>
      <c r="B10321">
        <v>8153421</v>
      </c>
      <c r="C10321" s="1" t="str">
        <f>HYPERLINK("http://stackoverflow.com/users/8153421", "Lei Zhang")</f>
        <v>Lei Zhang</v>
      </c>
      <c r="D10321" t="s">
        <v>4</v>
      </c>
      <c r="E10321">
        <v>1</v>
      </c>
    </row>
    <row r="10322" spans="1:5" x14ac:dyDescent="0.25">
      <c r="A10322">
        <v>10321</v>
      </c>
      <c r="B10322">
        <v>8153424</v>
      </c>
      <c r="C10322" s="1" t="str">
        <f>HYPERLINK("http://stackoverflow.com/users/8153424", "Molly Lu")</f>
        <v>Molly Lu</v>
      </c>
      <c r="D10322" t="s">
        <v>120</v>
      </c>
      <c r="E10322">
        <v>1</v>
      </c>
    </row>
    <row r="10323" spans="1:5" x14ac:dyDescent="0.25">
      <c r="A10323">
        <v>10322</v>
      </c>
      <c r="B10323">
        <v>8153506</v>
      </c>
      <c r="C10323" s="1" t="str">
        <f>HYPERLINK("http://stackoverflow.com/users/8153506", "zhiqiang")</f>
        <v>zhiqiang</v>
      </c>
      <c r="D10323" t="s">
        <v>5</v>
      </c>
      <c r="E10323">
        <v>1</v>
      </c>
    </row>
    <row r="10324" spans="1:5" x14ac:dyDescent="0.25">
      <c r="A10324">
        <v>10323</v>
      </c>
      <c r="B10324">
        <v>649983</v>
      </c>
      <c r="C10324" s="1" t="str">
        <f>HYPERLINK("http://stackoverflow.com/users/649983", "dingcanbiao")</f>
        <v>dingcanbiao</v>
      </c>
      <c r="D10324" t="s">
        <v>4</v>
      </c>
      <c r="E10324">
        <v>1</v>
      </c>
    </row>
    <row r="10325" spans="1:5" x14ac:dyDescent="0.25">
      <c r="A10325">
        <v>10324</v>
      </c>
      <c r="B10325">
        <v>641524</v>
      </c>
      <c r="C10325" s="1" t="str">
        <f>HYPERLINK("http://stackoverflow.com/users/641524", "Daniel Huang")</f>
        <v>Daniel Huang</v>
      </c>
      <c r="D10325" t="s">
        <v>4</v>
      </c>
      <c r="E10325">
        <v>1</v>
      </c>
    </row>
    <row r="10326" spans="1:5" x14ac:dyDescent="0.25">
      <c r="A10326">
        <v>10325</v>
      </c>
      <c r="B10326">
        <v>637030</v>
      </c>
      <c r="C10326" s="1" t="str">
        <f>HYPERLINK("http://stackoverflow.com/users/637030", "loxeyer")</f>
        <v>loxeyer</v>
      </c>
      <c r="D10326" t="s">
        <v>5</v>
      </c>
      <c r="E10326">
        <v>1</v>
      </c>
    </row>
    <row r="10327" spans="1:5" x14ac:dyDescent="0.25">
      <c r="A10327">
        <v>10326</v>
      </c>
      <c r="B10327">
        <v>8148620</v>
      </c>
      <c r="C10327" s="1" t="str">
        <f>HYPERLINK("http://stackoverflow.com/users/8148620", "Shaw Song")</f>
        <v>Shaw Song</v>
      </c>
      <c r="D10327" t="s">
        <v>55</v>
      </c>
      <c r="E10327">
        <v>1</v>
      </c>
    </row>
    <row r="10328" spans="1:5" x14ac:dyDescent="0.25">
      <c r="A10328">
        <v>10327</v>
      </c>
      <c r="B10328">
        <v>9962670</v>
      </c>
      <c r="C10328" s="1" t="str">
        <f>HYPERLINK("http://stackoverflow.com/users/9962670", "Stephen Kosh")</f>
        <v>Stephen Kosh</v>
      </c>
      <c r="D10328" t="s">
        <v>7</v>
      </c>
      <c r="E10328">
        <v>1</v>
      </c>
    </row>
    <row r="10329" spans="1:5" x14ac:dyDescent="0.25">
      <c r="A10329">
        <v>10328</v>
      </c>
      <c r="B10329">
        <v>9962845</v>
      </c>
      <c r="C10329" s="1" t="str">
        <f>HYPERLINK("http://stackoverflow.com/users/9962845", "yanpeng xu")</f>
        <v>yanpeng xu</v>
      </c>
      <c r="D10329" t="s">
        <v>4</v>
      </c>
      <c r="E10329">
        <v>1</v>
      </c>
    </row>
    <row r="10330" spans="1:5" x14ac:dyDescent="0.25">
      <c r="A10330">
        <v>10329</v>
      </c>
      <c r="B10330">
        <v>640487</v>
      </c>
      <c r="C10330" s="1" t="str">
        <f>HYPERLINK("http://stackoverflow.com/users/640487", "Ethan")</f>
        <v>Ethan</v>
      </c>
      <c r="D10330" t="s">
        <v>4</v>
      </c>
      <c r="E10330">
        <v>1</v>
      </c>
    </row>
    <row r="10331" spans="1:5" x14ac:dyDescent="0.25">
      <c r="A10331">
        <v>10330</v>
      </c>
      <c r="B10331">
        <v>640726</v>
      </c>
      <c r="C10331" s="1" t="str">
        <f>HYPERLINK("http://stackoverflow.com/users/640726", "walkingp")</f>
        <v>walkingp</v>
      </c>
      <c r="D10331" t="s">
        <v>4</v>
      </c>
      <c r="E10331">
        <v>1</v>
      </c>
    </row>
    <row r="10332" spans="1:5" x14ac:dyDescent="0.25">
      <c r="A10332">
        <v>10331</v>
      </c>
      <c r="B10332">
        <v>641173</v>
      </c>
      <c r="C10332" s="1" t="str">
        <f>HYPERLINK("http://stackoverflow.com/users/641173", "Robin Fan")</f>
        <v>Robin Fan</v>
      </c>
      <c r="D10332" t="s">
        <v>5</v>
      </c>
      <c r="E10332">
        <v>1</v>
      </c>
    </row>
    <row r="10333" spans="1:5" x14ac:dyDescent="0.25">
      <c r="A10333">
        <v>10332</v>
      </c>
      <c r="B10333">
        <v>9959354</v>
      </c>
      <c r="C10333" s="1" t="str">
        <f>HYPERLINK("http://stackoverflow.com/users/9959354", "yue zhang")</f>
        <v>yue zhang</v>
      </c>
      <c r="D10333" t="s">
        <v>74</v>
      </c>
      <c r="E10333">
        <v>1</v>
      </c>
    </row>
    <row r="10334" spans="1:5" x14ac:dyDescent="0.25">
      <c r="A10334">
        <v>10333</v>
      </c>
      <c r="B10334">
        <v>9959638</v>
      </c>
      <c r="C10334" s="1" t="str">
        <f>HYPERLINK("http://stackoverflow.com/users/9959638", "Gritt Zheng")</f>
        <v>Gritt Zheng</v>
      </c>
      <c r="D10334" t="s">
        <v>38</v>
      </c>
      <c r="E10334">
        <v>1</v>
      </c>
    </row>
    <row r="10335" spans="1:5" x14ac:dyDescent="0.25">
      <c r="A10335">
        <v>10334</v>
      </c>
      <c r="B10335">
        <v>6355388</v>
      </c>
      <c r="C10335" s="1" t="str">
        <f>HYPERLINK("http://stackoverflow.com/users/6355388", "Stephen Gao")</f>
        <v>Stephen Gao</v>
      </c>
      <c r="D10335" t="s">
        <v>4</v>
      </c>
      <c r="E10335">
        <v>1</v>
      </c>
    </row>
    <row r="10336" spans="1:5" x14ac:dyDescent="0.25">
      <c r="A10336">
        <v>10335</v>
      </c>
      <c r="B10336">
        <v>8145203</v>
      </c>
      <c r="C10336" s="1" t="str">
        <f>HYPERLINK("http://stackoverflow.com/users/8145203", "zhong-cui")</f>
        <v>zhong-cui</v>
      </c>
      <c r="D10336" t="s">
        <v>74</v>
      </c>
      <c r="E10336">
        <v>1</v>
      </c>
    </row>
    <row r="10337" spans="1:5" x14ac:dyDescent="0.25">
      <c r="A10337">
        <v>10336</v>
      </c>
      <c r="B10337">
        <v>8145223</v>
      </c>
      <c r="C10337" s="1" t="str">
        <f>HYPERLINK("http://stackoverflow.com/users/8145223", "shim yung")</f>
        <v>shim yung</v>
      </c>
      <c r="D10337" t="s">
        <v>5</v>
      </c>
      <c r="E10337">
        <v>1</v>
      </c>
    </row>
    <row r="10338" spans="1:5" x14ac:dyDescent="0.25">
      <c r="A10338">
        <v>10337</v>
      </c>
      <c r="B10338">
        <v>636001</v>
      </c>
      <c r="C10338" s="1" t="str">
        <f>HYPERLINK("http://stackoverflow.com/users/636001", "bpran")</f>
        <v>bpran</v>
      </c>
      <c r="D10338" t="s">
        <v>4</v>
      </c>
      <c r="E10338">
        <v>1</v>
      </c>
    </row>
    <row r="10339" spans="1:5" x14ac:dyDescent="0.25">
      <c r="A10339">
        <v>10338</v>
      </c>
      <c r="B10339">
        <v>2785983</v>
      </c>
      <c r="C10339" s="1" t="str">
        <f>HYPERLINK("http://stackoverflow.com/users/2785983", "rmkid")</f>
        <v>rmkid</v>
      </c>
      <c r="D10339" t="s">
        <v>63</v>
      </c>
      <c r="E10339">
        <v>1</v>
      </c>
    </row>
    <row r="10340" spans="1:5" x14ac:dyDescent="0.25">
      <c r="A10340">
        <v>10339</v>
      </c>
      <c r="B10340">
        <v>2786350</v>
      </c>
      <c r="C10340" s="1" t="str">
        <f>HYPERLINK("http://stackoverflow.com/users/2786350", "Deny")</f>
        <v>Deny</v>
      </c>
      <c r="D10340" t="s">
        <v>17</v>
      </c>
      <c r="E10340">
        <v>1</v>
      </c>
    </row>
    <row r="10341" spans="1:5" x14ac:dyDescent="0.25">
      <c r="A10341">
        <v>10340</v>
      </c>
      <c r="B10341">
        <v>8140152</v>
      </c>
      <c r="C10341" s="1" t="str">
        <f>HYPERLINK("http://stackoverflow.com/users/8140152", "Huweicai")</f>
        <v>Huweicai</v>
      </c>
      <c r="D10341" t="s">
        <v>29</v>
      </c>
      <c r="E10341">
        <v>1</v>
      </c>
    </row>
    <row r="10342" spans="1:5" x14ac:dyDescent="0.25">
      <c r="A10342">
        <v>10341</v>
      </c>
      <c r="B10342">
        <v>8140496</v>
      </c>
      <c r="C10342" s="1" t="str">
        <f>HYPERLINK("http://stackoverflow.com/users/8140496", "Alliance")</f>
        <v>Alliance</v>
      </c>
      <c r="D10342" t="s">
        <v>25</v>
      </c>
      <c r="E10342">
        <v>1</v>
      </c>
    </row>
    <row r="10343" spans="1:5" x14ac:dyDescent="0.25">
      <c r="A10343">
        <v>10342</v>
      </c>
      <c r="B10343">
        <v>8140727</v>
      </c>
      <c r="C10343" s="1" t="str">
        <f>HYPERLINK("http://stackoverflow.com/users/8140727", "linuxqiao")</f>
        <v>linuxqiao</v>
      </c>
      <c r="D10343" t="s">
        <v>5</v>
      </c>
      <c r="E10343">
        <v>1</v>
      </c>
    </row>
    <row r="10344" spans="1:5" x14ac:dyDescent="0.25">
      <c r="A10344">
        <v>10343</v>
      </c>
      <c r="B10344">
        <v>2789889</v>
      </c>
      <c r="C10344" s="1" t="str">
        <f>HYPERLINK("http://stackoverflow.com/users/2789889", "water.zhang")</f>
        <v>water.zhang</v>
      </c>
      <c r="D10344" t="s">
        <v>17</v>
      </c>
      <c r="E10344">
        <v>1</v>
      </c>
    </row>
    <row r="10345" spans="1:5" x14ac:dyDescent="0.25">
      <c r="A10345">
        <v>10344</v>
      </c>
      <c r="B10345">
        <v>2789918</v>
      </c>
      <c r="C10345" s="1" t="str">
        <f>HYPERLINK("http://stackoverflow.com/users/2789918", "Ryotlee")</f>
        <v>Ryotlee</v>
      </c>
      <c r="D10345" t="s">
        <v>5</v>
      </c>
      <c r="E10345">
        <v>1</v>
      </c>
    </row>
    <row r="10346" spans="1:5" x14ac:dyDescent="0.25">
      <c r="A10346">
        <v>10345</v>
      </c>
      <c r="B10346">
        <v>6354792</v>
      </c>
      <c r="C10346" s="1" t="str">
        <f>HYPERLINK("http://stackoverflow.com/users/6354792", "roy.cai")</f>
        <v>roy.cai</v>
      </c>
      <c r="D10346" t="s">
        <v>16</v>
      </c>
      <c r="E10346">
        <v>1</v>
      </c>
    </row>
    <row r="10347" spans="1:5" x14ac:dyDescent="0.25">
      <c r="A10347">
        <v>10346</v>
      </c>
      <c r="B10347">
        <v>6354794</v>
      </c>
      <c r="C10347" s="1" t="str">
        <f>HYPERLINK("http://stackoverflow.com/users/6354794", "teazos")</f>
        <v>teazos</v>
      </c>
      <c r="D10347" t="s">
        <v>131</v>
      </c>
      <c r="E10347">
        <v>1</v>
      </c>
    </row>
    <row r="10348" spans="1:5" x14ac:dyDescent="0.25">
      <c r="A10348">
        <v>10347</v>
      </c>
      <c r="B10348">
        <v>6354930</v>
      </c>
      <c r="C10348" s="1" t="str">
        <f>HYPERLINK("http://stackoverflow.com/users/6354930", "anna0410")</f>
        <v>anna0410</v>
      </c>
      <c r="D10348" t="s">
        <v>5</v>
      </c>
      <c r="E10348">
        <v>1</v>
      </c>
    </row>
    <row r="10349" spans="1:5" x14ac:dyDescent="0.25">
      <c r="A10349">
        <v>10348</v>
      </c>
      <c r="B10349">
        <v>6355006</v>
      </c>
      <c r="C10349" s="1" t="str">
        <f>HYPERLINK("http://stackoverflow.com/users/6355006", "qingying")</f>
        <v>qingying</v>
      </c>
      <c r="D10349" t="s">
        <v>16</v>
      </c>
      <c r="E10349">
        <v>1</v>
      </c>
    </row>
    <row r="10350" spans="1:5" x14ac:dyDescent="0.25">
      <c r="A10350">
        <v>10349</v>
      </c>
      <c r="B10350">
        <v>6324421</v>
      </c>
      <c r="C10350" s="1" t="str">
        <f>HYPERLINK("http://stackoverflow.com/users/6324421", "some_zlp")</f>
        <v>some_zlp</v>
      </c>
      <c r="D10350" t="s">
        <v>16</v>
      </c>
      <c r="E10350">
        <v>1</v>
      </c>
    </row>
    <row r="10351" spans="1:5" x14ac:dyDescent="0.25">
      <c r="A10351">
        <v>10350</v>
      </c>
      <c r="B10351">
        <v>9934640</v>
      </c>
      <c r="C10351" s="1" t="str">
        <f>HYPERLINK("http://stackoverflow.com/users/9934640", "weikang liao")</f>
        <v>weikang liao</v>
      </c>
      <c r="D10351" t="s">
        <v>4</v>
      </c>
      <c r="E10351">
        <v>1</v>
      </c>
    </row>
    <row r="10352" spans="1:5" x14ac:dyDescent="0.25">
      <c r="A10352">
        <v>10351</v>
      </c>
      <c r="B10352">
        <v>6324585</v>
      </c>
      <c r="C10352" s="1" t="str">
        <f>HYPERLINK("http://stackoverflow.com/users/6324585", "Jack")</f>
        <v>Jack</v>
      </c>
      <c r="D10352" t="s">
        <v>5</v>
      </c>
      <c r="E10352">
        <v>1</v>
      </c>
    </row>
    <row r="10353" spans="1:5" x14ac:dyDescent="0.25">
      <c r="A10353">
        <v>10352</v>
      </c>
      <c r="B10353">
        <v>6324661</v>
      </c>
      <c r="C10353" s="1" t="str">
        <f>HYPERLINK("http://stackoverflow.com/users/6324661", "X.Lace")</f>
        <v>X.Lace</v>
      </c>
      <c r="D10353" t="s">
        <v>7</v>
      </c>
      <c r="E10353">
        <v>1</v>
      </c>
    </row>
    <row r="10354" spans="1:5" x14ac:dyDescent="0.25">
      <c r="A10354">
        <v>10353</v>
      </c>
      <c r="B10354">
        <v>6328062</v>
      </c>
      <c r="C10354" s="1" t="str">
        <f>HYPERLINK("http://stackoverflow.com/users/6328062", "Lee Riley")</f>
        <v>Lee Riley</v>
      </c>
      <c r="D10354" t="s">
        <v>19</v>
      </c>
      <c r="E10354">
        <v>1</v>
      </c>
    </row>
    <row r="10355" spans="1:5" x14ac:dyDescent="0.25">
      <c r="A10355">
        <v>10354</v>
      </c>
      <c r="B10355">
        <v>6328457</v>
      </c>
      <c r="C10355" s="1" t="str">
        <f>HYPERLINK("http://stackoverflow.com/users/6328457", "贺景洲")</f>
        <v>贺景洲</v>
      </c>
      <c r="D10355" t="s">
        <v>79</v>
      </c>
      <c r="E10355">
        <v>1</v>
      </c>
    </row>
    <row r="10356" spans="1:5" x14ac:dyDescent="0.25">
      <c r="A10356">
        <v>10355</v>
      </c>
      <c r="B10356">
        <v>6328533</v>
      </c>
      <c r="C10356" s="1" t="str">
        <f>HYPERLINK("http://stackoverflow.com/users/6328533", "Kong Lee")</f>
        <v>Kong Lee</v>
      </c>
      <c r="D10356" t="s">
        <v>28</v>
      </c>
      <c r="E10356">
        <v>1</v>
      </c>
    </row>
    <row r="10357" spans="1:5" x14ac:dyDescent="0.25">
      <c r="A10357">
        <v>10356</v>
      </c>
      <c r="B10357">
        <v>6324170</v>
      </c>
      <c r="C10357" s="1" t="str">
        <f>HYPERLINK("http://stackoverflow.com/users/6324170", "Jonhory")</f>
        <v>Jonhory</v>
      </c>
      <c r="D10357" t="s">
        <v>25</v>
      </c>
      <c r="E10357">
        <v>1</v>
      </c>
    </row>
    <row r="10358" spans="1:5" x14ac:dyDescent="0.25">
      <c r="A10358">
        <v>10357</v>
      </c>
      <c r="B10358">
        <v>9926412</v>
      </c>
      <c r="C10358" s="1" t="str">
        <f>HYPERLINK("http://stackoverflow.com/users/9926412", "AttilaNightStalker")</f>
        <v>AttilaNightStalker</v>
      </c>
      <c r="D10358" t="s">
        <v>5</v>
      </c>
      <c r="E10358">
        <v>1</v>
      </c>
    </row>
    <row r="10359" spans="1:5" x14ac:dyDescent="0.25">
      <c r="A10359">
        <v>10358</v>
      </c>
      <c r="B10359">
        <v>4608476</v>
      </c>
      <c r="C10359" s="1" t="str">
        <f>HYPERLINK("http://stackoverflow.com/users/4608476", "九五二七")</f>
        <v>九五二七</v>
      </c>
      <c r="D10359" t="s">
        <v>565</v>
      </c>
      <c r="E10359">
        <v>1</v>
      </c>
    </row>
    <row r="10360" spans="1:5" x14ac:dyDescent="0.25">
      <c r="A10360">
        <v>10359</v>
      </c>
      <c r="B10360">
        <v>9938962</v>
      </c>
      <c r="C10360" s="1" t="str">
        <f>HYPERLINK("http://stackoverflow.com/users/9938962", "Qing Liu")</f>
        <v>Qing Liu</v>
      </c>
      <c r="D10360" t="s">
        <v>5</v>
      </c>
      <c r="E10360">
        <v>1</v>
      </c>
    </row>
    <row r="10361" spans="1:5" x14ac:dyDescent="0.25">
      <c r="A10361">
        <v>10360</v>
      </c>
      <c r="B10361">
        <v>9939132</v>
      </c>
      <c r="C10361" s="1" t="str">
        <f>HYPERLINK("http://stackoverflow.com/users/9939132", "devin he")</f>
        <v>devin he</v>
      </c>
      <c r="D10361" t="s">
        <v>52</v>
      </c>
      <c r="E10361">
        <v>1</v>
      </c>
    </row>
    <row r="10362" spans="1:5" x14ac:dyDescent="0.25">
      <c r="A10362">
        <v>10361</v>
      </c>
      <c r="B10362">
        <v>8127277</v>
      </c>
      <c r="C10362" s="1" t="str">
        <f>HYPERLINK("http://stackoverflow.com/users/8127277", "Jonny")</f>
        <v>Jonny</v>
      </c>
      <c r="D10362" t="s">
        <v>55</v>
      </c>
      <c r="E10362">
        <v>1</v>
      </c>
    </row>
    <row r="10363" spans="1:5" x14ac:dyDescent="0.25">
      <c r="A10363">
        <v>10362</v>
      </c>
      <c r="B10363">
        <v>609164</v>
      </c>
      <c r="C10363" s="1" t="str">
        <f>HYPERLINK("http://stackoverflow.com/users/609164", "迷路的猫少年")</f>
        <v>迷路的猫少年</v>
      </c>
      <c r="D10363" t="s">
        <v>8</v>
      </c>
      <c r="E10363">
        <v>1</v>
      </c>
    </row>
    <row r="10364" spans="1:5" x14ac:dyDescent="0.25">
      <c r="A10364">
        <v>10363</v>
      </c>
      <c r="B10364">
        <v>9941746</v>
      </c>
      <c r="C10364" s="1" t="str">
        <f>HYPERLINK("http://stackoverflow.com/users/9941746", "zhang rocky")</f>
        <v>zhang rocky</v>
      </c>
      <c r="D10364" t="s">
        <v>91</v>
      </c>
      <c r="E10364">
        <v>1</v>
      </c>
    </row>
    <row r="10365" spans="1:5" x14ac:dyDescent="0.25">
      <c r="A10365">
        <v>10364</v>
      </c>
      <c r="B10365">
        <v>9941787</v>
      </c>
      <c r="C10365" s="1" t="str">
        <f>HYPERLINK("http://stackoverflow.com/users/9941787", "Longwen Shuai")</f>
        <v>Longwen Shuai</v>
      </c>
      <c r="D10365" t="s">
        <v>115</v>
      </c>
      <c r="E10365">
        <v>1</v>
      </c>
    </row>
    <row r="10366" spans="1:5" x14ac:dyDescent="0.25">
      <c r="A10366">
        <v>10365</v>
      </c>
      <c r="B10366">
        <v>4616668</v>
      </c>
      <c r="C10366" s="1" t="str">
        <f>HYPERLINK("http://stackoverflow.com/users/4616668", "kunl")</f>
        <v>kunl</v>
      </c>
      <c r="D10366" t="s">
        <v>5</v>
      </c>
      <c r="E10366">
        <v>1</v>
      </c>
    </row>
    <row r="10367" spans="1:5" x14ac:dyDescent="0.25">
      <c r="A10367">
        <v>10366</v>
      </c>
      <c r="B10367">
        <v>4616772</v>
      </c>
      <c r="C10367" s="1" t="str">
        <f>HYPERLINK("http://stackoverflow.com/users/4616772", "GuangkaiRen")</f>
        <v>GuangkaiRen</v>
      </c>
      <c r="D10367" t="s">
        <v>5</v>
      </c>
      <c r="E10367">
        <v>1</v>
      </c>
    </row>
    <row r="10368" spans="1:5" x14ac:dyDescent="0.25">
      <c r="A10368">
        <v>10367</v>
      </c>
      <c r="B10368">
        <v>9947169</v>
      </c>
      <c r="C10368" s="1" t="str">
        <f>HYPERLINK("http://stackoverflow.com/users/9947169", "曹利航")</f>
        <v>曹利航</v>
      </c>
      <c r="D10368" t="s">
        <v>55</v>
      </c>
      <c r="E10368">
        <v>1</v>
      </c>
    </row>
    <row r="10369" spans="1:5" x14ac:dyDescent="0.25">
      <c r="A10369">
        <v>10368</v>
      </c>
      <c r="B10369">
        <v>8136469</v>
      </c>
      <c r="C10369" s="1" t="str">
        <f>HYPERLINK("http://stackoverflow.com/users/8136469", "Zehao Huang")</f>
        <v>Zehao Huang</v>
      </c>
      <c r="D10369" t="s">
        <v>28</v>
      </c>
      <c r="E10369">
        <v>1</v>
      </c>
    </row>
    <row r="10370" spans="1:5" x14ac:dyDescent="0.25">
      <c r="A10370">
        <v>10369</v>
      </c>
      <c r="B10370">
        <v>2785865</v>
      </c>
      <c r="C10370" s="1" t="str">
        <f>HYPERLINK("http://stackoverflow.com/users/2785865", "Alex Huang")</f>
        <v>Alex Huang</v>
      </c>
      <c r="D10370" t="s">
        <v>4</v>
      </c>
      <c r="E10370">
        <v>1</v>
      </c>
    </row>
    <row r="10371" spans="1:5" x14ac:dyDescent="0.25">
      <c r="A10371">
        <v>10370</v>
      </c>
      <c r="B10371">
        <v>6313449</v>
      </c>
      <c r="C10371" s="1" t="str">
        <f>HYPERLINK("http://stackoverflow.com/users/6313449", "stronger_wm")</f>
        <v>stronger_wm</v>
      </c>
      <c r="D10371" t="s">
        <v>5</v>
      </c>
      <c r="E10371">
        <v>1</v>
      </c>
    </row>
    <row r="10372" spans="1:5" x14ac:dyDescent="0.25">
      <c r="A10372">
        <v>10371</v>
      </c>
      <c r="B10372">
        <v>8104268</v>
      </c>
      <c r="C10372" s="1" t="str">
        <f>HYPERLINK("http://stackoverflow.com/users/8104268", "jing")</f>
        <v>jing</v>
      </c>
      <c r="D10372" t="s">
        <v>5</v>
      </c>
      <c r="E10372">
        <v>1</v>
      </c>
    </row>
    <row r="10373" spans="1:5" x14ac:dyDescent="0.25">
      <c r="A10373">
        <v>10372</v>
      </c>
      <c r="B10373">
        <v>6313013</v>
      </c>
      <c r="C10373" s="1" t="str">
        <f>HYPERLINK("http://stackoverflow.com/users/6313013", "ZachM")</f>
        <v>ZachM</v>
      </c>
      <c r="D10373" t="s">
        <v>5</v>
      </c>
      <c r="E10373">
        <v>1</v>
      </c>
    </row>
    <row r="10374" spans="1:5" x14ac:dyDescent="0.25">
      <c r="A10374">
        <v>10373</v>
      </c>
      <c r="B10374">
        <v>6313028</v>
      </c>
      <c r="C10374" s="1" t="str">
        <f>HYPERLINK("http://stackoverflow.com/users/6313028", "吴天宇")</f>
        <v>吴天宇</v>
      </c>
      <c r="D10374" t="s">
        <v>5</v>
      </c>
      <c r="E10374">
        <v>1</v>
      </c>
    </row>
    <row r="10375" spans="1:5" x14ac:dyDescent="0.25">
      <c r="A10375">
        <v>10374</v>
      </c>
      <c r="B10375">
        <v>6313191</v>
      </c>
      <c r="C10375" s="1" t="str">
        <f>HYPERLINK("http://stackoverflow.com/users/6313191", "ZhongWen Li")</f>
        <v>ZhongWen Li</v>
      </c>
      <c r="D10375" t="s">
        <v>4</v>
      </c>
      <c r="E10375">
        <v>1</v>
      </c>
    </row>
    <row r="10376" spans="1:5" x14ac:dyDescent="0.25">
      <c r="A10376">
        <v>10375</v>
      </c>
      <c r="B10376">
        <v>6313193</v>
      </c>
      <c r="C10376" s="1" t="str">
        <f>HYPERLINK("http://stackoverflow.com/users/6313193", "Bruce")</f>
        <v>Bruce</v>
      </c>
      <c r="D10376" t="s">
        <v>7</v>
      </c>
      <c r="E10376">
        <v>1</v>
      </c>
    </row>
    <row r="10377" spans="1:5" x14ac:dyDescent="0.25">
      <c r="A10377">
        <v>10376</v>
      </c>
      <c r="B10377">
        <v>6313292</v>
      </c>
      <c r="C10377" s="1" t="str">
        <f>HYPERLINK("http://stackoverflow.com/users/6313292", "Kwan Shih")</f>
        <v>Kwan Shih</v>
      </c>
      <c r="D10377" t="s">
        <v>7</v>
      </c>
      <c r="E10377">
        <v>1</v>
      </c>
    </row>
    <row r="10378" spans="1:5" x14ac:dyDescent="0.25">
      <c r="A10378">
        <v>10377</v>
      </c>
      <c r="B10378">
        <v>9922809</v>
      </c>
      <c r="C10378" s="1" t="str">
        <f>HYPERLINK("http://stackoverflow.com/users/9922809", "Wu Carter")</f>
        <v>Wu Carter</v>
      </c>
      <c r="D10378" t="s">
        <v>5</v>
      </c>
      <c r="E10378">
        <v>1</v>
      </c>
    </row>
    <row r="10379" spans="1:5" x14ac:dyDescent="0.25">
      <c r="A10379">
        <v>10378</v>
      </c>
      <c r="B10379">
        <v>9922939</v>
      </c>
      <c r="C10379" s="1" t="str">
        <f>HYPERLINK("http://stackoverflow.com/users/9922939", "KuningKuning")</f>
        <v>KuningKuning</v>
      </c>
      <c r="D10379" t="s">
        <v>4</v>
      </c>
      <c r="E10379">
        <v>1</v>
      </c>
    </row>
    <row r="10380" spans="1:5" x14ac:dyDescent="0.25">
      <c r="A10380">
        <v>10379</v>
      </c>
      <c r="B10380">
        <v>8108107</v>
      </c>
      <c r="C10380" s="1" t="str">
        <f>HYPERLINK("http://stackoverflow.com/users/8108107", "Lawrence Zhang")</f>
        <v>Lawrence Zhang</v>
      </c>
      <c r="D10380" t="s">
        <v>52</v>
      </c>
      <c r="E10380">
        <v>1</v>
      </c>
    </row>
    <row r="10381" spans="1:5" x14ac:dyDescent="0.25">
      <c r="A10381">
        <v>10380</v>
      </c>
      <c r="B10381">
        <v>8108273</v>
      </c>
      <c r="C10381" s="1" t="str">
        <f>HYPERLINK("http://stackoverflow.com/users/8108273", "Ald4445")</f>
        <v>Ald4445</v>
      </c>
      <c r="D10381" t="s">
        <v>16</v>
      </c>
      <c r="E10381">
        <v>1</v>
      </c>
    </row>
    <row r="10382" spans="1:5" x14ac:dyDescent="0.25">
      <c r="A10382">
        <v>10381</v>
      </c>
      <c r="B10382">
        <v>8108347</v>
      </c>
      <c r="C10382" s="1" t="str">
        <f>HYPERLINK("http://stackoverflow.com/users/8108347", "Juntaran")</f>
        <v>Juntaran</v>
      </c>
      <c r="D10382" t="s">
        <v>5</v>
      </c>
      <c r="E10382">
        <v>1</v>
      </c>
    </row>
    <row r="10383" spans="1:5" x14ac:dyDescent="0.25">
      <c r="A10383">
        <v>10382</v>
      </c>
      <c r="B10383">
        <v>6320999</v>
      </c>
      <c r="C10383" s="1" t="str">
        <f>HYPERLINK("http://stackoverflow.com/users/6320999", "Sen Chen")</f>
        <v>Sen Chen</v>
      </c>
      <c r="D10383" t="s">
        <v>4</v>
      </c>
      <c r="E10383">
        <v>1</v>
      </c>
    </row>
    <row r="10384" spans="1:5" x14ac:dyDescent="0.25">
      <c r="A10384">
        <v>10383</v>
      </c>
      <c r="B10384">
        <v>8112162</v>
      </c>
      <c r="C10384" s="1" t="str">
        <f>HYPERLINK("http://stackoverflow.com/users/8112162", "Xiaolong Chen")</f>
        <v>Xiaolong Chen</v>
      </c>
      <c r="D10384" t="s">
        <v>5</v>
      </c>
      <c r="E10384">
        <v>1</v>
      </c>
    </row>
    <row r="10385" spans="1:5" x14ac:dyDescent="0.25">
      <c r="A10385">
        <v>10384</v>
      </c>
      <c r="B10385">
        <v>2742232</v>
      </c>
      <c r="C10385" s="1" t="str">
        <f>HYPERLINK("http://stackoverflow.com/users/2742232", "bupthb")</f>
        <v>bupthb</v>
      </c>
      <c r="D10385" t="s">
        <v>5</v>
      </c>
      <c r="E10385">
        <v>1</v>
      </c>
    </row>
    <row r="10386" spans="1:5" x14ac:dyDescent="0.25">
      <c r="A10386">
        <v>10385</v>
      </c>
      <c r="B10386">
        <v>8090438</v>
      </c>
      <c r="C10386" s="1" t="str">
        <f>HYPERLINK("http://stackoverflow.com/users/8090438", "lz0044")</f>
        <v>lz0044</v>
      </c>
      <c r="D10386" t="s">
        <v>566</v>
      </c>
      <c r="E10386">
        <v>1</v>
      </c>
    </row>
    <row r="10387" spans="1:5" x14ac:dyDescent="0.25">
      <c r="A10387">
        <v>10386</v>
      </c>
      <c r="B10387">
        <v>8090645</v>
      </c>
      <c r="C10387" s="1" t="str">
        <f>HYPERLINK("http://stackoverflow.com/users/8090645", "Woder Wang")</f>
        <v>Woder Wang</v>
      </c>
      <c r="D10387" t="s">
        <v>16</v>
      </c>
      <c r="E10387">
        <v>1</v>
      </c>
    </row>
    <row r="10388" spans="1:5" x14ac:dyDescent="0.25">
      <c r="A10388">
        <v>10387</v>
      </c>
      <c r="B10388">
        <v>550897</v>
      </c>
      <c r="C10388" s="1" t="str">
        <f>HYPERLINK("http://stackoverflow.com/users/550897", "Evanbyang")</f>
        <v>Evanbyang</v>
      </c>
      <c r="D10388" t="s">
        <v>5</v>
      </c>
      <c r="E10388">
        <v>1</v>
      </c>
    </row>
    <row r="10389" spans="1:5" x14ac:dyDescent="0.25">
      <c r="A10389">
        <v>10388</v>
      </c>
      <c r="B10389">
        <v>8100638</v>
      </c>
      <c r="C10389" s="1" t="str">
        <f>HYPERLINK("http://stackoverflow.com/users/8100638", "zhangzhipeng")</f>
        <v>zhangzhipeng</v>
      </c>
      <c r="D10389" t="s">
        <v>62</v>
      </c>
      <c r="E10389">
        <v>1</v>
      </c>
    </row>
    <row r="10390" spans="1:5" x14ac:dyDescent="0.25">
      <c r="A10390">
        <v>10389</v>
      </c>
      <c r="B10390">
        <v>9909595</v>
      </c>
      <c r="C10390" s="1" t="str">
        <f>HYPERLINK("http://stackoverflow.com/users/9909595", "shi sunny")</f>
        <v>shi sunny</v>
      </c>
      <c r="D10390" t="s">
        <v>52</v>
      </c>
      <c r="E10390">
        <v>1</v>
      </c>
    </row>
    <row r="10391" spans="1:5" x14ac:dyDescent="0.25">
      <c r="A10391">
        <v>10390</v>
      </c>
      <c r="B10391">
        <v>6308219</v>
      </c>
      <c r="C10391" s="1" t="str">
        <f>HYPERLINK("http://stackoverflow.com/users/6308219", "LEEchiron")</f>
        <v>LEEchiron</v>
      </c>
      <c r="D10391" t="s">
        <v>28</v>
      </c>
      <c r="E10391">
        <v>1</v>
      </c>
    </row>
    <row r="10392" spans="1:5" x14ac:dyDescent="0.25">
      <c r="A10392">
        <v>10391</v>
      </c>
      <c r="B10392">
        <v>8095295</v>
      </c>
      <c r="C10392" s="1" t="str">
        <f>HYPERLINK("http://stackoverflow.com/users/8095295", "jackyting825")</f>
        <v>jackyting825</v>
      </c>
      <c r="D10392" t="s">
        <v>25</v>
      </c>
      <c r="E10392">
        <v>1</v>
      </c>
    </row>
    <row r="10393" spans="1:5" x14ac:dyDescent="0.25">
      <c r="A10393">
        <v>10392</v>
      </c>
      <c r="B10393">
        <v>2723720</v>
      </c>
      <c r="C10393" s="1" t="str">
        <f>HYPERLINK("http://stackoverflow.com/users/2723720", "continued")</f>
        <v>continued</v>
      </c>
      <c r="D10393" t="s">
        <v>5</v>
      </c>
      <c r="E10393">
        <v>1</v>
      </c>
    </row>
    <row r="10394" spans="1:5" x14ac:dyDescent="0.25">
      <c r="A10394">
        <v>10393</v>
      </c>
      <c r="B10394">
        <v>2723741</v>
      </c>
      <c r="C10394" s="1" t="str">
        <f>HYPERLINK("http://stackoverflow.com/users/2723741", "王帅涛")</f>
        <v>王帅涛</v>
      </c>
      <c r="D10394" t="s">
        <v>22</v>
      </c>
      <c r="E10394">
        <v>1</v>
      </c>
    </row>
    <row r="10395" spans="1:5" x14ac:dyDescent="0.25">
      <c r="A10395">
        <v>10394</v>
      </c>
      <c r="B10395">
        <v>2723759</v>
      </c>
      <c r="C10395" s="1" t="str">
        <f>HYPERLINK("http://stackoverflow.com/users/2723759", "Tiger")</f>
        <v>Tiger</v>
      </c>
      <c r="D10395" t="s">
        <v>5</v>
      </c>
      <c r="E10395">
        <v>1</v>
      </c>
    </row>
    <row r="10396" spans="1:5" x14ac:dyDescent="0.25">
      <c r="A10396">
        <v>10395</v>
      </c>
      <c r="B10396">
        <v>2723826</v>
      </c>
      <c r="C10396" s="1" t="str">
        <f>HYPERLINK("http://stackoverflow.com/users/2723826", "vincent_song")</f>
        <v>vincent_song</v>
      </c>
      <c r="D10396" t="s">
        <v>4</v>
      </c>
      <c r="E10396">
        <v>1</v>
      </c>
    </row>
    <row r="10397" spans="1:5" x14ac:dyDescent="0.25">
      <c r="A10397">
        <v>10396</v>
      </c>
      <c r="B10397">
        <v>2723896</v>
      </c>
      <c r="C10397" s="1" t="str">
        <f>HYPERLINK("http://stackoverflow.com/users/2723896", "Fan Cynest")</f>
        <v>Fan Cynest</v>
      </c>
      <c r="D10397" t="s">
        <v>12</v>
      </c>
      <c r="E10397">
        <v>1</v>
      </c>
    </row>
    <row r="10398" spans="1:5" x14ac:dyDescent="0.25">
      <c r="A10398">
        <v>10397</v>
      </c>
      <c r="B10398">
        <v>8073501</v>
      </c>
      <c r="C10398" s="1" t="str">
        <f>HYPERLINK("http://stackoverflow.com/users/8073501", "leopard")</f>
        <v>leopard</v>
      </c>
      <c r="D10398" t="s">
        <v>4</v>
      </c>
      <c r="E10398">
        <v>1</v>
      </c>
    </row>
    <row r="10399" spans="1:5" x14ac:dyDescent="0.25">
      <c r="A10399">
        <v>10398</v>
      </c>
      <c r="B10399">
        <v>8073510</v>
      </c>
      <c r="C10399" s="1" t="str">
        <f>HYPERLINK("http://stackoverflow.com/users/8073510", "Afanty")</f>
        <v>Afanty</v>
      </c>
      <c r="D10399" t="s">
        <v>28</v>
      </c>
      <c r="E10399">
        <v>1</v>
      </c>
    </row>
    <row r="10400" spans="1:5" x14ac:dyDescent="0.25">
      <c r="A10400">
        <v>10399</v>
      </c>
      <c r="B10400">
        <v>8073630</v>
      </c>
      <c r="C10400" s="1" t="str">
        <f>HYPERLINK("http://stackoverflow.com/users/8073630", "kidd")</f>
        <v>kidd</v>
      </c>
      <c r="D10400" t="s">
        <v>7</v>
      </c>
      <c r="E10400">
        <v>1</v>
      </c>
    </row>
    <row r="10401" spans="1:5" x14ac:dyDescent="0.25">
      <c r="A10401">
        <v>10400</v>
      </c>
      <c r="B10401">
        <v>8074060</v>
      </c>
      <c r="C10401" s="1" t="str">
        <f>HYPERLINK("http://stackoverflow.com/users/8074060", "Taishaer")</f>
        <v>Taishaer</v>
      </c>
      <c r="D10401" t="s">
        <v>37</v>
      </c>
      <c r="E10401">
        <v>1</v>
      </c>
    </row>
    <row r="10402" spans="1:5" x14ac:dyDescent="0.25">
      <c r="A10402">
        <v>10401</v>
      </c>
      <c r="B10402">
        <v>520847</v>
      </c>
      <c r="C10402" s="1" t="str">
        <f>HYPERLINK("http://stackoverflow.com/users/520847", "jtxlive")</f>
        <v>jtxlive</v>
      </c>
      <c r="D10402" t="s">
        <v>12</v>
      </c>
      <c r="E10402">
        <v>1</v>
      </c>
    </row>
    <row r="10403" spans="1:5" x14ac:dyDescent="0.25">
      <c r="A10403">
        <v>10402</v>
      </c>
      <c r="B10403">
        <v>521317</v>
      </c>
      <c r="C10403" s="1" t="str">
        <f>HYPERLINK("http://stackoverflow.com/users/521317", "Stephen Zhang")</f>
        <v>Stephen Zhang</v>
      </c>
      <c r="D10403" t="s">
        <v>4</v>
      </c>
      <c r="E10403">
        <v>1</v>
      </c>
    </row>
    <row r="10404" spans="1:5" x14ac:dyDescent="0.25">
      <c r="A10404">
        <v>10403</v>
      </c>
      <c r="B10404">
        <v>511859</v>
      </c>
      <c r="C10404" s="1" t="str">
        <f>HYPERLINK("http://stackoverflow.com/users/511859", "yiyang")</f>
        <v>yiyang</v>
      </c>
      <c r="D10404" t="s">
        <v>22</v>
      </c>
      <c r="E10404">
        <v>1</v>
      </c>
    </row>
    <row r="10405" spans="1:5" x14ac:dyDescent="0.25">
      <c r="A10405">
        <v>10404</v>
      </c>
      <c r="B10405">
        <v>513165</v>
      </c>
      <c r="C10405" s="1" t="str">
        <f>HYPERLINK("http://stackoverflow.com/users/513165", "lotus")</f>
        <v>lotus</v>
      </c>
      <c r="D10405" t="s">
        <v>567</v>
      </c>
      <c r="E10405">
        <v>1</v>
      </c>
    </row>
    <row r="10406" spans="1:5" x14ac:dyDescent="0.25">
      <c r="A10406">
        <v>10405</v>
      </c>
      <c r="B10406">
        <v>2718652</v>
      </c>
      <c r="C10406" s="1" t="str">
        <f>HYPERLINK("http://stackoverflow.com/users/2718652", "myearn4")</f>
        <v>myearn4</v>
      </c>
      <c r="D10406" t="s">
        <v>4</v>
      </c>
      <c r="E10406">
        <v>1</v>
      </c>
    </row>
    <row r="10407" spans="1:5" x14ac:dyDescent="0.25">
      <c r="A10407">
        <v>10406</v>
      </c>
      <c r="B10407">
        <v>4557649</v>
      </c>
      <c r="C10407" s="1" t="str">
        <f>HYPERLINK("http://stackoverflow.com/users/4557649", "HU Qin")</f>
        <v>HU Qin</v>
      </c>
      <c r="D10407" t="s">
        <v>4</v>
      </c>
      <c r="E10407">
        <v>1</v>
      </c>
    </row>
    <row r="10408" spans="1:5" x14ac:dyDescent="0.25">
      <c r="A10408">
        <v>10407</v>
      </c>
      <c r="B10408">
        <v>8064706</v>
      </c>
      <c r="C10408" s="1" t="str">
        <f>HYPERLINK("http://stackoverflow.com/users/8064706", "Hope")</f>
        <v>Hope</v>
      </c>
      <c r="D10408" t="s">
        <v>7</v>
      </c>
      <c r="E10408">
        <v>1</v>
      </c>
    </row>
    <row r="10409" spans="1:5" x14ac:dyDescent="0.25">
      <c r="A10409">
        <v>10408</v>
      </c>
      <c r="B10409">
        <v>8065135</v>
      </c>
      <c r="C10409" s="1" t="str">
        <f>HYPERLINK("http://stackoverflow.com/users/8065135", "nightmare")</f>
        <v>nightmare</v>
      </c>
      <c r="D10409" t="s">
        <v>568</v>
      </c>
      <c r="E10409">
        <v>1</v>
      </c>
    </row>
    <row r="10410" spans="1:5" x14ac:dyDescent="0.25">
      <c r="A10410">
        <v>10409</v>
      </c>
      <c r="B10410">
        <v>505350</v>
      </c>
      <c r="C10410" s="1" t="str">
        <f>HYPERLINK("http://stackoverflow.com/users/505350", "Silwile")</f>
        <v>Silwile</v>
      </c>
      <c r="D10410" t="s">
        <v>4</v>
      </c>
      <c r="E10410">
        <v>1</v>
      </c>
    </row>
    <row r="10411" spans="1:5" x14ac:dyDescent="0.25">
      <c r="A10411">
        <v>10410</v>
      </c>
      <c r="B10411">
        <v>6281271</v>
      </c>
      <c r="C10411" s="1" t="str">
        <f>HYPERLINK("http://stackoverflow.com/users/6281271", "sunnbrunch")</f>
        <v>sunnbrunch</v>
      </c>
      <c r="D10411" t="s">
        <v>4</v>
      </c>
      <c r="E10411">
        <v>1</v>
      </c>
    </row>
    <row r="10412" spans="1:5" x14ac:dyDescent="0.25">
      <c r="A10412">
        <v>10411</v>
      </c>
      <c r="B10412">
        <v>9891790</v>
      </c>
      <c r="C10412" s="1" t="str">
        <f>HYPERLINK("http://stackoverflow.com/users/9891790", "Chung Li")</f>
        <v>Chung Li</v>
      </c>
      <c r="D10412" t="s">
        <v>98</v>
      </c>
      <c r="E10412">
        <v>1</v>
      </c>
    </row>
    <row r="10413" spans="1:5" x14ac:dyDescent="0.25">
      <c r="A10413">
        <v>10412</v>
      </c>
      <c r="B10413">
        <v>9892362</v>
      </c>
      <c r="C10413" s="1" t="str">
        <f>HYPERLINK("http://stackoverflow.com/users/9892362", "Stephen Young")</f>
        <v>Stephen Young</v>
      </c>
      <c r="D10413" t="s">
        <v>4</v>
      </c>
      <c r="E10413">
        <v>1</v>
      </c>
    </row>
    <row r="10414" spans="1:5" x14ac:dyDescent="0.25">
      <c r="A10414">
        <v>10413</v>
      </c>
      <c r="B10414">
        <v>6296284</v>
      </c>
      <c r="C10414" s="1" t="str">
        <f>HYPERLINK("http://stackoverflow.com/users/6296284", "LeonZhang")</f>
        <v>LeonZhang</v>
      </c>
      <c r="D10414" t="s">
        <v>374</v>
      </c>
      <c r="E10414">
        <v>1</v>
      </c>
    </row>
    <row r="10415" spans="1:5" x14ac:dyDescent="0.25">
      <c r="A10415">
        <v>10414</v>
      </c>
      <c r="B10415">
        <v>6296633</v>
      </c>
      <c r="C10415" s="1" t="str">
        <f>HYPERLINK("http://stackoverflow.com/users/6296633", "Ming Zou")</f>
        <v>Ming Zou</v>
      </c>
      <c r="D10415" t="s">
        <v>5</v>
      </c>
      <c r="E10415">
        <v>1</v>
      </c>
    </row>
    <row r="10416" spans="1:5" x14ac:dyDescent="0.25">
      <c r="A10416">
        <v>10415</v>
      </c>
      <c r="B10416">
        <v>9896506</v>
      </c>
      <c r="C10416" s="1" t="str">
        <f>HYPERLINK("http://stackoverflow.com/users/9896506", "Ocruc28")</f>
        <v>Ocruc28</v>
      </c>
      <c r="D10416" t="s">
        <v>4</v>
      </c>
      <c r="E10416">
        <v>1</v>
      </c>
    </row>
    <row r="10417" spans="1:5" x14ac:dyDescent="0.25">
      <c r="A10417">
        <v>10416</v>
      </c>
      <c r="B10417">
        <v>9896853</v>
      </c>
      <c r="C10417" s="1" t="str">
        <f>HYPERLINK("http://stackoverflow.com/users/9896853", "jinlong")</f>
        <v>jinlong</v>
      </c>
      <c r="D10417" t="s">
        <v>5</v>
      </c>
      <c r="E10417">
        <v>1</v>
      </c>
    </row>
    <row r="10418" spans="1:5" x14ac:dyDescent="0.25">
      <c r="A10418">
        <v>10417</v>
      </c>
      <c r="B10418">
        <v>9896872</v>
      </c>
      <c r="C10418" s="1" t="str">
        <f>HYPERLINK("http://stackoverflow.com/users/9896872", "Waln Zhong")</f>
        <v>Waln Zhong</v>
      </c>
      <c r="D10418" t="s">
        <v>569</v>
      </c>
      <c r="E10418">
        <v>1</v>
      </c>
    </row>
    <row r="10419" spans="1:5" x14ac:dyDescent="0.25">
      <c r="A10419">
        <v>10418</v>
      </c>
      <c r="B10419">
        <v>9897308</v>
      </c>
      <c r="C10419" s="1" t="str">
        <f>HYPERLINK("http://stackoverflow.com/users/9897308", "Kevin Zhou")</f>
        <v>Kevin Zhou</v>
      </c>
      <c r="D10419" t="s">
        <v>5</v>
      </c>
      <c r="E10419">
        <v>1</v>
      </c>
    </row>
    <row r="10420" spans="1:5" x14ac:dyDescent="0.25">
      <c r="A10420">
        <v>10419</v>
      </c>
      <c r="B10420">
        <v>2737254</v>
      </c>
      <c r="C10420" s="1" t="str">
        <f>HYPERLINK("http://stackoverflow.com/users/2737254", "CalmRund")</f>
        <v>CalmRund</v>
      </c>
      <c r="D10420" t="s">
        <v>22</v>
      </c>
      <c r="E10420">
        <v>1</v>
      </c>
    </row>
    <row r="10421" spans="1:5" x14ac:dyDescent="0.25">
      <c r="A10421">
        <v>10420</v>
      </c>
      <c r="B10421">
        <v>2737281</v>
      </c>
      <c r="C10421" s="1" t="str">
        <f>HYPERLINK("http://stackoverflow.com/users/2737281", "W.Kong")</f>
        <v>W.Kong</v>
      </c>
      <c r="D10421" t="s">
        <v>4</v>
      </c>
      <c r="E10421">
        <v>1</v>
      </c>
    </row>
    <row r="10422" spans="1:5" x14ac:dyDescent="0.25">
      <c r="A10422">
        <v>10421</v>
      </c>
      <c r="B10422">
        <v>6303338</v>
      </c>
      <c r="C10422" s="1" t="str">
        <f>HYPERLINK("http://stackoverflow.com/users/6303338", "xiaohui li")</f>
        <v>xiaohui li</v>
      </c>
      <c r="D10422" t="s">
        <v>62</v>
      </c>
      <c r="E10422">
        <v>1</v>
      </c>
    </row>
    <row r="10423" spans="1:5" x14ac:dyDescent="0.25">
      <c r="A10423">
        <v>10422</v>
      </c>
      <c r="B10423">
        <v>6303545</v>
      </c>
      <c r="C10423" s="1" t="str">
        <f>HYPERLINK("http://stackoverflow.com/users/6303545", "麦均贤")</f>
        <v>麦均贤</v>
      </c>
      <c r="D10423" t="s">
        <v>25</v>
      </c>
      <c r="E10423">
        <v>1</v>
      </c>
    </row>
    <row r="10424" spans="1:5" x14ac:dyDescent="0.25">
      <c r="A10424">
        <v>10423</v>
      </c>
      <c r="B10424">
        <v>2741263</v>
      </c>
      <c r="C10424" s="1" t="str">
        <f>HYPERLINK("http://stackoverflow.com/users/2741263", "imaginator")</f>
        <v>imaginator</v>
      </c>
      <c r="D10424" t="s">
        <v>570</v>
      </c>
      <c r="E10424">
        <v>1</v>
      </c>
    </row>
    <row r="10425" spans="1:5" x14ac:dyDescent="0.25">
      <c r="A10425">
        <v>10424</v>
      </c>
      <c r="B10425">
        <v>522631</v>
      </c>
      <c r="C10425" s="1" t="str">
        <f>HYPERLINK("http://stackoverflow.com/users/522631", "Wavy Ren")</f>
        <v>Wavy Ren</v>
      </c>
      <c r="D10425" t="s">
        <v>5</v>
      </c>
      <c r="E10425">
        <v>1</v>
      </c>
    </row>
    <row r="10426" spans="1:5" x14ac:dyDescent="0.25">
      <c r="A10426">
        <v>10425</v>
      </c>
      <c r="B10426">
        <v>522655</v>
      </c>
      <c r="C10426" s="1" t="str">
        <f>HYPERLINK("http://stackoverflow.com/users/522655", "郑州网建")</f>
        <v>郑州网建</v>
      </c>
      <c r="D10426" t="s">
        <v>63</v>
      </c>
      <c r="E10426">
        <v>1</v>
      </c>
    </row>
    <row r="10427" spans="1:5" x14ac:dyDescent="0.25">
      <c r="A10427">
        <v>10426</v>
      </c>
      <c r="B10427">
        <v>521363</v>
      </c>
      <c r="C10427" s="1" t="str">
        <f>HYPERLINK("http://stackoverflow.com/users/521363", "AndroidDavid")</f>
        <v>AndroidDavid</v>
      </c>
      <c r="D10427" t="s">
        <v>12</v>
      </c>
      <c r="E10427">
        <v>1</v>
      </c>
    </row>
    <row r="10428" spans="1:5" x14ac:dyDescent="0.25">
      <c r="A10428">
        <v>10427</v>
      </c>
      <c r="B10428">
        <v>523399</v>
      </c>
      <c r="C10428" s="1" t="str">
        <f>HYPERLINK("http://stackoverflow.com/users/523399", "Jian Luo")</f>
        <v>Jian Luo</v>
      </c>
      <c r="D10428" t="s">
        <v>4</v>
      </c>
      <c r="E10428">
        <v>1</v>
      </c>
    </row>
    <row r="10429" spans="1:5" x14ac:dyDescent="0.25">
      <c r="A10429">
        <v>10428</v>
      </c>
      <c r="B10429">
        <v>528832</v>
      </c>
      <c r="C10429" s="1" t="str">
        <f>HYPERLINK("http://stackoverflow.com/users/528832", "babatu")</f>
        <v>babatu</v>
      </c>
      <c r="D10429" t="s">
        <v>12</v>
      </c>
      <c r="E10429">
        <v>1</v>
      </c>
    </row>
    <row r="10430" spans="1:5" x14ac:dyDescent="0.25">
      <c r="A10430">
        <v>10429</v>
      </c>
      <c r="B10430">
        <v>529375</v>
      </c>
      <c r="C10430" s="1" t="str">
        <f>HYPERLINK("http://stackoverflow.com/users/529375", "EdwardBadBoy")</f>
        <v>EdwardBadBoy</v>
      </c>
      <c r="D10430" t="s">
        <v>5</v>
      </c>
      <c r="E10430">
        <v>1</v>
      </c>
    </row>
    <row r="10431" spans="1:5" x14ac:dyDescent="0.25">
      <c r="A10431">
        <v>10430</v>
      </c>
      <c r="B10431">
        <v>4565807</v>
      </c>
      <c r="C10431" s="1" t="str">
        <f>HYPERLINK("http://stackoverflow.com/users/4565807", "Bachue")</f>
        <v>Bachue</v>
      </c>
      <c r="D10431" t="s">
        <v>4</v>
      </c>
      <c r="E10431">
        <v>1</v>
      </c>
    </row>
    <row r="10432" spans="1:5" x14ac:dyDescent="0.25">
      <c r="A10432">
        <v>10431</v>
      </c>
      <c r="B10432">
        <v>6491974</v>
      </c>
      <c r="C10432" s="1" t="str">
        <f>HYPERLINK("http://stackoverflow.com/users/6491974", "LiuYi")</f>
        <v>LiuYi</v>
      </c>
      <c r="D10432" t="s">
        <v>91</v>
      </c>
      <c r="E10432">
        <v>1</v>
      </c>
    </row>
    <row r="10433" spans="1:5" x14ac:dyDescent="0.25">
      <c r="A10433">
        <v>10432</v>
      </c>
      <c r="B10433">
        <v>6487806</v>
      </c>
      <c r="C10433" s="1" t="str">
        <f>HYPERLINK("http://stackoverflow.com/users/6487806", "sjyuan.cc")</f>
        <v>sjyuan.cc</v>
      </c>
      <c r="D10433" t="s">
        <v>91</v>
      </c>
      <c r="E10433">
        <v>1</v>
      </c>
    </row>
    <row r="10434" spans="1:5" x14ac:dyDescent="0.25">
      <c r="A10434">
        <v>10433</v>
      </c>
      <c r="B10434">
        <v>10109972</v>
      </c>
      <c r="C10434" s="1" t="str">
        <f>HYPERLINK("http://stackoverflow.com/users/10109972", "Damon Pan")</f>
        <v>Damon Pan</v>
      </c>
      <c r="D10434" t="s">
        <v>7</v>
      </c>
      <c r="E10434">
        <v>1</v>
      </c>
    </row>
    <row r="10435" spans="1:5" x14ac:dyDescent="0.25">
      <c r="A10435">
        <v>10434</v>
      </c>
      <c r="B10435">
        <v>8293544</v>
      </c>
      <c r="C10435" s="1" t="str">
        <f>HYPERLINK("http://stackoverflow.com/users/8293544", "Leeto.Chen")</f>
        <v>Leeto.Chen</v>
      </c>
      <c r="D10435" t="s">
        <v>5</v>
      </c>
      <c r="E10435">
        <v>1</v>
      </c>
    </row>
    <row r="10436" spans="1:5" x14ac:dyDescent="0.25">
      <c r="A10436">
        <v>10435</v>
      </c>
      <c r="B10436">
        <v>8293776</v>
      </c>
      <c r="C10436" s="1" t="str">
        <f>HYPERLINK("http://stackoverflow.com/users/8293776", "yinzm")</f>
        <v>yinzm</v>
      </c>
      <c r="D10436" t="s">
        <v>7</v>
      </c>
      <c r="E10436">
        <v>1</v>
      </c>
    </row>
    <row r="10437" spans="1:5" x14ac:dyDescent="0.25">
      <c r="A10437">
        <v>10436</v>
      </c>
      <c r="B10437">
        <v>8281006</v>
      </c>
      <c r="C10437" s="1" t="str">
        <f>HYPERLINK("http://stackoverflow.com/users/8281006", "Phaldon")</f>
        <v>Phaldon</v>
      </c>
      <c r="D10437" t="s">
        <v>118</v>
      </c>
      <c r="E10437">
        <v>1</v>
      </c>
    </row>
    <row r="10438" spans="1:5" x14ac:dyDescent="0.25">
      <c r="A10438">
        <v>10437</v>
      </c>
      <c r="B10438">
        <v>8281009</v>
      </c>
      <c r="C10438" s="1" t="str">
        <f>HYPERLINK("http://stackoverflow.com/users/8281009", "RON.Z")</f>
        <v>RON.Z</v>
      </c>
      <c r="D10438" t="s">
        <v>21</v>
      </c>
      <c r="E10438">
        <v>1</v>
      </c>
    </row>
    <row r="10439" spans="1:5" x14ac:dyDescent="0.25">
      <c r="A10439">
        <v>10438</v>
      </c>
      <c r="B10439">
        <v>850217</v>
      </c>
      <c r="C10439" s="1" t="str">
        <f>HYPERLINK("http://stackoverflow.com/users/850217", "Firsh3k")</f>
        <v>Firsh3k</v>
      </c>
      <c r="D10439" t="s">
        <v>4</v>
      </c>
      <c r="E10439">
        <v>1</v>
      </c>
    </row>
    <row r="10440" spans="1:5" x14ac:dyDescent="0.25">
      <c r="A10440">
        <v>10439</v>
      </c>
      <c r="B10440">
        <v>850357</v>
      </c>
      <c r="C10440" s="1" t="str">
        <f>HYPERLINK("http://stackoverflow.com/users/850357", "tsyj2007")</f>
        <v>tsyj2007</v>
      </c>
      <c r="D10440" t="s">
        <v>37</v>
      </c>
      <c r="E10440">
        <v>1</v>
      </c>
    </row>
    <row r="10441" spans="1:5" x14ac:dyDescent="0.25">
      <c r="A10441">
        <v>10440</v>
      </c>
      <c r="B10441">
        <v>2931262</v>
      </c>
      <c r="C10441" s="1" t="str">
        <f>HYPERLINK("http://stackoverflow.com/users/2931262", "Arthur Tsang")</f>
        <v>Arthur Tsang</v>
      </c>
      <c r="D10441" t="s">
        <v>21</v>
      </c>
      <c r="E10441">
        <v>1</v>
      </c>
    </row>
    <row r="10442" spans="1:5" x14ac:dyDescent="0.25">
      <c r="A10442">
        <v>10441</v>
      </c>
      <c r="B10442">
        <v>2944228</v>
      </c>
      <c r="C10442" s="1" t="str">
        <f>HYPERLINK("http://stackoverflow.com/users/2944228", "EvenChang")</f>
        <v>EvenChang</v>
      </c>
      <c r="D10442" t="s">
        <v>22</v>
      </c>
      <c r="E10442">
        <v>1</v>
      </c>
    </row>
    <row r="10443" spans="1:5" x14ac:dyDescent="0.25">
      <c r="A10443">
        <v>10442</v>
      </c>
      <c r="B10443">
        <v>2944288</v>
      </c>
      <c r="C10443" s="1" t="str">
        <f>HYPERLINK("http://stackoverflow.com/users/2944288", "huiman")</f>
        <v>huiman</v>
      </c>
      <c r="D10443" t="s">
        <v>12</v>
      </c>
      <c r="E10443">
        <v>1</v>
      </c>
    </row>
    <row r="10444" spans="1:5" x14ac:dyDescent="0.25">
      <c r="A10444">
        <v>10443</v>
      </c>
      <c r="B10444">
        <v>4771707</v>
      </c>
      <c r="C10444" s="1" t="str">
        <f>HYPERLINK("http://stackoverflow.com/users/4771707", "Joe Li")</f>
        <v>Joe Li</v>
      </c>
      <c r="D10444" t="s">
        <v>62</v>
      </c>
      <c r="E10444">
        <v>1</v>
      </c>
    </row>
    <row r="10445" spans="1:5" x14ac:dyDescent="0.25">
      <c r="A10445">
        <v>10444</v>
      </c>
      <c r="B10445">
        <v>10118351</v>
      </c>
      <c r="C10445" s="1" t="str">
        <f>HYPERLINK("http://stackoverflow.com/users/10118351", "Jin haha")</f>
        <v>Jin haha</v>
      </c>
      <c r="D10445" t="s">
        <v>320</v>
      </c>
      <c r="E10445">
        <v>1</v>
      </c>
    </row>
    <row r="10446" spans="1:5" x14ac:dyDescent="0.25">
      <c r="A10446">
        <v>10445</v>
      </c>
      <c r="B10446">
        <v>8302793</v>
      </c>
      <c r="C10446" s="1" t="str">
        <f>HYPERLINK("http://stackoverflow.com/users/8302793", "bin luo")</f>
        <v>bin luo</v>
      </c>
      <c r="D10446" t="s">
        <v>7</v>
      </c>
      <c r="E10446">
        <v>1</v>
      </c>
    </row>
    <row r="10447" spans="1:5" x14ac:dyDescent="0.25">
      <c r="A10447">
        <v>10446</v>
      </c>
      <c r="B10447">
        <v>8302827</v>
      </c>
      <c r="C10447" s="1" t="str">
        <f>HYPERLINK("http://stackoverflow.com/users/8302827", "tomzbj")</f>
        <v>tomzbj</v>
      </c>
      <c r="D10447" t="s">
        <v>5</v>
      </c>
      <c r="E10447">
        <v>1</v>
      </c>
    </row>
    <row r="10448" spans="1:5" x14ac:dyDescent="0.25">
      <c r="A10448">
        <v>10447</v>
      </c>
      <c r="B10448">
        <v>8302926</v>
      </c>
      <c r="C10448" s="1" t="str">
        <f>HYPERLINK("http://stackoverflow.com/users/8302926", "leo.ch")</f>
        <v>leo.ch</v>
      </c>
      <c r="D10448" t="s">
        <v>17</v>
      </c>
      <c r="E10448">
        <v>1</v>
      </c>
    </row>
    <row r="10449" spans="1:5" x14ac:dyDescent="0.25">
      <c r="A10449">
        <v>10448</v>
      </c>
      <c r="B10449">
        <v>876378</v>
      </c>
      <c r="C10449" s="1" t="str">
        <f>HYPERLINK("http://stackoverflow.com/users/876378", "kemad")</f>
        <v>kemad</v>
      </c>
      <c r="D10449" t="s">
        <v>12</v>
      </c>
      <c r="E10449">
        <v>1</v>
      </c>
    </row>
    <row r="10450" spans="1:5" x14ac:dyDescent="0.25">
      <c r="A10450">
        <v>10449</v>
      </c>
      <c r="B10450">
        <v>876573</v>
      </c>
      <c r="C10450" s="1" t="str">
        <f>HYPERLINK("http://stackoverflow.com/users/876573", "Bane Zhang")</f>
        <v>Bane Zhang</v>
      </c>
      <c r="D10450" t="s">
        <v>4</v>
      </c>
      <c r="E10450">
        <v>1</v>
      </c>
    </row>
    <row r="10451" spans="1:5" x14ac:dyDescent="0.25">
      <c r="A10451">
        <v>10450</v>
      </c>
      <c r="B10451">
        <v>6492217</v>
      </c>
      <c r="C10451" s="1" t="str">
        <f>HYPERLINK("http://stackoverflow.com/users/6492217", "Eugene")</f>
        <v>Eugene</v>
      </c>
      <c r="D10451" t="s">
        <v>4</v>
      </c>
      <c r="E10451">
        <v>1</v>
      </c>
    </row>
    <row r="10452" spans="1:5" x14ac:dyDescent="0.25">
      <c r="A10452">
        <v>10451</v>
      </c>
      <c r="B10452">
        <v>875809</v>
      </c>
      <c r="C10452" s="1" t="str">
        <f>HYPERLINK("http://stackoverflow.com/users/875809", "Josh Seikwang Chung")</f>
        <v>Josh Seikwang Chung</v>
      </c>
      <c r="D10452" t="s">
        <v>4</v>
      </c>
      <c r="E10452">
        <v>1</v>
      </c>
    </row>
    <row r="10453" spans="1:5" x14ac:dyDescent="0.25">
      <c r="A10453">
        <v>10452</v>
      </c>
      <c r="B10453">
        <v>10134712</v>
      </c>
      <c r="C10453" s="1" t="str">
        <f>HYPERLINK("http://stackoverflow.com/users/10134712", "吴凯鹏")</f>
        <v>吴凯鹏</v>
      </c>
      <c r="D10453" t="s">
        <v>261</v>
      </c>
      <c r="E10453">
        <v>1</v>
      </c>
    </row>
    <row r="10454" spans="1:5" x14ac:dyDescent="0.25">
      <c r="A10454">
        <v>10453</v>
      </c>
      <c r="B10454">
        <v>6514180</v>
      </c>
      <c r="C10454" s="1" t="str">
        <f>HYPERLINK("http://stackoverflow.com/users/6514180", "delyex")</f>
        <v>delyex</v>
      </c>
      <c r="D10454" t="s">
        <v>27</v>
      </c>
      <c r="E10454">
        <v>1</v>
      </c>
    </row>
    <row r="10455" spans="1:5" x14ac:dyDescent="0.25">
      <c r="A10455">
        <v>10454</v>
      </c>
      <c r="B10455">
        <v>6514211</v>
      </c>
      <c r="C10455" s="1" t="str">
        <f>HYPERLINK("http://stackoverflow.com/users/6514211", "Devin")</f>
        <v>Devin</v>
      </c>
      <c r="D10455" t="s">
        <v>4</v>
      </c>
      <c r="E10455">
        <v>1</v>
      </c>
    </row>
    <row r="10456" spans="1:5" x14ac:dyDescent="0.25">
      <c r="A10456">
        <v>10455</v>
      </c>
      <c r="B10456">
        <v>6517966</v>
      </c>
      <c r="C10456" s="1" t="str">
        <f>HYPERLINK("http://stackoverflow.com/users/6517966", "Yong Chen")</f>
        <v>Yong Chen</v>
      </c>
      <c r="D10456" t="s">
        <v>28</v>
      </c>
      <c r="E10456">
        <v>1</v>
      </c>
    </row>
    <row r="10457" spans="1:5" x14ac:dyDescent="0.25">
      <c r="A10457">
        <v>10456</v>
      </c>
      <c r="B10457">
        <v>4794566</v>
      </c>
      <c r="C10457" s="1" t="str">
        <f>HYPERLINK("http://stackoverflow.com/users/4794566", "MioW")</f>
        <v>MioW</v>
      </c>
      <c r="D10457" t="s">
        <v>8</v>
      </c>
      <c r="E10457">
        <v>1</v>
      </c>
    </row>
    <row r="10458" spans="1:5" x14ac:dyDescent="0.25">
      <c r="A10458">
        <v>10457</v>
      </c>
      <c r="B10458">
        <v>10130981</v>
      </c>
      <c r="C10458" s="1" t="str">
        <f>HYPERLINK("http://stackoverflow.com/users/10130981", "Josh Mei")</f>
        <v>Josh Mei</v>
      </c>
      <c r="D10458" t="s">
        <v>16</v>
      </c>
      <c r="E10458">
        <v>1</v>
      </c>
    </row>
    <row r="10459" spans="1:5" x14ac:dyDescent="0.25">
      <c r="A10459">
        <v>10458</v>
      </c>
      <c r="B10459">
        <v>4788321</v>
      </c>
      <c r="C10459" s="1" t="str">
        <f>HYPERLINK("http://stackoverflow.com/users/4788321", "Nogard Li")</f>
        <v>Nogard Li</v>
      </c>
      <c r="D10459" t="s">
        <v>21</v>
      </c>
      <c r="E10459">
        <v>1</v>
      </c>
    </row>
    <row r="10460" spans="1:5" x14ac:dyDescent="0.25">
      <c r="A10460">
        <v>10459</v>
      </c>
      <c r="B10460">
        <v>10130744</v>
      </c>
      <c r="C10460" s="1" t="str">
        <f>HYPERLINK("http://stackoverflow.com/users/10130744", "王源远")</f>
        <v>王源远</v>
      </c>
      <c r="D10460" t="s">
        <v>86</v>
      </c>
      <c r="E10460">
        <v>1</v>
      </c>
    </row>
    <row r="10461" spans="1:5" x14ac:dyDescent="0.25">
      <c r="A10461">
        <v>10460</v>
      </c>
      <c r="B10461">
        <v>8311109</v>
      </c>
      <c r="C10461" s="1" t="str">
        <f>HYPERLINK("http://stackoverflow.com/users/8311109", "JimJacky")</f>
        <v>JimJacky</v>
      </c>
      <c r="D10461" t="s">
        <v>4</v>
      </c>
      <c r="E10461">
        <v>1</v>
      </c>
    </row>
    <row r="10462" spans="1:5" x14ac:dyDescent="0.25">
      <c r="A10462">
        <v>10461</v>
      </c>
      <c r="B10462">
        <v>10126660</v>
      </c>
      <c r="C10462" s="1" t="str">
        <f>HYPERLINK("http://stackoverflow.com/users/10126660", "Wilson")</f>
        <v>Wilson</v>
      </c>
      <c r="D10462" t="s">
        <v>74</v>
      </c>
      <c r="E10462">
        <v>1</v>
      </c>
    </row>
    <row r="10463" spans="1:5" x14ac:dyDescent="0.25">
      <c r="A10463">
        <v>10462</v>
      </c>
      <c r="B10463">
        <v>10126852</v>
      </c>
      <c r="C10463" s="1" t="str">
        <f>HYPERLINK("http://stackoverflow.com/users/10126852", "Jennifer.C")</f>
        <v>Jennifer.C</v>
      </c>
      <c r="D10463" t="s">
        <v>5</v>
      </c>
      <c r="E10463">
        <v>1</v>
      </c>
    </row>
    <row r="10464" spans="1:5" x14ac:dyDescent="0.25">
      <c r="A10464">
        <v>10463</v>
      </c>
      <c r="B10464">
        <v>10126889</v>
      </c>
      <c r="C10464" s="1" t="str">
        <f>HYPERLINK("http://stackoverflow.com/users/10126889", "陈琼元")</f>
        <v>陈琼元</v>
      </c>
      <c r="D10464" t="s">
        <v>25</v>
      </c>
      <c r="E10464">
        <v>1</v>
      </c>
    </row>
    <row r="10465" spans="1:5" x14ac:dyDescent="0.25">
      <c r="A10465">
        <v>10464</v>
      </c>
      <c r="B10465">
        <v>10127057</v>
      </c>
      <c r="C10465" s="1" t="str">
        <f>HYPERLINK("http://stackoverflow.com/users/10127057", "Frankchen")</f>
        <v>Frankchen</v>
      </c>
      <c r="D10465" t="s">
        <v>16</v>
      </c>
      <c r="E10465">
        <v>1</v>
      </c>
    </row>
    <row r="10466" spans="1:5" x14ac:dyDescent="0.25">
      <c r="A10466">
        <v>10465</v>
      </c>
      <c r="B10466">
        <v>2949087</v>
      </c>
      <c r="C10466" s="1" t="str">
        <f>HYPERLINK("http://stackoverflow.com/users/2949087", "Sirius")</f>
        <v>Sirius</v>
      </c>
      <c r="D10466" t="s">
        <v>5</v>
      </c>
      <c r="E10466">
        <v>1</v>
      </c>
    </row>
    <row r="10467" spans="1:5" x14ac:dyDescent="0.25">
      <c r="A10467">
        <v>10466</v>
      </c>
      <c r="B10467">
        <v>8306600</v>
      </c>
      <c r="C10467" s="1" t="str">
        <f>HYPERLINK("http://stackoverflow.com/users/8306600", "Lee Lomoya")</f>
        <v>Lee Lomoya</v>
      </c>
      <c r="D10467" t="s">
        <v>5</v>
      </c>
      <c r="E10467">
        <v>1</v>
      </c>
    </row>
    <row r="10468" spans="1:5" x14ac:dyDescent="0.25">
      <c r="A10468">
        <v>10467</v>
      </c>
      <c r="B10468">
        <v>8306690</v>
      </c>
      <c r="C10468" s="1" t="str">
        <f>HYPERLINK("http://stackoverflow.com/users/8306690", "codeforjustice")</f>
        <v>codeforjustice</v>
      </c>
      <c r="D10468" t="s">
        <v>5</v>
      </c>
      <c r="E10468">
        <v>1</v>
      </c>
    </row>
    <row r="10469" spans="1:5" x14ac:dyDescent="0.25">
      <c r="A10469">
        <v>10468</v>
      </c>
      <c r="B10469">
        <v>8307080</v>
      </c>
      <c r="C10469" s="1" t="str">
        <f>HYPERLINK("http://stackoverflow.com/users/8307080", "Sun Yuqi")</f>
        <v>Sun Yuqi</v>
      </c>
      <c r="D10469" t="s">
        <v>74</v>
      </c>
      <c r="E10469">
        <v>1</v>
      </c>
    </row>
    <row r="10470" spans="1:5" x14ac:dyDescent="0.25">
      <c r="A10470">
        <v>10469</v>
      </c>
      <c r="B10470">
        <v>10123109</v>
      </c>
      <c r="C10470" s="1" t="str">
        <f>HYPERLINK("http://stackoverflow.com/users/10123109", "K652")</f>
        <v>K652</v>
      </c>
      <c r="D10470" t="s">
        <v>4</v>
      </c>
      <c r="E10470">
        <v>1</v>
      </c>
    </row>
    <row r="10471" spans="1:5" x14ac:dyDescent="0.25">
      <c r="A10471">
        <v>10470</v>
      </c>
      <c r="B10471">
        <v>4781131</v>
      </c>
      <c r="C10471" s="1" t="str">
        <f>HYPERLINK("http://stackoverflow.com/users/4781131", "leo lin")</f>
        <v>leo lin</v>
      </c>
      <c r="D10471" t="s">
        <v>154</v>
      </c>
      <c r="E10471">
        <v>1</v>
      </c>
    </row>
    <row r="10472" spans="1:5" x14ac:dyDescent="0.25">
      <c r="A10472">
        <v>10471</v>
      </c>
      <c r="B10472">
        <v>8310431</v>
      </c>
      <c r="C10472" s="1" t="str">
        <f>HYPERLINK("http://stackoverflow.com/users/8310431", "Zhang lishan")</f>
        <v>Zhang lishan</v>
      </c>
      <c r="D10472" t="s">
        <v>74</v>
      </c>
      <c r="E10472">
        <v>1</v>
      </c>
    </row>
    <row r="10473" spans="1:5" x14ac:dyDescent="0.25">
      <c r="A10473">
        <v>10472</v>
      </c>
      <c r="B10473">
        <v>8310517</v>
      </c>
      <c r="C10473" s="1" t="str">
        <f>HYPERLINK("http://stackoverflow.com/users/8310517", "user8310517")</f>
        <v>user8310517</v>
      </c>
      <c r="D10473" t="s">
        <v>5</v>
      </c>
      <c r="E10473">
        <v>1</v>
      </c>
    </row>
    <row r="10474" spans="1:5" x14ac:dyDescent="0.25">
      <c r="A10474">
        <v>10473</v>
      </c>
      <c r="B10474">
        <v>8310578</v>
      </c>
      <c r="C10474" s="1" t="str">
        <f>HYPERLINK("http://stackoverflow.com/users/8310578", "Anan")</f>
        <v>Anan</v>
      </c>
      <c r="D10474" t="s">
        <v>8</v>
      </c>
      <c r="E10474">
        <v>1</v>
      </c>
    </row>
    <row r="10475" spans="1:5" x14ac:dyDescent="0.25">
      <c r="A10475">
        <v>10474</v>
      </c>
      <c r="B10475">
        <v>8318793</v>
      </c>
      <c r="C10475" s="1" t="str">
        <f>HYPERLINK("http://stackoverflow.com/users/8318793", "Zhai Jingjing")</f>
        <v>Zhai Jingjing</v>
      </c>
      <c r="D10475" t="s">
        <v>571</v>
      </c>
      <c r="E10475">
        <v>1</v>
      </c>
    </row>
    <row r="10476" spans="1:5" x14ac:dyDescent="0.25">
      <c r="A10476">
        <v>10475</v>
      </c>
      <c r="B10476">
        <v>4794904</v>
      </c>
      <c r="C10476" s="1" t="str">
        <f>HYPERLINK("http://stackoverflow.com/users/4794904", "liuzemin")</f>
        <v>liuzemin</v>
      </c>
      <c r="D10476" t="s">
        <v>54</v>
      </c>
      <c r="E10476">
        <v>1</v>
      </c>
    </row>
    <row r="10477" spans="1:5" x14ac:dyDescent="0.25">
      <c r="A10477">
        <v>10476</v>
      </c>
      <c r="B10477">
        <v>10141973</v>
      </c>
      <c r="C10477" s="1" t="str">
        <f>HYPERLINK("http://stackoverflow.com/users/10141973", "David Hopper")</f>
        <v>David Hopper</v>
      </c>
      <c r="D10477" t="s">
        <v>29</v>
      </c>
      <c r="E10477">
        <v>1</v>
      </c>
    </row>
    <row r="10478" spans="1:5" x14ac:dyDescent="0.25">
      <c r="A10478">
        <v>10477</v>
      </c>
      <c r="B10478">
        <v>10142023</v>
      </c>
      <c r="C10478" s="1" t="str">
        <f>HYPERLINK("http://stackoverflow.com/users/10142023", "Edric")</f>
        <v>Edric</v>
      </c>
      <c r="D10478" t="s">
        <v>4</v>
      </c>
      <c r="E10478">
        <v>1</v>
      </c>
    </row>
    <row r="10479" spans="1:5" x14ac:dyDescent="0.25">
      <c r="A10479">
        <v>10478</v>
      </c>
      <c r="B10479">
        <v>10142330</v>
      </c>
      <c r="C10479" s="1" t="str">
        <f>HYPERLINK("http://stackoverflow.com/users/10142330", "muren")</f>
        <v>muren</v>
      </c>
      <c r="D10479" t="s">
        <v>5</v>
      </c>
      <c r="E10479">
        <v>1</v>
      </c>
    </row>
    <row r="10480" spans="1:5" x14ac:dyDescent="0.25">
      <c r="A10480">
        <v>10479</v>
      </c>
      <c r="B10480">
        <v>8325977</v>
      </c>
      <c r="C10480" s="1" t="str">
        <f>HYPERLINK("http://stackoverflow.com/users/8325977", "Shawn")</f>
        <v>Shawn</v>
      </c>
      <c r="D10480" t="s">
        <v>5</v>
      </c>
      <c r="E10480">
        <v>1</v>
      </c>
    </row>
    <row r="10481" spans="1:5" x14ac:dyDescent="0.25">
      <c r="A10481">
        <v>10480</v>
      </c>
      <c r="B10481">
        <v>8326445</v>
      </c>
      <c r="C10481" s="1" t="str">
        <f>HYPERLINK("http://stackoverflow.com/users/8326445", "wangmomo")</f>
        <v>wangmomo</v>
      </c>
      <c r="D10481" t="s">
        <v>572</v>
      </c>
      <c r="E10481">
        <v>1</v>
      </c>
    </row>
    <row r="10482" spans="1:5" x14ac:dyDescent="0.25">
      <c r="A10482">
        <v>10481</v>
      </c>
      <c r="B10482">
        <v>6521051</v>
      </c>
      <c r="C10482" s="1" t="str">
        <f>HYPERLINK("http://stackoverflow.com/users/6521051", "Haoyuan Xie")</f>
        <v>Haoyuan Xie</v>
      </c>
      <c r="D10482" t="s">
        <v>74</v>
      </c>
      <c r="E10482">
        <v>1</v>
      </c>
    </row>
    <row r="10483" spans="1:5" x14ac:dyDescent="0.25">
      <c r="A10483">
        <v>10482</v>
      </c>
      <c r="B10483">
        <v>10146006</v>
      </c>
      <c r="C10483" s="1" t="str">
        <f>HYPERLINK("http://stackoverflow.com/users/10146006", "Rocky Astor")</f>
        <v>Rocky Astor</v>
      </c>
      <c r="D10483" t="s">
        <v>573</v>
      </c>
      <c r="E10483">
        <v>1</v>
      </c>
    </row>
    <row r="10484" spans="1:5" x14ac:dyDescent="0.25">
      <c r="A10484">
        <v>10483</v>
      </c>
      <c r="B10484">
        <v>8329869</v>
      </c>
      <c r="C10484" s="1" t="str">
        <f>HYPERLINK("http://stackoverflow.com/users/8329869", "hack .l")</f>
        <v>hack .l</v>
      </c>
      <c r="D10484" t="s">
        <v>4</v>
      </c>
      <c r="E10484">
        <v>1</v>
      </c>
    </row>
    <row r="10485" spans="1:5" x14ac:dyDescent="0.25">
      <c r="A10485">
        <v>10484</v>
      </c>
      <c r="B10485">
        <v>8330254</v>
      </c>
      <c r="C10485" s="1" t="str">
        <f>HYPERLINK("http://stackoverflow.com/users/8330254", "Barret Lee")</f>
        <v>Barret Lee</v>
      </c>
      <c r="D10485" t="s">
        <v>108</v>
      </c>
      <c r="E10485">
        <v>1</v>
      </c>
    </row>
    <row r="10486" spans="1:5" x14ac:dyDescent="0.25">
      <c r="A10486">
        <v>10485</v>
      </c>
      <c r="B10486">
        <v>928699</v>
      </c>
      <c r="C10486" s="1" t="str">
        <f>HYPERLINK("http://stackoverflow.com/users/928699", "x6c7974")</f>
        <v>x6c7974</v>
      </c>
      <c r="D10486" t="s">
        <v>56</v>
      </c>
      <c r="E10486">
        <v>1</v>
      </c>
    </row>
    <row r="10487" spans="1:5" x14ac:dyDescent="0.25">
      <c r="A10487">
        <v>10486</v>
      </c>
      <c r="B10487">
        <v>928920</v>
      </c>
      <c r="C10487" s="1" t="str">
        <f>HYPERLINK("http://stackoverflow.com/users/928920", "Wang Bin")</f>
        <v>Wang Bin</v>
      </c>
      <c r="D10487" t="s">
        <v>5</v>
      </c>
      <c r="E10487">
        <v>1</v>
      </c>
    </row>
    <row r="10488" spans="1:5" x14ac:dyDescent="0.25">
      <c r="A10488">
        <v>10487</v>
      </c>
      <c r="B10488">
        <v>8335215</v>
      </c>
      <c r="C10488" s="1" t="str">
        <f>HYPERLINK("http://stackoverflow.com/users/8335215", "SuShangjun")</f>
        <v>SuShangjun</v>
      </c>
      <c r="D10488" t="s">
        <v>5</v>
      </c>
      <c r="E10488">
        <v>1</v>
      </c>
    </row>
    <row r="10489" spans="1:5" x14ac:dyDescent="0.25">
      <c r="A10489">
        <v>10488</v>
      </c>
      <c r="B10489">
        <v>8335256</v>
      </c>
      <c r="C10489" s="1" t="str">
        <f>HYPERLINK("http://stackoverflow.com/users/8335256", "Jiayin Pei")</f>
        <v>Jiayin Pei</v>
      </c>
      <c r="D10489" t="s">
        <v>4</v>
      </c>
      <c r="E10489">
        <v>1</v>
      </c>
    </row>
    <row r="10490" spans="1:5" x14ac:dyDescent="0.25">
      <c r="A10490">
        <v>10489</v>
      </c>
      <c r="B10490">
        <v>8335271</v>
      </c>
      <c r="C10490" s="1" t="str">
        <f>HYPERLINK("http://stackoverflow.com/users/8335271", "Vatac Vango Valves")</f>
        <v>Vatac Vango Valves</v>
      </c>
      <c r="D10490" t="s">
        <v>574</v>
      </c>
      <c r="E10490">
        <v>1</v>
      </c>
    </row>
    <row r="10491" spans="1:5" x14ac:dyDescent="0.25">
      <c r="A10491">
        <v>10490</v>
      </c>
      <c r="B10491">
        <v>4809011</v>
      </c>
      <c r="C10491" s="1" t="str">
        <f>HYPERLINK("http://stackoverflow.com/users/4809011", "troy")</f>
        <v>troy</v>
      </c>
      <c r="D10491" t="s">
        <v>5</v>
      </c>
      <c r="E10491">
        <v>1</v>
      </c>
    </row>
    <row r="10492" spans="1:5" x14ac:dyDescent="0.25">
      <c r="A10492">
        <v>10491</v>
      </c>
      <c r="B10492">
        <v>10154530</v>
      </c>
      <c r="C10492" s="1" t="str">
        <f>HYPERLINK("http://stackoverflow.com/users/10154530", "Fei Guo")</f>
        <v>Fei Guo</v>
      </c>
      <c r="D10492" t="s">
        <v>5</v>
      </c>
      <c r="E10492">
        <v>1</v>
      </c>
    </row>
    <row r="10493" spans="1:5" x14ac:dyDescent="0.25">
      <c r="A10493">
        <v>10492</v>
      </c>
      <c r="B10493">
        <v>10154644</v>
      </c>
      <c r="C10493" s="1" t="str">
        <f>HYPERLINK("http://stackoverflow.com/users/10154644", "袁海龙")</f>
        <v>袁海龙</v>
      </c>
      <c r="D10493" t="s">
        <v>4</v>
      </c>
      <c r="E10493">
        <v>1</v>
      </c>
    </row>
    <row r="10494" spans="1:5" x14ac:dyDescent="0.25">
      <c r="A10494">
        <v>10493</v>
      </c>
      <c r="B10494">
        <v>10154817</v>
      </c>
      <c r="C10494" s="1" t="str">
        <f>HYPERLINK("http://stackoverflow.com/users/10154817", "P.Hu")</f>
        <v>P.Hu</v>
      </c>
      <c r="D10494" t="s">
        <v>178</v>
      </c>
      <c r="E10494">
        <v>1</v>
      </c>
    </row>
    <row r="10495" spans="1:5" x14ac:dyDescent="0.25">
      <c r="A10495">
        <v>10494</v>
      </c>
      <c r="B10495">
        <v>4809585</v>
      </c>
      <c r="C10495" s="1" t="str">
        <f>HYPERLINK("http://stackoverflow.com/users/4809585", "Yan")</f>
        <v>Yan</v>
      </c>
      <c r="D10495" t="s">
        <v>5</v>
      </c>
      <c r="E10495">
        <v>1</v>
      </c>
    </row>
    <row r="10496" spans="1:5" x14ac:dyDescent="0.25">
      <c r="A10496">
        <v>10495</v>
      </c>
      <c r="B10496">
        <v>2983432</v>
      </c>
      <c r="C10496" s="1" t="str">
        <f>HYPERLINK("http://stackoverflow.com/users/2983432", "Woosh_HU")</f>
        <v>Woosh_HU</v>
      </c>
      <c r="D10496" t="s">
        <v>21</v>
      </c>
      <c r="E10496">
        <v>1</v>
      </c>
    </row>
    <row r="10497" spans="1:5" x14ac:dyDescent="0.25">
      <c r="A10497">
        <v>10496</v>
      </c>
      <c r="B10497">
        <v>6532651</v>
      </c>
      <c r="C10497" s="1" t="str">
        <f>HYPERLINK("http://stackoverflow.com/users/6532651", "皮仁森")</f>
        <v>皮仁森</v>
      </c>
      <c r="D10497" t="s">
        <v>5</v>
      </c>
      <c r="E10497">
        <v>1</v>
      </c>
    </row>
    <row r="10498" spans="1:5" x14ac:dyDescent="0.25">
      <c r="A10498">
        <v>10497</v>
      </c>
      <c r="B10498">
        <v>2986626</v>
      </c>
      <c r="C10498" s="1" t="str">
        <f>HYPERLINK("http://stackoverflow.com/users/2986626", "Anika")</f>
        <v>Anika</v>
      </c>
      <c r="D10498" t="s">
        <v>5</v>
      </c>
      <c r="E10498">
        <v>1</v>
      </c>
    </row>
    <row r="10499" spans="1:5" x14ac:dyDescent="0.25">
      <c r="A10499">
        <v>10498</v>
      </c>
      <c r="B10499">
        <v>2986633</v>
      </c>
      <c r="C10499" s="1" t="str">
        <f>HYPERLINK("http://stackoverflow.com/users/2986633", "wei lei")</f>
        <v>wei lei</v>
      </c>
      <c r="D10499" t="s">
        <v>5</v>
      </c>
      <c r="E10499">
        <v>1</v>
      </c>
    </row>
    <row r="10500" spans="1:5" x14ac:dyDescent="0.25">
      <c r="A10500">
        <v>10499</v>
      </c>
      <c r="B10500">
        <v>2986699</v>
      </c>
      <c r="C10500" s="1" t="str">
        <f>HYPERLINK("http://stackoverflow.com/users/2986699", "Tim Lei")</f>
        <v>Tim Lei</v>
      </c>
      <c r="D10500" t="s">
        <v>7</v>
      </c>
      <c r="E10500">
        <v>1</v>
      </c>
    </row>
    <row r="10501" spans="1:5" x14ac:dyDescent="0.25">
      <c r="A10501">
        <v>10500</v>
      </c>
      <c r="B10501">
        <v>2986918</v>
      </c>
      <c r="C10501" s="1" t="str">
        <f>HYPERLINK("http://stackoverflow.com/users/2986918", "user2986918")</f>
        <v>user2986918</v>
      </c>
      <c r="D10501" t="s">
        <v>5</v>
      </c>
      <c r="E10501">
        <v>1</v>
      </c>
    </row>
    <row r="10502" spans="1:5" x14ac:dyDescent="0.25">
      <c r="A10502">
        <v>10501</v>
      </c>
      <c r="B10502">
        <v>2987503</v>
      </c>
      <c r="C10502" s="1" t="str">
        <f>HYPERLINK("http://stackoverflow.com/users/2987503", "bi_g_ben")</f>
        <v>bi_g_ben</v>
      </c>
      <c r="D10502" t="s">
        <v>12</v>
      </c>
      <c r="E10502">
        <v>1</v>
      </c>
    </row>
    <row r="10503" spans="1:5" x14ac:dyDescent="0.25">
      <c r="A10503">
        <v>10502</v>
      </c>
      <c r="B10503">
        <v>6536822</v>
      </c>
      <c r="C10503" s="1" t="str">
        <f>HYPERLINK("http://stackoverflow.com/users/6536822", "Android Boy")</f>
        <v>Android Boy</v>
      </c>
      <c r="D10503" t="s">
        <v>43</v>
      </c>
      <c r="E10503">
        <v>1</v>
      </c>
    </row>
    <row r="10504" spans="1:5" x14ac:dyDescent="0.25">
      <c r="A10504">
        <v>10503</v>
      </c>
      <c r="B10504">
        <v>10158516</v>
      </c>
      <c r="C10504" s="1" t="str">
        <f>HYPERLINK("http://stackoverflow.com/users/10158516", "0x0tter_Qb")</f>
        <v>0x0tter_Qb</v>
      </c>
      <c r="D10504" t="s">
        <v>4</v>
      </c>
      <c r="E10504">
        <v>1</v>
      </c>
    </row>
    <row r="10505" spans="1:5" x14ac:dyDescent="0.25">
      <c r="A10505">
        <v>10504</v>
      </c>
      <c r="B10505">
        <v>10158701</v>
      </c>
      <c r="C10505" s="1" t="str">
        <f>HYPERLINK("http://stackoverflow.com/users/10158701", "Asch Platform")</f>
        <v>Asch Platform</v>
      </c>
      <c r="D10505" t="s">
        <v>5</v>
      </c>
      <c r="E10505">
        <v>1</v>
      </c>
    </row>
    <row r="10506" spans="1:5" x14ac:dyDescent="0.25">
      <c r="A10506">
        <v>10505</v>
      </c>
      <c r="B10506">
        <v>10159080</v>
      </c>
      <c r="C10506" s="1" t="str">
        <f>HYPERLINK("http://stackoverflow.com/users/10159080", "张宇尉")</f>
        <v>张宇尉</v>
      </c>
      <c r="D10506" t="s">
        <v>5</v>
      </c>
      <c r="E10506">
        <v>1</v>
      </c>
    </row>
    <row r="10507" spans="1:5" x14ac:dyDescent="0.25">
      <c r="A10507">
        <v>10506</v>
      </c>
      <c r="B10507">
        <v>10159142</v>
      </c>
      <c r="C10507" s="1" t="str">
        <f>HYPERLINK("http://stackoverflow.com/users/10159142", "Jianhang Ding")</f>
        <v>Jianhang Ding</v>
      </c>
      <c r="D10507" t="s">
        <v>5</v>
      </c>
      <c r="E10507">
        <v>1</v>
      </c>
    </row>
    <row r="10508" spans="1:5" x14ac:dyDescent="0.25">
      <c r="A10508">
        <v>10507</v>
      </c>
      <c r="B10508">
        <v>8343823</v>
      </c>
      <c r="C10508" s="1" t="str">
        <f>HYPERLINK("http://stackoverflow.com/users/8343823", "xiao duan")</f>
        <v>xiao duan</v>
      </c>
      <c r="D10508" t="s">
        <v>7</v>
      </c>
      <c r="E10508">
        <v>1</v>
      </c>
    </row>
    <row r="10509" spans="1:5" x14ac:dyDescent="0.25">
      <c r="A10509">
        <v>10508</v>
      </c>
      <c r="B10509">
        <v>8348224</v>
      </c>
      <c r="C10509" s="1" t="str">
        <f>HYPERLINK("http://stackoverflow.com/users/8348224", "李腾龙")</f>
        <v>李腾龙</v>
      </c>
      <c r="D10509" t="s">
        <v>4</v>
      </c>
      <c r="E10509">
        <v>1</v>
      </c>
    </row>
    <row r="10510" spans="1:5" x14ac:dyDescent="0.25">
      <c r="A10510">
        <v>10509</v>
      </c>
      <c r="B10510">
        <v>8348264</v>
      </c>
      <c r="C10510" s="1" t="str">
        <f>HYPERLINK("http://stackoverflow.com/users/8348264", "Gh0st")</f>
        <v>Gh0st</v>
      </c>
      <c r="D10510" t="s">
        <v>5</v>
      </c>
      <c r="E10510">
        <v>1</v>
      </c>
    </row>
    <row r="10511" spans="1:5" x14ac:dyDescent="0.25">
      <c r="A10511">
        <v>10510</v>
      </c>
      <c r="B10511">
        <v>6540418</v>
      </c>
      <c r="C10511" s="1" t="str">
        <f>HYPERLINK("http://stackoverflow.com/users/6540418", "Kris")</f>
        <v>Kris</v>
      </c>
      <c r="D10511" t="s">
        <v>5</v>
      </c>
      <c r="E10511">
        <v>1</v>
      </c>
    </row>
    <row r="10512" spans="1:5" x14ac:dyDescent="0.25">
      <c r="A10512">
        <v>10511</v>
      </c>
      <c r="B10512">
        <v>6540533</v>
      </c>
      <c r="C10512" s="1" t="str">
        <f>HYPERLINK("http://stackoverflow.com/users/6540533", "ShayneY")</f>
        <v>ShayneY</v>
      </c>
      <c r="D10512" t="s">
        <v>21</v>
      </c>
      <c r="E10512">
        <v>1</v>
      </c>
    </row>
    <row r="10513" spans="1:5" x14ac:dyDescent="0.25">
      <c r="A10513">
        <v>10512</v>
      </c>
      <c r="B10513">
        <v>8348341</v>
      </c>
      <c r="C10513" s="1" t="str">
        <f>HYPERLINK("http://stackoverflow.com/users/8348341", "Roy Deng")</f>
        <v>Roy Deng</v>
      </c>
      <c r="D10513" t="s">
        <v>16</v>
      </c>
      <c r="E10513">
        <v>1</v>
      </c>
    </row>
    <row r="10514" spans="1:5" x14ac:dyDescent="0.25">
      <c r="A10514">
        <v>10513</v>
      </c>
      <c r="B10514">
        <v>8348498</v>
      </c>
      <c r="C10514" s="1" t="str">
        <f>HYPERLINK("http://stackoverflow.com/users/8348498", "lrving feng")</f>
        <v>lrving feng</v>
      </c>
      <c r="D10514" t="s">
        <v>29</v>
      </c>
      <c r="E10514">
        <v>1</v>
      </c>
    </row>
    <row r="10515" spans="1:5" x14ac:dyDescent="0.25">
      <c r="A10515">
        <v>10514</v>
      </c>
      <c r="B10515">
        <v>8348760</v>
      </c>
      <c r="C10515" s="1" t="str">
        <f>HYPERLINK("http://stackoverflow.com/users/8348760", "g4z3")</f>
        <v>g4z3</v>
      </c>
      <c r="D10515" t="s">
        <v>28</v>
      </c>
      <c r="E10515">
        <v>1</v>
      </c>
    </row>
    <row r="10516" spans="1:5" x14ac:dyDescent="0.25">
      <c r="A10516">
        <v>10515</v>
      </c>
      <c r="B10516">
        <v>8348837</v>
      </c>
      <c r="C10516" s="1" t="str">
        <f>HYPERLINK("http://stackoverflow.com/users/8348837", "Tianhong Zheng")</f>
        <v>Tianhong Zheng</v>
      </c>
      <c r="D10516" t="s">
        <v>4</v>
      </c>
      <c r="E10516">
        <v>1</v>
      </c>
    </row>
    <row r="10517" spans="1:5" x14ac:dyDescent="0.25">
      <c r="A10517">
        <v>10516</v>
      </c>
      <c r="B10517">
        <v>8352592</v>
      </c>
      <c r="C10517" s="1" t="str">
        <f>HYPERLINK("http://stackoverflow.com/users/8352592", "ttg")</f>
        <v>ttg</v>
      </c>
      <c r="D10517" t="s">
        <v>28</v>
      </c>
      <c r="E10517">
        <v>1</v>
      </c>
    </row>
    <row r="10518" spans="1:5" x14ac:dyDescent="0.25">
      <c r="A10518">
        <v>10517</v>
      </c>
      <c r="B10518">
        <v>8352650</v>
      </c>
      <c r="C10518" s="1" t="str">
        <f>HYPERLINK("http://stackoverflow.com/users/8352650", "Quanjiang Lee")</f>
        <v>Quanjiang Lee</v>
      </c>
      <c r="D10518" t="s">
        <v>131</v>
      </c>
      <c r="E10518">
        <v>1</v>
      </c>
    </row>
    <row r="10519" spans="1:5" x14ac:dyDescent="0.25">
      <c r="A10519">
        <v>10518</v>
      </c>
      <c r="B10519">
        <v>10166821</v>
      </c>
      <c r="C10519" s="1" t="str">
        <f>HYPERLINK("http://stackoverflow.com/users/10166821", "tubitzee")</f>
        <v>tubitzee</v>
      </c>
      <c r="D10519" t="s">
        <v>575</v>
      </c>
      <c r="E10519">
        <v>1</v>
      </c>
    </row>
    <row r="10520" spans="1:5" x14ac:dyDescent="0.25">
      <c r="A10520">
        <v>10519</v>
      </c>
      <c r="B10520">
        <v>2994642</v>
      </c>
      <c r="C10520" s="1" t="str">
        <f>HYPERLINK("http://stackoverflow.com/users/2994642", "Yang Xiaoguang")</f>
        <v>Yang Xiaoguang</v>
      </c>
      <c r="D10520" t="s">
        <v>5</v>
      </c>
      <c r="E10520">
        <v>1</v>
      </c>
    </row>
    <row r="10521" spans="1:5" x14ac:dyDescent="0.25">
      <c r="A10521">
        <v>10520</v>
      </c>
      <c r="B10521">
        <v>2994663</v>
      </c>
      <c r="C10521" s="1" t="str">
        <f>HYPERLINK("http://stackoverflow.com/users/2994663", "zeek")</f>
        <v>zeek</v>
      </c>
      <c r="D10521" t="s">
        <v>5</v>
      </c>
      <c r="E10521">
        <v>1</v>
      </c>
    </row>
    <row r="10522" spans="1:5" x14ac:dyDescent="0.25">
      <c r="A10522">
        <v>10521</v>
      </c>
      <c r="B10522">
        <v>2994793</v>
      </c>
      <c r="C10522" s="1" t="str">
        <f>HYPERLINK("http://stackoverflow.com/users/2994793", "Jeferson_Zhang")</f>
        <v>Jeferson_Zhang</v>
      </c>
      <c r="D10522" t="s">
        <v>57</v>
      </c>
      <c r="E10522">
        <v>1</v>
      </c>
    </row>
    <row r="10523" spans="1:5" x14ac:dyDescent="0.25">
      <c r="A10523">
        <v>10522</v>
      </c>
      <c r="B10523">
        <v>2994813</v>
      </c>
      <c r="C10523" s="1" t="str">
        <f>HYPERLINK("http://stackoverflow.com/users/2994813", "Brook")</f>
        <v>Brook</v>
      </c>
      <c r="D10523" t="s">
        <v>57</v>
      </c>
      <c r="E10523">
        <v>1</v>
      </c>
    </row>
    <row r="10524" spans="1:5" x14ac:dyDescent="0.25">
      <c r="A10524">
        <v>10523</v>
      </c>
      <c r="B10524">
        <v>2994862</v>
      </c>
      <c r="C10524" s="1" t="str">
        <f>HYPERLINK("http://stackoverflow.com/users/2994862", "LearningBird")</f>
        <v>LearningBird</v>
      </c>
      <c r="D10524" t="s">
        <v>576</v>
      </c>
      <c r="E10524">
        <v>1</v>
      </c>
    </row>
    <row r="10525" spans="1:5" x14ac:dyDescent="0.25">
      <c r="A10525">
        <v>10524</v>
      </c>
      <c r="B10525">
        <v>8330666</v>
      </c>
      <c r="C10525" s="1" t="str">
        <f>HYPERLINK("http://stackoverflow.com/users/8330666", "c.liu")</f>
        <v>c.liu</v>
      </c>
      <c r="D10525" t="s">
        <v>4</v>
      </c>
      <c r="E10525">
        <v>1</v>
      </c>
    </row>
    <row r="10526" spans="1:5" x14ac:dyDescent="0.25">
      <c r="A10526">
        <v>10525</v>
      </c>
      <c r="B10526">
        <v>2975360</v>
      </c>
      <c r="C10526" s="1" t="str">
        <f>HYPERLINK("http://stackoverflow.com/users/2975360", "Chuanlei Guo")</f>
        <v>Chuanlei Guo</v>
      </c>
      <c r="D10526" t="s">
        <v>22</v>
      </c>
      <c r="E10526">
        <v>1</v>
      </c>
    </row>
    <row r="10527" spans="1:5" x14ac:dyDescent="0.25">
      <c r="A10527">
        <v>10526</v>
      </c>
      <c r="B10527">
        <v>8356644</v>
      </c>
      <c r="C10527" s="1" t="str">
        <f>HYPERLINK("http://stackoverflow.com/users/8356644", "Bing Wu")</f>
        <v>Bing Wu</v>
      </c>
      <c r="D10527" t="s">
        <v>52</v>
      </c>
      <c r="E10527">
        <v>1</v>
      </c>
    </row>
    <row r="10528" spans="1:5" x14ac:dyDescent="0.25">
      <c r="A10528">
        <v>10527</v>
      </c>
      <c r="B10528">
        <v>8356688</v>
      </c>
      <c r="C10528" s="1" t="str">
        <f>HYPERLINK("http://stackoverflow.com/users/8356688", "C.J LI")</f>
        <v>C.J LI</v>
      </c>
      <c r="D10528" t="s">
        <v>5</v>
      </c>
      <c r="E10528">
        <v>1</v>
      </c>
    </row>
    <row r="10529" spans="1:5" x14ac:dyDescent="0.25">
      <c r="A10529">
        <v>10528</v>
      </c>
      <c r="B10529">
        <v>10170814</v>
      </c>
      <c r="C10529" s="1" t="str">
        <f>HYPERLINK("http://stackoverflow.com/users/10170814", "Boylad")</f>
        <v>Boylad</v>
      </c>
      <c r="D10529" t="s">
        <v>79</v>
      </c>
      <c r="E10529">
        <v>1</v>
      </c>
    </row>
    <row r="10530" spans="1:5" x14ac:dyDescent="0.25">
      <c r="A10530">
        <v>10529</v>
      </c>
      <c r="B10530">
        <v>4825048</v>
      </c>
      <c r="C10530" s="1" t="str">
        <f>HYPERLINK("http://stackoverflow.com/users/4825048", "Daghlny")</f>
        <v>Daghlny</v>
      </c>
      <c r="D10530" t="s">
        <v>8</v>
      </c>
      <c r="E10530">
        <v>1</v>
      </c>
    </row>
    <row r="10531" spans="1:5" x14ac:dyDescent="0.25">
      <c r="A10531">
        <v>10530</v>
      </c>
      <c r="B10531">
        <v>2994975</v>
      </c>
      <c r="C10531" s="1" t="str">
        <f>HYPERLINK("http://stackoverflow.com/users/2994975", "ichenxiaodao")</f>
        <v>ichenxiaodao</v>
      </c>
      <c r="D10531" t="s">
        <v>4</v>
      </c>
      <c r="E10531">
        <v>1</v>
      </c>
    </row>
    <row r="10532" spans="1:5" x14ac:dyDescent="0.25">
      <c r="A10532">
        <v>10531</v>
      </c>
      <c r="B10532">
        <v>948085</v>
      </c>
      <c r="C10532" s="1" t="str">
        <f>HYPERLINK("http://stackoverflow.com/users/948085", "hawaii")</f>
        <v>hawaii</v>
      </c>
      <c r="D10532" t="s">
        <v>3</v>
      </c>
      <c r="E10532">
        <v>1</v>
      </c>
    </row>
    <row r="10533" spans="1:5" x14ac:dyDescent="0.25">
      <c r="A10533">
        <v>10532</v>
      </c>
      <c r="B10533">
        <v>948090</v>
      </c>
      <c r="C10533" s="1" t="str">
        <f>HYPERLINK("http://stackoverflow.com/users/948090", "Jerry Ding")</f>
        <v>Jerry Ding</v>
      </c>
      <c r="D10533" t="s">
        <v>12</v>
      </c>
      <c r="E10533">
        <v>1</v>
      </c>
    </row>
    <row r="10534" spans="1:5" x14ac:dyDescent="0.25">
      <c r="A10534">
        <v>10533</v>
      </c>
      <c r="B10534">
        <v>4716770</v>
      </c>
      <c r="C10534" s="1" t="str">
        <f>HYPERLINK("http://stackoverflow.com/users/4716770", "Hongyue Sun")</f>
        <v>Hongyue Sun</v>
      </c>
      <c r="D10534" t="s">
        <v>5</v>
      </c>
      <c r="E10534">
        <v>1</v>
      </c>
    </row>
    <row r="10535" spans="1:5" x14ac:dyDescent="0.25">
      <c r="A10535">
        <v>10534</v>
      </c>
      <c r="B10535">
        <v>2878023</v>
      </c>
      <c r="C10535" s="1" t="str">
        <f>HYPERLINK("http://stackoverflow.com/users/2878023", "Arnold")</f>
        <v>Arnold</v>
      </c>
      <c r="D10535" t="s">
        <v>4</v>
      </c>
      <c r="E10535">
        <v>1</v>
      </c>
    </row>
    <row r="10536" spans="1:5" x14ac:dyDescent="0.25">
      <c r="A10536">
        <v>10535</v>
      </c>
      <c r="B10536">
        <v>2878357</v>
      </c>
      <c r="C10536" s="1" t="str">
        <f>HYPERLINK("http://stackoverflow.com/users/2878357", "Hanqiu")</f>
        <v>Hanqiu</v>
      </c>
      <c r="D10536" t="s">
        <v>5</v>
      </c>
      <c r="E10536">
        <v>1</v>
      </c>
    </row>
    <row r="10537" spans="1:5" x14ac:dyDescent="0.25">
      <c r="A10537">
        <v>10536</v>
      </c>
      <c r="B10537">
        <v>2878744</v>
      </c>
      <c r="C10537" s="1" t="str">
        <f>HYPERLINK("http://stackoverflow.com/users/2878744", "ethan")</f>
        <v>ethan</v>
      </c>
      <c r="D10537" t="s">
        <v>24</v>
      </c>
      <c r="E10537">
        <v>1</v>
      </c>
    </row>
    <row r="10538" spans="1:5" x14ac:dyDescent="0.25">
      <c r="A10538">
        <v>10537</v>
      </c>
      <c r="B10538">
        <v>2882358</v>
      </c>
      <c r="C10538" s="1" t="str">
        <f>HYPERLINK("http://stackoverflow.com/users/2882358", "Fredrik Suter")</f>
        <v>Fredrik Suter</v>
      </c>
      <c r="D10538" t="s">
        <v>4</v>
      </c>
      <c r="E10538">
        <v>1</v>
      </c>
    </row>
    <row r="10539" spans="1:5" x14ac:dyDescent="0.25">
      <c r="A10539">
        <v>10538</v>
      </c>
      <c r="B10539">
        <v>10052512</v>
      </c>
      <c r="C10539" s="1" t="str">
        <f>HYPERLINK("http://stackoverflow.com/users/10052512", "Amber")</f>
        <v>Amber</v>
      </c>
      <c r="D10539" t="s">
        <v>55</v>
      </c>
      <c r="E10539">
        <v>1</v>
      </c>
    </row>
    <row r="10540" spans="1:5" x14ac:dyDescent="0.25">
      <c r="A10540">
        <v>10539</v>
      </c>
      <c r="B10540">
        <v>4720831</v>
      </c>
      <c r="C10540" s="1" t="str">
        <f>HYPERLINK("http://stackoverflow.com/users/4720831", "WHerOne")</f>
        <v>WHerOne</v>
      </c>
      <c r="D10540" t="s">
        <v>17</v>
      </c>
      <c r="E10540">
        <v>1</v>
      </c>
    </row>
    <row r="10541" spans="1:5" x14ac:dyDescent="0.25">
      <c r="A10541">
        <v>10540</v>
      </c>
      <c r="B10541">
        <v>4721007</v>
      </c>
      <c r="C10541" s="1" t="str">
        <f>HYPERLINK("http://stackoverflow.com/users/4721007", "d0zingcat")</f>
        <v>d0zingcat</v>
      </c>
      <c r="D10541" t="s">
        <v>120</v>
      </c>
      <c r="E10541">
        <v>1</v>
      </c>
    </row>
    <row r="10542" spans="1:5" x14ac:dyDescent="0.25">
      <c r="A10542">
        <v>10541</v>
      </c>
      <c r="B10542">
        <v>10056625</v>
      </c>
      <c r="C10542" s="1" t="str">
        <f>HYPERLINK("http://stackoverflow.com/users/10056625", "Zomens")</f>
        <v>Zomens</v>
      </c>
      <c r="D10542" t="s">
        <v>7</v>
      </c>
      <c r="E10542">
        <v>1</v>
      </c>
    </row>
    <row r="10543" spans="1:5" x14ac:dyDescent="0.25">
      <c r="A10543">
        <v>10542</v>
      </c>
      <c r="B10543">
        <v>10056782</v>
      </c>
      <c r="C10543" s="1" t="str">
        <f>HYPERLINK("http://stackoverflow.com/users/10056782", "xuanlong liu")</f>
        <v>xuanlong liu</v>
      </c>
      <c r="D10543" t="s">
        <v>5</v>
      </c>
      <c r="E10543">
        <v>1</v>
      </c>
    </row>
    <row r="10544" spans="1:5" x14ac:dyDescent="0.25">
      <c r="A10544">
        <v>10543</v>
      </c>
      <c r="B10544">
        <v>10056851</v>
      </c>
      <c r="C10544" s="1" t="str">
        <f>HYPERLINK("http://stackoverflow.com/users/10056851", "徐海洋")</f>
        <v>徐海洋</v>
      </c>
      <c r="D10544" t="s">
        <v>55</v>
      </c>
      <c r="E10544">
        <v>1</v>
      </c>
    </row>
    <row r="10545" spans="1:5" x14ac:dyDescent="0.25">
      <c r="A10545">
        <v>10544</v>
      </c>
      <c r="B10545">
        <v>10057057</v>
      </c>
      <c r="C10545" s="1" t="str">
        <f>HYPERLINK("http://stackoverflow.com/users/10057057", "Backlitz")</f>
        <v>Backlitz</v>
      </c>
      <c r="D10545" t="s">
        <v>118</v>
      </c>
      <c r="E10545">
        <v>1</v>
      </c>
    </row>
    <row r="10546" spans="1:5" x14ac:dyDescent="0.25">
      <c r="A10546">
        <v>10545</v>
      </c>
      <c r="B10546">
        <v>6446341</v>
      </c>
      <c r="C10546" s="1" t="str">
        <f>HYPERLINK("http://stackoverflow.com/users/6446341", "Mike Zheng")</f>
        <v>Mike Zheng</v>
      </c>
      <c r="D10546" t="s">
        <v>25</v>
      </c>
      <c r="E10546">
        <v>1</v>
      </c>
    </row>
    <row r="10547" spans="1:5" x14ac:dyDescent="0.25">
      <c r="A10547">
        <v>10546</v>
      </c>
      <c r="B10547">
        <v>6449068</v>
      </c>
      <c r="C10547" s="1" t="str">
        <f>HYPERLINK("http://stackoverflow.com/users/6449068", "Weijian")</f>
        <v>Weijian</v>
      </c>
      <c r="D10547" t="s">
        <v>4</v>
      </c>
      <c r="E10547">
        <v>1</v>
      </c>
    </row>
    <row r="10548" spans="1:5" x14ac:dyDescent="0.25">
      <c r="A10548">
        <v>10547</v>
      </c>
      <c r="B10548">
        <v>795689</v>
      </c>
      <c r="C10548" s="1" t="str">
        <f>HYPERLINK("http://stackoverflow.com/users/795689", "user795689")</f>
        <v>user795689</v>
      </c>
      <c r="D10548" t="s">
        <v>4</v>
      </c>
      <c r="E10548">
        <v>1</v>
      </c>
    </row>
    <row r="10549" spans="1:5" x14ac:dyDescent="0.25">
      <c r="A10549">
        <v>10548</v>
      </c>
      <c r="B10549">
        <v>2873684</v>
      </c>
      <c r="C10549" s="1" t="str">
        <f>HYPERLINK("http://stackoverflow.com/users/2873684", "wlovedan")</f>
        <v>wlovedan</v>
      </c>
      <c r="D10549" t="s">
        <v>5</v>
      </c>
      <c r="E10549">
        <v>1</v>
      </c>
    </row>
    <row r="10550" spans="1:5" x14ac:dyDescent="0.25">
      <c r="A10550">
        <v>10549</v>
      </c>
      <c r="B10550">
        <v>2873706</v>
      </c>
      <c r="C10550" s="1" t="str">
        <f>HYPERLINK("http://stackoverflow.com/users/2873706", "BeginMan")</f>
        <v>BeginMan</v>
      </c>
      <c r="D10550" t="s">
        <v>5</v>
      </c>
      <c r="E10550">
        <v>1</v>
      </c>
    </row>
    <row r="10551" spans="1:5" x14ac:dyDescent="0.25">
      <c r="A10551">
        <v>10550</v>
      </c>
      <c r="B10551">
        <v>4705698</v>
      </c>
      <c r="C10551" s="1" t="str">
        <f>HYPERLINK("http://stackoverflow.com/users/4705698", "Xiao Keyle")</f>
        <v>Xiao Keyle</v>
      </c>
      <c r="D10551" t="s">
        <v>4</v>
      </c>
      <c r="E10551">
        <v>1</v>
      </c>
    </row>
    <row r="10552" spans="1:5" x14ac:dyDescent="0.25">
      <c r="A10552">
        <v>10551</v>
      </c>
      <c r="B10552">
        <v>2869960</v>
      </c>
      <c r="C10552" s="1" t="str">
        <f>HYPERLINK("http://stackoverflow.com/users/2869960", "shi-chong Chen")</f>
        <v>shi-chong Chen</v>
      </c>
      <c r="D10552" t="s">
        <v>4</v>
      </c>
      <c r="E10552">
        <v>1</v>
      </c>
    </row>
    <row r="10553" spans="1:5" x14ac:dyDescent="0.25">
      <c r="A10553">
        <v>10552</v>
      </c>
      <c r="B10553">
        <v>2870294</v>
      </c>
      <c r="C10553" s="1" t="str">
        <f>HYPERLINK("http://stackoverflow.com/users/2870294", "user2870294")</f>
        <v>user2870294</v>
      </c>
      <c r="D10553" t="s">
        <v>8</v>
      </c>
      <c r="E10553">
        <v>1</v>
      </c>
    </row>
    <row r="10554" spans="1:5" x14ac:dyDescent="0.25">
      <c r="A10554">
        <v>10553</v>
      </c>
      <c r="B10554">
        <v>2873040</v>
      </c>
      <c r="C10554" s="1" t="str">
        <f>HYPERLINK("http://stackoverflow.com/users/2873040", "Gan Lei")</f>
        <v>Gan Lei</v>
      </c>
      <c r="D10554" t="s">
        <v>24</v>
      </c>
      <c r="E10554">
        <v>1</v>
      </c>
    </row>
    <row r="10555" spans="1:5" x14ac:dyDescent="0.25">
      <c r="A10555">
        <v>10554</v>
      </c>
      <c r="B10555">
        <v>10047992</v>
      </c>
      <c r="C10555" s="1" t="str">
        <f>HYPERLINK("http://stackoverflow.com/users/10047992", "Joey")</f>
        <v>Joey</v>
      </c>
      <c r="D10555" t="s">
        <v>13</v>
      </c>
      <c r="E10555">
        <v>1</v>
      </c>
    </row>
    <row r="10556" spans="1:5" x14ac:dyDescent="0.25">
      <c r="A10556">
        <v>10555</v>
      </c>
      <c r="B10556">
        <v>10048089</v>
      </c>
      <c r="C10556" s="1" t="str">
        <f>HYPERLINK("http://stackoverflow.com/users/10048089", "Yin.Cao")</f>
        <v>Yin.Cao</v>
      </c>
      <c r="D10556" t="s">
        <v>266</v>
      </c>
      <c r="E10556">
        <v>1</v>
      </c>
    </row>
    <row r="10557" spans="1:5" x14ac:dyDescent="0.25">
      <c r="A10557">
        <v>10556</v>
      </c>
      <c r="B10557">
        <v>10048164</v>
      </c>
      <c r="C10557" s="1" t="str">
        <f>HYPERLINK("http://stackoverflow.com/users/10048164", "Carmin Liu")</f>
        <v>Carmin Liu</v>
      </c>
      <c r="D10557" t="s">
        <v>74</v>
      </c>
      <c r="E10557">
        <v>1</v>
      </c>
    </row>
    <row r="10558" spans="1:5" x14ac:dyDescent="0.25">
      <c r="A10558">
        <v>10557</v>
      </c>
      <c r="B10558">
        <v>10048189</v>
      </c>
      <c r="C10558" s="1" t="str">
        <f>HYPERLINK("http://stackoverflow.com/users/10048189", "杨晨昊")</f>
        <v>杨晨昊</v>
      </c>
      <c r="D10558" t="s">
        <v>5</v>
      </c>
      <c r="E10558">
        <v>1</v>
      </c>
    </row>
    <row r="10559" spans="1:5" x14ac:dyDescent="0.25">
      <c r="A10559">
        <v>10558</v>
      </c>
      <c r="B10559">
        <v>10048273</v>
      </c>
      <c r="C10559" s="1" t="str">
        <f>HYPERLINK("http://stackoverflow.com/users/10048273", "Bernard.Yang")</f>
        <v>Bernard.Yang</v>
      </c>
      <c r="D10559" t="s">
        <v>4</v>
      </c>
      <c r="E10559">
        <v>1</v>
      </c>
    </row>
    <row r="10560" spans="1:5" x14ac:dyDescent="0.25">
      <c r="A10560">
        <v>10559</v>
      </c>
      <c r="B10560">
        <v>8224817</v>
      </c>
      <c r="C10560" s="1" t="str">
        <f>HYPERLINK("http://stackoverflow.com/users/8224817", "Jerry")</f>
        <v>Jerry</v>
      </c>
      <c r="D10560" t="s">
        <v>7</v>
      </c>
      <c r="E10560">
        <v>1</v>
      </c>
    </row>
    <row r="10561" spans="1:5" x14ac:dyDescent="0.25">
      <c r="A10561">
        <v>10560</v>
      </c>
      <c r="B10561">
        <v>756951</v>
      </c>
      <c r="C10561" s="1" t="str">
        <f>HYPERLINK("http://stackoverflow.com/users/756951", "Liu Yongtai")</f>
        <v>Liu Yongtai</v>
      </c>
      <c r="D10561" t="s">
        <v>56</v>
      </c>
      <c r="E10561">
        <v>1</v>
      </c>
    </row>
    <row r="10562" spans="1:5" x14ac:dyDescent="0.25">
      <c r="A10562">
        <v>10561</v>
      </c>
      <c r="B10562">
        <v>8216783</v>
      </c>
      <c r="C10562" s="1" t="str">
        <f>HYPERLINK("http://stackoverflow.com/users/8216783", "ian_chen")</f>
        <v>ian_chen</v>
      </c>
      <c r="D10562" t="s">
        <v>25</v>
      </c>
      <c r="E10562">
        <v>1</v>
      </c>
    </row>
    <row r="10563" spans="1:5" x14ac:dyDescent="0.25">
      <c r="A10563">
        <v>10562</v>
      </c>
      <c r="B10563">
        <v>8212388</v>
      </c>
      <c r="C10563" s="1" t="str">
        <f>HYPERLINK("http://stackoverflow.com/users/8212388", "Fathi")</f>
        <v>Fathi</v>
      </c>
      <c r="D10563" t="s">
        <v>577</v>
      </c>
      <c r="E10563">
        <v>1</v>
      </c>
    </row>
    <row r="10564" spans="1:5" x14ac:dyDescent="0.25">
      <c r="A10564">
        <v>10563</v>
      </c>
      <c r="B10564">
        <v>8212749</v>
      </c>
      <c r="C10564" s="1" t="str">
        <f>HYPERLINK("http://stackoverflow.com/users/8212749", "luotao.ruby")</f>
        <v>luotao.ruby</v>
      </c>
      <c r="D10564" t="s">
        <v>4</v>
      </c>
      <c r="E10564">
        <v>1</v>
      </c>
    </row>
    <row r="10565" spans="1:5" x14ac:dyDescent="0.25">
      <c r="A10565">
        <v>10564</v>
      </c>
      <c r="B10565">
        <v>10027367</v>
      </c>
      <c r="C10565" s="1" t="str">
        <f>HYPERLINK("http://stackoverflow.com/users/10027367", "程玉明")</f>
        <v>程玉明</v>
      </c>
      <c r="D10565" t="s">
        <v>43</v>
      </c>
      <c r="E10565">
        <v>1</v>
      </c>
    </row>
    <row r="10566" spans="1:5" x14ac:dyDescent="0.25">
      <c r="A10566">
        <v>10565</v>
      </c>
      <c r="B10566">
        <v>10031278</v>
      </c>
      <c r="C10566" s="1" t="str">
        <f>HYPERLINK("http://stackoverflow.com/users/10031278", "Lingsong Feng")</f>
        <v>Lingsong Feng</v>
      </c>
      <c r="D10566" t="s">
        <v>5</v>
      </c>
      <c r="E10566">
        <v>1</v>
      </c>
    </row>
    <row r="10567" spans="1:5" x14ac:dyDescent="0.25">
      <c r="A10567">
        <v>10566</v>
      </c>
      <c r="B10567">
        <v>6417360</v>
      </c>
      <c r="C10567" s="1" t="str">
        <f>HYPERLINK("http://stackoverflow.com/users/6417360", "Elson Liu")</f>
        <v>Elson Liu</v>
      </c>
      <c r="D10567" t="s">
        <v>57</v>
      </c>
      <c r="E10567">
        <v>1</v>
      </c>
    </row>
    <row r="10568" spans="1:5" x14ac:dyDescent="0.25">
      <c r="A10568">
        <v>10567</v>
      </c>
      <c r="B10568">
        <v>2857695</v>
      </c>
      <c r="C10568" s="1" t="str">
        <f>HYPERLINK("http://stackoverflow.com/users/2857695", "Xing Yang")</f>
        <v>Xing Yang</v>
      </c>
      <c r="D10568" t="s">
        <v>4</v>
      </c>
      <c r="E10568">
        <v>1</v>
      </c>
    </row>
    <row r="10569" spans="1:5" x14ac:dyDescent="0.25">
      <c r="A10569">
        <v>10568</v>
      </c>
      <c r="B10569">
        <v>2857714</v>
      </c>
      <c r="C10569" s="1" t="str">
        <f>HYPERLINK("http://stackoverflow.com/users/2857714", "ijibu")</f>
        <v>ijibu</v>
      </c>
      <c r="D10569" t="s">
        <v>22</v>
      </c>
      <c r="E10569">
        <v>1</v>
      </c>
    </row>
    <row r="10570" spans="1:5" x14ac:dyDescent="0.25">
      <c r="A10570">
        <v>10569</v>
      </c>
      <c r="B10570">
        <v>2857822</v>
      </c>
      <c r="C10570" s="1" t="str">
        <f>HYPERLINK("http://stackoverflow.com/users/2857822", "sam_wang")</f>
        <v>sam_wang</v>
      </c>
      <c r="D10570" t="s">
        <v>7</v>
      </c>
      <c r="E10570">
        <v>1</v>
      </c>
    </row>
    <row r="10571" spans="1:5" x14ac:dyDescent="0.25">
      <c r="A10571">
        <v>10570</v>
      </c>
      <c r="B10571">
        <v>8207807</v>
      </c>
      <c r="C10571" s="1" t="str">
        <f>HYPERLINK("http://stackoverflow.com/users/8207807", "H DH")</f>
        <v>H DH</v>
      </c>
      <c r="D10571" t="s">
        <v>302</v>
      </c>
      <c r="E10571">
        <v>1</v>
      </c>
    </row>
    <row r="10572" spans="1:5" x14ac:dyDescent="0.25">
      <c r="A10572">
        <v>10571</v>
      </c>
      <c r="B10572">
        <v>8207815</v>
      </c>
      <c r="C10572" s="1" t="str">
        <f>HYPERLINK("http://stackoverflow.com/users/8207815", "Xin He")</f>
        <v>Xin He</v>
      </c>
      <c r="D10572" t="s">
        <v>5</v>
      </c>
      <c r="E10572">
        <v>1</v>
      </c>
    </row>
    <row r="10573" spans="1:5" x14ac:dyDescent="0.25">
      <c r="A10573">
        <v>10572</v>
      </c>
      <c r="B10573">
        <v>8207901</v>
      </c>
      <c r="C10573" s="1" t="str">
        <f>HYPERLINK("http://stackoverflow.com/users/8207901", "Lichen Zuo")</f>
        <v>Lichen Zuo</v>
      </c>
      <c r="D10573" t="s">
        <v>5</v>
      </c>
      <c r="E10573">
        <v>1</v>
      </c>
    </row>
    <row r="10574" spans="1:5" x14ac:dyDescent="0.25">
      <c r="A10574">
        <v>10573</v>
      </c>
      <c r="B10574">
        <v>8207992</v>
      </c>
      <c r="C10574" s="1" t="str">
        <f>HYPERLINK("http://stackoverflow.com/users/8207992", "LiXiao")</f>
        <v>LiXiao</v>
      </c>
      <c r="D10574" t="s">
        <v>4</v>
      </c>
      <c r="E10574">
        <v>1</v>
      </c>
    </row>
    <row r="10575" spans="1:5" x14ac:dyDescent="0.25">
      <c r="A10575">
        <v>10574</v>
      </c>
      <c r="B10575">
        <v>8208240</v>
      </c>
      <c r="C10575" s="1" t="str">
        <f>HYPERLINK("http://stackoverflow.com/users/8208240", "Michael.yin")</f>
        <v>Michael.yin</v>
      </c>
      <c r="D10575" t="s">
        <v>7</v>
      </c>
      <c r="E10575">
        <v>1</v>
      </c>
    </row>
    <row r="10576" spans="1:5" x14ac:dyDescent="0.25">
      <c r="A10576">
        <v>10575</v>
      </c>
      <c r="B10576">
        <v>8208334</v>
      </c>
      <c r="C10576" s="1" t="str">
        <f>HYPERLINK("http://stackoverflow.com/users/8208334", "user8208334")</f>
        <v>user8208334</v>
      </c>
      <c r="D10576" t="s">
        <v>55</v>
      </c>
      <c r="E10576">
        <v>1</v>
      </c>
    </row>
    <row r="10577" spans="1:5" x14ac:dyDescent="0.25">
      <c r="A10577">
        <v>10576</v>
      </c>
      <c r="B10577">
        <v>8208400</v>
      </c>
      <c r="C10577" s="1" t="str">
        <f>HYPERLINK("http://stackoverflow.com/users/8208400", "Tony Tang")</f>
        <v>Tony Tang</v>
      </c>
      <c r="D10577" t="s">
        <v>7</v>
      </c>
      <c r="E10577">
        <v>1</v>
      </c>
    </row>
    <row r="10578" spans="1:5" x14ac:dyDescent="0.25">
      <c r="A10578">
        <v>10577</v>
      </c>
      <c r="B10578">
        <v>8208426</v>
      </c>
      <c r="C10578" s="1" t="str">
        <f>HYPERLINK("http://stackoverflow.com/users/8208426", "J.H")</f>
        <v>J.H</v>
      </c>
      <c r="D10578" t="s">
        <v>28</v>
      </c>
      <c r="E10578">
        <v>1</v>
      </c>
    </row>
    <row r="10579" spans="1:5" x14ac:dyDescent="0.25">
      <c r="A10579">
        <v>10578</v>
      </c>
      <c r="B10579">
        <v>4689045</v>
      </c>
      <c r="C10579" s="1" t="str">
        <f>HYPERLINK("http://stackoverflow.com/users/4689045", "torren gu")</f>
        <v>torren gu</v>
      </c>
      <c r="D10579" t="s">
        <v>4</v>
      </c>
      <c r="E10579">
        <v>1</v>
      </c>
    </row>
    <row r="10580" spans="1:5" x14ac:dyDescent="0.25">
      <c r="A10580">
        <v>10579</v>
      </c>
      <c r="B10580">
        <v>6413705</v>
      </c>
      <c r="C10580" s="1" t="str">
        <f>HYPERLINK("http://stackoverflow.com/users/6413705", "Albert")</f>
        <v>Albert</v>
      </c>
      <c r="D10580" t="s">
        <v>578</v>
      </c>
      <c r="E10580">
        <v>1</v>
      </c>
    </row>
    <row r="10581" spans="1:5" x14ac:dyDescent="0.25">
      <c r="A10581">
        <v>10580</v>
      </c>
      <c r="B10581">
        <v>2853658</v>
      </c>
      <c r="C10581" s="1" t="str">
        <f>HYPERLINK("http://stackoverflow.com/users/2853658", "junx1992")</f>
        <v>junx1992</v>
      </c>
      <c r="D10581" t="s">
        <v>5</v>
      </c>
      <c r="E10581">
        <v>1</v>
      </c>
    </row>
    <row r="10582" spans="1:5" x14ac:dyDescent="0.25">
      <c r="A10582">
        <v>10581</v>
      </c>
      <c r="B10582">
        <v>10079209</v>
      </c>
      <c r="C10582" s="1" t="str">
        <f>HYPERLINK("http://stackoverflow.com/users/10079209", "LieMing")</f>
        <v>LieMing</v>
      </c>
      <c r="D10582" t="s">
        <v>320</v>
      </c>
      <c r="E10582">
        <v>1</v>
      </c>
    </row>
    <row r="10583" spans="1:5" x14ac:dyDescent="0.25">
      <c r="A10583">
        <v>10582</v>
      </c>
      <c r="B10583">
        <v>820224</v>
      </c>
      <c r="C10583" s="1" t="str">
        <f>HYPERLINK("http://stackoverflow.com/users/820224", "xiongzhend")</f>
        <v>xiongzhend</v>
      </c>
      <c r="D10583" t="s">
        <v>4</v>
      </c>
      <c r="E10583">
        <v>1</v>
      </c>
    </row>
    <row r="10584" spans="1:5" x14ac:dyDescent="0.25">
      <c r="A10584">
        <v>10583</v>
      </c>
      <c r="B10584">
        <v>820308</v>
      </c>
      <c r="C10584" s="1" t="str">
        <f>HYPERLINK("http://stackoverflow.com/users/820308", "ericstone57")</f>
        <v>ericstone57</v>
      </c>
      <c r="D10584" t="s">
        <v>4</v>
      </c>
      <c r="E10584">
        <v>1</v>
      </c>
    </row>
    <row r="10585" spans="1:5" x14ac:dyDescent="0.25">
      <c r="A10585">
        <v>10584</v>
      </c>
      <c r="B10585">
        <v>8258937</v>
      </c>
      <c r="C10585" s="1" t="str">
        <f>HYPERLINK("http://stackoverflow.com/users/8258937", "Gu cx")</f>
        <v>Gu cx</v>
      </c>
      <c r="D10585" t="s">
        <v>579</v>
      </c>
      <c r="E10585">
        <v>1</v>
      </c>
    </row>
    <row r="10586" spans="1:5" x14ac:dyDescent="0.25">
      <c r="A10586">
        <v>10585</v>
      </c>
      <c r="B10586">
        <v>6465317</v>
      </c>
      <c r="C10586" s="1" t="str">
        <f>HYPERLINK("http://stackoverflow.com/users/6465317", "Sisi Chern")</f>
        <v>Sisi Chern</v>
      </c>
      <c r="D10586" t="s">
        <v>57</v>
      </c>
      <c r="E10586">
        <v>1</v>
      </c>
    </row>
    <row r="10587" spans="1:5" x14ac:dyDescent="0.25">
      <c r="A10587">
        <v>10586</v>
      </c>
      <c r="B10587">
        <v>2911984</v>
      </c>
      <c r="C10587" s="1" t="str">
        <f>HYPERLINK("http://stackoverflow.com/users/2911984", "Vince")</f>
        <v>Vince</v>
      </c>
      <c r="D10587" t="s">
        <v>5</v>
      </c>
      <c r="E10587">
        <v>1</v>
      </c>
    </row>
    <row r="10588" spans="1:5" x14ac:dyDescent="0.25">
      <c r="A10588">
        <v>10587</v>
      </c>
      <c r="B10588">
        <v>2912852</v>
      </c>
      <c r="C10588" s="1" t="str">
        <f>HYPERLINK("http://stackoverflow.com/users/2912852", "JJoy")</f>
        <v>JJoy</v>
      </c>
      <c r="D10588" t="s">
        <v>16</v>
      </c>
      <c r="E10588">
        <v>1</v>
      </c>
    </row>
    <row r="10589" spans="1:5" x14ac:dyDescent="0.25">
      <c r="A10589">
        <v>10588</v>
      </c>
      <c r="B10589">
        <v>4748022</v>
      </c>
      <c r="C10589" s="1" t="str">
        <f>HYPERLINK("http://stackoverflow.com/users/4748022", "Lee Mykie")</f>
        <v>Lee Mykie</v>
      </c>
      <c r="D10589" t="s">
        <v>25</v>
      </c>
      <c r="E10589">
        <v>1</v>
      </c>
    </row>
    <row r="10590" spans="1:5" x14ac:dyDescent="0.25">
      <c r="A10590">
        <v>10589</v>
      </c>
      <c r="B10590">
        <v>10087161</v>
      </c>
      <c r="C10590" s="1" t="str">
        <f>HYPERLINK("http://stackoverflow.com/users/10087161", "Mengqi MEI")</f>
        <v>Mengqi MEI</v>
      </c>
      <c r="D10590" t="s">
        <v>7</v>
      </c>
      <c r="E10590">
        <v>1</v>
      </c>
    </row>
    <row r="10591" spans="1:5" x14ac:dyDescent="0.25">
      <c r="A10591">
        <v>10590</v>
      </c>
      <c r="B10591">
        <v>10084437</v>
      </c>
      <c r="C10591" s="1" t="str">
        <f>HYPERLINK("http://stackoverflow.com/users/10084437", "Chunfu Wen")</f>
        <v>Chunfu Wen</v>
      </c>
      <c r="D10591" t="s">
        <v>5</v>
      </c>
      <c r="E10591">
        <v>1</v>
      </c>
    </row>
    <row r="10592" spans="1:5" x14ac:dyDescent="0.25">
      <c r="A10592">
        <v>10591</v>
      </c>
      <c r="B10592">
        <v>827649</v>
      </c>
      <c r="C10592" s="1" t="str">
        <f>HYPERLINK("http://stackoverflow.com/users/827649", "lqh")</f>
        <v>lqh</v>
      </c>
      <c r="D10592" t="s">
        <v>5</v>
      </c>
      <c r="E10592">
        <v>1</v>
      </c>
    </row>
    <row r="10593" spans="1:5" x14ac:dyDescent="0.25">
      <c r="A10593">
        <v>10592</v>
      </c>
      <c r="B10593">
        <v>10084239</v>
      </c>
      <c r="C10593" s="1" t="str">
        <f>HYPERLINK("http://stackoverflow.com/users/10084239", "李垚乐")</f>
        <v>李垚乐</v>
      </c>
      <c r="D10593" t="s">
        <v>546</v>
      </c>
      <c r="E10593">
        <v>1</v>
      </c>
    </row>
    <row r="10594" spans="1:5" x14ac:dyDescent="0.25">
      <c r="A10594">
        <v>10593</v>
      </c>
      <c r="B10594">
        <v>2914985</v>
      </c>
      <c r="C10594" s="1" t="str">
        <f>HYPERLINK("http://stackoverflow.com/users/2914985", "壹配克")</f>
        <v>壹配克</v>
      </c>
      <c r="D10594" t="s">
        <v>580</v>
      </c>
      <c r="E10594">
        <v>1</v>
      </c>
    </row>
    <row r="10595" spans="1:5" x14ac:dyDescent="0.25">
      <c r="A10595">
        <v>10594</v>
      </c>
      <c r="B10595">
        <v>8270677</v>
      </c>
      <c r="C10595" s="1" t="str">
        <f>HYPERLINK("http://stackoverflow.com/users/8270677", "Simple.M")</f>
        <v>Simple.M</v>
      </c>
      <c r="D10595" t="s">
        <v>28</v>
      </c>
      <c r="E10595">
        <v>1</v>
      </c>
    </row>
    <row r="10596" spans="1:5" x14ac:dyDescent="0.25">
      <c r="A10596">
        <v>10595</v>
      </c>
      <c r="B10596">
        <v>10087821</v>
      </c>
      <c r="C10596" s="1" t="str">
        <f>HYPERLINK("http://stackoverflow.com/users/10087821", "marcus cheung")</f>
        <v>marcus cheung</v>
      </c>
      <c r="D10596" t="s">
        <v>5</v>
      </c>
      <c r="E10596">
        <v>1</v>
      </c>
    </row>
    <row r="10597" spans="1:5" x14ac:dyDescent="0.25">
      <c r="A10597">
        <v>10596</v>
      </c>
      <c r="B10597">
        <v>10092030</v>
      </c>
      <c r="C10597" s="1" t="str">
        <f>HYPERLINK("http://stackoverflow.com/users/10092030", "Zhang Zhanpeng")</f>
        <v>Zhang Zhanpeng</v>
      </c>
      <c r="D10597" t="s">
        <v>5</v>
      </c>
      <c r="E10597">
        <v>1</v>
      </c>
    </row>
    <row r="10598" spans="1:5" x14ac:dyDescent="0.25">
      <c r="A10598">
        <v>10597</v>
      </c>
      <c r="B10598">
        <v>8274589</v>
      </c>
      <c r="C10598" s="1" t="str">
        <f>HYPERLINK("http://stackoverflow.com/users/8274589", "Andy Chen")</f>
        <v>Andy Chen</v>
      </c>
      <c r="D10598" t="s">
        <v>581</v>
      </c>
      <c r="E10598">
        <v>1</v>
      </c>
    </row>
    <row r="10599" spans="1:5" x14ac:dyDescent="0.25">
      <c r="A10599">
        <v>10598</v>
      </c>
      <c r="B10599">
        <v>8274795</v>
      </c>
      <c r="C10599" s="1" t="str">
        <f>HYPERLINK("http://stackoverflow.com/users/8274795", "fosonmeng")</f>
        <v>fosonmeng</v>
      </c>
      <c r="D10599" t="s">
        <v>57</v>
      </c>
      <c r="E10599">
        <v>1</v>
      </c>
    </row>
    <row r="10600" spans="1:5" x14ac:dyDescent="0.25">
      <c r="A10600">
        <v>10599</v>
      </c>
      <c r="B10600">
        <v>852291</v>
      </c>
      <c r="C10600" s="1" t="str">
        <f>HYPERLINK("http://stackoverflow.com/users/852291", "Meaglith Ma")</f>
        <v>Meaglith Ma</v>
      </c>
      <c r="D10600" t="s">
        <v>5</v>
      </c>
      <c r="E10600">
        <v>1</v>
      </c>
    </row>
    <row r="10601" spans="1:5" x14ac:dyDescent="0.25">
      <c r="A10601">
        <v>10600</v>
      </c>
      <c r="B10601">
        <v>6484359</v>
      </c>
      <c r="C10601" s="1" t="str">
        <f>HYPERLINK("http://stackoverflow.com/users/6484359", "Vincent")</f>
        <v>Vincent</v>
      </c>
      <c r="D10601" t="s">
        <v>4</v>
      </c>
      <c r="E10601">
        <v>1</v>
      </c>
    </row>
    <row r="10602" spans="1:5" x14ac:dyDescent="0.25">
      <c r="A10602">
        <v>10601</v>
      </c>
      <c r="B10602">
        <v>8284791</v>
      </c>
      <c r="C10602" s="1" t="str">
        <f>HYPERLINK("http://stackoverflow.com/users/8284791", "shichen liu")</f>
        <v>shichen liu</v>
      </c>
      <c r="D10602" t="s">
        <v>5</v>
      </c>
      <c r="E10602">
        <v>1</v>
      </c>
    </row>
    <row r="10603" spans="1:5" x14ac:dyDescent="0.25">
      <c r="A10603">
        <v>10602</v>
      </c>
      <c r="B10603">
        <v>8288913</v>
      </c>
      <c r="C10603" s="1" t="str">
        <f>HYPERLINK("http://stackoverflow.com/users/8288913", "Ricy")</f>
        <v>Ricy</v>
      </c>
      <c r="D10603" t="s">
        <v>4</v>
      </c>
      <c r="E10603">
        <v>1</v>
      </c>
    </row>
    <row r="10604" spans="1:5" x14ac:dyDescent="0.25">
      <c r="A10604">
        <v>10603</v>
      </c>
      <c r="B10604">
        <v>8289116</v>
      </c>
      <c r="C10604" s="1" t="str">
        <f>HYPERLINK("http://stackoverflow.com/users/8289116", "ding")</f>
        <v>ding</v>
      </c>
      <c r="D10604" t="s">
        <v>497</v>
      </c>
      <c r="E10604">
        <v>1</v>
      </c>
    </row>
    <row r="10605" spans="1:5" x14ac:dyDescent="0.25">
      <c r="A10605">
        <v>10604</v>
      </c>
      <c r="B10605">
        <v>8289138</v>
      </c>
      <c r="C10605" s="1" t="str">
        <f>HYPERLINK("http://stackoverflow.com/users/8289138", "ppzhu")</f>
        <v>ppzhu</v>
      </c>
      <c r="D10605" t="s">
        <v>5</v>
      </c>
      <c r="E10605">
        <v>1</v>
      </c>
    </row>
    <row r="10606" spans="1:5" x14ac:dyDescent="0.25">
      <c r="A10606">
        <v>10605</v>
      </c>
      <c r="B10606">
        <v>2930604</v>
      </c>
      <c r="C10606" s="1" t="str">
        <f>HYPERLINK("http://stackoverflow.com/users/2930604", "Chunhui Chen")</f>
        <v>Chunhui Chen</v>
      </c>
      <c r="D10606" t="s">
        <v>5</v>
      </c>
      <c r="E10606">
        <v>1</v>
      </c>
    </row>
    <row r="10607" spans="1:5" x14ac:dyDescent="0.25">
      <c r="A10607">
        <v>10606</v>
      </c>
      <c r="B10607">
        <v>2930689</v>
      </c>
      <c r="C10607" s="1" t="str">
        <f>HYPERLINK("http://stackoverflow.com/users/2930689", "Ind")</f>
        <v>Ind</v>
      </c>
      <c r="D10607" t="s">
        <v>54</v>
      </c>
      <c r="E10607">
        <v>1</v>
      </c>
    </row>
    <row r="10608" spans="1:5" x14ac:dyDescent="0.25">
      <c r="A10608">
        <v>10607</v>
      </c>
      <c r="B10608">
        <v>10074145</v>
      </c>
      <c r="C10608" s="1" t="str">
        <f>HYPERLINK("http://stackoverflow.com/users/10074145", "Robert Ockerse")</f>
        <v>Robert Ockerse</v>
      </c>
      <c r="D10608" t="s">
        <v>25</v>
      </c>
      <c r="E10608">
        <v>1</v>
      </c>
    </row>
    <row r="10609" spans="1:5" x14ac:dyDescent="0.25">
      <c r="A10609">
        <v>10608</v>
      </c>
      <c r="B10609">
        <v>10074219</v>
      </c>
      <c r="C10609" s="1" t="str">
        <f>HYPERLINK("http://stackoverflow.com/users/10074219", "Max")</f>
        <v>Max</v>
      </c>
      <c r="D10609" t="s">
        <v>108</v>
      </c>
      <c r="E10609">
        <v>1</v>
      </c>
    </row>
    <row r="10610" spans="1:5" x14ac:dyDescent="0.25">
      <c r="A10610">
        <v>10609</v>
      </c>
      <c r="B10610">
        <v>10074318</v>
      </c>
      <c r="C10610" s="1" t="str">
        <f>HYPERLINK("http://stackoverflow.com/users/10074318", "yuan kuang")</f>
        <v>yuan kuang</v>
      </c>
      <c r="D10610" t="s">
        <v>4</v>
      </c>
      <c r="E10610">
        <v>1</v>
      </c>
    </row>
    <row r="10611" spans="1:5" x14ac:dyDescent="0.25">
      <c r="A10611">
        <v>10610</v>
      </c>
      <c r="B10611">
        <v>10070387</v>
      </c>
      <c r="C10611" s="1" t="str">
        <f>HYPERLINK("http://stackoverflow.com/users/10070387", "shou zhang")</f>
        <v>shou zhang</v>
      </c>
      <c r="D10611" t="s">
        <v>5</v>
      </c>
      <c r="E10611">
        <v>1</v>
      </c>
    </row>
    <row r="10612" spans="1:5" x14ac:dyDescent="0.25">
      <c r="A10612">
        <v>10611</v>
      </c>
      <c r="B10612">
        <v>10070466</v>
      </c>
      <c r="C10612" s="1" t="str">
        <f>HYPERLINK("http://stackoverflow.com/users/10070466", "P.H.Berlitz")</f>
        <v>P.H.Berlitz</v>
      </c>
      <c r="D10612" t="s">
        <v>5</v>
      </c>
      <c r="E10612">
        <v>1</v>
      </c>
    </row>
    <row r="10613" spans="1:5" x14ac:dyDescent="0.25">
      <c r="A10613">
        <v>10612</v>
      </c>
      <c r="B10613">
        <v>6458008</v>
      </c>
      <c r="C10613" s="1" t="str">
        <f>HYPERLINK("http://stackoverflow.com/users/6458008", "Eden Chen")</f>
        <v>Eden Chen</v>
      </c>
      <c r="D10613" t="s">
        <v>4</v>
      </c>
      <c r="E10613">
        <v>1</v>
      </c>
    </row>
    <row r="10614" spans="1:5" x14ac:dyDescent="0.25">
      <c r="A10614">
        <v>10613</v>
      </c>
      <c r="B10614">
        <v>6458012</v>
      </c>
      <c r="C10614" s="1" t="str">
        <f>HYPERLINK("http://stackoverflow.com/users/6458012", "Xhavit")</f>
        <v>Xhavit</v>
      </c>
      <c r="D10614" t="s">
        <v>4</v>
      </c>
      <c r="E10614">
        <v>1</v>
      </c>
    </row>
    <row r="10615" spans="1:5" x14ac:dyDescent="0.25">
      <c r="A10615">
        <v>10614</v>
      </c>
      <c r="B10615">
        <v>804144</v>
      </c>
      <c r="C10615" s="1" t="str">
        <f>HYPERLINK("http://stackoverflow.com/users/804144", "jackiezhou")</f>
        <v>jackiezhou</v>
      </c>
      <c r="D10615" t="s">
        <v>4</v>
      </c>
      <c r="E10615">
        <v>1</v>
      </c>
    </row>
    <row r="10616" spans="1:5" x14ac:dyDescent="0.25">
      <c r="A10616">
        <v>10615</v>
      </c>
      <c r="B10616">
        <v>6453132</v>
      </c>
      <c r="C10616" s="1" t="str">
        <f>HYPERLINK("http://stackoverflow.com/users/6453132", "Xianda Zhou")</f>
        <v>Xianda Zhou</v>
      </c>
      <c r="D10616" t="s">
        <v>5</v>
      </c>
      <c r="E10616">
        <v>1</v>
      </c>
    </row>
    <row r="10617" spans="1:5" x14ac:dyDescent="0.25">
      <c r="A10617">
        <v>10616</v>
      </c>
      <c r="B10617">
        <v>6453271</v>
      </c>
      <c r="C10617" s="1" t="str">
        <f>HYPERLINK("http://stackoverflow.com/users/6453271", "绯若虚无")</f>
        <v>绯若虚无</v>
      </c>
      <c r="D10617" t="s">
        <v>24</v>
      </c>
      <c r="E10617">
        <v>1</v>
      </c>
    </row>
    <row r="10618" spans="1:5" x14ac:dyDescent="0.25">
      <c r="A10618">
        <v>10617</v>
      </c>
      <c r="B10618">
        <v>6453574</v>
      </c>
      <c r="C10618" s="1" t="str">
        <f>HYPERLINK("http://stackoverflow.com/users/6453574", "Wei Si")</f>
        <v>Wei Si</v>
      </c>
      <c r="D10618" t="s">
        <v>4</v>
      </c>
      <c r="E10618">
        <v>1</v>
      </c>
    </row>
    <row r="10619" spans="1:5" x14ac:dyDescent="0.25">
      <c r="A10619">
        <v>10618</v>
      </c>
      <c r="B10619">
        <v>6453643</v>
      </c>
      <c r="C10619" s="1" t="str">
        <f>HYPERLINK("http://stackoverflow.com/users/6453643", "Neil Kwok")</f>
        <v>Neil Kwok</v>
      </c>
      <c r="D10619" t="s">
        <v>16</v>
      </c>
      <c r="E10619">
        <v>1</v>
      </c>
    </row>
    <row r="10620" spans="1:5" x14ac:dyDescent="0.25">
      <c r="A10620">
        <v>10619</v>
      </c>
      <c r="B10620">
        <v>7893265</v>
      </c>
      <c r="C10620" s="1" t="str">
        <f>HYPERLINK("http://stackoverflow.com/users/7893265", "Fehong")</f>
        <v>Fehong</v>
      </c>
      <c r="D10620" t="s">
        <v>5</v>
      </c>
      <c r="E10620">
        <v>1</v>
      </c>
    </row>
    <row r="10621" spans="1:5" x14ac:dyDescent="0.25">
      <c r="A10621">
        <v>10620</v>
      </c>
      <c r="B10621">
        <v>7893286</v>
      </c>
      <c r="C10621" s="1" t="str">
        <f>HYPERLINK("http://stackoverflow.com/users/7893286", "Diper  Ding")</f>
        <v>Diper  Ding</v>
      </c>
      <c r="D10621" t="s">
        <v>7</v>
      </c>
      <c r="E10621">
        <v>1</v>
      </c>
    </row>
    <row r="10622" spans="1:5" x14ac:dyDescent="0.25">
      <c r="A10622">
        <v>10621</v>
      </c>
      <c r="B10622">
        <v>7893376</v>
      </c>
      <c r="C10622" s="1" t="str">
        <f>HYPERLINK("http://stackoverflow.com/users/7893376", "adam806514395")</f>
        <v>adam806514395</v>
      </c>
      <c r="D10622" t="s">
        <v>5</v>
      </c>
      <c r="E10622">
        <v>1</v>
      </c>
    </row>
    <row r="10623" spans="1:5" x14ac:dyDescent="0.25">
      <c r="A10623">
        <v>10622</v>
      </c>
      <c r="B10623">
        <v>7893458</v>
      </c>
      <c r="C10623" s="1" t="str">
        <f>HYPERLINK("http://stackoverflow.com/users/7893458", "Jianing Zheng")</f>
        <v>Jianing Zheng</v>
      </c>
      <c r="D10623" t="s">
        <v>131</v>
      </c>
      <c r="E10623">
        <v>1</v>
      </c>
    </row>
    <row r="10624" spans="1:5" x14ac:dyDescent="0.25">
      <c r="A10624">
        <v>10623</v>
      </c>
      <c r="B10624">
        <v>7893568</v>
      </c>
      <c r="C10624" s="1" t="str">
        <f>HYPERLINK("http://stackoverflow.com/users/7893568", "Peter")</f>
        <v>Peter</v>
      </c>
      <c r="D10624" t="s">
        <v>5</v>
      </c>
      <c r="E10624">
        <v>1</v>
      </c>
    </row>
    <row r="10625" spans="1:5" x14ac:dyDescent="0.25">
      <c r="A10625">
        <v>10624</v>
      </c>
      <c r="B10625">
        <v>7893677</v>
      </c>
      <c r="C10625" s="1" t="str">
        <f>HYPERLINK("http://stackoverflow.com/users/7893677", "Jeff.Gao")</f>
        <v>Jeff.Gao</v>
      </c>
      <c r="D10625" t="s">
        <v>4</v>
      </c>
      <c r="E10625">
        <v>1</v>
      </c>
    </row>
    <row r="10626" spans="1:5" x14ac:dyDescent="0.25">
      <c r="A10626">
        <v>10625</v>
      </c>
      <c r="B10626">
        <v>6126833</v>
      </c>
      <c r="C10626" s="1" t="str">
        <f>HYPERLINK("http://stackoverflow.com/users/6126833", "Sibling")</f>
        <v>Sibling</v>
      </c>
      <c r="D10626" t="s">
        <v>5</v>
      </c>
      <c r="E10626">
        <v>1</v>
      </c>
    </row>
    <row r="10627" spans="1:5" x14ac:dyDescent="0.25">
      <c r="A10627">
        <v>10626</v>
      </c>
      <c r="B10627">
        <v>6126918</v>
      </c>
      <c r="C10627" s="1" t="str">
        <f>HYPERLINK("http://stackoverflow.com/users/6126918", "MrXinK")</f>
        <v>MrXinK</v>
      </c>
      <c r="D10627" t="s">
        <v>4</v>
      </c>
      <c r="E10627">
        <v>1</v>
      </c>
    </row>
    <row r="10628" spans="1:5" x14ac:dyDescent="0.25">
      <c r="A10628">
        <v>10627</v>
      </c>
      <c r="B10628">
        <v>6127186</v>
      </c>
      <c r="C10628" s="1" t="str">
        <f>HYPERLINK("http://stackoverflow.com/users/6127186", "Lynen")</f>
        <v>Lynen</v>
      </c>
      <c r="D10628" t="s">
        <v>16</v>
      </c>
      <c r="E10628">
        <v>1</v>
      </c>
    </row>
    <row r="10629" spans="1:5" x14ac:dyDescent="0.25">
      <c r="A10629">
        <v>10628</v>
      </c>
      <c r="B10629">
        <v>6127198</v>
      </c>
      <c r="C10629" s="1" t="str">
        <f>HYPERLINK("http://stackoverflow.com/users/6127198", "bluetooth01")</f>
        <v>bluetooth01</v>
      </c>
      <c r="D10629" t="s">
        <v>7</v>
      </c>
      <c r="E10629">
        <v>1</v>
      </c>
    </row>
    <row r="10630" spans="1:5" x14ac:dyDescent="0.25">
      <c r="A10630">
        <v>10629</v>
      </c>
      <c r="B10630">
        <v>6129112</v>
      </c>
      <c r="C10630" s="1" t="str">
        <f>HYPERLINK("http://stackoverflow.com/users/6129112", "flyyang")</f>
        <v>flyyang</v>
      </c>
      <c r="D10630" t="s">
        <v>5</v>
      </c>
      <c r="E10630">
        <v>1</v>
      </c>
    </row>
    <row r="10631" spans="1:5" x14ac:dyDescent="0.25">
      <c r="A10631">
        <v>10630</v>
      </c>
      <c r="B10631">
        <v>6129819</v>
      </c>
      <c r="C10631" s="1" t="str">
        <f>HYPERLINK("http://stackoverflow.com/users/6129819", "Arleywong")</f>
        <v>Arleywong</v>
      </c>
      <c r="D10631" t="s">
        <v>131</v>
      </c>
      <c r="E10631">
        <v>1</v>
      </c>
    </row>
    <row r="10632" spans="1:5" x14ac:dyDescent="0.25">
      <c r="A10632">
        <v>10631</v>
      </c>
      <c r="B10632">
        <v>9709164</v>
      </c>
      <c r="C10632" s="1" t="str">
        <f>HYPERLINK("http://stackoverflow.com/users/9709164", "Abel Su")</f>
        <v>Abel Su</v>
      </c>
      <c r="D10632" t="s">
        <v>25</v>
      </c>
      <c r="E10632">
        <v>1</v>
      </c>
    </row>
    <row r="10633" spans="1:5" x14ac:dyDescent="0.25">
      <c r="A10633">
        <v>10632</v>
      </c>
      <c r="B10633">
        <v>9709737</v>
      </c>
      <c r="C10633" s="1" t="str">
        <f>HYPERLINK("http://stackoverflow.com/users/9709737", "Skyer Skyer")</f>
        <v>Skyer Skyer</v>
      </c>
      <c r="D10633" t="s">
        <v>4</v>
      </c>
      <c r="E10633">
        <v>1</v>
      </c>
    </row>
    <row r="10634" spans="1:5" x14ac:dyDescent="0.25">
      <c r="A10634">
        <v>10633</v>
      </c>
      <c r="B10634">
        <v>7899164</v>
      </c>
      <c r="C10634" s="1" t="str">
        <f>HYPERLINK("http://stackoverflow.com/users/7899164", "Yi Tao")</f>
        <v>Yi Tao</v>
      </c>
      <c r="D10634" t="s">
        <v>5</v>
      </c>
      <c r="E10634">
        <v>1</v>
      </c>
    </row>
    <row r="10635" spans="1:5" x14ac:dyDescent="0.25">
      <c r="A10635">
        <v>10634</v>
      </c>
      <c r="B10635">
        <v>7899497</v>
      </c>
      <c r="C10635" s="1" t="str">
        <f>HYPERLINK("http://stackoverflow.com/users/7899497", "SophieZZ")</f>
        <v>SophieZZ</v>
      </c>
      <c r="D10635" t="s">
        <v>4</v>
      </c>
      <c r="E10635">
        <v>1</v>
      </c>
    </row>
    <row r="10636" spans="1:5" x14ac:dyDescent="0.25">
      <c r="A10636">
        <v>10635</v>
      </c>
      <c r="B10636">
        <v>7899508</v>
      </c>
      <c r="C10636" s="1" t="str">
        <f>HYPERLINK("http://stackoverflow.com/users/7899508", "HooHooE")</f>
        <v>HooHooE</v>
      </c>
      <c r="D10636" t="s">
        <v>4</v>
      </c>
      <c r="E10636">
        <v>1</v>
      </c>
    </row>
    <row r="10637" spans="1:5" x14ac:dyDescent="0.25">
      <c r="A10637">
        <v>10636</v>
      </c>
      <c r="B10637">
        <v>7899647</v>
      </c>
      <c r="C10637" s="1" t="str">
        <f>HYPERLINK("http://stackoverflow.com/users/7899647", "py.x")</f>
        <v>py.x</v>
      </c>
      <c r="D10637" t="s">
        <v>7</v>
      </c>
      <c r="E10637">
        <v>1</v>
      </c>
    </row>
    <row r="10638" spans="1:5" x14ac:dyDescent="0.25">
      <c r="A10638">
        <v>10637</v>
      </c>
      <c r="B10638">
        <v>7899839</v>
      </c>
      <c r="C10638" s="1" t="str">
        <f>HYPERLINK("http://stackoverflow.com/users/7899839", "yi tang")</f>
        <v>yi tang</v>
      </c>
      <c r="D10638" t="s">
        <v>4</v>
      </c>
      <c r="E10638">
        <v>1</v>
      </c>
    </row>
    <row r="10639" spans="1:5" x14ac:dyDescent="0.25">
      <c r="A10639">
        <v>10638</v>
      </c>
      <c r="B10639">
        <v>7885630</v>
      </c>
      <c r="C10639" s="1" t="str">
        <f>HYPERLINK("http://stackoverflow.com/users/7885630", "K. Zheng")</f>
        <v>K. Zheng</v>
      </c>
      <c r="D10639" t="s">
        <v>4</v>
      </c>
      <c r="E10639">
        <v>1</v>
      </c>
    </row>
    <row r="10640" spans="1:5" x14ac:dyDescent="0.25">
      <c r="A10640">
        <v>10639</v>
      </c>
      <c r="B10640">
        <v>4387226</v>
      </c>
      <c r="C10640" s="1" t="str">
        <f>HYPERLINK("http://stackoverflow.com/users/4387226", "Lothar")</f>
        <v>Lothar</v>
      </c>
      <c r="D10640" t="s">
        <v>5</v>
      </c>
      <c r="E10640">
        <v>1</v>
      </c>
    </row>
    <row r="10641" spans="1:5" x14ac:dyDescent="0.25">
      <c r="A10641">
        <v>10640</v>
      </c>
      <c r="B10641">
        <v>7883262</v>
      </c>
      <c r="C10641" s="1" t="str">
        <f>HYPERLINK("http://stackoverflow.com/users/7883262", "GuangBin Zeng")</f>
        <v>GuangBin Zeng</v>
      </c>
      <c r="D10641" t="s">
        <v>5</v>
      </c>
      <c r="E10641">
        <v>1</v>
      </c>
    </row>
    <row r="10642" spans="1:5" x14ac:dyDescent="0.25">
      <c r="A10642">
        <v>10641</v>
      </c>
      <c r="B10642">
        <v>9695477</v>
      </c>
      <c r="C10642" s="1" t="str">
        <f>HYPERLINK("http://stackoverflow.com/users/9695477", "HZ. Tang")</f>
        <v>HZ. Tang</v>
      </c>
      <c r="D10642" t="s">
        <v>4</v>
      </c>
      <c r="E10642">
        <v>1</v>
      </c>
    </row>
    <row r="10643" spans="1:5" x14ac:dyDescent="0.25">
      <c r="A10643">
        <v>10642</v>
      </c>
      <c r="B10643">
        <v>7892974</v>
      </c>
      <c r="C10643" s="1" t="str">
        <f>HYPERLINK("http://stackoverflow.com/users/7892974", "Janet")</f>
        <v>Janet</v>
      </c>
      <c r="D10643" t="s">
        <v>4</v>
      </c>
      <c r="E10643">
        <v>1</v>
      </c>
    </row>
    <row r="10644" spans="1:5" x14ac:dyDescent="0.25">
      <c r="A10644">
        <v>10643</v>
      </c>
      <c r="B10644">
        <v>6123455</v>
      </c>
      <c r="C10644" s="1" t="str">
        <f>HYPERLINK("http://stackoverflow.com/users/6123455", "taylor chen")</f>
        <v>taylor chen</v>
      </c>
      <c r="D10644" t="s">
        <v>582</v>
      </c>
      <c r="E10644">
        <v>1</v>
      </c>
    </row>
    <row r="10645" spans="1:5" x14ac:dyDescent="0.25">
      <c r="A10645">
        <v>10644</v>
      </c>
      <c r="B10645">
        <v>6123480</v>
      </c>
      <c r="C10645" s="1" t="str">
        <f>HYPERLINK("http://stackoverflow.com/users/6123480", "flyinsky")</f>
        <v>flyinsky</v>
      </c>
      <c r="D10645" t="s">
        <v>52</v>
      </c>
      <c r="E10645">
        <v>1</v>
      </c>
    </row>
    <row r="10646" spans="1:5" x14ac:dyDescent="0.25">
      <c r="A10646">
        <v>10645</v>
      </c>
      <c r="B10646">
        <v>6120779</v>
      </c>
      <c r="C10646" s="1" t="str">
        <f>HYPERLINK("http://stackoverflow.com/users/6120779", "genffy")</f>
        <v>genffy</v>
      </c>
      <c r="D10646" t="s">
        <v>4</v>
      </c>
      <c r="E10646">
        <v>1</v>
      </c>
    </row>
    <row r="10647" spans="1:5" x14ac:dyDescent="0.25">
      <c r="A10647">
        <v>10646</v>
      </c>
      <c r="B10647">
        <v>6120787</v>
      </c>
      <c r="C10647" s="1" t="str">
        <f>HYPERLINK("http://stackoverflow.com/users/6120787", "base")</f>
        <v>base</v>
      </c>
      <c r="D10647" t="s">
        <v>55</v>
      </c>
      <c r="E10647">
        <v>1</v>
      </c>
    </row>
    <row r="10648" spans="1:5" x14ac:dyDescent="0.25">
      <c r="A10648">
        <v>10647</v>
      </c>
      <c r="B10648">
        <v>7889987</v>
      </c>
      <c r="C10648" s="1" t="str">
        <f>HYPERLINK("http://stackoverflow.com/users/7889987", "Meizi")</f>
        <v>Meizi</v>
      </c>
      <c r="D10648" t="s">
        <v>583</v>
      </c>
      <c r="E10648">
        <v>1</v>
      </c>
    </row>
    <row r="10649" spans="1:5" x14ac:dyDescent="0.25">
      <c r="A10649">
        <v>10648</v>
      </c>
      <c r="B10649">
        <v>7892833</v>
      </c>
      <c r="C10649" s="1" t="str">
        <f>HYPERLINK("http://stackoverflow.com/users/7892833", "sil.vinds")</f>
        <v>sil.vinds</v>
      </c>
      <c r="D10649" t="s">
        <v>4</v>
      </c>
      <c r="E10649">
        <v>1</v>
      </c>
    </row>
    <row r="10650" spans="1:5" x14ac:dyDescent="0.25">
      <c r="A10650">
        <v>10649</v>
      </c>
      <c r="B10650">
        <v>4375230</v>
      </c>
      <c r="C10650" s="1" t="str">
        <f>HYPERLINK("http://stackoverflow.com/users/4375230", "吴思稣")</f>
        <v>吴思稣</v>
      </c>
      <c r="D10650" t="s">
        <v>17</v>
      </c>
      <c r="E10650">
        <v>1</v>
      </c>
    </row>
    <row r="10651" spans="1:5" x14ac:dyDescent="0.25">
      <c r="A10651">
        <v>10650</v>
      </c>
      <c r="B10651">
        <v>7871485</v>
      </c>
      <c r="C10651" s="1" t="str">
        <f>HYPERLINK("http://stackoverflow.com/users/7871485", "Chengfeng Ye")</f>
        <v>Chengfeng Ye</v>
      </c>
      <c r="D10651" t="s">
        <v>25</v>
      </c>
      <c r="E10651">
        <v>1</v>
      </c>
    </row>
    <row r="10652" spans="1:5" x14ac:dyDescent="0.25">
      <c r="A10652">
        <v>10651</v>
      </c>
      <c r="B10652">
        <v>2503861</v>
      </c>
      <c r="C10652" s="1" t="str">
        <f>HYPERLINK("http://stackoverflow.com/users/2503861", "tobielf")</f>
        <v>tobielf</v>
      </c>
      <c r="D10652" t="s">
        <v>17</v>
      </c>
      <c r="E10652">
        <v>1</v>
      </c>
    </row>
    <row r="10653" spans="1:5" x14ac:dyDescent="0.25">
      <c r="A10653">
        <v>10652</v>
      </c>
      <c r="B10653">
        <v>2507895</v>
      </c>
      <c r="C10653" s="1" t="str">
        <f>HYPERLINK("http://stackoverflow.com/users/2507895", "Cousin June")</f>
        <v>Cousin June</v>
      </c>
      <c r="D10653" t="s">
        <v>5</v>
      </c>
      <c r="E10653">
        <v>1</v>
      </c>
    </row>
    <row r="10654" spans="1:5" x14ac:dyDescent="0.25">
      <c r="A10654">
        <v>10653</v>
      </c>
      <c r="B10654">
        <v>2500551</v>
      </c>
      <c r="C10654" s="1" t="str">
        <f>HYPERLINK("http://stackoverflow.com/users/2500551", "flashytime")</f>
        <v>flashytime</v>
      </c>
      <c r="D10654" t="s">
        <v>12</v>
      </c>
      <c r="E10654">
        <v>1</v>
      </c>
    </row>
    <row r="10655" spans="1:5" x14ac:dyDescent="0.25">
      <c r="A10655">
        <v>10654</v>
      </c>
      <c r="B10655">
        <v>2500721</v>
      </c>
      <c r="C10655" s="1" t="str">
        <f>HYPERLINK("http://stackoverflow.com/users/2500721", "user2500721")</f>
        <v>user2500721</v>
      </c>
      <c r="D10655" t="s">
        <v>5</v>
      </c>
      <c r="E10655">
        <v>1</v>
      </c>
    </row>
    <row r="10656" spans="1:5" x14ac:dyDescent="0.25">
      <c r="A10656">
        <v>10655</v>
      </c>
      <c r="B10656">
        <v>2501005</v>
      </c>
      <c r="C10656" s="1" t="str">
        <f>HYPERLINK("http://stackoverflow.com/users/2501005", "Tiger Yongtai Liu")</f>
        <v>Tiger Yongtai Liu</v>
      </c>
      <c r="D10656" t="s">
        <v>56</v>
      </c>
      <c r="E10656">
        <v>1</v>
      </c>
    </row>
    <row r="10657" spans="1:5" x14ac:dyDescent="0.25">
      <c r="A10657">
        <v>10656</v>
      </c>
      <c r="B10657">
        <v>7875171</v>
      </c>
      <c r="C10657" s="1" t="str">
        <f>HYPERLINK("http://stackoverflow.com/users/7875171", "H.Henry")</f>
        <v>H.Henry</v>
      </c>
      <c r="D10657" t="s">
        <v>15</v>
      </c>
      <c r="E10657">
        <v>1</v>
      </c>
    </row>
    <row r="10658" spans="1:5" x14ac:dyDescent="0.25">
      <c r="A10658">
        <v>10657</v>
      </c>
      <c r="B10658">
        <v>9684523</v>
      </c>
      <c r="C10658" s="1" t="str">
        <f>HYPERLINK("http://stackoverflow.com/users/9684523", "等她下班")</f>
        <v>等她下班</v>
      </c>
      <c r="D10658" t="s">
        <v>6</v>
      </c>
      <c r="E10658">
        <v>1</v>
      </c>
    </row>
    <row r="10659" spans="1:5" x14ac:dyDescent="0.25">
      <c r="A10659">
        <v>10658</v>
      </c>
      <c r="B10659">
        <v>7877652</v>
      </c>
      <c r="C10659" s="1" t="str">
        <f>HYPERLINK("http://stackoverflow.com/users/7877652", "shenlong")</f>
        <v>shenlong</v>
      </c>
      <c r="D10659" t="s">
        <v>4</v>
      </c>
      <c r="E10659">
        <v>1</v>
      </c>
    </row>
    <row r="10660" spans="1:5" x14ac:dyDescent="0.25">
      <c r="A10660">
        <v>10659</v>
      </c>
      <c r="B10660">
        <v>2508170</v>
      </c>
      <c r="C10660" s="1" t="str">
        <f>HYPERLINK("http://stackoverflow.com/users/2508170", "User0")</f>
        <v>User0</v>
      </c>
      <c r="D10660" t="s">
        <v>4</v>
      </c>
      <c r="E10660">
        <v>1</v>
      </c>
    </row>
    <row r="10661" spans="1:5" x14ac:dyDescent="0.25">
      <c r="A10661">
        <v>10660</v>
      </c>
      <c r="B10661">
        <v>2509610</v>
      </c>
      <c r="C10661" s="1" t="str">
        <f>HYPERLINK("http://stackoverflow.com/users/2509610", "justatranslator")</f>
        <v>justatranslator</v>
      </c>
      <c r="D10661" t="s">
        <v>22</v>
      </c>
      <c r="E10661">
        <v>1</v>
      </c>
    </row>
    <row r="10662" spans="1:5" x14ac:dyDescent="0.25">
      <c r="A10662">
        <v>10661</v>
      </c>
      <c r="B10662">
        <v>7882676</v>
      </c>
      <c r="C10662" s="1" t="str">
        <f>HYPERLINK("http://stackoverflow.com/users/7882676", "ZhangQingWei")</f>
        <v>ZhangQingWei</v>
      </c>
      <c r="D10662" t="s">
        <v>584</v>
      </c>
      <c r="E10662">
        <v>1</v>
      </c>
    </row>
    <row r="10663" spans="1:5" x14ac:dyDescent="0.25">
      <c r="A10663">
        <v>10662</v>
      </c>
      <c r="B10663">
        <v>7877780</v>
      </c>
      <c r="C10663" s="1" t="str">
        <f>HYPERLINK("http://stackoverflow.com/users/7877780", "Su.C")</f>
        <v>Su.C</v>
      </c>
      <c r="D10663" t="s">
        <v>55</v>
      </c>
      <c r="E10663">
        <v>1</v>
      </c>
    </row>
    <row r="10664" spans="1:5" x14ac:dyDescent="0.25">
      <c r="A10664">
        <v>10663</v>
      </c>
      <c r="B10664">
        <v>7877969</v>
      </c>
      <c r="C10664" s="1" t="str">
        <f>HYPERLINK("http://stackoverflow.com/users/7877969", "forty six")</f>
        <v>forty six</v>
      </c>
      <c r="D10664" t="s">
        <v>91</v>
      </c>
      <c r="E10664">
        <v>1</v>
      </c>
    </row>
    <row r="10665" spans="1:5" x14ac:dyDescent="0.25">
      <c r="A10665">
        <v>10664</v>
      </c>
      <c r="B10665">
        <v>7878003</v>
      </c>
      <c r="C10665" s="1" t="str">
        <f>HYPERLINK("http://stackoverflow.com/users/7878003", "Jing He")</f>
        <v>Jing He</v>
      </c>
      <c r="D10665" t="s">
        <v>4</v>
      </c>
      <c r="E10665">
        <v>1</v>
      </c>
    </row>
    <row r="10666" spans="1:5" x14ac:dyDescent="0.25">
      <c r="A10666">
        <v>10665</v>
      </c>
      <c r="B10666">
        <v>6109888</v>
      </c>
      <c r="C10666" s="1" t="str">
        <f>HYPERLINK("http://stackoverflow.com/users/6109888", "WangXuesong")</f>
        <v>WangXuesong</v>
      </c>
      <c r="D10666" t="s">
        <v>5</v>
      </c>
      <c r="E10666">
        <v>1</v>
      </c>
    </row>
    <row r="10667" spans="1:5" x14ac:dyDescent="0.25">
      <c r="A10667">
        <v>10666</v>
      </c>
      <c r="B10667">
        <v>6109921</v>
      </c>
      <c r="C10667" s="1" t="str">
        <f>HYPERLINK("http://stackoverflow.com/users/6109921", "若水初心")</f>
        <v>若水初心</v>
      </c>
      <c r="D10667" t="s">
        <v>4</v>
      </c>
      <c r="E10667">
        <v>1</v>
      </c>
    </row>
    <row r="10668" spans="1:5" x14ac:dyDescent="0.25">
      <c r="A10668">
        <v>10667</v>
      </c>
      <c r="B10668">
        <v>6110333</v>
      </c>
      <c r="C10668" s="1" t="str">
        <f>HYPERLINK("http://stackoverflow.com/users/6110333", "Eric Zhang")</f>
        <v>Eric Zhang</v>
      </c>
      <c r="D10668" t="s">
        <v>4</v>
      </c>
      <c r="E10668">
        <v>1</v>
      </c>
    </row>
    <row r="10669" spans="1:5" x14ac:dyDescent="0.25">
      <c r="A10669">
        <v>10668</v>
      </c>
      <c r="B10669">
        <v>7878471</v>
      </c>
      <c r="C10669" s="1" t="str">
        <f>HYPERLINK("http://stackoverflow.com/users/7878471", "entner")</f>
        <v>entner</v>
      </c>
      <c r="D10669" t="s">
        <v>28</v>
      </c>
      <c r="E10669">
        <v>1</v>
      </c>
    </row>
    <row r="10670" spans="1:5" x14ac:dyDescent="0.25">
      <c r="A10670">
        <v>10669</v>
      </c>
      <c r="B10670">
        <v>7903309</v>
      </c>
      <c r="C10670" s="1" t="str">
        <f>HYPERLINK("http://stackoverflow.com/users/7903309", "newbee")</f>
        <v>newbee</v>
      </c>
      <c r="D10670" t="s">
        <v>4</v>
      </c>
      <c r="E10670">
        <v>1</v>
      </c>
    </row>
    <row r="10671" spans="1:5" x14ac:dyDescent="0.25">
      <c r="A10671">
        <v>10670</v>
      </c>
      <c r="B10671">
        <v>2538262</v>
      </c>
      <c r="C10671" s="1" t="str">
        <f>HYPERLINK("http://stackoverflow.com/users/2538262", "zhaosanshi")</f>
        <v>zhaosanshi</v>
      </c>
      <c r="D10671" t="s">
        <v>5</v>
      </c>
      <c r="E10671">
        <v>1</v>
      </c>
    </row>
    <row r="10672" spans="1:5" x14ac:dyDescent="0.25">
      <c r="A10672">
        <v>10671</v>
      </c>
      <c r="B10672">
        <v>2538360</v>
      </c>
      <c r="C10672" s="1" t="str">
        <f>HYPERLINK("http://stackoverflow.com/users/2538360", "Poe Zhou")</f>
        <v>Poe Zhou</v>
      </c>
      <c r="D10672" t="s">
        <v>22</v>
      </c>
      <c r="E10672">
        <v>1</v>
      </c>
    </row>
    <row r="10673" spans="1:5" x14ac:dyDescent="0.25">
      <c r="A10673">
        <v>10672</v>
      </c>
      <c r="B10673">
        <v>2538443</v>
      </c>
      <c r="C10673" s="1" t="str">
        <f>HYPERLINK("http://stackoverflow.com/users/2538443", "Matt Sun")</f>
        <v>Matt Sun</v>
      </c>
      <c r="D10673" t="s">
        <v>22</v>
      </c>
      <c r="E10673">
        <v>1</v>
      </c>
    </row>
    <row r="10674" spans="1:5" x14ac:dyDescent="0.25">
      <c r="A10674">
        <v>10673</v>
      </c>
      <c r="B10674">
        <v>2538497</v>
      </c>
      <c r="C10674" s="1" t="str">
        <f>HYPERLINK("http://stackoverflow.com/users/2538497", "gcoder")</f>
        <v>gcoder</v>
      </c>
      <c r="D10674" t="s">
        <v>5</v>
      </c>
      <c r="E10674">
        <v>1</v>
      </c>
    </row>
    <row r="10675" spans="1:5" x14ac:dyDescent="0.25">
      <c r="A10675">
        <v>10674</v>
      </c>
      <c r="B10675">
        <v>4394680</v>
      </c>
      <c r="C10675" s="1" t="str">
        <f>HYPERLINK("http://stackoverflow.com/users/4394680", "Michael Zhao")</f>
        <v>Michael Zhao</v>
      </c>
      <c r="D10675" t="s">
        <v>5</v>
      </c>
      <c r="E10675">
        <v>1</v>
      </c>
    </row>
    <row r="10676" spans="1:5" x14ac:dyDescent="0.25">
      <c r="A10676">
        <v>10675</v>
      </c>
      <c r="B10676">
        <v>9703199</v>
      </c>
      <c r="C10676" s="1" t="str">
        <f>HYPERLINK("http://stackoverflow.com/users/9703199", "Peter Li")</f>
        <v>Peter Li</v>
      </c>
      <c r="D10676" t="s">
        <v>5</v>
      </c>
      <c r="E10676">
        <v>1</v>
      </c>
    </row>
    <row r="10677" spans="1:5" x14ac:dyDescent="0.25">
      <c r="A10677">
        <v>10676</v>
      </c>
      <c r="B10677">
        <v>6123554</v>
      </c>
      <c r="C10677" s="1" t="str">
        <f>HYPERLINK("http://stackoverflow.com/users/6123554", "sencai.peng")</f>
        <v>sencai.peng</v>
      </c>
      <c r="D10677" t="s">
        <v>4</v>
      </c>
      <c r="E10677">
        <v>1</v>
      </c>
    </row>
    <row r="10678" spans="1:5" x14ac:dyDescent="0.25">
      <c r="A10678">
        <v>10677</v>
      </c>
      <c r="B10678">
        <v>4407929</v>
      </c>
      <c r="C10678" s="1" t="str">
        <f>HYPERLINK("http://stackoverflow.com/users/4407929", "FF Cheng")</f>
        <v>FF Cheng</v>
      </c>
      <c r="D10678" t="s">
        <v>5</v>
      </c>
      <c r="E10678">
        <v>1</v>
      </c>
    </row>
    <row r="10679" spans="1:5" x14ac:dyDescent="0.25">
      <c r="A10679">
        <v>10678</v>
      </c>
      <c r="B10679">
        <v>9717039</v>
      </c>
      <c r="C10679" s="1" t="str">
        <f>HYPERLINK("http://stackoverflow.com/users/9717039", "IVI")</f>
        <v>IVI</v>
      </c>
      <c r="D10679" t="s">
        <v>5</v>
      </c>
      <c r="E10679">
        <v>1</v>
      </c>
    </row>
    <row r="10680" spans="1:5" x14ac:dyDescent="0.25">
      <c r="A10680">
        <v>10679</v>
      </c>
      <c r="B10680">
        <v>4407710</v>
      </c>
      <c r="C10680" s="1" t="str">
        <f>HYPERLINK("http://stackoverflow.com/users/4407710", "Highlight Clark")</f>
        <v>Highlight Clark</v>
      </c>
      <c r="D10680" t="s">
        <v>16</v>
      </c>
      <c r="E10680">
        <v>1</v>
      </c>
    </row>
    <row r="10681" spans="1:5" x14ac:dyDescent="0.25">
      <c r="A10681">
        <v>10680</v>
      </c>
      <c r="B10681">
        <v>4407893</v>
      </c>
      <c r="C10681" s="1" t="str">
        <f>HYPERLINK("http://stackoverflow.com/users/4407893", "Xiuhong Li")</f>
        <v>Xiuhong Li</v>
      </c>
      <c r="D10681" t="s">
        <v>95</v>
      </c>
      <c r="E10681">
        <v>1</v>
      </c>
    </row>
    <row r="10682" spans="1:5" x14ac:dyDescent="0.25">
      <c r="A10682">
        <v>10681</v>
      </c>
      <c r="B10682">
        <v>2541654</v>
      </c>
      <c r="C10682" s="1" t="str">
        <f>HYPERLINK("http://stackoverflow.com/users/2541654", "Edgar324")</f>
        <v>Edgar324</v>
      </c>
      <c r="D10682" t="s">
        <v>5</v>
      </c>
      <c r="E10682">
        <v>1</v>
      </c>
    </row>
    <row r="10683" spans="1:5" x14ac:dyDescent="0.25">
      <c r="A10683">
        <v>10682</v>
      </c>
      <c r="B10683">
        <v>2541725</v>
      </c>
      <c r="C10683" s="1" t="str">
        <f>HYPERLINK("http://stackoverflow.com/users/2541725", "Ming")</f>
        <v>Ming</v>
      </c>
      <c r="D10683" t="s">
        <v>248</v>
      </c>
      <c r="E10683">
        <v>1</v>
      </c>
    </row>
    <row r="10684" spans="1:5" x14ac:dyDescent="0.25">
      <c r="A10684">
        <v>10683</v>
      </c>
      <c r="B10684">
        <v>2542048</v>
      </c>
      <c r="C10684" s="1" t="str">
        <f>HYPERLINK("http://stackoverflow.com/users/2542048", "Nancy")</f>
        <v>Nancy</v>
      </c>
      <c r="D10684" t="s">
        <v>37</v>
      </c>
      <c r="E10684">
        <v>1</v>
      </c>
    </row>
    <row r="10685" spans="1:5" x14ac:dyDescent="0.25">
      <c r="A10685">
        <v>10684</v>
      </c>
      <c r="B10685">
        <v>2542589</v>
      </c>
      <c r="C10685" s="1" t="str">
        <f>HYPERLINK("http://stackoverflow.com/users/2542589", "Ye Wei")</f>
        <v>Ye Wei</v>
      </c>
      <c r="D10685" t="s">
        <v>99</v>
      </c>
      <c r="E10685">
        <v>1</v>
      </c>
    </row>
    <row r="10686" spans="1:5" x14ac:dyDescent="0.25">
      <c r="A10686">
        <v>10685</v>
      </c>
      <c r="B10686">
        <v>2542867</v>
      </c>
      <c r="C10686" s="1" t="str">
        <f>HYPERLINK("http://stackoverflow.com/users/2542867", "Duff Zhang")</f>
        <v>Duff Zhang</v>
      </c>
      <c r="D10686" t="s">
        <v>16</v>
      </c>
      <c r="E10686">
        <v>1</v>
      </c>
    </row>
    <row r="10687" spans="1:5" x14ac:dyDescent="0.25">
      <c r="A10687">
        <v>10686</v>
      </c>
      <c r="B10687">
        <v>7906367</v>
      </c>
      <c r="C10687" s="1" t="str">
        <f>HYPERLINK("http://stackoverflow.com/users/7906367", "Gawain")</f>
        <v>Gawain</v>
      </c>
      <c r="D10687" t="s">
        <v>5</v>
      </c>
      <c r="E10687">
        <v>1</v>
      </c>
    </row>
    <row r="10688" spans="1:5" x14ac:dyDescent="0.25">
      <c r="A10688">
        <v>10687</v>
      </c>
      <c r="B10688">
        <v>249715</v>
      </c>
      <c r="C10688" s="1" t="str">
        <f>HYPERLINK("http://stackoverflow.com/users/249715", "leafy")</f>
        <v>leafy</v>
      </c>
      <c r="D10688" t="s">
        <v>4</v>
      </c>
      <c r="E10688">
        <v>1</v>
      </c>
    </row>
    <row r="10689" spans="1:5" x14ac:dyDescent="0.25">
      <c r="A10689">
        <v>10688</v>
      </c>
      <c r="B10689">
        <v>2552182</v>
      </c>
      <c r="C10689" s="1" t="str">
        <f>HYPERLINK("http://stackoverflow.com/users/2552182", "Sam Lau")</f>
        <v>Sam Lau</v>
      </c>
      <c r="D10689" t="s">
        <v>21</v>
      </c>
      <c r="E10689">
        <v>1</v>
      </c>
    </row>
    <row r="10690" spans="1:5" x14ac:dyDescent="0.25">
      <c r="A10690">
        <v>10689</v>
      </c>
      <c r="B10690">
        <v>4411617</v>
      </c>
      <c r="C10690" s="1" t="str">
        <f>HYPERLINK("http://stackoverflow.com/users/4411617", "Ninjacn")</f>
        <v>Ninjacn</v>
      </c>
      <c r="D10690" t="s">
        <v>5</v>
      </c>
      <c r="E10690">
        <v>1</v>
      </c>
    </row>
    <row r="10691" spans="1:5" x14ac:dyDescent="0.25">
      <c r="A10691">
        <v>10690</v>
      </c>
      <c r="B10691">
        <v>6139997</v>
      </c>
      <c r="C10691" s="1" t="str">
        <f>HYPERLINK("http://stackoverflow.com/users/6139997", "neo_chow")</f>
        <v>neo_chow</v>
      </c>
      <c r="D10691" t="s">
        <v>16</v>
      </c>
      <c r="E10691">
        <v>1</v>
      </c>
    </row>
    <row r="10692" spans="1:5" x14ac:dyDescent="0.25">
      <c r="A10692">
        <v>10691</v>
      </c>
      <c r="B10692">
        <v>6140252</v>
      </c>
      <c r="C10692" s="1" t="str">
        <f>HYPERLINK("http://stackoverflow.com/users/6140252", "River  He")</f>
        <v>River  He</v>
      </c>
      <c r="D10692" t="s">
        <v>5</v>
      </c>
      <c r="E10692">
        <v>1</v>
      </c>
    </row>
    <row r="10693" spans="1:5" x14ac:dyDescent="0.25">
      <c r="A10693">
        <v>10692</v>
      </c>
      <c r="B10693">
        <v>6140623</v>
      </c>
      <c r="C10693" s="1" t="str">
        <f>HYPERLINK("http://stackoverflow.com/users/6140623", "Yangang Chen")</f>
        <v>Yangang Chen</v>
      </c>
      <c r="D10693" t="s">
        <v>4</v>
      </c>
      <c r="E10693">
        <v>1</v>
      </c>
    </row>
    <row r="10694" spans="1:5" x14ac:dyDescent="0.25">
      <c r="A10694">
        <v>10693</v>
      </c>
      <c r="B10694">
        <v>2552554</v>
      </c>
      <c r="C10694" s="1" t="str">
        <f>HYPERLINK("http://stackoverflow.com/users/2552554", "guan yang CAI")</f>
        <v>guan yang CAI</v>
      </c>
      <c r="D10694" t="s">
        <v>5</v>
      </c>
      <c r="E10694">
        <v>1</v>
      </c>
    </row>
    <row r="10695" spans="1:5" x14ac:dyDescent="0.25">
      <c r="A10695">
        <v>10694</v>
      </c>
      <c r="B10695">
        <v>4418136</v>
      </c>
      <c r="C10695" s="1" t="str">
        <f>HYPERLINK("http://stackoverflow.com/users/4418136", "wsv")</f>
        <v>wsv</v>
      </c>
      <c r="D10695" t="s">
        <v>5</v>
      </c>
      <c r="E10695">
        <v>1</v>
      </c>
    </row>
    <row r="10696" spans="1:5" x14ac:dyDescent="0.25">
      <c r="A10696">
        <v>10695</v>
      </c>
      <c r="B10696">
        <v>4418768</v>
      </c>
      <c r="C10696" s="1" t="str">
        <f>HYPERLINK("http://stackoverflow.com/users/4418768", "LeTiaN")</f>
        <v>LeTiaN</v>
      </c>
      <c r="D10696" t="s">
        <v>5</v>
      </c>
      <c r="E10696">
        <v>1</v>
      </c>
    </row>
    <row r="10697" spans="1:5" x14ac:dyDescent="0.25">
      <c r="A10697">
        <v>10696</v>
      </c>
      <c r="B10697">
        <v>4418839</v>
      </c>
      <c r="C10697" s="1" t="str">
        <f>HYPERLINK("http://stackoverflow.com/users/4418839", "BrendanC")</f>
        <v>BrendanC</v>
      </c>
      <c r="D10697" t="s">
        <v>4</v>
      </c>
      <c r="E10697">
        <v>1</v>
      </c>
    </row>
    <row r="10698" spans="1:5" x14ac:dyDescent="0.25">
      <c r="A10698">
        <v>10697</v>
      </c>
      <c r="B10698">
        <v>2555426</v>
      </c>
      <c r="C10698" s="1" t="str">
        <f>HYPERLINK("http://stackoverflow.com/users/2555426", "Foo")</f>
        <v>Foo</v>
      </c>
      <c r="D10698" t="s">
        <v>5</v>
      </c>
      <c r="E10698">
        <v>1</v>
      </c>
    </row>
    <row r="10699" spans="1:5" x14ac:dyDescent="0.25">
      <c r="A10699">
        <v>10698</v>
      </c>
      <c r="B10699">
        <v>2566844</v>
      </c>
      <c r="C10699" s="1" t="str">
        <f>HYPERLINK("http://stackoverflow.com/users/2566844", "Yuanyong Bai")</f>
        <v>Yuanyong Bai</v>
      </c>
      <c r="D10699" t="s">
        <v>5</v>
      </c>
      <c r="E10699">
        <v>1</v>
      </c>
    </row>
    <row r="10700" spans="1:5" x14ac:dyDescent="0.25">
      <c r="A10700">
        <v>10699</v>
      </c>
      <c r="B10700">
        <v>2566865</v>
      </c>
      <c r="C10700" s="1" t="str">
        <f>HYPERLINK("http://stackoverflow.com/users/2566865", "seer liu")</f>
        <v>seer liu</v>
      </c>
      <c r="D10700" t="s">
        <v>4</v>
      </c>
      <c r="E10700">
        <v>1</v>
      </c>
    </row>
    <row r="10701" spans="1:5" x14ac:dyDescent="0.25">
      <c r="A10701">
        <v>10700</v>
      </c>
      <c r="B10701">
        <v>9732883</v>
      </c>
      <c r="C10701" s="1" t="str">
        <f>HYPERLINK("http://stackoverflow.com/users/9732883", "David")</f>
        <v>David</v>
      </c>
      <c r="D10701" t="s">
        <v>5</v>
      </c>
      <c r="E10701">
        <v>1</v>
      </c>
    </row>
    <row r="10702" spans="1:5" x14ac:dyDescent="0.25">
      <c r="A10702">
        <v>10701</v>
      </c>
      <c r="B10702">
        <v>4422206</v>
      </c>
      <c r="C10702" s="1" t="str">
        <f>HYPERLINK("http://stackoverflow.com/users/4422206", "Daystar Choe")</f>
        <v>Daystar Choe</v>
      </c>
      <c r="D10702" t="s">
        <v>585</v>
      </c>
      <c r="E10702">
        <v>1</v>
      </c>
    </row>
    <row r="10703" spans="1:5" x14ac:dyDescent="0.25">
      <c r="A10703">
        <v>10702</v>
      </c>
      <c r="B10703">
        <v>4422613</v>
      </c>
      <c r="C10703" s="1" t="str">
        <f>HYPERLINK("http://stackoverflow.com/users/4422613", "infoyou")</f>
        <v>infoyou</v>
      </c>
      <c r="D10703" t="s">
        <v>4</v>
      </c>
      <c r="E10703">
        <v>1</v>
      </c>
    </row>
    <row r="10704" spans="1:5" x14ac:dyDescent="0.25">
      <c r="A10704">
        <v>10703</v>
      </c>
      <c r="B10704">
        <v>6150712</v>
      </c>
      <c r="C10704" s="1" t="str">
        <f>HYPERLINK("http://stackoverflow.com/users/6150712", "msandroid")</f>
        <v>msandroid</v>
      </c>
      <c r="D10704" t="s">
        <v>5</v>
      </c>
      <c r="E10704">
        <v>1</v>
      </c>
    </row>
    <row r="10705" spans="1:5" x14ac:dyDescent="0.25">
      <c r="A10705">
        <v>10704</v>
      </c>
      <c r="B10705">
        <v>6153966</v>
      </c>
      <c r="C10705" s="1" t="str">
        <f>HYPERLINK("http://stackoverflow.com/users/6153966", "Alaric Y")</f>
        <v>Alaric Y</v>
      </c>
      <c r="D10705" t="s">
        <v>118</v>
      </c>
      <c r="E10705">
        <v>1</v>
      </c>
    </row>
    <row r="10706" spans="1:5" x14ac:dyDescent="0.25">
      <c r="A10706">
        <v>10705</v>
      </c>
      <c r="B10706">
        <v>6154326</v>
      </c>
      <c r="C10706" s="1" t="str">
        <f>HYPERLINK("http://stackoverflow.com/users/6154326", "St.John")</f>
        <v>St.John</v>
      </c>
      <c r="D10706" t="s">
        <v>7</v>
      </c>
      <c r="E10706">
        <v>1</v>
      </c>
    </row>
    <row r="10707" spans="1:5" x14ac:dyDescent="0.25">
      <c r="A10707">
        <v>10706</v>
      </c>
      <c r="B10707">
        <v>9735991</v>
      </c>
      <c r="C10707" s="1" t="str">
        <f>HYPERLINK("http://stackoverflow.com/users/9735991", "Yasir Sultan")</f>
        <v>Yasir Sultan</v>
      </c>
      <c r="D10707" t="s">
        <v>5</v>
      </c>
      <c r="E10707">
        <v>1</v>
      </c>
    </row>
    <row r="10708" spans="1:5" x14ac:dyDescent="0.25">
      <c r="A10708">
        <v>10707</v>
      </c>
      <c r="B10708">
        <v>7861260</v>
      </c>
      <c r="C10708" s="1" t="str">
        <f>HYPERLINK("http://stackoverflow.com/users/7861260", "FishHe")</f>
        <v>FishHe</v>
      </c>
      <c r="D10708" t="s">
        <v>266</v>
      </c>
      <c r="E10708">
        <v>1</v>
      </c>
    </row>
    <row r="10709" spans="1:5" x14ac:dyDescent="0.25">
      <c r="A10709">
        <v>10708</v>
      </c>
      <c r="B10709">
        <v>9672582</v>
      </c>
      <c r="C10709" s="1" t="str">
        <f>HYPERLINK("http://stackoverflow.com/users/9672582", "Wei Guang Yang")</f>
        <v>Wei Guang Yang</v>
      </c>
      <c r="D10709" t="s">
        <v>410</v>
      </c>
      <c r="E10709">
        <v>1</v>
      </c>
    </row>
    <row r="10710" spans="1:5" x14ac:dyDescent="0.25">
      <c r="A10710">
        <v>10709</v>
      </c>
      <c r="B10710">
        <v>9672792</v>
      </c>
      <c r="C10710" s="1" t="str">
        <f>HYPERLINK("http://stackoverflow.com/users/9672792", "Cobra")</f>
        <v>Cobra</v>
      </c>
      <c r="D10710" t="s">
        <v>4</v>
      </c>
      <c r="E10710">
        <v>1</v>
      </c>
    </row>
    <row r="10711" spans="1:5" x14ac:dyDescent="0.25">
      <c r="A10711">
        <v>10710</v>
      </c>
      <c r="B10711">
        <v>7860732</v>
      </c>
      <c r="C10711" s="1" t="str">
        <f>HYPERLINK("http://stackoverflow.com/users/7860732", "Lee Lenvon")</f>
        <v>Lee Lenvon</v>
      </c>
      <c r="D10711" t="s">
        <v>5</v>
      </c>
      <c r="E10711">
        <v>1</v>
      </c>
    </row>
    <row r="10712" spans="1:5" x14ac:dyDescent="0.25">
      <c r="A10712">
        <v>10711</v>
      </c>
      <c r="B10712">
        <v>7860770</v>
      </c>
      <c r="C10712" s="1" t="str">
        <f>HYPERLINK("http://stackoverflow.com/users/7860770", "Yang")</f>
        <v>Yang</v>
      </c>
      <c r="D10712" t="s">
        <v>118</v>
      </c>
      <c r="E10712">
        <v>1</v>
      </c>
    </row>
    <row r="10713" spans="1:5" x14ac:dyDescent="0.25">
      <c r="A10713">
        <v>10712</v>
      </c>
      <c r="B10713">
        <v>7861034</v>
      </c>
      <c r="C10713" s="1" t="str">
        <f>HYPERLINK("http://stackoverflow.com/users/7861034", "HHPLow")</f>
        <v>HHPLow</v>
      </c>
      <c r="D10713" t="s">
        <v>4</v>
      </c>
      <c r="E10713">
        <v>1</v>
      </c>
    </row>
    <row r="10714" spans="1:5" x14ac:dyDescent="0.25">
      <c r="A10714">
        <v>10713</v>
      </c>
      <c r="B10714">
        <v>2499843</v>
      </c>
      <c r="C10714" s="1" t="str">
        <f>HYPERLINK("http://stackoverflow.com/users/2499843", "stephen")</f>
        <v>stephen</v>
      </c>
      <c r="D10714" t="s">
        <v>17</v>
      </c>
      <c r="E10714">
        <v>1</v>
      </c>
    </row>
    <row r="10715" spans="1:5" x14ac:dyDescent="0.25">
      <c r="A10715">
        <v>10714</v>
      </c>
      <c r="B10715">
        <v>2500139</v>
      </c>
      <c r="C10715" s="1" t="str">
        <f>HYPERLINK("http://stackoverflow.com/users/2500139", "lmcl90")</f>
        <v>lmcl90</v>
      </c>
      <c r="D10715" t="s">
        <v>5</v>
      </c>
      <c r="E10715">
        <v>1</v>
      </c>
    </row>
    <row r="10716" spans="1:5" x14ac:dyDescent="0.25">
      <c r="A10716">
        <v>10715</v>
      </c>
      <c r="B10716">
        <v>2499676</v>
      </c>
      <c r="C10716" s="1" t="str">
        <f>HYPERLINK("http://stackoverflow.com/users/2499676", "patterncat")</f>
        <v>patterncat</v>
      </c>
      <c r="D10716" t="s">
        <v>5</v>
      </c>
      <c r="E10716">
        <v>1</v>
      </c>
    </row>
    <row r="10717" spans="1:5" x14ac:dyDescent="0.25">
      <c r="A10717">
        <v>10716</v>
      </c>
      <c r="B10717">
        <v>2499699</v>
      </c>
      <c r="C10717" s="1" t="str">
        <f>HYPERLINK("http://stackoverflow.com/users/2499699", "沈大侠")</f>
        <v>沈大侠</v>
      </c>
      <c r="D10717" t="s">
        <v>4</v>
      </c>
      <c r="E10717">
        <v>1</v>
      </c>
    </row>
    <row r="10718" spans="1:5" x14ac:dyDescent="0.25">
      <c r="A10718">
        <v>10717</v>
      </c>
      <c r="B10718">
        <v>6097485</v>
      </c>
      <c r="C10718" s="1" t="str">
        <f>HYPERLINK("http://stackoverflow.com/users/6097485", "Duran Chen")</f>
        <v>Duran Chen</v>
      </c>
      <c r="D10718" t="s">
        <v>25</v>
      </c>
      <c r="E10718">
        <v>1</v>
      </c>
    </row>
    <row r="10719" spans="1:5" x14ac:dyDescent="0.25">
      <c r="A10719">
        <v>10718</v>
      </c>
      <c r="B10719">
        <v>9675917</v>
      </c>
      <c r="C10719" s="1" t="str">
        <f>HYPERLINK("http://stackoverflow.com/users/9675917", "Yan.J")</f>
        <v>Yan.J</v>
      </c>
      <c r="D10719" t="s">
        <v>4</v>
      </c>
      <c r="E10719">
        <v>1</v>
      </c>
    </row>
    <row r="10720" spans="1:5" x14ac:dyDescent="0.25">
      <c r="A10720">
        <v>10719</v>
      </c>
      <c r="B10720">
        <v>9662310</v>
      </c>
      <c r="C10720" s="1" t="str">
        <f>HYPERLINK("http://stackoverflow.com/users/9662310", "Al Sanchez")</f>
        <v>Al Sanchez</v>
      </c>
      <c r="D10720" t="s">
        <v>7</v>
      </c>
      <c r="E10720">
        <v>1</v>
      </c>
    </row>
    <row r="10721" spans="1:5" x14ac:dyDescent="0.25">
      <c r="A10721">
        <v>10720</v>
      </c>
      <c r="B10721">
        <v>9662398</v>
      </c>
      <c r="C10721" s="1" t="str">
        <f>HYPERLINK("http://stackoverflow.com/users/9662398", "yinlong")</f>
        <v>yinlong</v>
      </c>
      <c r="D10721" t="s">
        <v>4</v>
      </c>
      <c r="E10721">
        <v>1</v>
      </c>
    </row>
    <row r="10722" spans="1:5" x14ac:dyDescent="0.25">
      <c r="A10722">
        <v>10721</v>
      </c>
      <c r="B10722">
        <v>6088426</v>
      </c>
      <c r="C10722" s="1" t="str">
        <f>HYPERLINK("http://stackoverflow.com/users/6088426", "lynnx4869")</f>
        <v>lynnx4869</v>
      </c>
      <c r="D10722" t="s">
        <v>4</v>
      </c>
      <c r="E10722">
        <v>1</v>
      </c>
    </row>
    <row r="10723" spans="1:5" x14ac:dyDescent="0.25">
      <c r="A10723">
        <v>10722</v>
      </c>
      <c r="B10723">
        <v>6088451</v>
      </c>
      <c r="C10723" s="1" t="str">
        <f>HYPERLINK("http://stackoverflow.com/users/6088451", "Sharry")</f>
        <v>Sharry</v>
      </c>
      <c r="D10723" t="s">
        <v>4</v>
      </c>
      <c r="E10723">
        <v>1</v>
      </c>
    </row>
    <row r="10724" spans="1:5" x14ac:dyDescent="0.25">
      <c r="A10724">
        <v>10723</v>
      </c>
      <c r="B10724">
        <v>7853884</v>
      </c>
      <c r="C10724" s="1" t="str">
        <f>HYPERLINK("http://stackoverflow.com/users/7853884", "washington.kamupunga")</f>
        <v>washington.kamupunga</v>
      </c>
      <c r="D10724" t="s">
        <v>108</v>
      </c>
      <c r="E10724">
        <v>1</v>
      </c>
    </row>
    <row r="10725" spans="1:5" x14ac:dyDescent="0.25">
      <c r="A10725">
        <v>10724</v>
      </c>
      <c r="B10725">
        <v>9662925</v>
      </c>
      <c r="C10725" s="1" t="str">
        <f>HYPERLINK("http://stackoverflow.com/users/9662925", "kakonsiki")</f>
        <v>kakonsiki</v>
      </c>
      <c r="D10725" t="s">
        <v>55</v>
      </c>
      <c r="E10725">
        <v>1</v>
      </c>
    </row>
    <row r="10726" spans="1:5" x14ac:dyDescent="0.25">
      <c r="A10726">
        <v>10725</v>
      </c>
      <c r="B10726">
        <v>4361358</v>
      </c>
      <c r="C10726" s="1" t="str">
        <f>HYPERLINK("http://stackoverflow.com/users/4361358", "Virtuosity zhao")</f>
        <v>Virtuosity zhao</v>
      </c>
      <c r="D10726" t="s">
        <v>108</v>
      </c>
      <c r="E10726">
        <v>1</v>
      </c>
    </row>
    <row r="10727" spans="1:5" x14ac:dyDescent="0.25">
      <c r="A10727">
        <v>10726</v>
      </c>
      <c r="B10727">
        <v>4365070</v>
      </c>
      <c r="C10727" s="1" t="str">
        <f>HYPERLINK("http://stackoverflow.com/users/4365070", "gemstone")</f>
        <v>gemstone</v>
      </c>
      <c r="D10727" t="s">
        <v>5</v>
      </c>
      <c r="E10727">
        <v>1</v>
      </c>
    </row>
    <row r="10728" spans="1:5" x14ac:dyDescent="0.25">
      <c r="A10728">
        <v>10727</v>
      </c>
      <c r="B10728">
        <v>6091246</v>
      </c>
      <c r="C10728" s="1" t="str">
        <f>HYPERLINK("http://stackoverflow.com/users/6091246", "hjhee")</f>
        <v>hjhee</v>
      </c>
      <c r="D10728" t="s">
        <v>19</v>
      </c>
      <c r="E10728">
        <v>1</v>
      </c>
    </row>
    <row r="10729" spans="1:5" x14ac:dyDescent="0.25">
      <c r="A10729">
        <v>10728</v>
      </c>
      <c r="B10729">
        <v>6091370</v>
      </c>
      <c r="C10729" s="1" t="str">
        <f>HYPERLINK("http://stackoverflow.com/users/6091370", "Yuzhi Ma")</f>
        <v>Yuzhi Ma</v>
      </c>
      <c r="D10729" t="s">
        <v>4</v>
      </c>
      <c r="E10729">
        <v>1</v>
      </c>
    </row>
    <row r="10730" spans="1:5" x14ac:dyDescent="0.25">
      <c r="A10730">
        <v>10729</v>
      </c>
      <c r="B10730">
        <v>4365341</v>
      </c>
      <c r="C10730" s="1" t="str">
        <f>HYPERLINK("http://stackoverflow.com/users/4365341", "QlDoors")</f>
        <v>QlDoors</v>
      </c>
      <c r="D10730" t="s">
        <v>27</v>
      </c>
      <c r="E10730">
        <v>1</v>
      </c>
    </row>
    <row r="10731" spans="1:5" x14ac:dyDescent="0.25">
      <c r="A10731">
        <v>10730</v>
      </c>
      <c r="B10731">
        <v>7842738</v>
      </c>
      <c r="C10731" s="1" t="str">
        <f>HYPERLINK("http://stackoverflow.com/users/7842738", "Wilson Lau")</f>
        <v>Wilson Lau</v>
      </c>
      <c r="D10731" t="s">
        <v>17</v>
      </c>
      <c r="E10731">
        <v>1</v>
      </c>
    </row>
    <row r="10732" spans="1:5" x14ac:dyDescent="0.25">
      <c r="A10732">
        <v>10731</v>
      </c>
      <c r="B10732">
        <v>9651149</v>
      </c>
      <c r="C10732" s="1" t="str">
        <f>HYPERLINK("http://stackoverflow.com/users/9651149", "user9651149")</f>
        <v>user9651149</v>
      </c>
      <c r="D10732" t="s">
        <v>5</v>
      </c>
      <c r="E10732">
        <v>1</v>
      </c>
    </row>
    <row r="10733" spans="1:5" x14ac:dyDescent="0.25">
      <c r="A10733">
        <v>10732</v>
      </c>
      <c r="B10733">
        <v>9651185</v>
      </c>
      <c r="C10733" s="1" t="str">
        <f>HYPERLINK("http://stackoverflow.com/users/9651185", "zhizhi Yang")</f>
        <v>zhizhi Yang</v>
      </c>
      <c r="D10733" t="s">
        <v>55</v>
      </c>
      <c r="E10733">
        <v>1</v>
      </c>
    </row>
    <row r="10734" spans="1:5" x14ac:dyDescent="0.25">
      <c r="A10734">
        <v>10733</v>
      </c>
      <c r="B10734">
        <v>9651240</v>
      </c>
      <c r="C10734" s="1" t="str">
        <f>HYPERLINK("http://stackoverflow.com/users/9651240", "takashi natsume")</f>
        <v>takashi natsume</v>
      </c>
      <c r="D10734" t="s">
        <v>5</v>
      </c>
      <c r="E10734">
        <v>1</v>
      </c>
    </row>
    <row r="10735" spans="1:5" x14ac:dyDescent="0.25">
      <c r="A10735">
        <v>10734</v>
      </c>
      <c r="B10735">
        <v>4343389</v>
      </c>
      <c r="C10735" s="1" t="str">
        <f>HYPERLINK("http://stackoverflow.com/users/4343389", "CS T")</f>
        <v>CS T</v>
      </c>
      <c r="D10735" t="s">
        <v>29</v>
      </c>
      <c r="E10735">
        <v>1</v>
      </c>
    </row>
    <row r="10736" spans="1:5" x14ac:dyDescent="0.25">
      <c r="A10736">
        <v>10735</v>
      </c>
      <c r="B10736">
        <v>2469579</v>
      </c>
      <c r="C10736" s="1" t="str">
        <f>HYPERLINK("http://stackoverflow.com/users/2469579", "kay517")</f>
        <v>kay517</v>
      </c>
      <c r="D10736" t="s">
        <v>17</v>
      </c>
      <c r="E10736">
        <v>1</v>
      </c>
    </row>
    <row r="10737" spans="1:5" x14ac:dyDescent="0.25">
      <c r="A10737">
        <v>10736</v>
      </c>
      <c r="B10737">
        <v>9641349</v>
      </c>
      <c r="C10737" s="1" t="str">
        <f>HYPERLINK("http://stackoverflow.com/users/9641349", "king wang")</f>
        <v>king wang</v>
      </c>
      <c r="D10737" t="s">
        <v>5</v>
      </c>
      <c r="E10737">
        <v>1</v>
      </c>
    </row>
    <row r="10738" spans="1:5" x14ac:dyDescent="0.25">
      <c r="A10738">
        <v>10737</v>
      </c>
      <c r="B10738">
        <v>7835501</v>
      </c>
      <c r="C10738" s="1" t="str">
        <f>HYPERLINK("http://stackoverflow.com/users/7835501", "wyxiang")</f>
        <v>wyxiang</v>
      </c>
      <c r="D10738" t="s">
        <v>50</v>
      </c>
      <c r="E10738">
        <v>1</v>
      </c>
    </row>
    <row r="10739" spans="1:5" x14ac:dyDescent="0.25">
      <c r="A10739">
        <v>10738</v>
      </c>
      <c r="B10739">
        <v>9644303</v>
      </c>
      <c r="C10739" s="1" t="str">
        <f>HYPERLINK("http://stackoverflow.com/users/9644303", "liwenju")</f>
        <v>liwenju</v>
      </c>
      <c r="D10739" t="s">
        <v>57</v>
      </c>
      <c r="E10739">
        <v>1</v>
      </c>
    </row>
    <row r="10740" spans="1:5" x14ac:dyDescent="0.25">
      <c r="A10740">
        <v>10739</v>
      </c>
      <c r="B10740">
        <v>4341132</v>
      </c>
      <c r="C10740" s="1" t="str">
        <f>HYPERLINK("http://stackoverflow.com/users/4341132", "swn73")</f>
        <v>swn73</v>
      </c>
      <c r="D10740" t="s">
        <v>4</v>
      </c>
      <c r="E10740">
        <v>1</v>
      </c>
    </row>
    <row r="10741" spans="1:5" x14ac:dyDescent="0.25">
      <c r="A10741">
        <v>10740</v>
      </c>
      <c r="B10741">
        <v>6081330</v>
      </c>
      <c r="C10741" s="1" t="str">
        <f>HYPERLINK("http://stackoverflow.com/users/6081330", "JerkLee")</f>
        <v>JerkLee</v>
      </c>
      <c r="D10741" t="s">
        <v>5</v>
      </c>
      <c r="E10741">
        <v>1</v>
      </c>
    </row>
    <row r="10742" spans="1:5" x14ac:dyDescent="0.25">
      <c r="A10742">
        <v>10741</v>
      </c>
      <c r="B10742">
        <v>6081384</v>
      </c>
      <c r="C10742" s="1" t="str">
        <f>HYPERLINK("http://stackoverflow.com/users/6081384", "windwiny")</f>
        <v>windwiny</v>
      </c>
      <c r="D10742" t="s">
        <v>15</v>
      </c>
      <c r="E10742">
        <v>1</v>
      </c>
    </row>
    <row r="10743" spans="1:5" x14ac:dyDescent="0.25">
      <c r="A10743">
        <v>10742</v>
      </c>
      <c r="B10743">
        <v>7849604</v>
      </c>
      <c r="C10743" s="1" t="str">
        <f>HYPERLINK("http://stackoverflow.com/users/7849604", "Kuroky.Li")</f>
        <v>Kuroky.Li</v>
      </c>
      <c r="D10743" t="s">
        <v>27</v>
      </c>
      <c r="E10743">
        <v>1</v>
      </c>
    </row>
    <row r="10744" spans="1:5" x14ac:dyDescent="0.25">
      <c r="A10744">
        <v>10743</v>
      </c>
      <c r="B10744">
        <v>2480488</v>
      </c>
      <c r="C10744" s="1" t="str">
        <f>HYPERLINK("http://stackoverflow.com/users/2480488", "bumaociyuan")</f>
        <v>bumaociyuan</v>
      </c>
      <c r="D10744" t="s">
        <v>22</v>
      </c>
      <c r="E10744">
        <v>1</v>
      </c>
    </row>
    <row r="10745" spans="1:5" x14ac:dyDescent="0.25">
      <c r="A10745">
        <v>10744</v>
      </c>
      <c r="B10745">
        <v>7847094</v>
      </c>
      <c r="C10745" s="1" t="str">
        <f>HYPERLINK("http://stackoverflow.com/users/7847094", "Xiangnan Jin")</f>
        <v>Xiangnan Jin</v>
      </c>
      <c r="D10745" t="s">
        <v>74</v>
      </c>
      <c r="E10745">
        <v>1</v>
      </c>
    </row>
    <row r="10746" spans="1:5" x14ac:dyDescent="0.25">
      <c r="A10746">
        <v>10745</v>
      </c>
      <c r="B10746">
        <v>4352288</v>
      </c>
      <c r="C10746" s="1" t="str">
        <f>HYPERLINK("http://stackoverflow.com/users/4352288", "swjtutipo")</f>
        <v>swjtutipo</v>
      </c>
      <c r="D10746" t="s">
        <v>4</v>
      </c>
      <c r="E10746">
        <v>1</v>
      </c>
    </row>
    <row r="10747" spans="1:5" x14ac:dyDescent="0.25">
      <c r="A10747">
        <v>10746</v>
      </c>
      <c r="B10747">
        <v>7849354</v>
      </c>
      <c r="C10747" s="1" t="str">
        <f>HYPERLINK("http://stackoverflow.com/users/7849354", "Zoe")</f>
        <v>Zoe</v>
      </c>
      <c r="D10747" t="s">
        <v>7</v>
      </c>
      <c r="E10747">
        <v>1</v>
      </c>
    </row>
    <row r="10748" spans="1:5" x14ac:dyDescent="0.25">
      <c r="A10748">
        <v>10747</v>
      </c>
      <c r="B10748">
        <v>7849433</v>
      </c>
      <c r="C10748" s="1" t="str">
        <f>HYPERLINK("http://stackoverflow.com/users/7849433", "Erwa.Li")</f>
        <v>Erwa.Li</v>
      </c>
      <c r="D10748" t="s">
        <v>7</v>
      </c>
      <c r="E10748">
        <v>1</v>
      </c>
    </row>
    <row r="10749" spans="1:5" x14ac:dyDescent="0.25">
      <c r="A10749">
        <v>10748</v>
      </c>
      <c r="B10749">
        <v>7842847</v>
      </c>
      <c r="C10749" s="1" t="str">
        <f>HYPERLINK("http://stackoverflow.com/users/7842847", "Charles Park")</f>
        <v>Charles Park</v>
      </c>
      <c r="D10749" t="s">
        <v>7</v>
      </c>
      <c r="E10749">
        <v>1</v>
      </c>
    </row>
    <row r="10750" spans="1:5" x14ac:dyDescent="0.25">
      <c r="A10750">
        <v>10749</v>
      </c>
      <c r="B10750">
        <v>7842862</v>
      </c>
      <c r="C10750" s="1" t="str">
        <f>HYPERLINK("http://stackoverflow.com/users/7842862", "Time_if")</f>
        <v>Time_if</v>
      </c>
      <c r="D10750" t="s">
        <v>5</v>
      </c>
      <c r="E10750">
        <v>1</v>
      </c>
    </row>
    <row r="10751" spans="1:5" x14ac:dyDescent="0.25">
      <c r="A10751">
        <v>10750</v>
      </c>
      <c r="B10751">
        <v>7842962</v>
      </c>
      <c r="C10751" s="1" t="str">
        <f>HYPERLINK("http://stackoverflow.com/users/7842962", "Z.Meishuan")</f>
        <v>Z.Meishuan</v>
      </c>
      <c r="D10751" t="s">
        <v>5</v>
      </c>
      <c r="E10751">
        <v>1</v>
      </c>
    </row>
    <row r="10752" spans="1:5" x14ac:dyDescent="0.25">
      <c r="A10752">
        <v>10751</v>
      </c>
      <c r="B10752">
        <v>7843008</v>
      </c>
      <c r="C10752" s="1" t="str">
        <f>HYPERLINK("http://stackoverflow.com/users/7843008", "Mebtte")</f>
        <v>Mebtte</v>
      </c>
      <c r="D10752" t="s">
        <v>20</v>
      </c>
      <c r="E10752">
        <v>1</v>
      </c>
    </row>
    <row r="10753" spans="1:5" x14ac:dyDescent="0.25">
      <c r="A10753">
        <v>10752</v>
      </c>
      <c r="B10753">
        <v>7843387</v>
      </c>
      <c r="C10753" s="1" t="str">
        <f>HYPERLINK("http://stackoverflow.com/users/7843387", "E.D")</f>
        <v>E.D</v>
      </c>
      <c r="D10753" t="s">
        <v>4</v>
      </c>
      <c r="E10753">
        <v>1</v>
      </c>
    </row>
    <row r="10754" spans="1:5" x14ac:dyDescent="0.25">
      <c r="A10754">
        <v>10753</v>
      </c>
      <c r="B10754">
        <v>6064388</v>
      </c>
      <c r="C10754" s="1" t="str">
        <f>HYPERLINK("http://stackoverflow.com/users/6064388", "spren")</f>
        <v>spren</v>
      </c>
      <c r="D10754" t="s">
        <v>4</v>
      </c>
      <c r="E10754">
        <v>1</v>
      </c>
    </row>
    <row r="10755" spans="1:5" x14ac:dyDescent="0.25">
      <c r="A10755">
        <v>10754</v>
      </c>
      <c r="B10755">
        <v>6061722</v>
      </c>
      <c r="C10755" s="1" t="str">
        <f>HYPERLINK("http://stackoverflow.com/users/6061722", "Allen Li")</f>
        <v>Allen Li</v>
      </c>
      <c r="D10755" t="s">
        <v>16</v>
      </c>
      <c r="E10755">
        <v>1</v>
      </c>
    </row>
    <row r="10756" spans="1:5" x14ac:dyDescent="0.25">
      <c r="A10756">
        <v>10755</v>
      </c>
      <c r="B10756">
        <v>6064760</v>
      </c>
      <c r="C10756" s="1" t="str">
        <f>HYPERLINK("http://stackoverflow.com/users/6064760", "Chanson")</f>
        <v>Chanson</v>
      </c>
      <c r="D10756" t="s">
        <v>25</v>
      </c>
      <c r="E10756">
        <v>1</v>
      </c>
    </row>
    <row r="10757" spans="1:5" x14ac:dyDescent="0.25">
      <c r="A10757">
        <v>10756</v>
      </c>
      <c r="B10757">
        <v>6064775</v>
      </c>
      <c r="C10757" s="1" t="str">
        <f>HYPERLINK("http://stackoverflow.com/users/6064775", "Mu Sen")</f>
        <v>Mu Sen</v>
      </c>
      <c r="D10757" t="s">
        <v>5</v>
      </c>
      <c r="E10757">
        <v>1</v>
      </c>
    </row>
    <row r="10758" spans="1:5" x14ac:dyDescent="0.25">
      <c r="A10758">
        <v>10757</v>
      </c>
      <c r="B10758">
        <v>6064827</v>
      </c>
      <c r="C10758" s="1" t="str">
        <f>HYPERLINK("http://stackoverflow.com/users/6064827", "Dingo")</f>
        <v>Dingo</v>
      </c>
      <c r="D10758" t="s">
        <v>586</v>
      </c>
      <c r="E10758">
        <v>1</v>
      </c>
    </row>
    <row r="10759" spans="1:5" x14ac:dyDescent="0.25">
      <c r="A10759">
        <v>10758</v>
      </c>
      <c r="B10759">
        <v>6065090</v>
      </c>
      <c r="C10759" s="1" t="str">
        <f>HYPERLINK("http://stackoverflow.com/users/6065090", "Timothy Huang")</f>
        <v>Timothy Huang</v>
      </c>
      <c r="D10759" t="s">
        <v>5</v>
      </c>
      <c r="E10759">
        <v>1</v>
      </c>
    </row>
    <row r="10760" spans="1:5" x14ac:dyDescent="0.25">
      <c r="A10760">
        <v>10759</v>
      </c>
      <c r="B10760">
        <v>6065207</v>
      </c>
      <c r="C10760" s="1" t="str">
        <f>HYPERLINK("http://stackoverflow.com/users/6065207", "BearD01001")</f>
        <v>BearD01001</v>
      </c>
      <c r="D10760" t="s">
        <v>17</v>
      </c>
      <c r="E10760">
        <v>1</v>
      </c>
    </row>
    <row r="10761" spans="1:5" x14ac:dyDescent="0.25">
      <c r="A10761">
        <v>10760</v>
      </c>
      <c r="B10761">
        <v>2462064</v>
      </c>
      <c r="C10761" s="1" t="str">
        <f>HYPERLINK("http://stackoverflow.com/users/2462064", "Andy Gu")</f>
        <v>Andy Gu</v>
      </c>
      <c r="D10761" t="s">
        <v>5</v>
      </c>
      <c r="E10761">
        <v>1</v>
      </c>
    </row>
    <row r="10762" spans="1:5" x14ac:dyDescent="0.25">
      <c r="A10762">
        <v>10761</v>
      </c>
      <c r="B10762">
        <v>2462289</v>
      </c>
      <c r="C10762" s="1" t="str">
        <f>HYPERLINK("http://stackoverflow.com/users/2462289", "jinzhaoyu")</f>
        <v>jinzhaoyu</v>
      </c>
      <c r="D10762" t="s">
        <v>12</v>
      </c>
      <c r="E10762">
        <v>1</v>
      </c>
    </row>
    <row r="10763" spans="1:5" x14ac:dyDescent="0.25">
      <c r="A10763">
        <v>10762</v>
      </c>
      <c r="B10763">
        <v>2455873</v>
      </c>
      <c r="C10763" s="1" t="str">
        <f>HYPERLINK("http://stackoverflow.com/users/2455873", "Calvin He")</f>
        <v>Calvin He</v>
      </c>
      <c r="D10763" t="s">
        <v>4</v>
      </c>
      <c r="E10763">
        <v>1</v>
      </c>
    </row>
    <row r="10764" spans="1:5" x14ac:dyDescent="0.25">
      <c r="A10764">
        <v>10763</v>
      </c>
      <c r="B10764">
        <v>9634231</v>
      </c>
      <c r="C10764" s="1" t="str">
        <f>HYPERLINK("http://stackoverflow.com/users/9634231", "hui yang")</f>
        <v>hui yang</v>
      </c>
      <c r="D10764" t="s">
        <v>4</v>
      </c>
      <c r="E10764">
        <v>1</v>
      </c>
    </row>
    <row r="10765" spans="1:5" x14ac:dyDescent="0.25">
      <c r="A10765">
        <v>10764</v>
      </c>
      <c r="B10765">
        <v>9634234</v>
      </c>
      <c r="C10765" s="1" t="str">
        <f>HYPERLINK("http://stackoverflow.com/users/9634234", "Yuanzhen Zhou")</f>
        <v>Yuanzhen Zhou</v>
      </c>
      <c r="D10765" t="s">
        <v>43</v>
      </c>
      <c r="E10765">
        <v>1</v>
      </c>
    </row>
    <row r="10766" spans="1:5" x14ac:dyDescent="0.25">
      <c r="A10766">
        <v>10765</v>
      </c>
      <c r="B10766">
        <v>9634515</v>
      </c>
      <c r="C10766" s="1" t="str">
        <f>HYPERLINK("http://stackoverflow.com/users/9634515", "Couponbirds")</f>
        <v>Couponbirds</v>
      </c>
      <c r="D10766" t="s">
        <v>5</v>
      </c>
      <c r="E10766">
        <v>1</v>
      </c>
    </row>
    <row r="10767" spans="1:5" x14ac:dyDescent="0.25">
      <c r="A10767">
        <v>10766</v>
      </c>
      <c r="B10767">
        <v>7825214</v>
      </c>
      <c r="C10767" s="1" t="str">
        <f>HYPERLINK("http://stackoverflow.com/users/7825214", "Dean")</f>
        <v>Dean</v>
      </c>
      <c r="D10767" t="s">
        <v>5</v>
      </c>
      <c r="E10767">
        <v>1</v>
      </c>
    </row>
    <row r="10768" spans="1:5" x14ac:dyDescent="0.25">
      <c r="A10768">
        <v>10767</v>
      </c>
      <c r="B10768">
        <v>7825257</v>
      </c>
      <c r="C10768" s="1" t="str">
        <f>HYPERLINK("http://stackoverflow.com/users/7825257", "user7825257")</f>
        <v>user7825257</v>
      </c>
      <c r="D10768" t="s">
        <v>15</v>
      </c>
      <c r="E10768">
        <v>1</v>
      </c>
    </row>
    <row r="10769" spans="1:5" x14ac:dyDescent="0.25">
      <c r="A10769">
        <v>10768</v>
      </c>
      <c r="B10769">
        <v>9629306</v>
      </c>
      <c r="C10769" s="1" t="str">
        <f>HYPERLINK("http://stackoverflow.com/users/9629306", "zhengmin zou")</f>
        <v>zhengmin zou</v>
      </c>
      <c r="D10769" t="s">
        <v>5</v>
      </c>
      <c r="E10769">
        <v>1</v>
      </c>
    </row>
    <row r="10770" spans="1:5" x14ac:dyDescent="0.25">
      <c r="A10770">
        <v>10769</v>
      </c>
      <c r="B10770">
        <v>2455510</v>
      </c>
      <c r="C10770" s="1" t="str">
        <f>HYPERLINK("http://stackoverflow.com/users/2455510", "yuguangchuan")</f>
        <v>yuguangchuan</v>
      </c>
      <c r="D10770" t="s">
        <v>57</v>
      </c>
      <c r="E10770">
        <v>1</v>
      </c>
    </row>
    <row r="10771" spans="1:5" x14ac:dyDescent="0.25">
      <c r="A10771">
        <v>10770</v>
      </c>
      <c r="B10771">
        <v>9629384</v>
      </c>
      <c r="C10771" s="1" t="str">
        <f>HYPERLINK("http://stackoverflow.com/users/9629384", "Yue Sun")</f>
        <v>Yue Sun</v>
      </c>
      <c r="D10771" t="s">
        <v>5</v>
      </c>
      <c r="E10771">
        <v>1</v>
      </c>
    </row>
    <row r="10772" spans="1:5" x14ac:dyDescent="0.25">
      <c r="A10772">
        <v>10771</v>
      </c>
      <c r="B10772">
        <v>9629486</v>
      </c>
      <c r="C10772" s="1" t="str">
        <f>HYPERLINK("http://stackoverflow.com/users/9629486", "Jun")</f>
        <v>Jun</v>
      </c>
      <c r="D10772" t="s">
        <v>4</v>
      </c>
      <c r="E10772">
        <v>1</v>
      </c>
    </row>
    <row r="10773" spans="1:5" x14ac:dyDescent="0.25">
      <c r="A10773">
        <v>10772</v>
      </c>
      <c r="B10773">
        <v>7820899</v>
      </c>
      <c r="C10773" s="1" t="str">
        <f>HYPERLINK("http://stackoverflow.com/users/7820899", "sweet_biscuit")</f>
        <v>sweet_biscuit</v>
      </c>
      <c r="D10773" t="s">
        <v>131</v>
      </c>
      <c r="E10773">
        <v>1</v>
      </c>
    </row>
    <row r="10774" spans="1:5" x14ac:dyDescent="0.25">
      <c r="A10774">
        <v>10773</v>
      </c>
      <c r="B10774">
        <v>7817877</v>
      </c>
      <c r="C10774" s="1" t="str">
        <f>HYPERLINK("http://stackoverflow.com/users/7817877", "dqxkane")</f>
        <v>dqxkane</v>
      </c>
      <c r="D10774" t="s">
        <v>4</v>
      </c>
      <c r="E10774">
        <v>1</v>
      </c>
    </row>
    <row r="10775" spans="1:5" x14ac:dyDescent="0.25">
      <c r="A10775">
        <v>10774</v>
      </c>
      <c r="B10775">
        <v>7817947</v>
      </c>
      <c r="C10775" s="1" t="str">
        <f>HYPERLINK("http://stackoverflow.com/users/7817947", "asher")</f>
        <v>asher</v>
      </c>
      <c r="D10775" t="s">
        <v>4</v>
      </c>
      <c r="E10775">
        <v>1</v>
      </c>
    </row>
    <row r="10776" spans="1:5" x14ac:dyDescent="0.25">
      <c r="A10776">
        <v>10775</v>
      </c>
      <c r="B10776">
        <v>2430770</v>
      </c>
      <c r="C10776" s="1" t="str">
        <f>HYPERLINK("http://stackoverflow.com/users/2430770", "maizhibin")</f>
        <v>maizhibin</v>
      </c>
      <c r="D10776" t="s">
        <v>12</v>
      </c>
      <c r="E10776">
        <v>1</v>
      </c>
    </row>
    <row r="10777" spans="1:5" x14ac:dyDescent="0.25">
      <c r="A10777">
        <v>10776</v>
      </c>
      <c r="B10777">
        <v>2430790</v>
      </c>
      <c r="C10777" s="1" t="str">
        <f>HYPERLINK("http://stackoverflow.com/users/2430790", "xschao")</f>
        <v>xschao</v>
      </c>
      <c r="D10777" t="s">
        <v>5</v>
      </c>
      <c r="E10777">
        <v>1</v>
      </c>
    </row>
    <row r="10778" spans="1:5" x14ac:dyDescent="0.25">
      <c r="A10778">
        <v>10777</v>
      </c>
      <c r="B10778">
        <v>2435663</v>
      </c>
      <c r="C10778" s="1" t="str">
        <f>HYPERLINK("http://stackoverflow.com/users/2435663", "ananabe")</f>
        <v>ananabe</v>
      </c>
      <c r="D10778" t="s">
        <v>12</v>
      </c>
      <c r="E10778">
        <v>1</v>
      </c>
    </row>
    <row r="10779" spans="1:5" x14ac:dyDescent="0.25">
      <c r="A10779">
        <v>10778</v>
      </c>
      <c r="B10779">
        <v>7807144</v>
      </c>
      <c r="C10779" s="1" t="str">
        <f>HYPERLINK("http://stackoverflow.com/users/7807144", "Prophet_Lee")</f>
        <v>Prophet_Lee</v>
      </c>
      <c r="D10779" t="s">
        <v>62</v>
      </c>
      <c r="E10779">
        <v>1</v>
      </c>
    </row>
    <row r="10780" spans="1:5" x14ac:dyDescent="0.25">
      <c r="A10780">
        <v>10779</v>
      </c>
      <c r="B10780">
        <v>9622364</v>
      </c>
      <c r="C10780" s="1" t="str">
        <f>HYPERLINK("http://stackoverflow.com/users/9622364", "Anonymom")</f>
        <v>Anonymom</v>
      </c>
      <c r="D10780" t="s">
        <v>587</v>
      </c>
      <c r="E10780">
        <v>1</v>
      </c>
    </row>
    <row r="10781" spans="1:5" x14ac:dyDescent="0.25">
      <c r="A10781">
        <v>10780</v>
      </c>
      <c r="B10781">
        <v>9622407</v>
      </c>
      <c r="C10781" s="1" t="str">
        <f>HYPERLINK("http://stackoverflow.com/users/9622407", "Zaopen")</f>
        <v>Zaopen</v>
      </c>
      <c r="D10781" t="s">
        <v>16</v>
      </c>
      <c r="E10781">
        <v>1</v>
      </c>
    </row>
    <row r="10782" spans="1:5" x14ac:dyDescent="0.25">
      <c r="A10782">
        <v>10781</v>
      </c>
      <c r="B10782">
        <v>9622421</v>
      </c>
      <c r="C10782" s="1" t="str">
        <f>HYPERLINK("http://stackoverflow.com/users/9622421", "Bob.Yu")</f>
        <v>Bob.Yu</v>
      </c>
      <c r="D10782" t="s">
        <v>74</v>
      </c>
      <c r="E10782">
        <v>1</v>
      </c>
    </row>
    <row r="10783" spans="1:5" x14ac:dyDescent="0.25">
      <c r="A10783">
        <v>10782</v>
      </c>
      <c r="B10783">
        <v>9622425</v>
      </c>
      <c r="C10783" s="1" t="str">
        <f>HYPERLINK("http://stackoverflow.com/users/9622425", "Jia Guo")</f>
        <v>Jia Guo</v>
      </c>
      <c r="D10783" t="s">
        <v>52</v>
      </c>
      <c r="E10783">
        <v>1</v>
      </c>
    </row>
    <row r="10784" spans="1:5" x14ac:dyDescent="0.25">
      <c r="A10784">
        <v>10783</v>
      </c>
      <c r="B10784">
        <v>9622439</v>
      </c>
      <c r="C10784" s="1" t="str">
        <f>HYPERLINK("http://stackoverflow.com/users/9622439", "XJ Cai")</f>
        <v>XJ Cai</v>
      </c>
      <c r="D10784" t="s">
        <v>4</v>
      </c>
      <c r="E10784">
        <v>1</v>
      </c>
    </row>
    <row r="10785" spans="1:5" x14ac:dyDescent="0.25">
      <c r="A10785">
        <v>10784</v>
      </c>
      <c r="B10785">
        <v>9622600</v>
      </c>
      <c r="C10785" s="1" t="str">
        <f>HYPERLINK("http://stackoverflow.com/users/9622600", "Monalisa")</f>
        <v>Monalisa</v>
      </c>
      <c r="D10785" t="s">
        <v>588</v>
      </c>
      <c r="E10785">
        <v>1</v>
      </c>
    </row>
    <row r="10786" spans="1:5" x14ac:dyDescent="0.25">
      <c r="A10786">
        <v>10785</v>
      </c>
      <c r="B10786">
        <v>9622726</v>
      </c>
      <c r="C10786" s="1" t="str">
        <f>HYPERLINK("http://stackoverflow.com/users/9622726", "Enoch")</f>
        <v>Enoch</v>
      </c>
      <c r="D10786" t="s">
        <v>455</v>
      </c>
      <c r="E10786">
        <v>1</v>
      </c>
    </row>
    <row r="10787" spans="1:5" x14ac:dyDescent="0.25">
      <c r="A10787">
        <v>10786</v>
      </c>
      <c r="B10787">
        <v>9622744</v>
      </c>
      <c r="C10787" s="1" t="str">
        <f>HYPERLINK("http://stackoverflow.com/users/9622744", "Enkee")</f>
        <v>Enkee</v>
      </c>
      <c r="D10787" t="s">
        <v>5</v>
      </c>
      <c r="E10787">
        <v>1</v>
      </c>
    </row>
    <row r="10788" spans="1:5" x14ac:dyDescent="0.25">
      <c r="A10788">
        <v>10787</v>
      </c>
      <c r="B10788">
        <v>9622761</v>
      </c>
      <c r="C10788" s="1" t="str">
        <f>HYPERLINK("http://stackoverflow.com/users/9622761", "bahador")</f>
        <v>bahador</v>
      </c>
      <c r="D10788" t="s">
        <v>28</v>
      </c>
      <c r="E10788">
        <v>1</v>
      </c>
    </row>
    <row r="10789" spans="1:5" x14ac:dyDescent="0.25">
      <c r="A10789">
        <v>10788</v>
      </c>
      <c r="B10789">
        <v>7814100</v>
      </c>
      <c r="C10789" s="1" t="str">
        <f>HYPERLINK("http://stackoverflow.com/users/7814100", "Xiao L")</f>
        <v>Xiao L</v>
      </c>
      <c r="D10789" t="s">
        <v>43</v>
      </c>
      <c r="E10789">
        <v>1</v>
      </c>
    </row>
    <row r="10790" spans="1:5" x14ac:dyDescent="0.25">
      <c r="A10790">
        <v>10789</v>
      </c>
      <c r="B10790">
        <v>7814575</v>
      </c>
      <c r="C10790" s="1" t="str">
        <f>HYPERLINK("http://stackoverflow.com/users/7814575", "Judy He")</f>
        <v>Judy He</v>
      </c>
      <c r="D10790" t="s">
        <v>589</v>
      </c>
      <c r="E10790">
        <v>1</v>
      </c>
    </row>
    <row r="10791" spans="1:5" x14ac:dyDescent="0.25">
      <c r="A10791">
        <v>10790</v>
      </c>
      <c r="B10791">
        <v>7817695</v>
      </c>
      <c r="C10791" s="1" t="str">
        <f>HYPERLINK("http://stackoverflow.com/users/7817695", "shj")</f>
        <v>shj</v>
      </c>
      <c r="D10791" t="s">
        <v>4</v>
      </c>
      <c r="E10791">
        <v>1</v>
      </c>
    </row>
    <row r="10792" spans="1:5" x14ac:dyDescent="0.25">
      <c r="A10792">
        <v>10791</v>
      </c>
      <c r="B10792">
        <v>9612875</v>
      </c>
      <c r="C10792" s="1" t="str">
        <f>HYPERLINK("http://stackoverflow.com/users/9612875", "Athur th.")</f>
        <v>Athur th.</v>
      </c>
      <c r="D10792" t="s">
        <v>5</v>
      </c>
      <c r="E10792">
        <v>1</v>
      </c>
    </row>
    <row r="10793" spans="1:5" x14ac:dyDescent="0.25">
      <c r="A10793">
        <v>10792</v>
      </c>
      <c r="B10793">
        <v>6043397</v>
      </c>
      <c r="C10793" s="1" t="str">
        <f>HYPERLINK("http://stackoverflow.com/users/6043397", "Alex")</f>
        <v>Alex</v>
      </c>
      <c r="D10793" t="s">
        <v>43</v>
      </c>
      <c r="E10793">
        <v>1</v>
      </c>
    </row>
    <row r="10794" spans="1:5" x14ac:dyDescent="0.25">
      <c r="A10794">
        <v>10793</v>
      </c>
      <c r="B10794">
        <v>6043433</v>
      </c>
      <c r="C10794" s="1" t="str">
        <f>HYPERLINK("http://stackoverflow.com/users/6043433", "Vincent Hu")</f>
        <v>Vincent Hu</v>
      </c>
      <c r="D10794" t="s">
        <v>25</v>
      </c>
      <c r="E10794">
        <v>1</v>
      </c>
    </row>
    <row r="10795" spans="1:5" x14ac:dyDescent="0.25">
      <c r="A10795">
        <v>10794</v>
      </c>
      <c r="B10795">
        <v>2431692</v>
      </c>
      <c r="C10795" s="1" t="str">
        <f>HYPERLINK("http://stackoverflow.com/users/2431692", "Lawson")</f>
        <v>Lawson</v>
      </c>
      <c r="D10795" t="s">
        <v>12</v>
      </c>
      <c r="E10795">
        <v>1</v>
      </c>
    </row>
    <row r="10796" spans="1:5" x14ac:dyDescent="0.25">
      <c r="A10796">
        <v>10795</v>
      </c>
      <c r="B10796">
        <v>2431820</v>
      </c>
      <c r="C10796" s="1" t="str">
        <f>HYPERLINK("http://stackoverflow.com/users/2431820", "Smile")</f>
        <v>Smile</v>
      </c>
      <c r="D10796" t="s">
        <v>4</v>
      </c>
      <c r="E10796">
        <v>1</v>
      </c>
    </row>
    <row r="10797" spans="1:5" x14ac:dyDescent="0.25">
      <c r="A10797">
        <v>10796</v>
      </c>
      <c r="B10797">
        <v>7803427</v>
      </c>
      <c r="C10797" s="1" t="str">
        <f>HYPERLINK("http://stackoverflow.com/users/7803427", "loofah")</f>
        <v>loofah</v>
      </c>
      <c r="D10797" t="s">
        <v>266</v>
      </c>
      <c r="E10797">
        <v>1</v>
      </c>
    </row>
    <row r="10798" spans="1:5" x14ac:dyDescent="0.25">
      <c r="A10798">
        <v>10797</v>
      </c>
      <c r="B10798">
        <v>9607376</v>
      </c>
      <c r="C10798" s="1" t="str">
        <f>HYPERLINK("http://stackoverflow.com/users/9607376", "Tushar Sachdev")</f>
        <v>Tushar Sachdev</v>
      </c>
      <c r="D10798" t="s">
        <v>5</v>
      </c>
      <c r="E10798">
        <v>1</v>
      </c>
    </row>
    <row r="10799" spans="1:5" x14ac:dyDescent="0.25">
      <c r="A10799">
        <v>10798</v>
      </c>
      <c r="B10799">
        <v>7799455</v>
      </c>
      <c r="C10799" s="1" t="str">
        <f>HYPERLINK("http://stackoverflow.com/users/7799455", "Cath Sunspear")</f>
        <v>Cath Sunspear</v>
      </c>
      <c r="D10799" t="s">
        <v>25</v>
      </c>
      <c r="E10799">
        <v>1</v>
      </c>
    </row>
    <row r="10800" spans="1:5" x14ac:dyDescent="0.25">
      <c r="A10800">
        <v>10799</v>
      </c>
      <c r="B10800">
        <v>7795062</v>
      </c>
      <c r="C10800" s="1" t="str">
        <f>HYPERLINK("http://stackoverflow.com/users/7795062", "ChurchYan")</f>
        <v>ChurchYan</v>
      </c>
      <c r="D10800" t="s">
        <v>184</v>
      </c>
      <c r="E10800">
        <v>1</v>
      </c>
    </row>
    <row r="10801" spans="1:5" x14ac:dyDescent="0.25">
      <c r="A10801">
        <v>10800</v>
      </c>
      <c r="B10801">
        <v>6034720</v>
      </c>
      <c r="C10801" s="1" t="str">
        <f>HYPERLINK("http://stackoverflow.com/users/6034720", "happyxiaofu")</f>
        <v>happyxiaofu</v>
      </c>
      <c r="D10801" t="s">
        <v>5</v>
      </c>
      <c r="E10801">
        <v>1</v>
      </c>
    </row>
    <row r="10802" spans="1:5" x14ac:dyDescent="0.25">
      <c r="A10802">
        <v>10801</v>
      </c>
      <c r="B10802">
        <v>9602605</v>
      </c>
      <c r="C10802" s="1" t="str">
        <f>HYPERLINK("http://stackoverflow.com/users/9602605", "Collin")</f>
        <v>Collin</v>
      </c>
      <c r="D10802" t="s">
        <v>34</v>
      </c>
      <c r="E10802">
        <v>1</v>
      </c>
    </row>
    <row r="10803" spans="1:5" x14ac:dyDescent="0.25">
      <c r="A10803">
        <v>10802</v>
      </c>
      <c r="B10803">
        <v>4306658</v>
      </c>
      <c r="C10803" s="1" t="str">
        <f>HYPERLINK("http://stackoverflow.com/users/4306658", "YoungGy")</f>
        <v>YoungGy</v>
      </c>
      <c r="D10803" t="s">
        <v>57</v>
      </c>
      <c r="E10803">
        <v>1</v>
      </c>
    </row>
    <row r="10804" spans="1:5" x14ac:dyDescent="0.25">
      <c r="A10804">
        <v>10803</v>
      </c>
      <c r="B10804">
        <v>4306709</v>
      </c>
      <c r="C10804" s="1" t="str">
        <f>HYPERLINK("http://stackoverflow.com/users/4306709", "Yang Lu")</f>
        <v>Yang Lu</v>
      </c>
      <c r="D10804" t="s">
        <v>4</v>
      </c>
      <c r="E10804">
        <v>1</v>
      </c>
    </row>
    <row r="10805" spans="1:5" x14ac:dyDescent="0.25">
      <c r="A10805">
        <v>10804</v>
      </c>
      <c r="B10805">
        <v>7994724</v>
      </c>
      <c r="C10805" s="1" t="str">
        <f>HYPERLINK("http://stackoverflow.com/users/7994724", "Yin Shen")</f>
        <v>Yin Shen</v>
      </c>
      <c r="D10805" t="s">
        <v>10</v>
      </c>
      <c r="E10805">
        <v>1</v>
      </c>
    </row>
    <row r="10806" spans="1:5" x14ac:dyDescent="0.25">
      <c r="A10806">
        <v>10805</v>
      </c>
      <c r="B10806">
        <v>7994749</v>
      </c>
      <c r="C10806" s="1" t="str">
        <f>HYPERLINK("http://stackoverflow.com/users/7994749", "guanbaozhou")</f>
        <v>guanbaozhou</v>
      </c>
      <c r="D10806" t="s">
        <v>266</v>
      </c>
      <c r="E10806">
        <v>1</v>
      </c>
    </row>
    <row r="10807" spans="1:5" x14ac:dyDescent="0.25">
      <c r="A10807">
        <v>10806</v>
      </c>
      <c r="B10807">
        <v>7994755</v>
      </c>
      <c r="C10807" s="1" t="str">
        <f>HYPERLINK("http://stackoverflow.com/users/7994755", "Wan Kanzhen")</f>
        <v>Wan Kanzhen</v>
      </c>
      <c r="D10807" t="s">
        <v>7</v>
      </c>
      <c r="E10807">
        <v>1</v>
      </c>
    </row>
    <row r="10808" spans="1:5" x14ac:dyDescent="0.25">
      <c r="A10808">
        <v>10807</v>
      </c>
      <c r="B10808">
        <v>7994775</v>
      </c>
      <c r="C10808" s="1" t="str">
        <f>HYPERLINK("http://stackoverflow.com/users/7994775", "JaveCai")</f>
        <v>JaveCai</v>
      </c>
      <c r="D10808" t="s">
        <v>7</v>
      </c>
      <c r="E10808">
        <v>1</v>
      </c>
    </row>
    <row r="10809" spans="1:5" x14ac:dyDescent="0.25">
      <c r="A10809">
        <v>10808</v>
      </c>
      <c r="B10809">
        <v>6216005</v>
      </c>
      <c r="C10809" s="1" t="str">
        <f>HYPERLINK("http://stackoverflow.com/users/6216005", "殷晓涵")</f>
        <v>殷晓涵</v>
      </c>
      <c r="D10809" t="s">
        <v>590</v>
      </c>
      <c r="E10809">
        <v>1</v>
      </c>
    </row>
    <row r="10810" spans="1:5" x14ac:dyDescent="0.25">
      <c r="A10810">
        <v>10809</v>
      </c>
      <c r="B10810">
        <v>6216690</v>
      </c>
      <c r="C10810" s="1" t="str">
        <f>HYPERLINK("http://stackoverflow.com/users/6216690", "Morris Dong")</f>
        <v>Morris Dong</v>
      </c>
      <c r="D10810" t="s">
        <v>28</v>
      </c>
      <c r="E10810">
        <v>1</v>
      </c>
    </row>
    <row r="10811" spans="1:5" x14ac:dyDescent="0.25">
      <c r="A10811">
        <v>10810</v>
      </c>
      <c r="B10811">
        <v>4485966</v>
      </c>
      <c r="C10811" s="1" t="str">
        <f>HYPERLINK("http://stackoverflow.com/users/4485966", "ephoton")</f>
        <v>ephoton</v>
      </c>
      <c r="D10811" t="s">
        <v>37</v>
      </c>
      <c r="E10811">
        <v>1</v>
      </c>
    </row>
    <row r="10812" spans="1:5" x14ac:dyDescent="0.25">
      <c r="A10812">
        <v>10811</v>
      </c>
      <c r="B10812">
        <v>4485040</v>
      </c>
      <c r="C10812" s="1" t="str">
        <f>HYPERLINK("http://stackoverflow.com/users/4485040", "dddew")</f>
        <v>dddew</v>
      </c>
      <c r="D10812" t="s">
        <v>4</v>
      </c>
      <c r="E10812">
        <v>1</v>
      </c>
    </row>
    <row r="10813" spans="1:5" x14ac:dyDescent="0.25">
      <c r="A10813">
        <v>10812</v>
      </c>
      <c r="B10813">
        <v>4485484</v>
      </c>
      <c r="C10813" s="1" t="str">
        <f>HYPERLINK("http://stackoverflow.com/users/4485484", "wrabbit")</f>
        <v>wrabbit</v>
      </c>
      <c r="D10813" t="s">
        <v>5</v>
      </c>
      <c r="E10813">
        <v>1</v>
      </c>
    </row>
    <row r="10814" spans="1:5" x14ac:dyDescent="0.25">
      <c r="A10814">
        <v>10813</v>
      </c>
      <c r="B10814">
        <v>7979846</v>
      </c>
      <c r="C10814" s="1" t="str">
        <f>HYPERLINK("http://stackoverflow.com/users/7979846", "Lcoper")</f>
        <v>Lcoper</v>
      </c>
      <c r="D10814" t="s">
        <v>16</v>
      </c>
      <c r="E10814">
        <v>1</v>
      </c>
    </row>
    <row r="10815" spans="1:5" x14ac:dyDescent="0.25">
      <c r="A10815">
        <v>10814</v>
      </c>
      <c r="B10815">
        <v>7983268</v>
      </c>
      <c r="C10815" s="1" t="str">
        <f>HYPERLINK("http://stackoverflow.com/users/7983268", "lvjiujin")</f>
        <v>lvjiujin</v>
      </c>
      <c r="D10815" t="s">
        <v>4</v>
      </c>
      <c r="E10815">
        <v>1</v>
      </c>
    </row>
    <row r="10816" spans="1:5" x14ac:dyDescent="0.25">
      <c r="A10816">
        <v>10815</v>
      </c>
      <c r="B10816">
        <v>7983292</v>
      </c>
      <c r="C10816" s="1" t="str">
        <f>HYPERLINK("http://stackoverflow.com/users/7983292", "Chuanjiang Luo")</f>
        <v>Chuanjiang Luo</v>
      </c>
      <c r="D10816" t="s">
        <v>591</v>
      </c>
      <c r="E10816">
        <v>1</v>
      </c>
    </row>
    <row r="10817" spans="1:5" x14ac:dyDescent="0.25">
      <c r="A10817">
        <v>10816</v>
      </c>
      <c r="B10817">
        <v>7983350</v>
      </c>
      <c r="C10817" s="1" t="str">
        <f>HYPERLINK("http://stackoverflow.com/users/7983350", "xu Zhao")</f>
        <v>xu Zhao</v>
      </c>
      <c r="D10817" t="s">
        <v>28</v>
      </c>
      <c r="E10817">
        <v>1</v>
      </c>
    </row>
    <row r="10818" spans="1:5" x14ac:dyDescent="0.25">
      <c r="A10818">
        <v>10817</v>
      </c>
      <c r="B10818">
        <v>7983357</v>
      </c>
      <c r="C10818" s="1" t="str">
        <f>HYPERLINK("http://stackoverflow.com/users/7983357", "M.Chang")</f>
        <v>M.Chang</v>
      </c>
      <c r="D10818" t="s">
        <v>16</v>
      </c>
      <c r="E10818">
        <v>1</v>
      </c>
    </row>
    <row r="10819" spans="1:5" x14ac:dyDescent="0.25">
      <c r="A10819">
        <v>10818</v>
      </c>
      <c r="B10819">
        <v>2628777</v>
      </c>
      <c r="C10819" s="1" t="str">
        <f>HYPERLINK("http://stackoverflow.com/users/2628777", "phpmaple")</f>
        <v>phpmaple</v>
      </c>
      <c r="D10819" t="s">
        <v>37</v>
      </c>
      <c r="E10819">
        <v>1</v>
      </c>
    </row>
    <row r="10820" spans="1:5" x14ac:dyDescent="0.25">
      <c r="A10820">
        <v>10819</v>
      </c>
      <c r="B10820">
        <v>7979386</v>
      </c>
      <c r="C10820" s="1" t="str">
        <f>HYPERLINK("http://stackoverflow.com/users/7979386", "Cedric Villiams")</f>
        <v>Cedric Villiams</v>
      </c>
      <c r="D10820" t="s">
        <v>79</v>
      </c>
      <c r="E10820">
        <v>1</v>
      </c>
    </row>
    <row r="10821" spans="1:5" x14ac:dyDescent="0.25">
      <c r="A10821">
        <v>10820</v>
      </c>
      <c r="B10821">
        <v>7979543</v>
      </c>
      <c r="C10821" s="1" t="str">
        <f>HYPERLINK("http://stackoverflow.com/users/7979543", "Justin Shen")</f>
        <v>Justin Shen</v>
      </c>
      <c r="D10821" t="s">
        <v>4</v>
      </c>
      <c r="E10821">
        <v>1</v>
      </c>
    </row>
    <row r="10822" spans="1:5" x14ac:dyDescent="0.25">
      <c r="A10822">
        <v>10821</v>
      </c>
      <c r="B10822">
        <v>6202927</v>
      </c>
      <c r="C10822" s="1" t="str">
        <f>HYPERLINK("http://stackoverflow.com/users/6202927", "A radish")</f>
        <v>A radish</v>
      </c>
      <c r="D10822" t="s">
        <v>4</v>
      </c>
      <c r="E10822">
        <v>1</v>
      </c>
    </row>
    <row r="10823" spans="1:5" x14ac:dyDescent="0.25">
      <c r="A10823">
        <v>10822</v>
      </c>
      <c r="B10823">
        <v>2616855</v>
      </c>
      <c r="C10823" s="1" t="str">
        <f>HYPERLINK("http://stackoverflow.com/users/2616855", "Fleming")</f>
        <v>Fleming</v>
      </c>
      <c r="D10823" t="s">
        <v>17</v>
      </c>
      <c r="E10823">
        <v>1</v>
      </c>
    </row>
    <row r="10824" spans="1:5" x14ac:dyDescent="0.25">
      <c r="A10824">
        <v>10823</v>
      </c>
      <c r="B10824">
        <v>2616887</v>
      </c>
      <c r="C10824" s="1" t="str">
        <f>HYPERLINK("http://stackoverflow.com/users/2616887", "ryin")</f>
        <v>ryin</v>
      </c>
      <c r="D10824" t="s">
        <v>4</v>
      </c>
      <c r="E10824">
        <v>1</v>
      </c>
    </row>
    <row r="10825" spans="1:5" x14ac:dyDescent="0.25">
      <c r="A10825">
        <v>10824</v>
      </c>
      <c r="B10825">
        <v>2616997</v>
      </c>
      <c r="C10825" s="1" t="str">
        <f>HYPERLINK("http://stackoverflow.com/users/2616997", "Yimi")</f>
        <v>Yimi</v>
      </c>
      <c r="D10825" t="s">
        <v>4</v>
      </c>
      <c r="E10825">
        <v>1</v>
      </c>
    </row>
    <row r="10826" spans="1:5" x14ac:dyDescent="0.25">
      <c r="A10826">
        <v>10825</v>
      </c>
      <c r="B10826">
        <v>2617473</v>
      </c>
      <c r="C10826" s="1" t="str">
        <f>HYPERLINK("http://stackoverflow.com/users/2617473", "MarvinYane")</f>
        <v>MarvinYane</v>
      </c>
      <c r="D10826" t="s">
        <v>4</v>
      </c>
      <c r="E10826">
        <v>1</v>
      </c>
    </row>
    <row r="10827" spans="1:5" x14ac:dyDescent="0.25">
      <c r="A10827">
        <v>10826</v>
      </c>
      <c r="B10827">
        <v>9784798</v>
      </c>
      <c r="C10827" s="1" t="str">
        <f>HYPERLINK("http://stackoverflow.com/users/9784798", "Volare")</f>
        <v>Volare</v>
      </c>
      <c r="D10827" t="s">
        <v>25</v>
      </c>
      <c r="E10827">
        <v>1</v>
      </c>
    </row>
    <row r="10828" spans="1:5" x14ac:dyDescent="0.25">
      <c r="A10828">
        <v>10827</v>
      </c>
      <c r="B10828">
        <v>9788822</v>
      </c>
      <c r="C10828" s="1" t="str">
        <f>HYPERLINK("http://stackoverflow.com/users/9788822", "gnocchiYang")</f>
        <v>gnocchiYang</v>
      </c>
      <c r="D10828" t="s">
        <v>108</v>
      </c>
      <c r="E10828">
        <v>1</v>
      </c>
    </row>
    <row r="10829" spans="1:5" x14ac:dyDescent="0.25">
      <c r="A10829">
        <v>10828</v>
      </c>
      <c r="B10829">
        <v>9789173</v>
      </c>
      <c r="C10829" s="1" t="str">
        <f>HYPERLINK("http://stackoverflow.com/users/9789173", "Wayne")</f>
        <v>Wayne</v>
      </c>
      <c r="D10829" t="s">
        <v>25</v>
      </c>
      <c r="E10829">
        <v>1</v>
      </c>
    </row>
    <row r="10830" spans="1:5" x14ac:dyDescent="0.25">
      <c r="A10830">
        <v>10829</v>
      </c>
      <c r="B10830">
        <v>9789547</v>
      </c>
      <c r="C10830" s="1" t="str">
        <f>HYPERLINK("http://stackoverflow.com/users/9789547", "Guo Ziyang")</f>
        <v>Guo Ziyang</v>
      </c>
      <c r="D10830" t="s">
        <v>19</v>
      </c>
      <c r="E10830">
        <v>1</v>
      </c>
    </row>
    <row r="10831" spans="1:5" x14ac:dyDescent="0.25">
      <c r="A10831">
        <v>10830</v>
      </c>
      <c r="B10831">
        <v>9789626</v>
      </c>
      <c r="C10831" s="1" t="str">
        <f>HYPERLINK("http://stackoverflow.com/users/9789626", "ch-yk")</f>
        <v>ch-yk</v>
      </c>
      <c r="D10831" t="s">
        <v>16</v>
      </c>
      <c r="E10831">
        <v>1</v>
      </c>
    </row>
    <row r="10832" spans="1:5" x14ac:dyDescent="0.25">
      <c r="A10832">
        <v>10831</v>
      </c>
      <c r="B10832">
        <v>4472687</v>
      </c>
      <c r="C10832" s="1" t="str">
        <f>HYPERLINK("http://stackoverflow.com/users/4472687", "demiaowu")</f>
        <v>demiaowu</v>
      </c>
      <c r="D10832" t="s">
        <v>28</v>
      </c>
      <c r="E10832">
        <v>1</v>
      </c>
    </row>
    <row r="10833" spans="1:5" x14ac:dyDescent="0.25">
      <c r="A10833">
        <v>10832</v>
      </c>
      <c r="B10833">
        <v>2608981</v>
      </c>
      <c r="C10833" s="1" t="str">
        <f>HYPERLINK("http://stackoverflow.com/users/2608981", "pzwjyxx")</f>
        <v>pzwjyxx</v>
      </c>
      <c r="D10833" t="s">
        <v>4</v>
      </c>
      <c r="E10833">
        <v>1</v>
      </c>
    </row>
    <row r="10834" spans="1:5" x14ac:dyDescent="0.25">
      <c r="A10834">
        <v>10833</v>
      </c>
      <c r="B10834">
        <v>4461554</v>
      </c>
      <c r="C10834" s="1" t="str">
        <f>HYPERLINK("http://stackoverflow.com/users/4461554", "Mandy Cheng")</f>
        <v>Mandy Cheng</v>
      </c>
      <c r="D10834" t="s">
        <v>4</v>
      </c>
      <c r="E10834">
        <v>1</v>
      </c>
    </row>
    <row r="10835" spans="1:5" x14ac:dyDescent="0.25">
      <c r="A10835">
        <v>10834</v>
      </c>
      <c r="B10835">
        <v>6190118</v>
      </c>
      <c r="C10835" s="1" t="str">
        <f>HYPERLINK("http://stackoverflow.com/users/6190118", "Biao")</f>
        <v>Biao</v>
      </c>
      <c r="D10835" t="s">
        <v>5</v>
      </c>
      <c r="E10835">
        <v>1</v>
      </c>
    </row>
    <row r="10836" spans="1:5" x14ac:dyDescent="0.25">
      <c r="A10836">
        <v>10835</v>
      </c>
      <c r="B10836">
        <v>9780841</v>
      </c>
      <c r="C10836" s="1" t="str">
        <f>HYPERLINK("http://stackoverflow.com/users/9780841", "Pedro")</f>
        <v>Pedro</v>
      </c>
      <c r="D10836" t="s">
        <v>5</v>
      </c>
      <c r="E10836">
        <v>1</v>
      </c>
    </row>
    <row r="10837" spans="1:5" x14ac:dyDescent="0.25">
      <c r="A10837">
        <v>10836</v>
      </c>
      <c r="B10837">
        <v>9780954</v>
      </c>
      <c r="C10837" s="1" t="str">
        <f>HYPERLINK("http://stackoverflow.com/users/9780954", "FromZeroToOne")</f>
        <v>FromZeroToOne</v>
      </c>
      <c r="D10837" t="s">
        <v>16</v>
      </c>
      <c r="E10837">
        <v>1</v>
      </c>
    </row>
    <row r="10838" spans="1:5" x14ac:dyDescent="0.25">
      <c r="A10838">
        <v>10837</v>
      </c>
      <c r="B10838">
        <v>350944</v>
      </c>
      <c r="C10838" s="1" t="str">
        <f>HYPERLINK("http://stackoverflow.com/users/350944", "novertina")</f>
        <v>novertina</v>
      </c>
      <c r="D10838" t="s">
        <v>37</v>
      </c>
      <c r="E10838">
        <v>1</v>
      </c>
    </row>
    <row r="10839" spans="1:5" x14ac:dyDescent="0.25">
      <c r="A10839">
        <v>10838</v>
      </c>
      <c r="B10839">
        <v>9784606</v>
      </c>
      <c r="C10839" s="1" t="str">
        <f>HYPERLINK("http://stackoverflow.com/users/9784606", "王龙华")</f>
        <v>王龙华</v>
      </c>
      <c r="D10839" t="s">
        <v>28</v>
      </c>
      <c r="E10839">
        <v>1</v>
      </c>
    </row>
    <row r="10840" spans="1:5" x14ac:dyDescent="0.25">
      <c r="A10840">
        <v>10839</v>
      </c>
      <c r="B10840">
        <v>6196959</v>
      </c>
      <c r="C10840" s="1" t="str">
        <f>HYPERLINK("http://stackoverflow.com/users/6196959", "Huang Xiao")</f>
        <v>Huang Xiao</v>
      </c>
      <c r="D10840" t="s">
        <v>4</v>
      </c>
      <c r="E10840">
        <v>1</v>
      </c>
    </row>
    <row r="10841" spans="1:5" x14ac:dyDescent="0.25">
      <c r="A10841">
        <v>10840</v>
      </c>
      <c r="B10841">
        <v>6197106</v>
      </c>
      <c r="C10841" s="1" t="str">
        <f>HYPERLINK("http://stackoverflow.com/users/6197106", "isam")</f>
        <v>isam</v>
      </c>
      <c r="D10841" t="s">
        <v>16</v>
      </c>
      <c r="E10841">
        <v>1</v>
      </c>
    </row>
    <row r="10842" spans="1:5" x14ac:dyDescent="0.25">
      <c r="A10842">
        <v>10841</v>
      </c>
      <c r="B10842">
        <v>9769458</v>
      </c>
      <c r="C10842" s="1" t="str">
        <f>HYPERLINK("http://stackoverflow.com/users/9769458", "lgtcarol")</f>
        <v>lgtcarol</v>
      </c>
      <c r="D10842" t="s">
        <v>131</v>
      </c>
      <c r="E10842">
        <v>1</v>
      </c>
    </row>
    <row r="10843" spans="1:5" x14ac:dyDescent="0.25">
      <c r="A10843">
        <v>10842</v>
      </c>
      <c r="B10843">
        <v>9769488</v>
      </c>
      <c r="C10843" s="1" t="str">
        <f>HYPERLINK("http://stackoverflow.com/users/9769488", "Young")</f>
        <v>Young</v>
      </c>
      <c r="D10843" t="s">
        <v>4</v>
      </c>
      <c r="E10843">
        <v>1</v>
      </c>
    </row>
    <row r="10844" spans="1:5" x14ac:dyDescent="0.25">
      <c r="A10844">
        <v>10843</v>
      </c>
      <c r="B10844">
        <v>9769994</v>
      </c>
      <c r="C10844" s="1" t="str">
        <f>HYPERLINK("http://stackoverflow.com/users/9769994", "Clayton Stevenson")</f>
        <v>Clayton Stevenson</v>
      </c>
      <c r="D10844" t="s">
        <v>5</v>
      </c>
      <c r="E10844">
        <v>1</v>
      </c>
    </row>
    <row r="10845" spans="1:5" x14ac:dyDescent="0.25">
      <c r="A10845">
        <v>10844</v>
      </c>
      <c r="B10845">
        <v>9770061</v>
      </c>
      <c r="C10845" s="1" t="str">
        <f>HYPERLINK("http://stackoverflow.com/users/9770061", "er_bao")</f>
        <v>er_bao</v>
      </c>
      <c r="D10845" t="s">
        <v>28</v>
      </c>
      <c r="E10845">
        <v>1</v>
      </c>
    </row>
    <row r="10846" spans="1:5" x14ac:dyDescent="0.25">
      <c r="A10846">
        <v>10845</v>
      </c>
      <c r="B10846">
        <v>2601737</v>
      </c>
      <c r="C10846" s="1" t="str">
        <f>HYPERLINK("http://stackoverflow.com/users/2601737", "ReeHunc")</f>
        <v>ReeHunc</v>
      </c>
      <c r="D10846" t="s">
        <v>4</v>
      </c>
      <c r="E10846">
        <v>1</v>
      </c>
    </row>
    <row r="10847" spans="1:5" x14ac:dyDescent="0.25">
      <c r="A10847">
        <v>10846</v>
      </c>
      <c r="B10847">
        <v>2601431</v>
      </c>
      <c r="C10847" s="1" t="str">
        <f>HYPERLINK("http://stackoverflow.com/users/2601431", "vorfeed")</f>
        <v>vorfeed</v>
      </c>
      <c r="D10847" t="s">
        <v>4</v>
      </c>
      <c r="E10847">
        <v>1</v>
      </c>
    </row>
    <row r="10848" spans="1:5" x14ac:dyDescent="0.25">
      <c r="A10848">
        <v>10847</v>
      </c>
      <c r="B10848">
        <v>6188311</v>
      </c>
      <c r="C10848" s="1" t="str">
        <f>HYPERLINK("http://stackoverflow.com/users/6188311", "Lan Zhijie")</f>
        <v>Lan Zhijie</v>
      </c>
      <c r="D10848" t="s">
        <v>4</v>
      </c>
      <c r="E10848">
        <v>1</v>
      </c>
    </row>
    <row r="10849" spans="1:5" x14ac:dyDescent="0.25">
      <c r="A10849">
        <v>10848</v>
      </c>
      <c r="B10849">
        <v>6188314</v>
      </c>
      <c r="C10849" s="1" t="str">
        <f>HYPERLINK("http://stackoverflow.com/users/6188314", "wxcong")</f>
        <v>wxcong</v>
      </c>
      <c r="D10849" t="s">
        <v>266</v>
      </c>
      <c r="E10849">
        <v>1</v>
      </c>
    </row>
    <row r="10850" spans="1:5" x14ac:dyDescent="0.25">
      <c r="A10850">
        <v>10849</v>
      </c>
      <c r="B10850">
        <v>2608719</v>
      </c>
      <c r="C10850" s="1" t="str">
        <f>HYPERLINK("http://stackoverflow.com/users/2608719", "bob.wang")</f>
        <v>bob.wang</v>
      </c>
      <c r="D10850" t="s">
        <v>12</v>
      </c>
      <c r="E10850">
        <v>1</v>
      </c>
    </row>
    <row r="10851" spans="1:5" x14ac:dyDescent="0.25">
      <c r="A10851">
        <v>10850</v>
      </c>
      <c r="B10851">
        <v>2605565</v>
      </c>
      <c r="C10851" s="1" t="str">
        <f>HYPERLINK("http://stackoverflow.com/users/2605565", "Leo_Wang")</f>
        <v>Leo_Wang</v>
      </c>
      <c r="D10851" t="s">
        <v>37</v>
      </c>
      <c r="E10851">
        <v>1</v>
      </c>
    </row>
    <row r="10852" spans="1:5" x14ac:dyDescent="0.25">
      <c r="A10852">
        <v>10851</v>
      </c>
      <c r="B10852">
        <v>9773680</v>
      </c>
      <c r="C10852" s="1" t="str">
        <f>HYPERLINK("http://stackoverflow.com/users/9773680", "Ma Yaozhenghang")</f>
        <v>Ma Yaozhenghang</v>
      </c>
      <c r="D10852" t="s">
        <v>4</v>
      </c>
      <c r="E10852">
        <v>1</v>
      </c>
    </row>
    <row r="10853" spans="1:5" x14ac:dyDescent="0.25">
      <c r="A10853">
        <v>10852</v>
      </c>
      <c r="B10853">
        <v>7962221</v>
      </c>
      <c r="C10853" s="1" t="str">
        <f>HYPERLINK("http://stackoverflow.com/users/7962221", "ChayCao")</f>
        <v>ChayCao</v>
      </c>
      <c r="D10853" t="s">
        <v>78</v>
      </c>
      <c r="E10853">
        <v>1</v>
      </c>
    </row>
    <row r="10854" spans="1:5" x14ac:dyDescent="0.25">
      <c r="A10854">
        <v>10853</v>
      </c>
      <c r="B10854">
        <v>7962298</v>
      </c>
      <c r="C10854" s="1" t="str">
        <f>HYPERLINK("http://stackoverflow.com/users/7962298", "David Chen")</f>
        <v>David Chen</v>
      </c>
      <c r="D10854" t="s">
        <v>4</v>
      </c>
      <c r="E10854">
        <v>1</v>
      </c>
    </row>
    <row r="10855" spans="1:5" x14ac:dyDescent="0.25">
      <c r="A10855">
        <v>10854</v>
      </c>
      <c r="B10855">
        <v>4435809</v>
      </c>
      <c r="C10855" s="1" t="str">
        <f>HYPERLINK("http://stackoverflow.com/users/4435809", "Fitzwilliam Zhang")</f>
        <v>Fitzwilliam Zhang</v>
      </c>
      <c r="D10855" t="s">
        <v>52</v>
      </c>
      <c r="E10855">
        <v>1</v>
      </c>
    </row>
    <row r="10856" spans="1:5" x14ac:dyDescent="0.25">
      <c r="A10856">
        <v>10855</v>
      </c>
      <c r="B10856">
        <v>4436064</v>
      </c>
      <c r="C10856" s="1" t="str">
        <f>HYPERLINK("http://stackoverflow.com/users/4436064", "Zhichao Luo")</f>
        <v>Zhichao Luo</v>
      </c>
      <c r="D10856" t="s">
        <v>15</v>
      </c>
      <c r="E10856">
        <v>1</v>
      </c>
    </row>
    <row r="10857" spans="1:5" x14ac:dyDescent="0.25">
      <c r="A10857">
        <v>10856</v>
      </c>
      <c r="B10857">
        <v>6164166</v>
      </c>
      <c r="C10857" s="1" t="str">
        <f>HYPERLINK("http://stackoverflow.com/users/6164166", "Andy Wang")</f>
        <v>Andy Wang</v>
      </c>
      <c r="D10857" t="s">
        <v>11</v>
      </c>
      <c r="E10857">
        <v>1</v>
      </c>
    </row>
    <row r="10858" spans="1:5" x14ac:dyDescent="0.25">
      <c r="A10858">
        <v>10857</v>
      </c>
      <c r="B10858">
        <v>6164321</v>
      </c>
      <c r="C10858" s="1" t="str">
        <f>HYPERLINK("http://stackoverflow.com/users/6164321", "Banyan .Lin")</f>
        <v>Banyan .Lin</v>
      </c>
      <c r="D10858" t="s">
        <v>15</v>
      </c>
      <c r="E10858">
        <v>1</v>
      </c>
    </row>
    <row r="10859" spans="1:5" x14ac:dyDescent="0.25">
      <c r="A10859">
        <v>10858</v>
      </c>
      <c r="B10859">
        <v>2575551</v>
      </c>
      <c r="C10859" s="1" t="str">
        <f>HYPERLINK("http://stackoverflow.com/users/2575551", "caorongduan")</f>
        <v>caorongduan</v>
      </c>
      <c r="D10859" t="s">
        <v>37</v>
      </c>
      <c r="E10859">
        <v>1</v>
      </c>
    </row>
    <row r="10860" spans="1:5" x14ac:dyDescent="0.25">
      <c r="A10860">
        <v>10859</v>
      </c>
      <c r="B10860">
        <v>292119</v>
      </c>
      <c r="C10860" s="1" t="str">
        <f>HYPERLINK("http://stackoverflow.com/users/292119", "ravenwang")</f>
        <v>ravenwang</v>
      </c>
      <c r="D10860" t="s">
        <v>63</v>
      </c>
      <c r="E10860">
        <v>1</v>
      </c>
    </row>
    <row r="10861" spans="1:5" x14ac:dyDescent="0.25">
      <c r="A10861">
        <v>10860</v>
      </c>
      <c r="B10861">
        <v>4432099</v>
      </c>
      <c r="C10861" s="1" t="str">
        <f>HYPERLINK("http://stackoverflow.com/users/4432099", "XianpengShen")</f>
        <v>XianpengShen</v>
      </c>
      <c r="D10861" t="s">
        <v>74</v>
      </c>
      <c r="E10861">
        <v>1</v>
      </c>
    </row>
    <row r="10862" spans="1:5" x14ac:dyDescent="0.25">
      <c r="A10862">
        <v>10861</v>
      </c>
      <c r="B10862">
        <v>7931677</v>
      </c>
      <c r="C10862" s="1" t="str">
        <f>HYPERLINK("http://stackoverflow.com/users/7931677", "laroat")</f>
        <v>laroat</v>
      </c>
      <c r="D10862" t="s">
        <v>4</v>
      </c>
      <c r="E10862">
        <v>1</v>
      </c>
    </row>
    <row r="10863" spans="1:5" x14ac:dyDescent="0.25">
      <c r="A10863">
        <v>10862</v>
      </c>
      <c r="B10863">
        <v>7935152</v>
      </c>
      <c r="C10863" s="1" t="str">
        <f>HYPERLINK("http://stackoverflow.com/users/7935152", "Ti-Nien Ting")</f>
        <v>Ti-Nien Ting</v>
      </c>
      <c r="D10863" t="s">
        <v>4</v>
      </c>
      <c r="E10863">
        <v>1</v>
      </c>
    </row>
    <row r="10864" spans="1:5" x14ac:dyDescent="0.25">
      <c r="A10864">
        <v>10863</v>
      </c>
      <c r="B10864">
        <v>2576528</v>
      </c>
      <c r="C10864" s="1" t="str">
        <f>HYPERLINK("http://stackoverflow.com/users/2576528", "snowsun")</f>
        <v>snowsun</v>
      </c>
      <c r="D10864" t="s">
        <v>29</v>
      </c>
      <c r="E10864">
        <v>1</v>
      </c>
    </row>
    <row r="10865" spans="1:5" x14ac:dyDescent="0.25">
      <c r="A10865">
        <v>10864</v>
      </c>
      <c r="B10865">
        <v>2579296</v>
      </c>
      <c r="C10865" s="1" t="str">
        <f>HYPERLINK("http://stackoverflow.com/users/2579296", "LvLng")</f>
        <v>LvLng</v>
      </c>
      <c r="D10865" t="s">
        <v>5</v>
      </c>
      <c r="E10865">
        <v>1</v>
      </c>
    </row>
    <row r="10866" spans="1:5" x14ac:dyDescent="0.25">
      <c r="A10866">
        <v>10865</v>
      </c>
      <c r="B10866">
        <v>2579355</v>
      </c>
      <c r="C10866" s="1" t="str">
        <f>HYPERLINK("http://stackoverflow.com/users/2579355", "feemung")</f>
        <v>feemung</v>
      </c>
      <c r="D10866" t="s">
        <v>5</v>
      </c>
      <c r="E10866">
        <v>1</v>
      </c>
    </row>
    <row r="10867" spans="1:5" x14ac:dyDescent="0.25">
      <c r="A10867">
        <v>10866</v>
      </c>
      <c r="B10867">
        <v>2580198</v>
      </c>
      <c r="C10867" s="1" t="str">
        <f>HYPERLINK("http://stackoverflow.com/users/2580198", "Jason")</f>
        <v>Jason</v>
      </c>
      <c r="D10867" t="s">
        <v>8</v>
      </c>
      <c r="E10867">
        <v>1</v>
      </c>
    </row>
    <row r="10868" spans="1:5" x14ac:dyDescent="0.25">
      <c r="A10868">
        <v>10867</v>
      </c>
      <c r="B10868">
        <v>2567437</v>
      </c>
      <c r="C10868" s="1" t="str">
        <f>HYPERLINK("http://stackoverflow.com/users/2567437", "Gandalf_THU")</f>
        <v>Gandalf_THU</v>
      </c>
      <c r="D10868" t="s">
        <v>5</v>
      </c>
      <c r="E10868">
        <v>1</v>
      </c>
    </row>
    <row r="10869" spans="1:5" x14ac:dyDescent="0.25">
      <c r="A10869">
        <v>10868</v>
      </c>
      <c r="B10869">
        <v>9738796</v>
      </c>
      <c r="C10869" s="1" t="str">
        <f>HYPERLINK("http://stackoverflow.com/users/9738796", "Jose Yang")</f>
        <v>Jose Yang</v>
      </c>
      <c r="D10869" t="s">
        <v>4</v>
      </c>
      <c r="E10869">
        <v>1</v>
      </c>
    </row>
    <row r="10870" spans="1:5" x14ac:dyDescent="0.25">
      <c r="A10870">
        <v>10869</v>
      </c>
      <c r="B10870">
        <v>9739028</v>
      </c>
      <c r="C10870" s="1" t="str">
        <f>HYPERLINK("http://stackoverflow.com/users/9739028", "Caius")</f>
        <v>Caius</v>
      </c>
      <c r="D10870" t="s">
        <v>5</v>
      </c>
      <c r="E10870">
        <v>1</v>
      </c>
    </row>
    <row r="10871" spans="1:5" x14ac:dyDescent="0.25">
      <c r="A10871">
        <v>10870</v>
      </c>
      <c r="B10871">
        <v>2567592</v>
      </c>
      <c r="C10871" s="1" t="str">
        <f>HYPERLINK("http://stackoverflow.com/users/2567592", "jiaozg")</f>
        <v>jiaozg</v>
      </c>
      <c r="D10871" t="s">
        <v>5</v>
      </c>
      <c r="E10871">
        <v>1</v>
      </c>
    </row>
    <row r="10872" spans="1:5" x14ac:dyDescent="0.25">
      <c r="A10872">
        <v>10871</v>
      </c>
      <c r="B10872">
        <v>2567612</v>
      </c>
      <c r="C10872" s="1" t="str">
        <f>HYPERLINK("http://stackoverflow.com/users/2567612", "Roy Sun")</f>
        <v>Roy Sun</v>
      </c>
      <c r="D10872" t="s">
        <v>291</v>
      </c>
      <c r="E10872">
        <v>1</v>
      </c>
    </row>
    <row r="10873" spans="1:5" x14ac:dyDescent="0.25">
      <c r="A10873">
        <v>10872</v>
      </c>
      <c r="B10873">
        <v>2567688</v>
      </c>
      <c r="C10873" s="1" t="str">
        <f>HYPERLINK("http://stackoverflow.com/users/2567688", "larksoft")</f>
        <v>larksoft</v>
      </c>
      <c r="D10873" t="s">
        <v>4</v>
      </c>
      <c r="E10873">
        <v>1</v>
      </c>
    </row>
    <row r="10874" spans="1:5" x14ac:dyDescent="0.25">
      <c r="A10874">
        <v>10873</v>
      </c>
      <c r="B10874">
        <v>2567953</v>
      </c>
      <c r="C10874" s="1" t="str">
        <f>HYPERLINK("http://stackoverflow.com/users/2567953", "Paul")</f>
        <v>Paul</v>
      </c>
      <c r="D10874" t="s">
        <v>4</v>
      </c>
      <c r="E10874">
        <v>1</v>
      </c>
    </row>
    <row r="10875" spans="1:5" x14ac:dyDescent="0.25">
      <c r="A10875">
        <v>10874</v>
      </c>
      <c r="B10875">
        <v>2567990</v>
      </c>
      <c r="C10875" s="1" t="str">
        <f>HYPERLINK("http://stackoverflow.com/users/2567990", "Yunhua Lee")</f>
        <v>Yunhua Lee</v>
      </c>
      <c r="D10875" t="s">
        <v>21</v>
      </c>
      <c r="E10875">
        <v>1</v>
      </c>
    </row>
    <row r="10876" spans="1:5" x14ac:dyDescent="0.25">
      <c r="A10876">
        <v>10875</v>
      </c>
      <c r="B10876">
        <v>2563188</v>
      </c>
      <c r="C10876" s="1" t="str">
        <f>HYPERLINK("http://stackoverflow.com/users/2563188", "kim_gooner")</f>
        <v>kim_gooner</v>
      </c>
      <c r="D10876" t="s">
        <v>5</v>
      </c>
      <c r="E10876">
        <v>1</v>
      </c>
    </row>
    <row r="10877" spans="1:5" x14ac:dyDescent="0.25">
      <c r="A10877">
        <v>10876</v>
      </c>
      <c r="B10877">
        <v>9738579</v>
      </c>
      <c r="C10877" s="1" t="str">
        <f>HYPERLINK("http://stackoverflow.com/users/9738579", "user9738579")</f>
        <v>user9738579</v>
      </c>
      <c r="D10877" t="s">
        <v>592</v>
      </c>
      <c r="E10877">
        <v>1</v>
      </c>
    </row>
    <row r="10878" spans="1:5" x14ac:dyDescent="0.25">
      <c r="A10878">
        <v>10877</v>
      </c>
      <c r="B10878">
        <v>2568662</v>
      </c>
      <c r="C10878" s="1" t="str">
        <f>HYPERLINK("http://stackoverflow.com/users/2568662", "y2mao")</f>
        <v>y2mao</v>
      </c>
      <c r="D10878" t="s">
        <v>17</v>
      </c>
      <c r="E10878">
        <v>1</v>
      </c>
    </row>
    <row r="10879" spans="1:5" x14ac:dyDescent="0.25">
      <c r="A10879">
        <v>10878</v>
      </c>
      <c r="B10879">
        <v>9757940</v>
      </c>
      <c r="C10879" s="1" t="str">
        <f>HYPERLINK("http://stackoverflow.com/users/9757940", "Solarstorm")</f>
        <v>Solarstorm</v>
      </c>
      <c r="D10879" t="s">
        <v>5</v>
      </c>
      <c r="E10879">
        <v>1</v>
      </c>
    </row>
    <row r="10880" spans="1:5" x14ac:dyDescent="0.25">
      <c r="A10880">
        <v>10879</v>
      </c>
      <c r="B10880">
        <v>7949816</v>
      </c>
      <c r="C10880" s="1" t="str">
        <f>HYPERLINK("http://stackoverflow.com/users/7949816", "Haiyang Liu")</f>
        <v>Haiyang Liu</v>
      </c>
      <c r="D10880" t="s">
        <v>27</v>
      </c>
      <c r="E10880">
        <v>1</v>
      </c>
    </row>
    <row r="10881" spans="1:5" x14ac:dyDescent="0.25">
      <c r="A10881">
        <v>10880</v>
      </c>
      <c r="B10881">
        <v>7947190</v>
      </c>
      <c r="C10881" s="1" t="str">
        <f>HYPERLINK("http://stackoverflow.com/users/7947190", "Yu.YU")</f>
        <v>Yu.YU</v>
      </c>
      <c r="D10881" t="s">
        <v>4</v>
      </c>
      <c r="E10881">
        <v>1</v>
      </c>
    </row>
    <row r="10882" spans="1:5" x14ac:dyDescent="0.25">
      <c r="A10882">
        <v>10881</v>
      </c>
      <c r="B10882">
        <v>7947201</v>
      </c>
      <c r="C10882" s="1" t="str">
        <f>HYPERLINK("http://stackoverflow.com/users/7947201", "PillarRabbit")</f>
        <v>PillarRabbit</v>
      </c>
      <c r="D10882" t="s">
        <v>4</v>
      </c>
      <c r="E10882">
        <v>1</v>
      </c>
    </row>
    <row r="10883" spans="1:5" x14ac:dyDescent="0.25">
      <c r="A10883">
        <v>10882</v>
      </c>
      <c r="B10883">
        <v>6174228</v>
      </c>
      <c r="C10883" s="1" t="str">
        <f>HYPERLINK("http://stackoverflow.com/users/6174228", "S. Zeus")</f>
        <v>S. Zeus</v>
      </c>
      <c r="D10883" t="s">
        <v>33</v>
      </c>
      <c r="E10883">
        <v>1</v>
      </c>
    </row>
    <row r="10884" spans="1:5" x14ac:dyDescent="0.25">
      <c r="A10884">
        <v>10883</v>
      </c>
      <c r="B10884">
        <v>2590179</v>
      </c>
      <c r="C10884" s="1" t="str">
        <f>HYPERLINK("http://stackoverflow.com/users/2590179", "Tony-Wang")</f>
        <v>Tony-Wang</v>
      </c>
      <c r="D10884" t="s">
        <v>5</v>
      </c>
      <c r="E10884">
        <v>1</v>
      </c>
    </row>
    <row r="10885" spans="1:5" x14ac:dyDescent="0.25">
      <c r="A10885">
        <v>10884</v>
      </c>
      <c r="B10885">
        <v>2590229</v>
      </c>
      <c r="C10885" s="1" t="str">
        <f>HYPERLINK("http://stackoverflow.com/users/2590229", "Eagle")</f>
        <v>Eagle</v>
      </c>
      <c r="D10885" t="s">
        <v>22</v>
      </c>
      <c r="E10885">
        <v>1</v>
      </c>
    </row>
    <row r="10886" spans="1:5" x14ac:dyDescent="0.25">
      <c r="A10886">
        <v>10885</v>
      </c>
      <c r="B10886">
        <v>2590366</v>
      </c>
      <c r="C10886" s="1" t="str">
        <f>HYPERLINK("http://stackoverflow.com/users/2590366", "Grant Peng")</f>
        <v>Grant Peng</v>
      </c>
      <c r="D10886" t="s">
        <v>4</v>
      </c>
      <c r="E10886">
        <v>1</v>
      </c>
    </row>
    <row r="10887" spans="1:5" x14ac:dyDescent="0.25">
      <c r="A10887">
        <v>10886</v>
      </c>
      <c r="B10887">
        <v>7942348</v>
      </c>
      <c r="C10887" s="1" t="str">
        <f>HYPERLINK("http://stackoverflow.com/users/7942348", "Nate Nault")</f>
        <v>Nate Nault</v>
      </c>
      <c r="D10887" t="s">
        <v>5</v>
      </c>
      <c r="E10887">
        <v>1</v>
      </c>
    </row>
    <row r="10888" spans="1:5" x14ac:dyDescent="0.25">
      <c r="A10888">
        <v>10887</v>
      </c>
      <c r="B10888">
        <v>9750260</v>
      </c>
      <c r="C10888" s="1" t="str">
        <f>HYPERLINK("http://stackoverflow.com/users/9750260", "yh Feng")</f>
        <v>yh Feng</v>
      </c>
      <c r="D10888" t="s">
        <v>4</v>
      </c>
      <c r="E10888">
        <v>1</v>
      </c>
    </row>
    <row r="10889" spans="1:5" x14ac:dyDescent="0.25">
      <c r="A10889">
        <v>10888</v>
      </c>
      <c r="B10889">
        <v>6170183</v>
      </c>
      <c r="C10889" s="1" t="str">
        <f>HYPERLINK("http://stackoverflow.com/users/6170183", "yeyuehan")</f>
        <v>yeyuehan</v>
      </c>
      <c r="D10889" t="s">
        <v>5</v>
      </c>
      <c r="E10889">
        <v>1</v>
      </c>
    </row>
    <row r="10890" spans="1:5" x14ac:dyDescent="0.25">
      <c r="A10890">
        <v>10889</v>
      </c>
      <c r="B10890">
        <v>6170334</v>
      </c>
      <c r="C10890" s="1" t="str">
        <f>HYPERLINK("http://stackoverflow.com/users/6170334", "Uri")</f>
        <v>Uri</v>
      </c>
      <c r="D10890" t="s">
        <v>52</v>
      </c>
      <c r="E10890">
        <v>1</v>
      </c>
    </row>
    <row r="10891" spans="1:5" x14ac:dyDescent="0.25">
      <c r="A10891">
        <v>10890</v>
      </c>
      <c r="B10891">
        <v>6170347</v>
      </c>
      <c r="C10891" s="1" t="str">
        <f>HYPERLINK("http://stackoverflow.com/users/6170347", "Peng YanFu")</f>
        <v>Peng YanFu</v>
      </c>
      <c r="D10891" t="s">
        <v>25</v>
      </c>
      <c r="E10891">
        <v>1</v>
      </c>
    </row>
    <row r="10892" spans="1:5" x14ac:dyDescent="0.25">
      <c r="A10892">
        <v>10891</v>
      </c>
      <c r="B10892">
        <v>6170429</v>
      </c>
      <c r="C10892" s="1" t="str">
        <f>HYPERLINK("http://stackoverflow.com/users/6170429", "Tao")</f>
        <v>Tao</v>
      </c>
      <c r="D10892" t="s">
        <v>28</v>
      </c>
      <c r="E10892">
        <v>1</v>
      </c>
    </row>
    <row r="10893" spans="1:5" x14ac:dyDescent="0.25">
      <c r="A10893">
        <v>10892</v>
      </c>
      <c r="B10893">
        <v>9752848</v>
      </c>
      <c r="C10893" s="1" t="str">
        <f>HYPERLINK("http://stackoverflow.com/users/9752848", "Paul W")</f>
        <v>Paul W</v>
      </c>
      <c r="D10893" t="s">
        <v>43</v>
      </c>
      <c r="E10893">
        <v>1</v>
      </c>
    </row>
    <row r="10894" spans="1:5" x14ac:dyDescent="0.25">
      <c r="A10894">
        <v>10893</v>
      </c>
      <c r="B10894">
        <v>7949946</v>
      </c>
      <c r="C10894" s="1" t="str">
        <f>HYPERLINK("http://stackoverflow.com/users/7949946", "ZstringX")</f>
        <v>ZstringX</v>
      </c>
      <c r="D10894" t="s">
        <v>4</v>
      </c>
      <c r="E10894">
        <v>1</v>
      </c>
    </row>
    <row r="10895" spans="1:5" x14ac:dyDescent="0.25">
      <c r="A10895">
        <v>10894</v>
      </c>
      <c r="B10895">
        <v>7950066</v>
      </c>
      <c r="C10895" s="1" t="str">
        <f>HYPERLINK("http://stackoverflow.com/users/7950066", "eugene7950066")</f>
        <v>eugene7950066</v>
      </c>
      <c r="D10895" t="s">
        <v>25</v>
      </c>
      <c r="E10895">
        <v>1</v>
      </c>
    </row>
    <row r="10896" spans="1:5" x14ac:dyDescent="0.25">
      <c r="A10896">
        <v>10895</v>
      </c>
      <c r="B10896">
        <v>328514</v>
      </c>
      <c r="C10896" s="1" t="str">
        <f>HYPERLINK("http://stackoverflow.com/users/328514", "leadbillow")</f>
        <v>leadbillow</v>
      </c>
      <c r="D10896" t="s">
        <v>4</v>
      </c>
      <c r="E10896">
        <v>1</v>
      </c>
    </row>
    <row r="10897" spans="1:5" x14ac:dyDescent="0.25">
      <c r="A10897">
        <v>10896</v>
      </c>
      <c r="B10897">
        <v>6177138</v>
      </c>
      <c r="C10897" s="1" t="str">
        <f>HYPERLINK("http://stackoverflow.com/users/6177138", "Amos Zhong")</f>
        <v>Amos Zhong</v>
      </c>
      <c r="D10897" t="s">
        <v>25</v>
      </c>
      <c r="E10897">
        <v>1</v>
      </c>
    </row>
    <row r="10898" spans="1:5" x14ac:dyDescent="0.25">
      <c r="A10898">
        <v>10897</v>
      </c>
      <c r="B10898">
        <v>6177632</v>
      </c>
      <c r="C10898" s="1" t="str">
        <f>HYPERLINK("http://stackoverflow.com/users/6177632", "Cuniel")</f>
        <v>Cuniel</v>
      </c>
      <c r="D10898" t="s">
        <v>4</v>
      </c>
      <c r="E10898">
        <v>1</v>
      </c>
    </row>
    <row r="10899" spans="1:5" x14ac:dyDescent="0.25">
      <c r="A10899">
        <v>10898</v>
      </c>
      <c r="B10899">
        <v>2598362</v>
      </c>
      <c r="C10899" s="1" t="str">
        <f>HYPERLINK("http://stackoverflow.com/users/2598362", "Yang")</f>
        <v>Yang</v>
      </c>
      <c r="D10899" t="s">
        <v>325</v>
      </c>
      <c r="E10899">
        <v>1</v>
      </c>
    </row>
    <row r="10900" spans="1:5" x14ac:dyDescent="0.25">
      <c r="A10900">
        <v>10899</v>
      </c>
      <c r="B10900">
        <v>7954633</v>
      </c>
      <c r="C10900" s="1" t="str">
        <f>HYPERLINK("http://stackoverflow.com/users/7954633", "Han Liu")</f>
        <v>Han Liu</v>
      </c>
      <c r="D10900" t="s">
        <v>5</v>
      </c>
      <c r="E10900">
        <v>1</v>
      </c>
    </row>
    <row r="10901" spans="1:5" x14ac:dyDescent="0.25">
      <c r="A10901">
        <v>10900</v>
      </c>
      <c r="B10901">
        <v>7954875</v>
      </c>
      <c r="C10901" s="1" t="str">
        <f>HYPERLINK("http://stackoverflow.com/users/7954875", "ZhuJiejun")</f>
        <v>ZhuJiejun</v>
      </c>
      <c r="D10901" t="s">
        <v>7</v>
      </c>
      <c r="E10901">
        <v>1</v>
      </c>
    </row>
    <row r="10902" spans="1:5" x14ac:dyDescent="0.25">
      <c r="A10902">
        <v>10901</v>
      </c>
      <c r="B10902">
        <v>2597853</v>
      </c>
      <c r="C10902" s="1" t="str">
        <f>HYPERLINK("http://stackoverflow.com/users/2597853", "Stone")</f>
        <v>Stone</v>
      </c>
      <c r="D10902" t="s">
        <v>4</v>
      </c>
      <c r="E10902">
        <v>1</v>
      </c>
    </row>
    <row r="10903" spans="1:5" x14ac:dyDescent="0.25">
      <c r="A10903">
        <v>10902</v>
      </c>
      <c r="B10903">
        <v>2597912</v>
      </c>
      <c r="C10903" s="1" t="str">
        <f>HYPERLINK("http://stackoverflow.com/users/2597912", "Klaus Guan")</f>
        <v>Klaus Guan</v>
      </c>
      <c r="D10903" t="s">
        <v>52</v>
      </c>
      <c r="E10903">
        <v>1</v>
      </c>
    </row>
    <row r="10904" spans="1:5" x14ac:dyDescent="0.25">
      <c r="A10904">
        <v>10903</v>
      </c>
      <c r="B10904">
        <v>2598022</v>
      </c>
      <c r="C10904" s="1" t="str">
        <f>HYPERLINK("http://stackoverflow.com/users/2598022", "Yingnan Song")</f>
        <v>Yingnan Song</v>
      </c>
      <c r="D10904" t="s">
        <v>5</v>
      </c>
      <c r="E10904">
        <v>1</v>
      </c>
    </row>
    <row r="10905" spans="1:5" x14ac:dyDescent="0.25">
      <c r="A10905">
        <v>10904</v>
      </c>
      <c r="B10905">
        <v>2686378</v>
      </c>
      <c r="C10905" s="1" t="str">
        <f>HYPERLINK("http://stackoverflow.com/users/2686378", "Xavier Liang")</f>
        <v>Xavier Liang</v>
      </c>
      <c r="D10905" t="s">
        <v>4</v>
      </c>
      <c r="E10905">
        <v>1</v>
      </c>
    </row>
    <row r="10906" spans="1:5" x14ac:dyDescent="0.25">
      <c r="A10906">
        <v>10905</v>
      </c>
      <c r="B10906">
        <v>4531069</v>
      </c>
      <c r="C10906" s="1" t="str">
        <f>HYPERLINK("http://stackoverflow.com/users/4531069", "Fanc")</f>
        <v>Fanc</v>
      </c>
      <c r="D10906" t="s">
        <v>25</v>
      </c>
      <c r="E10906">
        <v>1</v>
      </c>
    </row>
    <row r="10907" spans="1:5" x14ac:dyDescent="0.25">
      <c r="A10907">
        <v>10906</v>
      </c>
      <c r="B10907">
        <v>4523111</v>
      </c>
      <c r="C10907" s="1" t="str">
        <f>HYPERLINK("http://stackoverflow.com/users/4523111", "RobinYao")</f>
        <v>RobinYao</v>
      </c>
      <c r="D10907" t="s">
        <v>43</v>
      </c>
      <c r="E10907">
        <v>1</v>
      </c>
    </row>
    <row r="10908" spans="1:5" x14ac:dyDescent="0.25">
      <c r="A10908">
        <v>10907</v>
      </c>
      <c r="B10908">
        <v>4523222</v>
      </c>
      <c r="C10908" s="1" t="str">
        <f>HYPERLINK("http://stackoverflow.com/users/4523222", "ShiMin. Ye")</f>
        <v>ShiMin. Ye</v>
      </c>
      <c r="D10908" t="s">
        <v>4</v>
      </c>
      <c r="E10908">
        <v>1</v>
      </c>
    </row>
    <row r="10909" spans="1:5" x14ac:dyDescent="0.25">
      <c r="A10909">
        <v>10908</v>
      </c>
      <c r="B10909">
        <v>4523296</v>
      </c>
      <c r="C10909" s="1" t="str">
        <f>HYPERLINK("http://stackoverflow.com/users/4523296", "Colin liu")</f>
        <v>Colin liu</v>
      </c>
      <c r="D10909" t="s">
        <v>7</v>
      </c>
      <c r="E10909">
        <v>1</v>
      </c>
    </row>
    <row r="10910" spans="1:5" x14ac:dyDescent="0.25">
      <c r="A10910">
        <v>10909</v>
      </c>
      <c r="B10910">
        <v>458263</v>
      </c>
      <c r="C10910" s="1" t="str">
        <f>HYPERLINK("http://stackoverflow.com/users/458263", "yisheng")</f>
        <v>yisheng</v>
      </c>
      <c r="D10910" t="s">
        <v>5</v>
      </c>
      <c r="E10910">
        <v>1</v>
      </c>
    </row>
    <row r="10911" spans="1:5" x14ac:dyDescent="0.25">
      <c r="A10911">
        <v>10910</v>
      </c>
      <c r="B10911">
        <v>9845557</v>
      </c>
      <c r="C10911" s="1" t="str">
        <f>HYPERLINK("http://stackoverflow.com/users/9845557", "付维成")</f>
        <v>付维成</v>
      </c>
      <c r="D10911" t="s">
        <v>146</v>
      </c>
      <c r="E10911">
        <v>1</v>
      </c>
    </row>
    <row r="10912" spans="1:5" x14ac:dyDescent="0.25">
      <c r="A10912">
        <v>10911</v>
      </c>
      <c r="B10912">
        <v>6250672</v>
      </c>
      <c r="C10912" s="1" t="str">
        <f>HYPERLINK("http://stackoverflow.com/users/6250672", "Kun Wang")</f>
        <v>Kun Wang</v>
      </c>
      <c r="D10912" t="s">
        <v>79</v>
      </c>
      <c r="E10912">
        <v>1</v>
      </c>
    </row>
    <row r="10913" spans="1:5" x14ac:dyDescent="0.25">
      <c r="A10913">
        <v>10912</v>
      </c>
      <c r="B10913">
        <v>441974</v>
      </c>
      <c r="C10913" s="1" t="str">
        <f>HYPERLINK("http://stackoverflow.com/users/441974", "robinmau")</f>
        <v>robinmau</v>
      </c>
      <c r="D10913" t="s">
        <v>63</v>
      </c>
      <c r="E10913">
        <v>1</v>
      </c>
    </row>
    <row r="10914" spans="1:5" x14ac:dyDescent="0.25">
      <c r="A10914">
        <v>10913</v>
      </c>
      <c r="B10914">
        <v>9836808</v>
      </c>
      <c r="C10914" s="1" t="str">
        <f>HYPERLINK("http://stackoverflow.com/users/9836808", "devrockstar928")</f>
        <v>devrockstar928</v>
      </c>
      <c r="D10914" t="s">
        <v>5</v>
      </c>
      <c r="E10914">
        <v>1</v>
      </c>
    </row>
    <row r="10915" spans="1:5" x14ac:dyDescent="0.25">
      <c r="A10915">
        <v>10914</v>
      </c>
      <c r="B10915">
        <v>9841711</v>
      </c>
      <c r="C10915" s="1" t="str">
        <f>HYPERLINK("http://stackoverflow.com/users/9841711", "iMakar")</f>
        <v>iMakar</v>
      </c>
      <c r="D10915" t="s">
        <v>33</v>
      </c>
      <c r="E10915">
        <v>1</v>
      </c>
    </row>
    <row r="10916" spans="1:5" x14ac:dyDescent="0.25">
      <c r="A10916">
        <v>10915</v>
      </c>
      <c r="B10916">
        <v>6250780</v>
      </c>
      <c r="C10916" s="1" t="str">
        <f>HYPERLINK("http://stackoverflow.com/users/6250780", "Lattice Sum")</f>
        <v>Lattice Sum</v>
      </c>
      <c r="D10916" t="s">
        <v>4</v>
      </c>
      <c r="E10916">
        <v>1</v>
      </c>
    </row>
    <row r="10917" spans="1:5" x14ac:dyDescent="0.25">
      <c r="A10917">
        <v>10916</v>
      </c>
      <c r="B10917">
        <v>6251000</v>
      </c>
      <c r="C10917" s="1" t="str">
        <f>HYPERLINK("http://stackoverflow.com/users/6251000", "Rong")</f>
        <v>Rong</v>
      </c>
      <c r="D10917" t="s">
        <v>4</v>
      </c>
      <c r="E10917">
        <v>1</v>
      </c>
    </row>
    <row r="10918" spans="1:5" x14ac:dyDescent="0.25">
      <c r="A10918">
        <v>10917</v>
      </c>
      <c r="B10918">
        <v>6251417</v>
      </c>
      <c r="C10918" s="1" t="str">
        <f>HYPERLINK("http://stackoverflow.com/users/6251417", "Shaffer")</f>
        <v>Shaffer</v>
      </c>
      <c r="D10918" t="s">
        <v>55</v>
      </c>
      <c r="E10918">
        <v>1</v>
      </c>
    </row>
    <row r="10919" spans="1:5" x14ac:dyDescent="0.25">
      <c r="A10919">
        <v>10918</v>
      </c>
      <c r="B10919">
        <v>6251445</v>
      </c>
      <c r="C10919" s="1" t="str">
        <f>HYPERLINK("http://stackoverflow.com/users/6251445", "Jack Frank")</f>
        <v>Jack Frank</v>
      </c>
      <c r="D10919" t="s">
        <v>4</v>
      </c>
      <c r="E10919">
        <v>1</v>
      </c>
    </row>
    <row r="10920" spans="1:5" x14ac:dyDescent="0.25">
      <c r="A10920">
        <v>10919</v>
      </c>
      <c r="B10920">
        <v>6254154</v>
      </c>
      <c r="C10920" s="1" t="str">
        <f>HYPERLINK("http://stackoverflow.com/users/6254154", "mifanj")</f>
        <v>mifanj</v>
      </c>
      <c r="D10920" t="s">
        <v>101</v>
      </c>
      <c r="E10920">
        <v>1</v>
      </c>
    </row>
    <row r="10921" spans="1:5" x14ac:dyDescent="0.25">
      <c r="A10921">
        <v>10920</v>
      </c>
      <c r="B10921">
        <v>6254165</v>
      </c>
      <c r="C10921" s="1" t="str">
        <f>HYPERLINK("http://stackoverflow.com/users/6254165", "xift810")</f>
        <v>xift810</v>
      </c>
      <c r="D10921" t="s">
        <v>4</v>
      </c>
      <c r="E10921">
        <v>1</v>
      </c>
    </row>
    <row r="10922" spans="1:5" x14ac:dyDescent="0.25">
      <c r="A10922">
        <v>10921</v>
      </c>
      <c r="B10922">
        <v>8035898</v>
      </c>
      <c r="C10922" s="1" t="str">
        <f>HYPERLINK("http://stackoverflow.com/users/8035898", "cainankun")</f>
        <v>cainankun</v>
      </c>
      <c r="D10922" t="s">
        <v>7</v>
      </c>
      <c r="E10922">
        <v>1</v>
      </c>
    </row>
    <row r="10923" spans="1:5" x14ac:dyDescent="0.25">
      <c r="A10923">
        <v>10922</v>
      </c>
      <c r="B10923">
        <v>8036031</v>
      </c>
      <c r="C10923" s="1" t="str">
        <f>HYPERLINK("http://stackoverflow.com/users/8036031", "zihengCat")</f>
        <v>zihengCat</v>
      </c>
      <c r="D10923" t="s">
        <v>16</v>
      </c>
      <c r="E10923">
        <v>1</v>
      </c>
    </row>
    <row r="10924" spans="1:5" x14ac:dyDescent="0.25">
      <c r="A10924">
        <v>10923</v>
      </c>
      <c r="B10924">
        <v>457917</v>
      </c>
      <c r="C10924" s="1" t="str">
        <f>HYPERLINK("http://stackoverflow.com/users/457917", "chunlu")</f>
        <v>chunlu</v>
      </c>
      <c r="D10924" t="s">
        <v>5</v>
      </c>
      <c r="E10924">
        <v>1</v>
      </c>
    </row>
    <row r="10925" spans="1:5" x14ac:dyDescent="0.25">
      <c r="A10925">
        <v>10924</v>
      </c>
      <c r="B10925">
        <v>2698895</v>
      </c>
      <c r="C10925" s="1" t="str">
        <f>HYPERLINK("http://stackoverflow.com/users/2698895", "乌卡卡")</f>
        <v>乌卡卡</v>
      </c>
      <c r="D10925" t="s">
        <v>17</v>
      </c>
      <c r="E10925">
        <v>1</v>
      </c>
    </row>
    <row r="10926" spans="1:5" x14ac:dyDescent="0.25">
      <c r="A10926">
        <v>10925</v>
      </c>
      <c r="B10926">
        <v>2701989</v>
      </c>
      <c r="C10926" s="1" t="str">
        <f>HYPERLINK("http://stackoverflow.com/users/2701989", "lr.castle")</f>
        <v>lr.castle</v>
      </c>
      <c r="D10926" t="s">
        <v>17</v>
      </c>
      <c r="E10926">
        <v>1</v>
      </c>
    </row>
    <row r="10927" spans="1:5" x14ac:dyDescent="0.25">
      <c r="A10927">
        <v>10926</v>
      </c>
      <c r="B10927">
        <v>9865708</v>
      </c>
      <c r="C10927" s="1" t="str">
        <f>HYPERLINK("http://stackoverflow.com/users/9865708", "Owleyer")</f>
        <v>Owleyer</v>
      </c>
      <c r="D10927" t="s">
        <v>178</v>
      </c>
      <c r="E10927">
        <v>1</v>
      </c>
    </row>
    <row r="10928" spans="1:5" x14ac:dyDescent="0.25">
      <c r="A10928">
        <v>10927</v>
      </c>
      <c r="B10928">
        <v>9865727</v>
      </c>
      <c r="C10928" s="1" t="str">
        <f>HYPERLINK("http://stackoverflow.com/users/9865727", "Zhu Xiao Yu ")</f>
        <v xml:space="preserve">Zhu Xiao Yu </v>
      </c>
      <c r="D10928" t="s">
        <v>5</v>
      </c>
      <c r="E10928">
        <v>1</v>
      </c>
    </row>
    <row r="10929" spans="1:5" x14ac:dyDescent="0.25">
      <c r="A10929">
        <v>10928</v>
      </c>
      <c r="B10929">
        <v>6270145</v>
      </c>
      <c r="C10929" s="1" t="str">
        <f>HYPERLINK("http://stackoverflow.com/users/6270145", "Nylon Jiang")</f>
        <v>Nylon Jiang</v>
      </c>
      <c r="D10929" t="s">
        <v>328</v>
      </c>
      <c r="E10929">
        <v>1</v>
      </c>
    </row>
    <row r="10930" spans="1:5" x14ac:dyDescent="0.25">
      <c r="A10930">
        <v>10929</v>
      </c>
      <c r="B10930">
        <v>6270195</v>
      </c>
      <c r="C10930" s="1" t="str">
        <f>HYPERLINK("http://stackoverflow.com/users/6270195", "韩宏敏")</f>
        <v>韩宏敏</v>
      </c>
      <c r="D10930" t="s">
        <v>5</v>
      </c>
      <c r="E10930">
        <v>1</v>
      </c>
    </row>
    <row r="10931" spans="1:5" x14ac:dyDescent="0.25">
      <c r="A10931">
        <v>10930</v>
      </c>
      <c r="B10931">
        <v>8053161</v>
      </c>
      <c r="C10931" s="1" t="str">
        <f>HYPERLINK("http://stackoverflow.com/users/8053161", "bnyf")</f>
        <v>bnyf</v>
      </c>
      <c r="D10931" t="s">
        <v>5</v>
      </c>
      <c r="E10931">
        <v>1</v>
      </c>
    </row>
    <row r="10932" spans="1:5" x14ac:dyDescent="0.25">
      <c r="A10932">
        <v>10931</v>
      </c>
      <c r="B10932">
        <v>6273877</v>
      </c>
      <c r="C10932" s="1" t="str">
        <f>HYPERLINK("http://stackoverflow.com/users/6273877", "tommychangz")</f>
        <v>tommychangz</v>
      </c>
      <c r="D10932" t="s">
        <v>7</v>
      </c>
      <c r="E10932">
        <v>1</v>
      </c>
    </row>
    <row r="10933" spans="1:5" x14ac:dyDescent="0.25">
      <c r="A10933">
        <v>10932</v>
      </c>
      <c r="B10933">
        <v>6274144</v>
      </c>
      <c r="C10933" s="1" t="str">
        <f>HYPERLINK("http://stackoverflow.com/users/6274144", "buru")</f>
        <v>buru</v>
      </c>
      <c r="D10933" t="s">
        <v>7</v>
      </c>
      <c r="E10933">
        <v>1</v>
      </c>
    </row>
    <row r="10934" spans="1:5" x14ac:dyDescent="0.25">
      <c r="A10934">
        <v>10933</v>
      </c>
      <c r="B10934">
        <v>8060185</v>
      </c>
      <c r="C10934" s="1" t="str">
        <f>HYPERLINK("http://stackoverflow.com/users/8060185", "sam.yang")</f>
        <v>sam.yang</v>
      </c>
      <c r="D10934" t="s">
        <v>4</v>
      </c>
      <c r="E10934">
        <v>1</v>
      </c>
    </row>
    <row r="10935" spans="1:5" x14ac:dyDescent="0.25">
      <c r="A10935">
        <v>10934</v>
      </c>
      <c r="B10935">
        <v>9873419</v>
      </c>
      <c r="C10935" s="1" t="str">
        <f>HYPERLINK("http://stackoverflow.com/users/9873419", "bright609")</f>
        <v>bright609</v>
      </c>
      <c r="D10935" t="s">
        <v>4</v>
      </c>
      <c r="E10935">
        <v>1</v>
      </c>
    </row>
    <row r="10936" spans="1:5" x14ac:dyDescent="0.25">
      <c r="A10936">
        <v>10935</v>
      </c>
      <c r="B10936">
        <v>9873554</v>
      </c>
      <c r="C10936" s="1" t="str">
        <f>HYPERLINK("http://stackoverflow.com/users/9873554", "J Chen")</f>
        <v>J Chen</v>
      </c>
      <c r="D10936" t="s">
        <v>4</v>
      </c>
      <c r="E10936">
        <v>1</v>
      </c>
    </row>
    <row r="10937" spans="1:5" x14ac:dyDescent="0.25">
      <c r="A10937">
        <v>10936</v>
      </c>
      <c r="B10937">
        <v>6278038</v>
      </c>
      <c r="C10937" s="1" t="str">
        <f>HYPERLINK("http://stackoverflow.com/users/6278038", "Mid iKang")</f>
        <v>Mid iKang</v>
      </c>
      <c r="D10937" t="s">
        <v>4</v>
      </c>
      <c r="E10937">
        <v>1</v>
      </c>
    </row>
    <row r="10938" spans="1:5" x14ac:dyDescent="0.25">
      <c r="A10938">
        <v>10937</v>
      </c>
      <c r="B10938">
        <v>8045639</v>
      </c>
      <c r="C10938" s="1" t="str">
        <f>HYPERLINK("http://stackoverflow.com/users/8045639", "Michael Jong")</f>
        <v>Michael Jong</v>
      </c>
      <c r="D10938" t="s">
        <v>320</v>
      </c>
      <c r="E10938">
        <v>1</v>
      </c>
    </row>
    <row r="10939" spans="1:5" x14ac:dyDescent="0.25">
      <c r="A10939">
        <v>10938</v>
      </c>
      <c r="B10939">
        <v>8050205</v>
      </c>
      <c r="C10939" s="1" t="str">
        <f>HYPERLINK("http://stackoverflow.com/users/8050205", "leohee")</f>
        <v>leohee</v>
      </c>
      <c r="D10939" t="s">
        <v>17</v>
      </c>
      <c r="E10939">
        <v>1</v>
      </c>
    </row>
    <row r="10940" spans="1:5" x14ac:dyDescent="0.25">
      <c r="A10940">
        <v>10939</v>
      </c>
      <c r="B10940">
        <v>6266415</v>
      </c>
      <c r="C10940" s="1" t="str">
        <f>HYPERLINK("http://stackoverflow.com/users/6266415", "light daisy")</f>
        <v>light daisy</v>
      </c>
      <c r="D10940" t="s">
        <v>27</v>
      </c>
      <c r="E10940">
        <v>1</v>
      </c>
    </row>
    <row r="10941" spans="1:5" x14ac:dyDescent="0.25">
      <c r="A10941">
        <v>10940</v>
      </c>
      <c r="B10941">
        <v>9861750</v>
      </c>
      <c r="C10941" s="1" t="str">
        <f>HYPERLINK("http://stackoverflow.com/users/9861750", "Chauncy Cho")</f>
        <v>Chauncy Cho</v>
      </c>
      <c r="D10941" t="s">
        <v>5</v>
      </c>
      <c r="E10941">
        <v>1</v>
      </c>
    </row>
    <row r="10942" spans="1:5" x14ac:dyDescent="0.25">
      <c r="A10942">
        <v>10941</v>
      </c>
      <c r="B10942">
        <v>9861944</v>
      </c>
      <c r="C10942" s="1" t="str">
        <f>HYPERLINK("http://stackoverflow.com/users/9861944", "yarunhome")</f>
        <v>yarunhome</v>
      </c>
      <c r="D10942" t="s">
        <v>593</v>
      </c>
      <c r="E10942">
        <v>1</v>
      </c>
    </row>
    <row r="10943" spans="1:5" x14ac:dyDescent="0.25">
      <c r="A10943">
        <v>10942</v>
      </c>
      <c r="B10943">
        <v>9862112</v>
      </c>
      <c r="C10943" s="1" t="str">
        <f>HYPERLINK("http://stackoverflow.com/users/9862112", "wanglingxxx")</f>
        <v>wanglingxxx</v>
      </c>
      <c r="D10943" t="s">
        <v>5</v>
      </c>
      <c r="E10943">
        <v>1</v>
      </c>
    </row>
    <row r="10944" spans="1:5" x14ac:dyDescent="0.25">
      <c r="A10944">
        <v>10943</v>
      </c>
      <c r="B10944">
        <v>465097</v>
      </c>
      <c r="C10944" s="1" t="str">
        <f>HYPERLINK("http://stackoverflow.com/users/465097", "mayulu")</f>
        <v>mayulu</v>
      </c>
      <c r="D10944" t="s">
        <v>4</v>
      </c>
      <c r="E10944">
        <v>1</v>
      </c>
    </row>
    <row r="10945" spans="1:5" x14ac:dyDescent="0.25">
      <c r="A10945">
        <v>10944</v>
      </c>
      <c r="B10945">
        <v>4536026</v>
      </c>
      <c r="C10945" s="1" t="str">
        <f>HYPERLINK("http://stackoverflow.com/users/4536026", "user4536026")</f>
        <v>user4536026</v>
      </c>
      <c r="D10945" t="s">
        <v>12</v>
      </c>
      <c r="E10945">
        <v>1</v>
      </c>
    </row>
    <row r="10946" spans="1:5" x14ac:dyDescent="0.25">
      <c r="A10946">
        <v>10945</v>
      </c>
      <c r="B10946">
        <v>471596</v>
      </c>
      <c r="C10946" s="1" t="str">
        <f>HYPERLINK("http://stackoverflow.com/users/471596", "zhliu")</f>
        <v>zhliu</v>
      </c>
      <c r="D10946" t="s">
        <v>17</v>
      </c>
      <c r="E10946">
        <v>1</v>
      </c>
    </row>
    <row r="10947" spans="1:5" x14ac:dyDescent="0.25">
      <c r="A10947">
        <v>10946</v>
      </c>
      <c r="B10947">
        <v>9853184</v>
      </c>
      <c r="C10947" s="1" t="str">
        <f>HYPERLINK("http://stackoverflow.com/users/9853184", "COURTEOUSBEE")</f>
        <v>COURTEOUSBEE</v>
      </c>
      <c r="D10947" t="s">
        <v>52</v>
      </c>
      <c r="E10947">
        <v>1</v>
      </c>
    </row>
    <row r="10948" spans="1:5" x14ac:dyDescent="0.25">
      <c r="A10948">
        <v>10947</v>
      </c>
      <c r="B10948">
        <v>9853598</v>
      </c>
      <c r="C10948" s="1" t="str">
        <f>HYPERLINK("http://stackoverflow.com/users/9853598", "VoxPolly27")</f>
        <v>VoxPolly27</v>
      </c>
      <c r="D10948" t="s">
        <v>16</v>
      </c>
      <c r="E10948">
        <v>1</v>
      </c>
    </row>
    <row r="10949" spans="1:5" x14ac:dyDescent="0.25">
      <c r="A10949">
        <v>10948</v>
      </c>
      <c r="B10949">
        <v>4535457</v>
      </c>
      <c r="C10949" s="1" t="str">
        <f>HYPERLINK("http://stackoverflow.com/users/4535457", "Samuel Song")</f>
        <v>Samuel Song</v>
      </c>
      <c r="D10949" t="s">
        <v>4</v>
      </c>
      <c r="E10949">
        <v>1</v>
      </c>
    </row>
    <row r="10950" spans="1:5" x14ac:dyDescent="0.25">
      <c r="A10950">
        <v>10949</v>
      </c>
      <c r="B10950">
        <v>6222661</v>
      </c>
      <c r="C10950" s="1" t="str">
        <f>HYPERLINK("http://stackoverflow.com/users/6222661", "S.nake")</f>
        <v>S.nake</v>
      </c>
      <c r="D10950" t="s">
        <v>28</v>
      </c>
      <c r="E10950">
        <v>1</v>
      </c>
    </row>
    <row r="10951" spans="1:5" x14ac:dyDescent="0.25">
      <c r="A10951">
        <v>10950</v>
      </c>
      <c r="B10951">
        <v>9814157</v>
      </c>
      <c r="C10951" s="1" t="str">
        <f>HYPERLINK("http://stackoverflow.com/users/9814157", "Chaoran Sun")</f>
        <v>Chaoran Sun</v>
      </c>
      <c r="D10951" t="s">
        <v>5</v>
      </c>
      <c r="E10951">
        <v>1</v>
      </c>
    </row>
    <row r="10952" spans="1:5" x14ac:dyDescent="0.25">
      <c r="A10952">
        <v>10951</v>
      </c>
      <c r="B10952">
        <v>9814247</v>
      </c>
      <c r="C10952" s="1" t="str">
        <f>HYPERLINK("http://stackoverflow.com/users/9814247", "exp2kernel")</f>
        <v>exp2kernel</v>
      </c>
      <c r="D10952" t="s">
        <v>146</v>
      </c>
      <c r="E10952">
        <v>1</v>
      </c>
    </row>
    <row r="10953" spans="1:5" x14ac:dyDescent="0.25">
      <c r="A10953">
        <v>10952</v>
      </c>
      <c r="B10953">
        <v>6220341</v>
      </c>
      <c r="C10953" s="1" t="str">
        <f>HYPERLINK("http://stackoverflow.com/users/6220341", "wshunli")</f>
        <v>wshunli</v>
      </c>
      <c r="D10953" t="s">
        <v>266</v>
      </c>
      <c r="E10953">
        <v>1</v>
      </c>
    </row>
    <row r="10954" spans="1:5" x14ac:dyDescent="0.25">
      <c r="A10954">
        <v>10953</v>
      </c>
      <c r="B10954">
        <v>7999197</v>
      </c>
      <c r="C10954" s="1" t="str">
        <f>HYPERLINK("http://stackoverflow.com/users/7999197", "NoName")</f>
        <v>NoName</v>
      </c>
      <c r="D10954" t="s">
        <v>4</v>
      </c>
      <c r="E10954">
        <v>1</v>
      </c>
    </row>
    <row r="10955" spans="1:5" x14ac:dyDescent="0.25">
      <c r="A10955">
        <v>10954</v>
      </c>
      <c r="B10955">
        <v>4491677</v>
      </c>
      <c r="C10955" s="1" t="str">
        <f>HYPERLINK("http://stackoverflow.com/users/4491677", "Ypres")</f>
        <v>Ypres</v>
      </c>
      <c r="D10955" t="s">
        <v>4</v>
      </c>
      <c r="E10955">
        <v>1</v>
      </c>
    </row>
    <row r="10956" spans="1:5" x14ac:dyDescent="0.25">
      <c r="A10956">
        <v>10955</v>
      </c>
      <c r="B10956">
        <v>2638473</v>
      </c>
      <c r="C10956" s="1" t="str">
        <f>HYPERLINK("http://stackoverflow.com/users/2638473", "Arthur")</f>
        <v>Arthur</v>
      </c>
      <c r="D10956" t="s">
        <v>4</v>
      </c>
      <c r="E10956">
        <v>1</v>
      </c>
    </row>
    <row r="10957" spans="1:5" x14ac:dyDescent="0.25">
      <c r="A10957">
        <v>10956</v>
      </c>
      <c r="B10957">
        <v>6223154</v>
      </c>
      <c r="C10957" s="1" t="str">
        <f>HYPERLINK("http://stackoverflow.com/users/6223154", "wuliyichen")</f>
        <v>wuliyichen</v>
      </c>
      <c r="D10957" t="s">
        <v>55</v>
      </c>
      <c r="E10957">
        <v>1</v>
      </c>
    </row>
    <row r="10958" spans="1:5" x14ac:dyDescent="0.25">
      <c r="A10958">
        <v>10957</v>
      </c>
      <c r="B10958">
        <v>6223223</v>
      </c>
      <c r="C10958" s="1" t="str">
        <f>HYPERLINK("http://stackoverflow.com/users/6223223", "dream7519")</f>
        <v>dream7519</v>
      </c>
      <c r="D10958" t="s">
        <v>17</v>
      </c>
      <c r="E10958">
        <v>1</v>
      </c>
    </row>
    <row r="10959" spans="1:5" x14ac:dyDescent="0.25">
      <c r="A10959">
        <v>10958</v>
      </c>
      <c r="B10959">
        <v>4494543</v>
      </c>
      <c r="C10959" s="1" t="str">
        <f>HYPERLINK("http://stackoverflow.com/users/4494543", "wjfz")</f>
        <v>wjfz</v>
      </c>
      <c r="D10959" t="s">
        <v>4</v>
      </c>
      <c r="E10959">
        <v>1</v>
      </c>
    </row>
    <row r="10960" spans="1:5" x14ac:dyDescent="0.25">
      <c r="A10960">
        <v>10959</v>
      </c>
      <c r="B10960">
        <v>8002600</v>
      </c>
      <c r="C10960" s="1" t="str">
        <f>HYPERLINK("http://stackoverflow.com/users/8002600", "michel")</f>
        <v>michel</v>
      </c>
      <c r="D10960" t="s">
        <v>4</v>
      </c>
      <c r="E10960">
        <v>1</v>
      </c>
    </row>
    <row r="10961" spans="1:5" x14ac:dyDescent="0.25">
      <c r="A10961">
        <v>10960</v>
      </c>
      <c r="B10961">
        <v>8002712</v>
      </c>
      <c r="C10961" s="1" t="str">
        <f>HYPERLINK("http://stackoverflow.com/users/8002712", "A. Zhang")</f>
        <v>A. Zhang</v>
      </c>
      <c r="D10961" t="s">
        <v>5</v>
      </c>
      <c r="E10961">
        <v>1</v>
      </c>
    </row>
    <row r="10962" spans="1:5" x14ac:dyDescent="0.25">
      <c r="A10962">
        <v>10961</v>
      </c>
      <c r="B10962">
        <v>9814897</v>
      </c>
      <c r="C10962" s="1" t="str">
        <f>HYPERLINK("http://stackoverflow.com/users/9814897", "Keen Jackdaw")</f>
        <v>Keen Jackdaw</v>
      </c>
      <c r="D10962" t="s">
        <v>16</v>
      </c>
      <c r="E10962">
        <v>1</v>
      </c>
    </row>
    <row r="10963" spans="1:5" x14ac:dyDescent="0.25">
      <c r="A10963">
        <v>10962</v>
      </c>
      <c r="B10963">
        <v>2654940</v>
      </c>
      <c r="C10963" s="1" t="str">
        <f>HYPERLINK("http://stackoverflow.com/users/2654940", "broago")</f>
        <v>broago</v>
      </c>
      <c r="D10963" t="s">
        <v>21</v>
      </c>
      <c r="E10963">
        <v>1</v>
      </c>
    </row>
    <row r="10964" spans="1:5" x14ac:dyDescent="0.25">
      <c r="A10964">
        <v>10963</v>
      </c>
      <c r="B10964">
        <v>2656088</v>
      </c>
      <c r="C10964" s="1" t="str">
        <f>HYPERLINK("http://stackoverflow.com/users/2656088", "zytszone")</f>
        <v>zytszone</v>
      </c>
      <c r="D10964" t="s">
        <v>37</v>
      </c>
      <c r="E10964">
        <v>1</v>
      </c>
    </row>
    <row r="10965" spans="1:5" x14ac:dyDescent="0.25">
      <c r="A10965">
        <v>10964</v>
      </c>
      <c r="B10965">
        <v>2656258</v>
      </c>
      <c r="C10965" s="1" t="str">
        <f>HYPERLINK("http://stackoverflow.com/users/2656258", "Jun")</f>
        <v>Jun</v>
      </c>
      <c r="D10965" t="s">
        <v>5</v>
      </c>
      <c r="E10965">
        <v>1</v>
      </c>
    </row>
    <row r="10966" spans="1:5" x14ac:dyDescent="0.25">
      <c r="A10966">
        <v>10965</v>
      </c>
      <c r="B10966">
        <v>9819224</v>
      </c>
      <c r="C10966" s="1" t="str">
        <f>HYPERLINK("http://stackoverflow.com/users/9819224", "Baoanlol")</f>
        <v>Baoanlol</v>
      </c>
      <c r="D10966" t="s">
        <v>4</v>
      </c>
      <c r="E10966">
        <v>1</v>
      </c>
    </row>
    <row r="10967" spans="1:5" x14ac:dyDescent="0.25">
      <c r="A10967">
        <v>10966</v>
      </c>
      <c r="B10967">
        <v>2659068</v>
      </c>
      <c r="C10967" s="1" t="str">
        <f>HYPERLINK("http://stackoverflow.com/users/2659068", "Rex wong")</f>
        <v>Rex wong</v>
      </c>
      <c r="D10967" t="s">
        <v>5</v>
      </c>
      <c r="E10967">
        <v>1</v>
      </c>
    </row>
    <row r="10968" spans="1:5" x14ac:dyDescent="0.25">
      <c r="A10968">
        <v>10967</v>
      </c>
      <c r="B10968">
        <v>9821943</v>
      </c>
      <c r="C10968" s="1" t="str">
        <f>HYPERLINK("http://stackoverflow.com/users/9821943", "Tong Wu")</f>
        <v>Tong Wu</v>
      </c>
      <c r="D10968" t="s">
        <v>5</v>
      </c>
      <c r="E10968">
        <v>1</v>
      </c>
    </row>
    <row r="10969" spans="1:5" x14ac:dyDescent="0.25">
      <c r="A10969">
        <v>10968</v>
      </c>
      <c r="B10969">
        <v>2658871</v>
      </c>
      <c r="C10969" s="1" t="str">
        <f>HYPERLINK("http://stackoverflow.com/users/2658871", "qwingmix")</f>
        <v>qwingmix</v>
      </c>
      <c r="D10969" t="s">
        <v>21</v>
      </c>
      <c r="E10969">
        <v>1</v>
      </c>
    </row>
    <row r="10970" spans="1:5" x14ac:dyDescent="0.25">
      <c r="A10970">
        <v>10969</v>
      </c>
      <c r="B10970">
        <v>8009805</v>
      </c>
      <c r="C10970" s="1" t="str">
        <f>HYPERLINK("http://stackoverflow.com/users/8009805", "pizzaiii")</f>
        <v>pizzaiii</v>
      </c>
      <c r="D10970" t="s">
        <v>131</v>
      </c>
      <c r="E10970">
        <v>1</v>
      </c>
    </row>
    <row r="10971" spans="1:5" x14ac:dyDescent="0.25">
      <c r="A10971">
        <v>10970</v>
      </c>
      <c r="B10971">
        <v>418316</v>
      </c>
      <c r="C10971" s="1" t="str">
        <f>HYPERLINK("http://stackoverflow.com/users/418316", "Dou")</f>
        <v>Dou</v>
      </c>
      <c r="D10971" t="s">
        <v>5</v>
      </c>
      <c r="E10971">
        <v>1</v>
      </c>
    </row>
    <row r="10972" spans="1:5" x14ac:dyDescent="0.25">
      <c r="A10972">
        <v>10971</v>
      </c>
      <c r="B10972">
        <v>4501734</v>
      </c>
      <c r="C10972" s="1" t="str">
        <f>HYPERLINK("http://stackoverflow.com/users/4501734", "andy")</f>
        <v>andy</v>
      </c>
      <c r="D10972" t="s">
        <v>328</v>
      </c>
      <c r="E10972">
        <v>1</v>
      </c>
    </row>
    <row r="10973" spans="1:5" x14ac:dyDescent="0.25">
      <c r="A10973">
        <v>10972</v>
      </c>
      <c r="B10973">
        <v>4501865</v>
      </c>
      <c r="C10973" s="1" t="str">
        <f>HYPERLINK("http://stackoverflow.com/users/4501865", "alex mahone")</f>
        <v>alex mahone</v>
      </c>
      <c r="D10973" t="s">
        <v>4</v>
      </c>
      <c r="E10973">
        <v>1</v>
      </c>
    </row>
    <row r="10974" spans="1:5" x14ac:dyDescent="0.25">
      <c r="A10974">
        <v>10973</v>
      </c>
      <c r="B10974">
        <v>2659638</v>
      </c>
      <c r="C10974" s="1" t="str">
        <f>HYPERLINK("http://stackoverflow.com/users/2659638", "WallaceYYLi")</f>
        <v>WallaceYYLi</v>
      </c>
      <c r="D10974" t="s">
        <v>22</v>
      </c>
      <c r="E10974">
        <v>1</v>
      </c>
    </row>
    <row r="10975" spans="1:5" x14ac:dyDescent="0.25">
      <c r="A10975">
        <v>10974</v>
      </c>
      <c r="B10975">
        <v>2659725</v>
      </c>
      <c r="C10975" s="1" t="str">
        <f>HYPERLINK("http://stackoverflow.com/users/2659725", "LiiiQin")</f>
        <v>LiiiQin</v>
      </c>
      <c r="D10975" t="s">
        <v>5</v>
      </c>
      <c r="E10975">
        <v>1</v>
      </c>
    </row>
    <row r="10976" spans="1:5" x14ac:dyDescent="0.25">
      <c r="A10976">
        <v>10975</v>
      </c>
      <c r="B10976">
        <v>6229501</v>
      </c>
      <c r="C10976" s="1" t="str">
        <f>HYPERLINK("http://stackoverflow.com/users/6229501", "user6229501")</f>
        <v>user6229501</v>
      </c>
      <c r="D10976" t="s">
        <v>15</v>
      </c>
      <c r="E10976">
        <v>1</v>
      </c>
    </row>
    <row r="10977" spans="1:5" x14ac:dyDescent="0.25">
      <c r="A10977">
        <v>10976</v>
      </c>
      <c r="B10977">
        <v>416856</v>
      </c>
      <c r="C10977" s="1" t="str">
        <f>HYPERLINK("http://stackoverflow.com/users/416856", "Fred")</f>
        <v>Fred</v>
      </c>
      <c r="D10977" t="s">
        <v>5</v>
      </c>
      <c r="E10977">
        <v>1</v>
      </c>
    </row>
    <row r="10978" spans="1:5" x14ac:dyDescent="0.25">
      <c r="A10978">
        <v>10977</v>
      </c>
      <c r="B10978">
        <v>427023</v>
      </c>
      <c r="C10978" s="1" t="str">
        <f>HYPERLINK("http://stackoverflow.com/users/427023", "Felinx")</f>
        <v>Felinx</v>
      </c>
      <c r="D10978" t="s">
        <v>4</v>
      </c>
      <c r="E10978">
        <v>1</v>
      </c>
    </row>
    <row r="10979" spans="1:5" x14ac:dyDescent="0.25">
      <c r="A10979">
        <v>10978</v>
      </c>
      <c r="B10979">
        <v>8024054</v>
      </c>
      <c r="C10979" s="1" t="str">
        <f>HYPERLINK("http://stackoverflow.com/users/8024054", "Yunfei Cai")</f>
        <v>Yunfei Cai</v>
      </c>
      <c r="D10979" t="s">
        <v>5</v>
      </c>
      <c r="E10979">
        <v>1</v>
      </c>
    </row>
    <row r="10980" spans="1:5" x14ac:dyDescent="0.25">
      <c r="A10980">
        <v>10979</v>
      </c>
      <c r="B10980">
        <v>8015260</v>
      </c>
      <c r="C10980" s="1" t="str">
        <f>HYPERLINK("http://stackoverflow.com/users/8015260", "Michael Liu")</f>
        <v>Michael Liu</v>
      </c>
      <c r="D10980" t="s">
        <v>118</v>
      </c>
      <c r="E10980">
        <v>1</v>
      </c>
    </row>
    <row r="10981" spans="1:5" x14ac:dyDescent="0.25">
      <c r="A10981">
        <v>10980</v>
      </c>
      <c r="B10981">
        <v>8015437</v>
      </c>
      <c r="C10981" s="1" t="str">
        <f>HYPERLINK("http://stackoverflow.com/users/8015437", "Yaming  Wong")</f>
        <v>Yaming  Wong</v>
      </c>
      <c r="D10981" t="s">
        <v>55</v>
      </c>
      <c r="E10981">
        <v>1</v>
      </c>
    </row>
    <row r="10982" spans="1:5" x14ac:dyDescent="0.25">
      <c r="A10982">
        <v>10981</v>
      </c>
      <c r="B10982">
        <v>2664807</v>
      </c>
      <c r="C10982" s="1" t="str">
        <f>HYPERLINK("http://stackoverflow.com/users/2664807", "ddxv")</f>
        <v>ddxv</v>
      </c>
      <c r="D10982" t="s">
        <v>5</v>
      </c>
      <c r="E10982">
        <v>1</v>
      </c>
    </row>
    <row r="10983" spans="1:5" x14ac:dyDescent="0.25">
      <c r="A10983">
        <v>10982</v>
      </c>
      <c r="B10983">
        <v>2665438</v>
      </c>
      <c r="C10983" s="1" t="str">
        <f>HYPERLINK("http://stackoverflow.com/users/2665438", "cth")</f>
        <v>cth</v>
      </c>
      <c r="D10983" t="s">
        <v>4</v>
      </c>
      <c r="E10983">
        <v>1</v>
      </c>
    </row>
    <row r="10984" spans="1:5" x14ac:dyDescent="0.25">
      <c r="A10984">
        <v>10983</v>
      </c>
      <c r="B10984">
        <v>4509850</v>
      </c>
      <c r="C10984" s="1" t="str">
        <f>HYPERLINK("http://stackoverflow.com/users/4509850", "Deyu")</f>
        <v>Deyu</v>
      </c>
      <c r="D10984" t="s">
        <v>325</v>
      </c>
      <c r="E10984">
        <v>1</v>
      </c>
    </row>
    <row r="10985" spans="1:5" x14ac:dyDescent="0.25">
      <c r="A10985">
        <v>10984</v>
      </c>
      <c r="B10985">
        <v>8018201</v>
      </c>
      <c r="C10985" s="1" t="str">
        <f>HYPERLINK("http://stackoverflow.com/users/8018201", "Li Mingjun")</f>
        <v>Li Mingjun</v>
      </c>
      <c r="D10985" t="s">
        <v>594</v>
      </c>
      <c r="E10985">
        <v>1</v>
      </c>
    </row>
    <row r="10986" spans="1:5" x14ac:dyDescent="0.25">
      <c r="A10986">
        <v>10985</v>
      </c>
      <c r="B10986">
        <v>8018295</v>
      </c>
      <c r="C10986" s="1" t="str">
        <f>HYPERLINK("http://stackoverflow.com/users/8018295", "Weihong Bai")</f>
        <v>Weihong Bai</v>
      </c>
      <c r="D10986" t="s">
        <v>133</v>
      </c>
      <c r="E10986">
        <v>1</v>
      </c>
    </row>
    <row r="10987" spans="1:5" x14ac:dyDescent="0.25">
      <c r="A10987">
        <v>10986</v>
      </c>
      <c r="B10987">
        <v>8018842</v>
      </c>
      <c r="C10987" s="1" t="str">
        <f>HYPERLINK("http://stackoverflow.com/users/8018842", "Henry")</f>
        <v>Henry</v>
      </c>
      <c r="D10987" t="s">
        <v>5</v>
      </c>
      <c r="E10987">
        <v>1</v>
      </c>
    </row>
    <row r="10988" spans="1:5" x14ac:dyDescent="0.25">
      <c r="A10988">
        <v>10987</v>
      </c>
      <c r="B10988">
        <v>9833360</v>
      </c>
      <c r="C10988" s="1" t="str">
        <f>HYPERLINK("http://stackoverflow.com/users/9833360", "xiu li")</f>
        <v>xiu li</v>
      </c>
      <c r="D10988" t="s">
        <v>5</v>
      </c>
      <c r="E10988">
        <v>1</v>
      </c>
    </row>
    <row r="10989" spans="1:5" x14ac:dyDescent="0.25">
      <c r="A10989">
        <v>10988</v>
      </c>
      <c r="B10989">
        <v>4512208</v>
      </c>
      <c r="C10989" s="1" t="str">
        <f>HYPERLINK("http://stackoverflow.com/users/4512208", "Sunshine Jiang")</f>
        <v>Sunshine Jiang</v>
      </c>
      <c r="D10989" t="s">
        <v>5</v>
      </c>
      <c r="E10989">
        <v>1</v>
      </c>
    </row>
    <row r="10990" spans="1:5" x14ac:dyDescent="0.25">
      <c r="A10990">
        <v>10989</v>
      </c>
      <c r="B10990">
        <v>8021614</v>
      </c>
      <c r="C10990" s="1" t="str">
        <f>HYPERLINK("http://stackoverflow.com/users/8021614", "lilian")</f>
        <v>lilian</v>
      </c>
      <c r="D10990" t="s">
        <v>4</v>
      </c>
      <c r="E10990">
        <v>1</v>
      </c>
    </row>
    <row r="10991" spans="1:5" x14ac:dyDescent="0.25">
      <c r="A10991">
        <v>10990</v>
      </c>
      <c r="B10991">
        <v>1392054</v>
      </c>
      <c r="C10991" s="1" t="str">
        <f>HYPERLINK("http://stackoverflow.com/users/1392054", "sean.yanghy")</f>
        <v>sean.yanghy</v>
      </c>
      <c r="D10991" t="s">
        <v>5</v>
      </c>
      <c r="E10991">
        <v>1</v>
      </c>
    </row>
    <row r="10992" spans="1:5" x14ac:dyDescent="0.25">
      <c r="A10992">
        <v>10991</v>
      </c>
      <c r="B10992">
        <v>1392960</v>
      </c>
      <c r="C10992" s="1" t="str">
        <f>HYPERLINK("http://stackoverflow.com/users/1392960", "Dongen Wang")</f>
        <v>Dongen Wang</v>
      </c>
      <c r="D10992" t="s">
        <v>5</v>
      </c>
      <c r="E10992">
        <v>1</v>
      </c>
    </row>
    <row r="10993" spans="1:5" x14ac:dyDescent="0.25">
      <c r="A10993">
        <v>10992</v>
      </c>
      <c r="B10993">
        <v>1393069</v>
      </c>
      <c r="C10993" s="1" t="str">
        <f>HYPERLINK("http://stackoverflow.com/users/1393069", "lijunjun")</f>
        <v>lijunjun</v>
      </c>
      <c r="D10993" t="s">
        <v>12</v>
      </c>
      <c r="E10993">
        <v>1</v>
      </c>
    </row>
    <row r="10994" spans="1:5" x14ac:dyDescent="0.25">
      <c r="A10994">
        <v>10993</v>
      </c>
      <c r="B10994">
        <v>8652899</v>
      </c>
      <c r="C10994" s="1" t="str">
        <f>HYPERLINK("http://stackoverflow.com/users/8652899", "Y. Cong")</f>
        <v>Y. Cong</v>
      </c>
      <c r="D10994" t="s">
        <v>5</v>
      </c>
      <c r="E10994">
        <v>1</v>
      </c>
    </row>
    <row r="10995" spans="1:5" x14ac:dyDescent="0.25">
      <c r="A10995">
        <v>10994</v>
      </c>
      <c r="B10995">
        <v>8652938</v>
      </c>
      <c r="C10995" s="1" t="str">
        <f>HYPERLINK("http://stackoverflow.com/users/8652938", "shino")</f>
        <v>shino</v>
      </c>
      <c r="D10995" t="s">
        <v>74</v>
      </c>
      <c r="E10995">
        <v>1</v>
      </c>
    </row>
    <row r="10996" spans="1:5" x14ac:dyDescent="0.25">
      <c r="A10996">
        <v>10995</v>
      </c>
      <c r="B10996">
        <v>8652954</v>
      </c>
      <c r="C10996" s="1" t="str">
        <f>HYPERLINK("http://stackoverflow.com/users/8652954", "yuxian chen")</f>
        <v>yuxian chen</v>
      </c>
      <c r="D10996" t="s">
        <v>52</v>
      </c>
      <c r="E10996">
        <v>1</v>
      </c>
    </row>
    <row r="10997" spans="1:5" x14ac:dyDescent="0.25">
      <c r="A10997">
        <v>10996</v>
      </c>
      <c r="B10997">
        <v>10465827</v>
      </c>
      <c r="C10997" s="1" t="str">
        <f>HYPERLINK("http://stackoverflow.com/users/10465827", "Zhiqiang Hu")</f>
        <v>Zhiqiang Hu</v>
      </c>
      <c r="D10997" t="s">
        <v>15</v>
      </c>
      <c r="E10997">
        <v>1</v>
      </c>
    </row>
    <row r="10998" spans="1:5" x14ac:dyDescent="0.25">
      <c r="A10998">
        <v>10997</v>
      </c>
      <c r="B10998">
        <v>6812469</v>
      </c>
      <c r="C10998" s="1" t="str">
        <f>HYPERLINK("http://stackoverflow.com/users/6812469", "linda cummings")</f>
        <v>linda cummings</v>
      </c>
      <c r="D10998" t="s">
        <v>4</v>
      </c>
      <c r="E10998">
        <v>1</v>
      </c>
    </row>
    <row r="10999" spans="1:5" x14ac:dyDescent="0.25">
      <c r="A10999">
        <v>10998</v>
      </c>
      <c r="B10999">
        <v>6812617</v>
      </c>
      <c r="C10999" s="1" t="str">
        <f>HYPERLINK("http://stackoverflow.com/users/6812617", "xingyu chen")</f>
        <v>xingyu chen</v>
      </c>
      <c r="D10999" t="s">
        <v>4</v>
      </c>
      <c r="E10999">
        <v>1</v>
      </c>
    </row>
    <row r="11000" spans="1:5" x14ac:dyDescent="0.25">
      <c r="A11000">
        <v>10999</v>
      </c>
      <c r="B11000">
        <v>5094576</v>
      </c>
      <c r="C11000" s="1" t="str">
        <f>HYPERLINK("http://stackoverflow.com/users/5094576", "irobbin")</f>
        <v>irobbin</v>
      </c>
      <c r="D11000" t="s">
        <v>12</v>
      </c>
      <c r="E11000">
        <v>1</v>
      </c>
    </row>
    <row r="11001" spans="1:5" x14ac:dyDescent="0.25">
      <c r="A11001">
        <v>11000</v>
      </c>
      <c r="B11001">
        <v>5094655</v>
      </c>
      <c r="C11001" s="1" t="str">
        <f>HYPERLINK("http://stackoverflow.com/users/5094655", "fallmaple")</f>
        <v>fallmaple</v>
      </c>
      <c r="D11001" t="s">
        <v>12</v>
      </c>
      <c r="E11001">
        <v>1</v>
      </c>
    </row>
    <row r="11002" spans="1:5" x14ac:dyDescent="0.25">
      <c r="A11002">
        <v>11001</v>
      </c>
      <c r="B11002">
        <v>5094837</v>
      </c>
      <c r="C11002" s="1" t="str">
        <f>HYPERLINK("http://stackoverflow.com/users/5094837", "liuhengsheng.inc")</f>
        <v>liuhengsheng.inc</v>
      </c>
      <c r="D11002" t="s">
        <v>5</v>
      </c>
      <c r="E11002">
        <v>1</v>
      </c>
    </row>
    <row r="11003" spans="1:5" x14ac:dyDescent="0.25">
      <c r="A11003">
        <v>11002</v>
      </c>
      <c r="B11003">
        <v>6818356</v>
      </c>
      <c r="C11003" s="1" t="str">
        <f>HYPERLINK("http://stackoverflow.com/users/6818356", "Keon Ye")</f>
        <v>Keon Ye</v>
      </c>
      <c r="D11003" t="s">
        <v>7</v>
      </c>
      <c r="E11003">
        <v>1</v>
      </c>
    </row>
    <row r="11004" spans="1:5" x14ac:dyDescent="0.25">
      <c r="A11004">
        <v>11003</v>
      </c>
      <c r="B11004">
        <v>6818769</v>
      </c>
      <c r="C11004" s="1" t="str">
        <f>HYPERLINK("http://stackoverflow.com/users/6818769", "Tdness")</f>
        <v>Tdness</v>
      </c>
      <c r="D11004" t="s">
        <v>595</v>
      </c>
      <c r="E11004">
        <v>1</v>
      </c>
    </row>
    <row r="11005" spans="1:5" x14ac:dyDescent="0.25">
      <c r="A11005">
        <v>11004</v>
      </c>
      <c r="B11005">
        <v>6818806</v>
      </c>
      <c r="C11005" s="1" t="str">
        <f>HYPERLINK("http://stackoverflow.com/users/6818806", "Deco")</f>
        <v>Deco</v>
      </c>
      <c r="D11005" t="s">
        <v>25</v>
      </c>
      <c r="E11005">
        <v>1</v>
      </c>
    </row>
    <row r="11006" spans="1:5" x14ac:dyDescent="0.25">
      <c r="A11006">
        <v>11005</v>
      </c>
      <c r="B11006">
        <v>3286846</v>
      </c>
      <c r="C11006" s="1" t="str">
        <f>HYPERLINK("http://stackoverflow.com/users/3286846", "dydx")</f>
        <v>dydx</v>
      </c>
      <c r="D11006" t="s">
        <v>4</v>
      </c>
      <c r="E11006">
        <v>1</v>
      </c>
    </row>
    <row r="11007" spans="1:5" x14ac:dyDescent="0.25">
      <c r="A11007">
        <v>11006</v>
      </c>
      <c r="B11007">
        <v>6815729</v>
      </c>
      <c r="C11007" s="1" t="str">
        <f>HYPERLINK("http://stackoverflow.com/users/6815729", "孟领航")</f>
        <v>孟领航</v>
      </c>
      <c r="D11007" t="s">
        <v>28</v>
      </c>
      <c r="E11007">
        <v>1</v>
      </c>
    </row>
    <row r="11008" spans="1:5" x14ac:dyDescent="0.25">
      <c r="A11008">
        <v>11007</v>
      </c>
      <c r="B11008">
        <v>5097889</v>
      </c>
      <c r="C11008" s="1" t="str">
        <f>HYPERLINK("http://stackoverflow.com/users/5097889", "lobster")</f>
        <v>lobster</v>
      </c>
      <c r="D11008" t="s">
        <v>5</v>
      </c>
      <c r="E11008">
        <v>1</v>
      </c>
    </row>
    <row r="11009" spans="1:5" x14ac:dyDescent="0.25">
      <c r="A11009">
        <v>11008</v>
      </c>
      <c r="B11009">
        <v>10476715</v>
      </c>
      <c r="C11009" s="1" t="str">
        <f>HYPERLINK("http://stackoverflow.com/users/10476715", "Zhengpeng Wang")</f>
        <v>Zhengpeng Wang</v>
      </c>
      <c r="D11009" t="s">
        <v>4</v>
      </c>
      <c r="E11009">
        <v>1</v>
      </c>
    </row>
    <row r="11010" spans="1:5" x14ac:dyDescent="0.25">
      <c r="A11010">
        <v>11009</v>
      </c>
      <c r="B11010">
        <v>10476855</v>
      </c>
      <c r="C11010" s="1" t="str">
        <f>HYPERLINK("http://stackoverflow.com/users/10476855", "Renjun Chen")</f>
        <v>Renjun Chen</v>
      </c>
      <c r="D11010" t="s">
        <v>4</v>
      </c>
      <c r="E11010">
        <v>1</v>
      </c>
    </row>
    <row r="11011" spans="1:5" x14ac:dyDescent="0.25">
      <c r="A11011">
        <v>11010</v>
      </c>
      <c r="B11011">
        <v>5101568</v>
      </c>
      <c r="C11011" s="1" t="str">
        <f>HYPERLINK("http://stackoverflow.com/users/5101568", "Jack Fang")</f>
        <v>Jack Fang</v>
      </c>
      <c r="D11011" t="s">
        <v>4</v>
      </c>
      <c r="E11011">
        <v>1</v>
      </c>
    </row>
    <row r="11012" spans="1:5" x14ac:dyDescent="0.25">
      <c r="A11012">
        <v>11011</v>
      </c>
      <c r="B11012">
        <v>5105325</v>
      </c>
      <c r="C11012" s="1" t="str">
        <f>HYPERLINK("http://stackoverflow.com/users/5105325", "Zhao Meng")</f>
        <v>Zhao Meng</v>
      </c>
      <c r="D11012" t="s">
        <v>4</v>
      </c>
      <c r="E11012">
        <v>1</v>
      </c>
    </row>
    <row r="11013" spans="1:5" x14ac:dyDescent="0.25">
      <c r="A11013">
        <v>11012</v>
      </c>
      <c r="B11013">
        <v>5105402</v>
      </c>
      <c r="C11013" s="1" t="str">
        <f>HYPERLINK("http://stackoverflow.com/users/5105402", "tunnySu")</f>
        <v>tunnySu</v>
      </c>
      <c r="D11013" t="s">
        <v>4</v>
      </c>
      <c r="E11013">
        <v>1</v>
      </c>
    </row>
    <row r="11014" spans="1:5" x14ac:dyDescent="0.25">
      <c r="A11014">
        <v>11013</v>
      </c>
      <c r="B11014">
        <v>8668567</v>
      </c>
      <c r="C11014" s="1" t="str">
        <f>HYPERLINK("http://stackoverflow.com/users/8668567", "Claire Huang")</f>
        <v>Claire Huang</v>
      </c>
      <c r="D11014" t="s">
        <v>596</v>
      </c>
      <c r="E11014">
        <v>1</v>
      </c>
    </row>
    <row r="11015" spans="1:5" x14ac:dyDescent="0.25">
      <c r="A11015">
        <v>11014</v>
      </c>
      <c r="B11015">
        <v>10481474</v>
      </c>
      <c r="C11015" s="1" t="str">
        <f>HYPERLINK("http://stackoverflow.com/users/10481474", "冯志杰")</f>
        <v>冯志杰</v>
      </c>
      <c r="D11015" t="s">
        <v>16</v>
      </c>
      <c r="E11015">
        <v>1</v>
      </c>
    </row>
    <row r="11016" spans="1:5" x14ac:dyDescent="0.25">
      <c r="A11016">
        <v>11015</v>
      </c>
      <c r="B11016">
        <v>3296572</v>
      </c>
      <c r="C11016" s="1" t="str">
        <f>HYPERLINK("http://stackoverflow.com/users/3296572", "gclover")</f>
        <v>gclover</v>
      </c>
      <c r="D11016" t="s">
        <v>4</v>
      </c>
      <c r="E11016">
        <v>1</v>
      </c>
    </row>
    <row r="11017" spans="1:5" x14ac:dyDescent="0.25">
      <c r="A11017">
        <v>11016</v>
      </c>
      <c r="B11017">
        <v>5109715</v>
      </c>
      <c r="C11017" s="1" t="str">
        <f>HYPERLINK("http://stackoverflow.com/users/5109715", "Yuankun Zhang")</f>
        <v>Yuankun Zhang</v>
      </c>
      <c r="D11017" t="s">
        <v>5</v>
      </c>
      <c r="E11017">
        <v>1</v>
      </c>
    </row>
    <row r="11018" spans="1:5" x14ac:dyDescent="0.25">
      <c r="A11018">
        <v>11017</v>
      </c>
      <c r="B11018">
        <v>5110190</v>
      </c>
      <c r="C11018" s="1" t="str">
        <f>HYPERLINK("http://stackoverflow.com/users/5110190", "Y2X")</f>
        <v>Y2X</v>
      </c>
      <c r="D11018" t="s">
        <v>4</v>
      </c>
      <c r="E11018">
        <v>1</v>
      </c>
    </row>
    <row r="11019" spans="1:5" x14ac:dyDescent="0.25">
      <c r="A11019">
        <v>11018</v>
      </c>
      <c r="B11019">
        <v>5110260</v>
      </c>
      <c r="C11019" s="1" t="str">
        <f>HYPERLINK("http://stackoverflow.com/users/5110260", "Poyv  Chou")</f>
        <v>Poyv  Chou</v>
      </c>
      <c r="D11019" t="s">
        <v>21</v>
      </c>
      <c r="E11019">
        <v>1</v>
      </c>
    </row>
    <row r="11020" spans="1:5" x14ac:dyDescent="0.25">
      <c r="A11020">
        <v>11019</v>
      </c>
      <c r="B11020">
        <v>5110289</v>
      </c>
      <c r="C11020" s="1" t="str">
        <f>HYPERLINK("http://stackoverflow.com/users/5110289", "J1aDong")</f>
        <v>J1aDong</v>
      </c>
      <c r="D11020" t="s">
        <v>12</v>
      </c>
      <c r="E11020">
        <v>1</v>
      </c>
    </row>
    <row r="11021" spans="1:5" x14ac:dyDescent="0.25">
      <c r="A11021">
        <v>11020</v>
      </c>
      <c r="B11021">
        <v>8638672</v>
      </c>
      <c r="C11021" s="1" t="str">
        <f>HYPERLINK("http://stackoverflow.com/users/8638672", "Yuanfu Chen")</f>
        <v>Yuanfu Chen</v>
      </c>
      <c r="D11021" t="s">
        <v>5</v>
      </c>
      <c r="E11021">
        <v>1</v>
      </c>
    </row>
    <row r="11022" spans="1:5" x14ac:dyDescent="0.25">
      <c r="A11022">
        <v>11021</v>
      </c>
      <c r="B11022">
        <v>8638839</v>
      </c>
      <c r="C11022" s="1" t="str">
        <f>HYPERLINK("http://stackoverflow.com/users/8638839", "tony")</f>
        <v>tony</v>
      </c>
      <c r="D11022" t="s">
        <v>7</v>
      </c>
      <c r="E11022">
        <v>1</v>
      </c>
    </row>
    <row r="11023" spans="1:5" x14ac:dyDescent="0.25">
      <c r="A11023">
        <v>11022</v>
      </c>
      <c r="B11023">
        <v>1386938</v>
      </c>
      <c r="C11023" s="1" t="str">
        <f>HYPERLINK("http://stackoverflow.com/users/1386938", "yungeo")</f>
        <v>yungeo</v>
      </c>
      <c r="D11023" t="s">
        <v>12</v>
      </c>
      <c r="E11023">
        <v>1</v>
      </c>
    </row>
    <row r="11024" spans="1:5" x14ac:dyDescent="0.25">
      <c r="A11024">
        <v>11023</v>
      </c>
      <c r="B11024">
        <v>1391892</v>
      </c>
      <c r="C11024" s="1" t="str">
        <f>HYPERLINK("http://stackoverflow.com/users/1391892", "L3au")</f>
        <v>L3au</v>
      </c>
      <c r="D11024" t="s">
        <v>12</v>
      </c>
      <c r="E11024">
        <v>1</v>
      </c>
    </row>
    <row r="11025" spans="1:5" x14ac:dyDescent="0.25">
      <c r="A11025">
        <v>11024</v>
      </c>
      <c r="B11025">
        <v>1392006</v>
      </c>
      <c r="C11025" s="1" t="str">
        <f>HYPERLINK("http://stackoverflow.com/users/1392006", "World")</f>
        <v>World</v>
      </c>
      <c r="D11025" t="s">
        <v>4</v>
      </c>
      <c r="E11025">
        <v>1</v>
      </c>
    </row>
    <row r="11026" spans="1:5" x14ac:dyDescent="0.25">
      <c r="A11026">
        <v>11025</v>
      </c>
      <c r="B11026">
        <v>10447664</v>
      </c>
      <c r="C11026" s="1" t="str">
        <f>HYPERLINK("http://stackoverflow.com/users/10447664", "Osama Shugaa Addin")</f>
        <v>Osama Shugaa Addin</v>
      </c>
      <c r="D11026" t="s">
        <v>96</v>
      </c>
      <c r="E11026">
        <v>1</v>
      </c>
    </row>
    <row r="11027" spans="1:5" x14ac:dyDescent="0.25">
      <c r="A11027">
        <v>11026</v>
      </c>
      <c r="B11027">
        <v>5073501</v>
      </c>
      <c r="C11027" s="1" t="str">
        <f>HYPERLINK("http://stackoverflow.com/users/5073501", "Yi Tao Jiang")</f>
        <v>Yi Tao Jiang</v>
      </c>
      <c r="D11027" t="s">
        <v>5</v>
      </c>
      <c r="E11027">
        <v>1</v>
      </c>
    </row>
    <row r="11028" spans="1:5" x14ac:dyDescent="0.25">
      <c r="A11028">
        <v>11027</v>
      </c>
      <c r="B11028">
        <v>1378840</v>
      </c>
      <c r="C11028" s="1" t="str">
        <f>HYPERLINK("http://stackoverflow.com/users/1378840", "Peng Jiang")</f>
        <v>Peng Jiang</v>
      </c>
      <c r="D11028" t="s">
        <v>8</v>
      </c>
      <c r="E11028">
        <v>1</v>
      </c>
    </row>
    <row r="11029" spans="1:5" x14ac:dyDescent="0.25">
      <c r="A11029">
        <v>11028</v>
      </c>
      <c r="B11029">
        <v>1378212</v>
      </c>
      <c r="C11029" s="1" t="str">
        <f>HYPERLINK("http://stackoverflow.com/users/1378212", "Blask")</f>
        <v>Blask</v>
      </c>
      <c r="D11029" t="s">
        <v>5</v>
      </c>
      <c r="E11029">
        <v>1</v>
      </c>
    </row>
    <row r="11030" spans="1:5" x14ac:dyDescent="0.25">
      <c r="A11030">
        <v>11029</v>
      </c>
      <c r="B11030">
        <v>1378273</v>
      </c>
      <c r="C11030" s="1" t="str">
        <f>HYPERLINK("http://stackoverflow.com/users/1378273", "selevent")</f>
        <v>selevent</v>
      </c>
      <c r="D11030" t="s">
        <v>5</v>
      </c>
      <c r="E11030">
        <v>1</v>
      </c>
    </row>
    <row r="11031" spans="1:5" x14ac:dyDescent="0.25">
      <c r="A11031">
        <v>11030</v>
      </c>
      <c r="B11031">
        <v>1377991</v>
      </c>
      <c r="C11031" s="1" t="str">
        <f>HYPERLINK("http://stackoverflow.com/users/1377991", "xidianw3")</f>
        <v>xidianw3</v>
      </c>
      <c r="D11031" t="s">
        <v>54</v>
      </c>
      <c r="E11031">
        <v>1</v>
      </c>
    </row>
    <row r="11032" spans="1:5" x14ac:dyDescent="0.25">
      <c r="A11032">
        <v>11031</v>
      </c>
      <c r="B11032">
        <v>1404978</v>
      </c>
      <c r="C11032" s="1" t="str">
        <f>HYPERLINK("http://stackoverflow.com/users/1404978", "Jerry Xing")</f>
        <v>Jerry Xing</v>
      </c>
      <c r="D11032" t="s">
        <v>5</v>
      </c>
      <c r="E11032">
        <v>1</v>
      </c>
    </row>
    <row r="11033" spans="1:5" x14ac:dyDescent="0.25">
      <c r="A11033">
        <v>11032</v>
      </c>
      <c r="B11033">
        <v>1405044</v>
      </c>
      <c r="C11033" s="1" t="str">
        <f>HYPERLINK("http://stackoverflow.com/users/1405044", "Toni")</f>
        <v>Toni</v>
      </c>
      <c r="D11033" t="s">
        <v>17</v>
      </c>
      <c r="E11033">
        <v>1</v>
      </c>
    </row>
    <row r="11034" spans="1:5" x14ac:dyDescent="0.25">
      <c r="A11034">
        <v>11033</v>
      </c>
      <c r="B11034">
        <v>1405738</v>
      </c>
      <c r="C11034" s="1" t="str">
        <f>HYPERLINK("http://stackoverflow.com/users/1405738", "doxer-org")</f>
        <v>doxer-org</v>
      </c>
      <c r="D11034" t="s">
        <v>5</v>
      </c>
      <c r="E11034">
        <v>1</v>
      </c>
    </row>
    <row r="11035" spans="1:5" x14ac:dyDescent="0.25">
      <c r="A11035">
        <v>11034</v>
      </c>
      <c r="B11035">
        <v>1406039</v>
      </c>
      <c r="C11035" s="1" t="str">
        <f>HYPERLINK("http://stackoverflow.com/users/1406039", "Isaac Han")</f>
        <v>Isaac Han</v>
      </c>
      <c r="D11035" t="s">
        <v>5</v>
      </c>
      <c r="E11035">
        <v>1</v>
      </c>
    </row>
    <row r="11036" spans="1:5" x14ac:dyDescent="0.25">
      <c r="A11036">
        <v>11035</v>
      </c>
      <c r="B11036">
        <v>8652535</v>
      </c>
      <c r="C11036" s="1" t="str">
        <f>HYPERLINK("http://stackoverflow.com/users/8652535", "Maki")</f>
        <v>Maki</v>
      </c>
      <c r="D11036" t="s">
        <v>28</v>
      </c>
      <c r="E11036">
        <v>1</v>
      </c>
    </row>
    <row r="11037" spans="1:5" x14ac:dyDescent="0.25">
      <c r="A11037">
        <v>11036</v>
      </c>
      <c r="B11037">
        <v>8652591</v>
      </c>
      <c r="C11037" s="1" t="str">
        <f>HYPERLINK("http://stackoverflow.com/users/8652591", "Roger")</f>
        <v>Roger</v>
      </c>
      <c r="D11037" t="s">
        <v>7</v>
      </c>
      <c r="E11037">
        <v>1</v>
      </c>
    </row>
    <row r="11038" spans="1:5" x14ac:dyDescent="0.25">
      <c r="A11038">
        <v>11037</v>
      </c>
      <c r="B11038">
        <v>8652714</v>
      </c>
      <c r="C11038" s="1" t="str">
        <f>HYPERLINK("http://stackoverflow.com/users/8652714", "董盟盟")</f>
        <v>董盟盟</v>
      </c>
      <c r="D11038" t="s">
        <v>5</v>
      </c>
      <c r="E11038">
        <v>1</v>
      </c>
    </row>
    <row r="11039" spans="1:5" x14ac:dyDescent="0.25">
      <c r="A11039">
        <v>11038</v>
      </c>
      <c r="B11039">
        <v>1393205</v>
      </c>
      <c r="C11039" s="1" t="str">
        <f>HYPERLINK("http://stackoverflow.com/users/1393205", "chris")</f>
        <v>chris</v>
      </c>
      <c r="D11039" t="s">
        <v>4</v>
      </c>
      <c r="E11039">
        <v>1</v>
      </c>
    </row>
    <row r="11040" spans="1:5" x14ac:dyDescent="0.25">
      <c r="A11040">
        <v>11039</v>
      </c>
      <c r="B11040">
        <v>8643327</v>
      </c>
      <c r="C11040" s="1" t="str">
        <f>HYPERLINK("http://stackoverflow.com/users/8643327", "Yateng")</f>
        <v>Yateng</v>
      </c>
      <c r="D11040" t="s">
        <v>5</v>
      </c>
      <c r="E11040">
        <v>1</v>
      </c>
    </row>
    <row r="11041" spans="1:5" x14ac:dyDescent="0.25">
      <c r="A11041">
        <v>11040</v>
      </c>
      <c r="B11041">
        <v>10455730</v>
      </c>
      <c r="C11041" s="1" t="str">
        <f>HYPERLINK("http://stackoverflow.com/users/10455730", "赵俊达")</f>
        <v>赵俊达</v>
      </c>
      <c r="D11041" t="s">
        <v>5</v>
      </c>
      <c r="E11041">
        <v>1</v>
      </c>
    </row>
    <row r="11042" spans="1:5" x14ac:dyDescent="0.25">
      <c r="A11042">
        <v>11041</v>
      </c>
      <c r="B11042">
        <v>10456122</v>
      </c>
      <c r="C11042" s="1" t="str">
        <f>HYPERLINK("http://stackoverflow.com/users/10456122", "Ning Hsia")</f>
        <v>Ning Hsia</v>
      </c>
      <c r="D11042" t="s">
        <v>52</v>
      </c>
      <c r="E11042">
        <v>1</v>
      </c>
    </row>
    <row r="11043" spans="1:5" x14ac:dyDescent="0.25">
      <c r="A11043">
        <v>11042</v>
      </c>
      <c r="B11043">
        <v>6803491</v>
      </c>
      <c r="C11043" s="1" t="str">
        <f>HYPERLINK("http://stackoverflow.com/users/6803491", "Jeremy")</f>
        <v>Jeremy</v>
      </c>
      <c r="D11043" t="s">
        <v>28</v>
      </c>
      <c r="E11043">
        <v>1</v>
      </c>
    </row>
    <row r="11044" spans="1:5" x14ac:dyDescent="0.25">
      <c r="A11044">
        <v>11043</v>
      </c>
      <c r="B11044">
        <v>6803916</v>
      </c>
      <c r="C11044" s="1" t="str">
        <f>HYPERLINK("http://stackoverflow.com/users/6803916", "HanZhenCheng")</f>
        <v>HanZhenCheng</v>
      </c>
      <c r="D11044" t="s">
        <v>5</v>
      </c>
      <c r="E11044">
        <v>1</v>
      </c>
    </row>
    <row r="11045" spans="1:5" x14ac:dyDescent="0.25">
      <c r="A11045">
        <v>11044</v>
      </c>
      <c r="B11045">
        <v>5081561</v>
      </c>
      <c r="C11045" s="1" t="str">
        <f>HYPERLINK("http://stackoverflow.com/users/5081561", "Infinitus")</f>
        <v>Infinitus</v>
      </c>
      <c r="D11045" t="s">
        <v>22</v>
      </c>
      <c r="E11045">
        <v>1</v>
      </c>
    </row>
    <row r="11046" spans="1:5" x14ac:dyDescent="0.25">
      <c r="A11046">
        <v>11045</v>
      </c>
      <c r="B11046">
        <v>5081600</v>
      </c>
      <c r="C11046" s="1" t="str">
        <f>HYPERLINK("http://stackoverflow.com/users/5081600", "Bruce Landor")</f>
        <v>Bruce Landor</v>
      </c>
      <c r="D11046" t="s">
        <v>5</v>
      </c>
      <c r="E11046">
        <v>1</v>
      </c>
    </row>
    <row r="11047" spans="1:5" x14ac:dyDescent="0.25">
      <c r="A11047">
        <v>11046</v>
      </c>
      <c r="B11047">
        <v>3275594</v>
      </c>
      <c r="C11047" s="1" t="str">
        <f>HYPERLINK("http://stackoverflow.com/users/3275594", "billlangjun")</f>
        <v>billlangjun</v>
      </c>
      <c r="D11047" t="s">
        <v>12</v>
      </c>
      <c r="E11047">
        <v>1</v>
      </c>
    </row>
    <row r="11048" spans="1:5" x14ac:dyDescent="0.25">
      <c r="A11048">
        <v>11047</v>
      </c>
      <c r="B11048">
        <v>8647515</v>
      </c>
      <c r="C11048" s="1" t="str">
        <f>HYPERLINK("http://stackoverflow.com/users/8647515", "R.Ruan")</f>
        <v>R.Ruan</v>
      </c>
      <c r="D11048" t="s">
        <v>7</v>
      </c>
      <c r="E11048">
        <v>1</v>
      </c>
    </row>
    <row r="11049" spans="1:5" x14ac:dyDescent="0.25">
      <c r="A11049">
        <v>11048</v>
      </c>
      <c r="B11049">
        <v>8647527</v>
      </c>
      <c r="C11049" s="1" t="str">
        <f>HYPERLINK("http://stackoverflow.com/users/8647527", "linzong xiang")</f>
        <v>linzong xiang</v>
      </c>
      <c r="D11049" t="s">
        <v>28</v>
      </c>
      <c r="E11049">
        <v>1</v>
      </c>
    </row>
    <row r="11050" spans="1:5" x14ac:dyDescent="0.25">
      <c r="A11050">
        <v>11049</v>
      </c>
      <c r="B11050">
        <v>10460547</v>
      </c>
      <c r="C11050" s="1" t="str">
        <f>HYPERLINK("http://stackoverflow.com/users/10460547", "GdeGab")</f>
        <v>GdeGab</v>
      </c>
      <c r="D11050" t="s">
        <v>5</v>
      </c>
      <c r="E11050">
        <v>1</v>
      </c>
    </row>
    <row r="11051" spans="1:5" x14ac:dyDescent="0.25">
      <c r="A11051">
        <v>11050</v>
      </c>
      <c r="B11051">
        <v>10460752</v>
      </c>
      <c r="C11051" s="1" t="str">
        <f>HYPERLINK("http://stackoverflow.com/users/10460752", "xorange")</f>
        <v>xorange</v>
      </c>
      <c r="D11051" t="s">
        <v>7</v>
      </c>
      <c r="E11051">
        <v>1</v>
      </c>
    </row>
    <row r="11052" spans="1:5" x14ac:dyDescent="0.25">
      <c r="A11052">
        <v>11051</v>
      </c>
      <c r="B11052">
        <v>10461040</v>
      </c>
      <c r="C11052" s="1" t="str">
        <f>HYPERLINK("http://stackoverflow.com/users/10461040", "Ding Tom")</f>
        <v>Ding Tom</v>
      </c>
      <c r="D11052" t="s">
        <v>4</v>
      </c>
      <c r="E11052">
        <v>1</v>
      </c>
    </row>
    <row r="11053" spans="1:5" x14ac:dyDescent="0.25">
      <c r="A11053">
        <v>11052</v>
      </c>
      <c r="B11053">
        <v>1341023</v>
      </c>
      <c r="C11053" s="1" t="str">
        <f>HYPERLINK("http://stackoverflow.com/users/1341023", "bearzx")</f>
        <v>bearzx</v>
      </c>
      <c r="D11053" t="s">
        <v>56</v>
      </c>
      <c r="E11053">
        <v>1</v>
      </c>
    </row>
    <row r="11054" spans="1:5" x14ac:dyDescent="0.25">
      <c r="A11054">
        <v>11053</v>
      </c>
      <c r="B11054">
        <v>1341411</v>
      </c>
      <c r="C11054" s="1" t="str">
        <f>HYPERLINK("http://stackoverflow.com/users/1341411", "William Yao")</f>
        <v>William Yao</v>
      </c>
      <c r="D11054" t="s">
        <v>5</v>
      </c>
      <c r="E11054">
        <v>1</v>
      </c>
    </row>
    <row r="11055" spans="1:5" x14ac:dyDescent="0.25">
      <c r="A11055">
        <v>11054</v>
      </c>
      <c r="B11055">
        <v>1333398</v>
      </c>
      <c r="C11055" s="1" t="str">
        <f>HYPERLINK("http://stackoverflow.com/users/1333398", "pxh")</f>
        <v>pxh</v>
      </c>
      <c r="D11055" t="s">
        <v>4</v>
      </c>
      <c r="E11055">
        <v>1</v>
      </c>
    </row>
    <row r="11056" spans="1:5" x14ac:dyDescent="0.25">
      <c r="A11056">
        <v>11055</v>
      </c>
      <c r="B11056">
        <v>10406660</v>
      </c>
      <c r="C11056" s="1" t="str">
        <f>HYPERLINK("http://stackoverflow.com/users/10406660", "汪智翔")</f>
        <v>汪智翔</v>
      </c>
      <c r="D11056" t="s">
        <v>426</v>
      </c>
      <c r="E11056">
        <v>1</v>
      </c>
    </row>
    <row r="11057" spans="1:5" x14ac:dyDescent="0.25">
      <c r="A11057">
        <v>11056</v>
      </c>
      <c r="B11057">
        <v>10406803</v>
      </c>
      <c r="C11057" s="1" t="str">
        <f>HYPERLINK("http://stackoverflow.com/users/10406803", "Steven Yang")</f>
        <v>Steven Yang</v>
      </c>
      <c r="D11057" t="s">
        <v>4</v>
      </c>
      <c r="E11057">
        <v>1</v>
      </c>
    </row>
    <row r="11058" spans="1:5" x14ac:dyDescent="0.25">
      <c r="A11058">
        <v>11057</v>
      </c>
      <c r="B11058">
        <v>3240637</v>
      </c>
      <c r="C11058" s="1" t="str">
        <f>HYPERLINK("http://stackoverflow.com/users/3240637", "Fei Guo")</f>
        <v>Fei Guo</v>
      </c>
      <c r="D11058" t="s">
        <v>5</v>
      </c>
      <c r="E11058">
        <v>1</v>
      </c>
    </row>
    <row r="11059" spans="1:5" x14ac:dyDescent="0.25">
      <c r="A11059">
        <v>11058</v>
      </c>
      <c r="B11059">
        <v>3240922</v>
      </c>
      <c r="C11059" s="1" t="str">
        <f>HYPERLINK("http://stackoverflow.com/users/3240922", "user3240922")</f>
        <v>user3240922</v>
      </c>
      <c r="D11059" t="s">
        <v>12</v>
      </c>
      <c r="E11059">
        <v>1</v>
      </c>
    </row>
    <row r="11060" spans="1:5" x14ac:dyDescent="0.25">
      <c r="A11060">
        <v>11059</v>
      </c>
      <c r="B11060">
        <v>8612910</v>
      </c>
      <c r="C11060" s="1" t="str">
        <f>HYPERLINK("http://stackoverflow.com/users/8612910", "kDolphin")</f>
        <v>kDolphin</v>
      </c>
      <c r="D11060" t="s">
        <v>4</v>
      </c>
      <c r="E11060">
        <v>1</v>
      </c>
    </row>
    <row r="11061" spans="1:5" x14ac:dyDescent="0.25">
      <c r="A11061">
        <v>11060</v>
      </c>
      <c r="B11061">
        <v>8613052</v>
      </c>
      <c r="C11061" s="1" t="str">
        <f>HYPERLINK("http://stackoverflow.com/users/8613052", "Gloom_X")</f>
        <v>Gloom_X</v>
      </c>
      <c r="D11061" t="s">
        <v>74</v>
      </c>
      <c r="E11061">
        <v>1</v>
      </c>
    </row>
    <row r="11062" spans="1:5" x14ac:dyDescent="0.25">
      <c r="A11062">
        <v>11061</v>
      </c>
      <c r="B11062">
        <v>5046885</v>
      </c>
      <c r="C11062" s="1" t="str">
        <f>HYPERLINK("http://stackoverflow.com/users/5046885", "britpopcat")</f>
        <v>britpopcat</v>
      </c>
      <c r="D11062" t="s">
        <v>4</v>
      </c>
      <c r="E11062">
        <v>1</v>
      </c>
    </row>
    <row r="11063" spans="1:5" x14ac:dyDescent="0.25">
      <c r="A11063">
        <v>11062</v>
      </c>
      <c r="B11063">
        <v>5046901</v>
      </c>
      <c r="C11063" s="1" t="str">
        <f>HYPERLINK("http://stackoverflow.com/users/5046901", "Dream_idai")</f>
        <v>Dream_idai</v>
      </c>
      <c r="D11063" t="s">
        <v>5</v>
      </c>
      <c r="E11063">
        <v>1</v>
      </c>
    </row>
    <row r="11064" spans="1:5" x14ac:dyDescent="0.25">
      <c r="A11064">
        <v>11063</v>
      </c>
      <c r="B11064">
        <v>5046916</v>
      </c>
      <c r="C11064" s="1" t="str">
        <f>HYPERLINK("http://stackoverflow.com/users/5046916", "Darek")</f>
        <v>Darek</v>
      </c>
      <c r="D11064" t="s">
        <v>5</v>
      </c>
      <c r="E11064">
        <v>1</v>
      </c>
    </row>
    <row r="11065" spans="1:5" x14ac:dyDescent="0.25">
      <c r="A11065">
        <v>11064</v>
      </c>
      <c r="B11065">
        <v>5047008</v>
      </c>
      <c r="C11065" s="1" t="str">
        <f>HYPERLINK("http://stackoverflow.com/users/5047008", "Marcelo")</f>
        <v>Marcelo</v>
      </c>
      <c r="D11065" t="s">
        <v>4</v>
      </c>
      <c r="E11065">
        <v>1</v>
      </c>
    </row>
    <row r="11066" spans="1:5" x14ac:dyDescent="0.25">
      <c r="A11066">
        <v>11065</v>
      </c>
      <c r="B11066">
        <v>3236928</v>
      </c>
      <c r="C11066" s="1" t="str">
        <f>HYPERLINK("http://stackoverflow.com/users/3236928", "Zoe Zhang")</f>
        <v>Zoe Zhang</v>
      </c>
      <c r="D11066" t="s">
        <v>4</v>
      </c>
      <c r="E11066">
        <v>1</v>
      </c>
    </row>
    <row r="11067" spans="1:5" x14ac:dyDescent="0.25">
      <c r="A11067">
        <v>11066</v>
      </c>
      <c r="B11067">
        <v>3237073</v>
      </c>
      <c r="C11067" s="1" t="str">
        <f>HYPERLINK("http://stackoverflow.com/users/3237073", "wenwen")</f>
        <v>wenwen</v>
      </c>
      <c r="D11067" t="s">
        <v>12</v>
      </c>
      <c r="E11067">
        <v>1</v>
      </c>
    </row>
    <row r="11068" spans="1:5" x14ac:dyDescent="0.25">
      <c r="A11068">
        <v>11067</v>
      </c>
      <c r="B11068">
        <v>5040370</v>
      </c>
      <c r="C11068" s="1" t="str">
        <f>HYPERLINK("http://stackoverflow.com/users/5040370", "NARUTO")</f>
        <v>NARUTO</v>
      </c>
      <c r="D11068" t="s">
        <v>21</v>
      </c>
      <c r="E11068">
        <v>1</v>
      </c>
    </row>
    <row r="11069" spans="1:5" x14ac:dyDescent="0.25">
      <c r="A11069">
        <v>11068</v>
      </c>
      <c r="B11069">
        <v>10410820</v>
      </c>
      <c r="C11069" s="1" t="str">
        <f>HYPERLINK("http://stackoverflow.com/users/10410820", "Codingmann")</f>
        <v>Codingmann</v>
      </c>
      <c r="D11069" t="s">
        <v>17</v>
      </c>
      <c r="E11069">
        <v>1</v>
      </c>
    </row>
    <row r="11070" spans="1:5" x14ac:dyDescent="0.25">
      <c r="A11070">
        <v>11069</v>
      </c>
      <c r="B11070">
        <v>10410841</v>
      </c>
      <c r="C11070" s="1" t="str">
        <f>HYPERLINK("http://stackoverflow.com/users/10410841", "user10410841")</f>
        <v>user10410841</v>
      </c>
      <c r="D11070" t="s">
        <v>4</v>
      </c>
      <c r="E11070">
        <v>1</v>
      </c>
    </row>
    <row r="11071" spans="1:5" x14ac:dyDescent="0.25">
      <c r="A11071">
        <v>11070</v>
      </c>
      <c r="B11071">
        <v>10410870</v>
      </c>
      <c r="C11071" s="1" t="str">
        <f>HYPERLINK("http://stackoverflow.com/users/10410870", "Xin Guo")</f>
        <v>Xin Guo</v>
      </c>
      <c r="D11071" t="s">
        <v>131</v>
      </c>
      <c r="E11071">
        <v>1</v>
      </c>
    </row>
    <row r="11072" spans="1:5" x14ac:dyDescent="0.25">
      <c r="A11072">
        <v>11071</v>
      </c>
      <c r="B11072">
        <v>6767114</v>
      </c>
      <c r="C11072" s="1" t="str">
        <f>HYPERLINK("http://stackoverflow.com/users/6767114", "Hao Liang")</f>
        <v>Hao Liang</v>
      </c>
      <c r="D11072" t="s">
        <v>4</v>
      </c>
      <c r="E11072">
        <v>1</v>
      </c>
    </row>
    <row r="11073" spans="1:5" x14ac:dyDescent="0.25">
      <c r="A11073">
        <v>11072</v>
      </c>
      <c r="B11073">
        <v>5043611</v>
      </c>
      <c r="C11073" s="1" t="str">
        <f>HYPERLINK("http://stackoverflow.com/users/5043611", "omichael")</f>
        <v>omichael</v>
      </c>
      <c r="D11073" t="s">
        <v>21</v>
      </c>
      <c r="E11073">
        <v>1</v>
      </c>
    </row>
    <row r="11074" spans="1:5" x14ac:dyDescent="0.25">
      <c r="A11074">
        <v>11073</v>
      </c>
      <c r="B11074">
        <v>8601639</v>
      </c>
      <c r="C11074" s="1" t="str">
        <f>HYPERLINK("http://stackoverflow.com/users/8601639", "Alex")</f>
        <v>Alex</v>
      </c>
      <c r="D11074" t="s">
        <v>55</v>
      </c>
      <c r="E11074">
        <v>1</v>
      </c>
    </row>
    <row r="11075" spans="1:5" x14ac:dyDescent="0.25">
      <c r="A11075">
        <v>11074</v>
      </c>
      <c r="B11075">
        <v>8601803</v>
      </c>
      <c r="C11075" s="1" t="str">
        <f>HYPERLINK("http://stackoverflow.com/users/8601803", "Rambo Pan")</f>
        <v>Rambo Pan</v>
      </c>
      <c r="D11075" t="s">
        <v>5</v>
      </c>
      <c r="E11075">
        <v>1</v>
      </c>
    </row>
    <row r="11076" spans="1:5" x14ac:dyDescent="0.25">
      <c r="A11076">
        <v>11075</v>
      </c>
      <c r="B11076">
        <v>8602087</v>
      </c>
      <c r="C11076" s="1" t="str">
        <f>HYPERLINK("http://stackoverflow.com/users/8602087", "nkxcj")</f>
        <v>nkxcj</v>
      </c>
      <c r="D11076" t="s">
        <v>4</v>
      </c>
      <c r="E11076">
        <v>1</v>
      </c>
    </row>
    <row r="11077" spans="1:5" x14ac:dyDescent="0.25">
      <c r="A11077">
        <v>11076</v>
      </c>
      <c r="B11077">
        <v>10439175</v>
      </c>
      <c r="C11077" s="1" t="str">
        <f>HYPERLINK("http://stackoverflow.com/users/10439175", "Fraank")</f>
        <v>Fraank</v>
      </c>
      <c r="D11077" t="s">
        <v>7</v>
      </c>
      <c r="E11077">
        <v>1</v>
      </c>
    </row>
    <row r="11078" spans="1:5" x14ac:dyDescent="0.25">
      <c r="A11078">
        <v>11077</v>
      </c>
      <c r="B11078">
        <v>10439202</v>
      </c>
      <c r="C11078" s="1" t="str">
        <f>HYPERLINK("http://stackoverflow.com/users/10439202", "Johsang Yue")</f>
        <v>Johsang Yue</v>
      </c>
      <c r="D11078" t="s">
        <v>597</v>
      </c>
      <c r="E11078">
        <v>1</v>
      </c>
    </row>
    <row r="11079" spans="1:5" x14ac:dyDescent="0.25">
      <c r="A11079">
        <v>11078</v>
      </c>
      <c r="B11079">
        <v>8625887</v>
      </c>
      <c r="C11079" s="1" t="str">
        <f>HYPERLINK("http://stackoverflow.com/users/8625887", "thenetcircle")</f>
        <v>thenetcircle</v>
      </c>
      <c r="D11079" t="s">
        <v>4</v>
      </c>
      <c r="E11079">
        <v>1</v>
      </c>
    </row>
    <row r="11080" spans="1:5" x14ac:dyDescent="0.25">
      <c r="A11080">
        <v>11079</v>
      </c>
      <c r="B11080">
        <v>10443172</v>
      </c>
      <c r="C11080" s="1" t="str">
        <f>HYPERLINK("http://stackoverflow.com/users/10443172", "Talent")</f>
        <v>Talent</v>
      </c>
      <c r="D11080" t="s">
        <v>33</v>
      </c>
      <c r="E11080">
        <v>1</v>
      </c>
    </row>
    <row r="11081" spans="1:5" x14ac:dyDescent="0.25">
      <c r="A11081">
        <v>11080</v>
      </c>
      <c r="B11081">
        <v>8630232</v>
      </c>
      <c r="C11081" s="1" t="str">
        <f>HYPERLINK("http://stackoverflow.com/users/8630232", "Yuan Yu")</f>
        <v>Yuan Yu</v>
      </c>
      <c r="D11081" t="s">
        <v>5</v>
      </c>
      <c r="E11081">
        <v>1</v>
      </c>
    </row>
    <row r="11082" spans="1:5" x14ac:dyDescent="0.25">
      <c r="A11082">
        <v>11081</v>
      </c>
      <c r="B11082">
        <v>8630296</v>
      </c>
      <c r="C11082" s="1" t="str">
        <f>HYPERLINK("http://stackoverflow.com/users/8630296", "Howard Gao")</f>
        <v>Howard Gao</v>
      </c>
      <c r="D11082" t="s">
        <v>5</v>
      </c>
      <c r="E11082">
        <v>1</v>
      </c>
    </row>
    <row r="11083" spans="1:5" x14ac:dyDescent="0.25">
      <c r="A11083">
        <v>11082</v>
      </c>
      <c r="B11083">
        <v>8630354</v>
      </c>
      <c r="C11083" s="1" t="str">
        <f>HYPERLINK("http://stackoverflow.com/users/8630354", "方子寒")</f>
        <v>方子寒</v>
      </c>
      <c r="D11083" t="s">
        <v>4</v>
      </c>
      <c r="E11083">
        <v>1</v>
      </c>
    </row>
    <row r="11084" spans="1:5" x14ac:dyDescent="0.25">
      <c r="A11084">
        <v>11083</v>
      </c>
      <c r="B11084">
        <v>8630488</v>
      </c>
      <c r="C11084" s="1" t="str">
        <f>HYPERLINK("http://stackoverflow.com/users/8630488", "ren yiming")</f>
        <v>ren yiming</v>
      </c>
      <c r="D11084" t="s">
        <v>114</v>
      </c>
      <c r="E11084">
        <v>1</v>
      </c>
    </row>
    <row r="11085" spans="1:5" x14ac:dyDescent="0.25">
      <c r="A11085">
        <v>11084</v>
      </c>
      <c r="B11085">
        <v>8613358</v>
      </c>
      <c r="C11085" s="1" t="str">
        <f>HYPERLINK("http://stackoverflow.com/users/8613358", "Yinbao Jin")</f>
        <v>Yinbao Jin</v>
      </c>
      <c r="D11085" t="s">
        <v>266</v>
      </c>
      <c r="E11085">
        <v>1</v>
      </c>
    </row>
    <row r="11086" spans="1:5" x14ac:dyDescent="0.25">
      <c r="A11086">
        <v>11085</v>
      </c>
      <c r="B11086">
        <v>8613413</v>
      </c>
      <c r="C11086" s="1" t="str">
        <f>HYPERLINK("http://stackoverflow.com/users/8613413", "Xutao.W")</f>
        <v>Xutao.W</v>
      </c>
      <c r="D11086" t="s">
        <v>4</v>
      </c>
      <c r="E11086">
        <v>1</v>
      </c>
    </row>
    <row r="11087" spans="1:5" x14ac:dyDescent="0.25">
      <c r="A11087">
        <v>11086</v>
      </c>
      <c r="B11087">
        <v>10427272</v>
      </c>
      <c r="C11087" s="1" t="str">
        <f>HYPERLINK("http://stackoverflow.com/users/10427272", "wyw")</f>
        <v>wyw</v>
      </c>
      <c r="D11087" t="s">
        <v>17</v>
      </c>
      <c r="E11087">
        <v>1</v>
      </c>
    </row>
    <row r="11088" spans="1:5" x14ac:dyDescent="0.25">
      <c r="A11088">
        <v>11087</v>
      </c>
      <c r="B11088">
        <v>10427329</v>
      </c>
      <c r="C11088" s="1" t="str">
        <f>HYPERLINK("http://stackoverflow.com/users/10427329", "nbysy")</f>
        <v>nbysy</v>
      </c>
      <c r="D11088" t="s">
        <v>108</v>
      </c>
      <c r="E11088">
        <v>1</v>
      </c>
    </row>
    <row r="11089" spans="1:5" x14ac:dyDescent="0.25">
      <c r="A11089">
        <v>11088</v>
      </c>
      <c r="B11089">
        <v>10427330</v>
      </c>
      <c r="C11089" s="1" t="str">
        <f>HYPERLINK("http://stackoverflow.com/users/10427330", "yulinzhihou")</f>
        <v>yulinzhihou</v>
      </c>
      <c r="D11089" t="s">
        <v>29</v>
      </c>
      <c r="E11089">
        <v>1</v>
      </c>
    </row>
    <row r="11090" spans="1:5" x14ac:dyDescent="0.25">
      <c r="A11090">
        <v>11089</v>
      </c>
      <c r="B11090">
        <v>10427354</v>
      </c>
      <c r="C11090" s="1" t="str">
        <f>HYPERLINK("http://stackoverflow.com/users/10427354", "simon")</f>
        <v>simon</v>
      </c>
      <c r="D11090" t="s">
        <v>5</v>
      </c>
      <c r="E11090">
        <v>1</v>
      </c>
    </row>
    <row r="11091" spans="1:5" x14ac:dyDescent="0.25">
      <c r="A11091">
        <v>11090</v>
      </c>
      <c r="B11091">
        <v>8613748</v>
      </c>
      <c r="C11091" s="1" t="str">
        <f>HYPERLINK("http://stackoverflow.com/users/8613748", "Liang Xiaobing")</f>
        <v>Liang Xiaobing</v>
      </c>
      <c r="D11091" t="s">
        <v>5</v>
      </c>
      <c r="E11091">
        <v>1</v>
      </c>
    </row>
    <row r="11092" spans="1:5" x14ac:dyDescent="0.25">
      <c r="A11092">
        <v>11091</v>
      </c>
      <c r="B11092">
        <v>8613942</v>
      </c>
      <c r="C11092" s="1" t="str">
        <f>HYPERLINK("http://stackoverflow.com/users/8613942", "user8613942")</f>
        <v>user8613942</v>
      </c>
      <c r="D11092" t="s">
        <v>12</v>
      </c>
      <c r="E11092">
        <v>1</v>
      </c>
    </row>
    <row r="11093" spans="1:5" x14ac:dyDescent="0.25">
      <c r="A11093">
        <v>11092</v>
      </c>
      <c r="B11093">
        <v>8617979</v>
      </c>
      <c r="C11093" s="1" t="str">
        <f>HYPERLINK("http://stackoverflow.com/users/8617979", "Sheldon")</f>
        <v>Sheldon</v>
      </c>
      <c r="D11093" t="s">
        <v>5</v>
      </c>
      <c r="E11093">
        <v>1</v>
      </c>
    </row>
    <row r="11094" spans="1:5" x14ac:dyDescent="0.25">
      <c r="A11094">
        <v>11093</v>
      </c>
      <c r="B11094">
        <v>8618011</v>
      </c>
      <c r="C11094" s="1" t="str">
        <f>HYPERLINK("http://stackoverflow.com/users/8618011", "user8618011")</f>
        <v>user8618011</v>
      </c>
      <c r="D11094" t="s">
        <v>7</v>
      </c>
      <c r="E11094">
        <v>1</v>
      </c>
    </row>
    <row r="11095" spans="1:5" x14ac:dyDescent="0.25">
      <c r="A11095">
        <v>11094</v>
      </c>
      <c r="B11095">
        <v>8618109</v>
      </c>
      <c r="C11095" s="1" t="str">
        <f>HYPERLINK("http://stackoverflow.com/users/8618109", "Hélio Pedro")</f>
        <v>Hélio Pedro</v>
      </c>
      <c r="D11095" t="s">
        <v>598</v>
      </c>
      <c r="E11095">
        <v>1</v>
      </c>
    </row>
    <row r="11096" spans="1:5" x14ac:dyDescent="0.25">
      <c r="A11096">
        <v>11095</v>
      </c>
      <c r="B11096">
        <v>8620999</v>
      </c>
      <c r="C11096" s="1" t="str">
        <f>HYPERLINK("http://stackoverflow.com/users/8620999", "bai dollar")</f>
        <v>bai dollar</v>
      </c>
      <c r="D11096" t="s">
        <v>434</v>
      </c>
      <c r="E11096">
        <v>1</v>
      </c>
    </row>
    <row r="11097" spans="1:5" x14ac:dyDescent="0.25">
      <c r="A11097">
        <v>11096</v>
      </c>
      <c r="B11097">
        <v>8621183</v>
      </c>
      <c r="C11097" s="1" t="str">
        <f>HYPERLINK("http://stackoverflow.com/users/8621183", "parhelia yan")</f>
        <v>parhelia yan</v>
      </c>
      <c r="D11097" t="s">
        <v>5</v>
      </c>
      <c r="E11097">
        <v>1</v>
      </c>
    </row>
    <row r="11098" spans="1:5" x14ac:dyDescent="0.25">
      <c r="A11098">
        <v>11097</v>
      </c>
      <c r="B11098">
        <v>8621385</v>
      </c>
      <c r="C11098" s="1" t="str">
        <f>HYPERLINK("http://stackoverflow.com/users/8621385", "cybermaster")</f>
        <v>cybermaster</v>
      </c>
      <c r="D11098" t="s">
        <v>270</v>
      </c>
      <c r="E11098">
        <v>1</v>
      </c>
    </row>
    <row r="11099" spans="1:5" x14ac:dyDescent="0.25">
      <c r="A11099">
        <v>11098</v>
      </c>
      <c r="B11099">
        <v>8621513</v>
      </c>
      <c r="C11099" s="1" t="str">
        <f>HYPERLINK("http://stackoverflow.com/users/8621513", "Blade_Li")</f>
        <v>Blade_Li</v>
      </c>
      <c r="D11099" t="s">
        <v>4</v>
      </c>
      <c r="E11099">
        <v>1</v>
      </c>
    </row>
    <row r="11100" spans="1:5" x14ac:dyDescent="0.25">
      <c r="A11100">
        <v>11099</v>
      </c>
      <c r="B11100">
        <v>8621858</v>
      </c>
      <c r="C11100" s="1" t="str">
        <f>HYPERLINK("http://stackoverflow.com/users/8621858", "Caleb Park")</f>
        <v>Caleb Park</v>
      </c>
      <c r="D11100" t="s">
        <v>5</v>
      </c>
      <c r="E11100">
        <v>1</v>
      </c>
    </row>
    <row r="11101" spans="1:5" x14ac:dyDescent="0.25">
      <c r="A11101">
        <v>11100</v>
      </c>
      <c r="B11101">
        <v>1520199</v>
      </c>
      <c r="C11101" s="1" t="str">
        <f>HYPERLINK("http://stackoverflow.com/users/1520199", "Roger He")</f>
        <v>Roger He</v>
      </c>
      <c r="D11101" t="s">
        <v>21</v>
      </c>
      <c r="E11101">
        <v>1</v>
      </c>
    </row>
    <row r="11102" spans="1:5" x14ac:dyDescent="0.25">
      <c r="A11102">
        <v>11101</v>
      </c>
      <c r="B11102">
        <v>1519922</v>
      </c>
      <c r="C11102" s="1" t="str">
        <f>HYPERLINK("http://stackoverflow.com/users/1519922", "chiefsailor")</f>
        <v>chiefsailor</v>
      </c>
      <c r="D11102" t="s">
        <v>5</v>
      </c>
      <c r="E11102">
        <v>1</v>
      </c>
    </row>
    <row r="11103" spans="1:5" x14ac:dyDescent="0.25">
      <c r="A11103">
        <v>11102</v>
      </c>
      <c r="B11103">
        <v>1519455</v>
      </c>
      <c r="C11103" s="1" t="str">
        <f>HYPERLINK("http://stackoverflow.com/users/1519455", "Gabriel_zhou")</f>
        <v>Gabriel_zhou</v>
      </c>
      <c r="D11103" t="s">
        <v>4</v>
      </c>
      <c r="E11103">
        <v>1</v>
      </c>
    </row>
    <row r="11104" spans="1:5" x14ac:dyDescent="0.25">
      <c r="A11104">
        <v>11103</v>
      </c>
      <c r="B11104">
        <v>3374847</v>
      </c>
      <c r="C11104" s="1" t="str">
        <f>HYPERLINK("http://stackoverflow.com/users/3374847", "Chen Shengjian")</f>
        <v>Chen Shengjian</v>
      </c>
      <c r="D11104" t="s">
        <v>37</v>
      </c>
      <c r="E11104">
        <v>1</v>
      </c>
    </row>
    <row r="11105" spans="1:5" x14ac:dyDescent="0.25">
      <c r="A11105">
        <v>11104</v>
      </c>
      <c r="B11105">
        <v>10566131</v>
      </c>
      <c r="C11105" s="1" t="str">
        <f>HYPERLINK("http://stackoverflow.com/users/10566131", "container")</f>
        <v>container</v>
      </c>
      <c r="D11105" t="s">
        <v>599</v>
      </c>
      <c r="E11105">
        <v>1</v>
      </c>
    </row>
    <row r="11106" spans="1:5" x14ac:dyDescent="0.25">
      <c r="A11106">
        <v>11105</v>
      </c>
      <c r="B11106">
        <v>10566490</v>
      </c>
      <c r="C11106" s="1" t="str">
        <f>HYPERLINK("http://stackoverflow.com/users/10566490", "Pandarow")</f>
        <v>Pandarow</v>
      </c>
      <c r="D11106" t="s">
        <v>5</v>
      </c>
      <c r="E11106">
        <v>1</v>
      </c>
    </row>
    <row r="11107" spans="1:5" x14ac:dyDescent="0.25">
      <c r="A11107">
        <v>11106</v>
      </c>
      <c r="B11107">
        <v>3374112</v>
      </c>
      <c r="C11107" s="1" t="str">
        <f>HYPERLINK("http://stackoverflow.com/users/3374112", "Prince")</f>
        <v>Prince</v>
      </c>
      <c r="D11107" t="s">
        <v>16</v>
      </c>
      <c r="E11107">
        <v>1</v>
      </c>
    </row>
    <row r="11108" spans="1:5" x14ac:dyDescent="0.25">
      <c r="A11108">
        <v>11107</v>
      </c>
      <c r="B11108">
        <v>3382759</v>
      </c>
      <c r="C11108" s="1" t="str">
        <f>HYPERLINK("http://stackoverflow.com/users/3382759", "Richard Hu")</f>
        <v>Richard Hu</v>
      </c>
      <c r="D11108" t="s">
        <v>17</v>
      </c>
      <c r="E11108">
        <v>1</v>
      </c>
    </row>
    <row r="11109" spans="1:5" x14ac:dyDescent="0.25">
      <c r="A11109">
        <v>11108</v>
      </c>
      <c r="B11109">
        <v>3382871</v>
      </c>
      <c r="C11109" s="1" t="str">
        <f>HYPERLINK("http://stackoverflow.com/users/3382871", "jsxqf")</f>
        <v>jsxqf</v>
      </c>
      <c r="D11109" t="s">
        <v>37</v>
      </c>
      <c r="E11109">
        <v>1</v>
      </c>
    </row>
    <row r="11110" spans="1:5" x14ac:dyDescent="0.25">
      <c r="A11110">
        <v>11109</v>
      </c>
      <c r="B11110">
        <v>1525279</v>
      </c>
      <c r="C11110" s="1" t="str">
        <f>HYPERLINK("http://stackoverflow.com/users/1525279", "TomcatZhang")</f>
        <v>TomcatZhang</v>
      </c>
      <c r="D11110" t="s">
        <v>21</v>
      </c>
      <c r="E11110">
        <v>1</v>
      </c>
    </row>
    <row r="11111" spans="1:5" x14ac:dyDescent="0.25">
      <c r="A11111">
        <v>11110</v>
      </c>
      <c r="B11111">
        <v>1534804</v>
      </c>
      <c r="C11111" s="1" t="str">
        <f>HYPERLINK("http://stackoverflow.com/users/1534804", "Thanga Durai")</f>
        <v>Thanga Durai</v>
      </c>
      <c r="D11111" t="s">
        <v>5</v>
      </c>
      <c r="E11111">
        <v>1</v>
      </c>
    </row>
    <row r="11112" spans="1:5" x14ac:dyDescent="0.25">
      <c r="A11112">
        <v>11111</v>
      </c>
      <c r="B11112">
        <v>3387248</v>
      </c>
      <c r="C11112" s="1" t="str">
        <f>HYPERLINK("http://stackoverflow.com/users/3387248", "Young")</f>
        <v>Young</v>
      </c>
      <c r="D11112" t="s">
        <v>17</v>
      </c>
      <c r="E11112">
        <v>1</v>
      </c>
    </row>
    <row r="11113" spans="1:5" x14ac:dyDescent="0.25">
      <c r="A11113">
        <v>11112</v>
      </c>
      <c r="B11113">
        <v>3387303</v>
      </c>
      <c r="C11113" s="1" t="str">
        <f>HYPERLINK("http://stackoverflow.com/users/3387303", "Umer")</f>
        <v>Umer</v>
      </c>
      <c r="D11113" t="s">
        <v>17</v>
      </c>
      <c r="E11113">
        <v>1</v>
      </c>
    </row>
    <row r="11114" spans="1:5" x14ac:dyDescent="0.25">
      <c r="A11114">
        <v>11113</v>
      </c>
      <c r="B11114">
        <v>3387370</v>
      </c>
      <c r="C11114" s="1" t="str">
        <f>HYPERLINK("http://stackoverflow.com/users/3387370", "Misty Rain")</f>
        <v>Misty Rain</v>
      </c>
      <c r="D11114" t="s">
        <v>6</v>
      </c>
      <c r="E11114">
        <v>1</v>
      </c>
    </row>
    <row r="11115" spans="1:5" x14ac:dyDescent="0.25">
      <c r="A11115">
        <v>11114</v>
      </c>
      <c r="B11115">
        <v>3387754</v>
      </c>
      <c r="C11115" s="1" t="str">
        <f>HYPERLINK("http://stackoverflow.com/users/3387754", "Kaiser")</f>
        <v>Kaiser</v>
      </c>
      <c r="D11115" t="s">
        <v>5</v>
      </c>
      <c r="E11115">
        <v>1</v>
      </c>
    </row>
    <row r="11116" spans="1:5" x14ac:dyDescent="0.25">
      <c r="A11116">
        <v>11115</v>
      </c>
      <c r="B11116">
        <v>1508434</v>
      </c>
      <c r="C11116" s="1" t="str">
        <f>HYPERLINK("http://stackoverflow.com/users/1508434", "liuskate")</f>
        <v>liuskate</v>
      </c>
      <c r="D11116" t="s">
        <v>5</v>
      </c>
      <c r="E11116">
        <v>1</v>
      </c>
    </row>
    <row r="11117" spans="1:5" x14ac:dyDescent="0.25">
      <c r="A11117">
        <v>11116</v>
      </c>
      <c r="B11117">
        <v>10557564</v>
      </c>
      <c r="C11117" s="1" t="str">
        <f>HYPERLINK("http://stackoverflow.com/users/10557564", "Andrew Go Alcantara")</f>
        <v>Andrew Go Alcantara</v>
      </c>
      <c r="D11117" t="s">
        <v>25</v>
      </c>
      <c r="E11117">
        <v>1</v>
      </c>
    </row>
    <row r="11118" spans="1:5" x14ac:dyDescent="0.25">
      <c r="A11118">
        <v>11117</v>
      </c>
      <c r="B11118">
        <v>10557801</v>
      </c>
      <c r="C11118" s="1" t="str">
        <f>HYPERLINK("http://stackoverflow.com/users/10557801", "Luocheng Zheng")</f>
        <v>Luocheng Zheng</v>
      </c>
      <c r="D11118" t="s">
        <v>5</v>
      </c>
      <c r="E11118">
        <v>1</v>
      </c>
    </row>
    <row r="11119" spans="1:5" x14ac:dyDescent="0.25">
      <c r="A11119">
        <v>11118</v>
      </c>
      <c r="B11119">
        <v>3369339</v>
      </c>
      <c r="C11119" s="1" t="str">
        <f>HYPERLINK("http://stackoverflow.com/users/3369339", "Peter")</f>
        <v>Peter</v>
      </c>
      <c r="D11119" t="s">
        <v>4</v>
      </c>
      <c r="E11119">
        <v>1</v>
      </c>
    </row>
    <row r="11120" spans="1:5" x14ac:dyDescent="0.25">
      <c r="A11120">
        <v>11119</v>
      </c>
      <c r="B11120">
        <v>8750626</v>
      </c>
      <c r="C11120" s="1" t="str">
        <f>HYPERLINK("http://stackoverflow.com/users/8750626", "Zhihao Chen")</f>
        <v>Zhihao Chen</v>
      </c>
      <c r="D11120" t="s">
        <v>28</v>
      </c>
      <c r="E11120">
        <v>1</v>
      </c>
    </row>
    <row r="11121" spans="1:5" x14ac:dyDescent="0.25">
      <c r="A11121">
        <v>11120</v>
      </c>
      <c r="B11121">
        <v>1513728</v>
      </c>
      <c r="C11121" s="1" t="str">
        <f>HYPERLINK("http://stackoverflow.com/users/1513728", "Aaron Wang")</f>
        <v>Aaron Wang</v>
      </c>
      <c r="D11121" t="s">
        <v>27</v>
      </c>
      <c r="E11121">
        <v>1</v>
      </c>
    </row>
    <row r="11122" spans="1:5" x14ac:dyDescent="0.25">
      <c r="A11122">
        <v>11121</v>
      </c>
      <c r="B11122">
        <v>1513849</v>
      </c>
      <c r="C11122" s="1" t="str">
        <f>HYPERLINK("http://stackoverflow.com/users/1513849", "andy")</f>
        <v>andy</v>
      </c>
      <c r="D11122" t="s">
        <v>5</v>
      </c>
      <c r="E11122">
        <v>1</v>
      </c>
    </row>
    <row r="11123" spans="1:5" x14ac:dyDescent="0.25">
      <c r="A11123">
        <v>11122</v>
      </c>
      <c r="B11123">
        <v>1514365</v>
      </c>
      <c r="C11123" s="1" t="str">
        <f>HYPERLINK("http://stackoverflow.com/users/1514365", "zhanghuizong")</f>
        <v>zhanghuizong</v>
      </c>
      <c r="D11123" t="s">
        <v>4</v>
      </c>
      <c r="E11123">
        <v>1</v>
      </c>
    </row>
    <row r="11124" spans="1:5" x14ac:dyDescent="0.25">
      <c r="A11124">
        <v>11123</v>
      </c>
      <c r="B11124">
        <v>1514306</v>
      </c>
      <c r="C11124" s="1" t="str">
        <f>HYPERLINK("http://stackoverflow.com/users/1514306", "xiaohui")</f>
        <v>xiaohui</v>
      </c>
      <c r="D11124" t="s">
        <v>5</v>
      </c>
      <c r="E11124">
        <v>1</v>
      </c>
    </row>
    <row r="11125" spans="1:5" x14ac:dyDescent="0.25">
      <c r="A11125">
        <v>11124</v>
      </c>
      <c r="B11125">
        <v>8736620</v>
      </c>
      <c r="C11125" s="1" t="str">
        <f>HYPERLINK("http://stackoverflow.com/users/8736620", "DeanZ")</f>
        <v>DeanZ</v>
      </c>
      <c r="D11125" t="s">
        <v>4</v>
      </c>
      <c r="E11125">
        <v>1</v>
      </c>
    </row>
    <row r="11126" spans="1:5" x14ac:dyDescent="0.25">
      <c r="A11126">
        <v>11125</v>
      </c>
      <c r="B11126">
        <v>8736665</v>
      </c>
      <c r="C11126" s="1" t="str">
        <f>HYPERLINK("http://stackoverflow.com/users/8736665", "Daniel Xu")</f>
        <v>Daniel Xu</v>
      </c>
      <c r="D11126" t="s">
        <v>4</v>
      </c>
      <c r="E11126">
        <v>1</v>
      </c>
    </row>
    <row r="11127" spans="1:5" x14ac:dyDescent="0.25">
      <c r="A11127">
        <v>11126</v>
      </c>
      <c r="B11127">
        <v>3357009</v>
      </c>
      <c r="C11127" s="1" t="str">
        <f>HYPERLINK("http://stackoverflow.com/users/3357009", "Tony He")</f>
        <v>Tony He</v>
      </c>
      <c r="D11127" t="s">
        <v>29</v>
      </c>
      <c r="E11127">
        <v>1</v>
      </c>
    </row>
    <row r="11128" spans="1:5" x14ac:dyDescent="0.25">
      <c r="A11128">
        <v>11127</v>
      </c>
      <c r="B11128">
        <v>1494197</v>
      </c>
      <c r="C11128" s="1" t="str">
        <f>HYPERLINK("http://stackoverflow.com/users/1494197", "Dylan")</f>
        <v>Dylan</v>
      </c>
      <c r="D11128" t="s">
        <v>5</v>
      </c>
      <c r="E11128">
        <v>1</v>
      </c>
    </row>
    <row r="11129" spans="1:5" x14ac:dyDescent="0.25">
      <c r="A11129">
        <v>11128</v>
      </c>
      <c r="B11129">
        <v>10552757</v>
      </c>
      <c r="C11129" s="1" t="str">
        <f>HYPERLINK("http://stackoverflow.com/users/10552757", "王亮亮")</f>
        <v>王亮亮</v>
      </c>
      <c r="D11129" t="s">
        <v>52</v>
      </c>
      <c r="E11129">
        <v>1</v>
      </c>
    </row>
    <row r="11130" spans="1:5" x14ac:dyDescent="0.25">
      <c r="A11130">
        <v>11129</v>
      </c>
      <c r="B11130">
        <v>8745943</v>
      </c>
      <c r="C11130" s="1" t="str">
        <f>HYPERLINK("http://stackoverflow.com/users/8745943", "Leo_Junlei_Lu")</f>
        <v>Leo_Junlei_Lu</v>
      </c>
      <c r="D11130" t="s">
        <v>5</v>
      </c>
      <c r="E11130">
        <v>1</v>
      </c>
    </row>
    <row r="11131" spans="1:5" x14ac:dyDescent="0.25">
      <c r="A11131">
        <v>11130</v>
      </c>
      <c r="B11131">
        <v>1498984</v>
      </c>
      <c r="C11131" s="1" t="str">
        <f>HYPERLINK("http://stackoverflow.com/users/1498984", "Jedi Chou")</f>
        <v>Jedi Chou</v>
      </c>
      <c r="D11131" t="s">
        <v>17</v>
      </c>
      <c r="E11131">
        <v>1</v>
      </c>
    </row>
    <row r="11132" spans="1:5" x14ac:dyDescent="0.25">
      <c r="A11132">
        <v>11131</v>
      </c>
      <c r="B11132">
        <v>5172036</v>
      </c>
      <c r="C11132" s="1" t="str">
        <f>HYPERLINK("http://stackoverflow.com/users/5172036", "Benjamin Hao")</f>
        <v>Benjamin Hao</v>
      </c>
      <c r="D11132" t="s">
        <v>5</v>
      </c>
      <c r="E11132">
        <v>1</v>
      </c>
    </row>
    <row r="11133" spans="1:5" x14ac:dyDescent="0.25">
      <c r="A11133">
        <v>11132</v>
      </c>
      <c r="B11133">
        <v>5172423</v>
      </c>
      <c r="C11133" s="1" t="str">
        <f>HYPERLINK("http://stackoverflow.com/users/5172423", "linfxy")</f>
        <v>linfxy</v>
      </c>
      <c r="D11133" t="s">
        <v>5</v>
      </c>
      <c r="E11133">
        <v>1</v>
      </c>
    </row>
    <row r="11134" spans="1:5" x14ac:dyDescent="0.25">
      <c r="A11134">
        <v>11133</v>
      </c>
      <c r="B11134">
        <v>1436335</v>
      </c>
      <c r="C11134" s="1" t="str">
        <f>HYPERLINK("http://stackoverflow.com/users/1436335", "jackyzhou")</f>
        <v>jackyzhou</v>
      </c>
      <c r="D11134" t="s">
        <v>531</v>
      </c>
      <c r="E11134">
        <v>1</v>
      </c>
    </row>
    <row r="11135" spans="1:5" x14ac:dyDescent="0.25">
      <c r="A11135">
        <v>11134</v>
      </c>
      <c r="B11135">
        <v>8676016</v>
      </c>
      <c r="C11135" s="1" t="str">
        <f>HYPERLINK("http://stackoverflow.com/users/8676016", "JayT")</f>
        <v>JayT</v>
      </c>
      <c r="D11135" t="s">
        <v>484</v>
      </c>
      <c r="E11135">
        <v>1</v>
      </c>
    </row>
    <row r="11136" spans="1:5" x14ac:dyDescent="0.25">
      <c r="A11136">
        <v>11135</v>
      </c>
      <c r="B11136">
        <v>10489663</v>
      </c>
      <c r="C11136" s="1" t="str">
        <f>HYPERLINK("http://stackoverflow.com/users/10489663", "王振宇")</f>
        <v>王振宇</v>
      </c>
      <c r="D11136" t="s">
        <v>5</v>
      </c>
      <c r="E11136">
        <v>1</v>
      </c>
    </row>
    <row r="11137" spans="1:5" x14ac:dyDescent="0.25">
      <c r="A11137">
        <v>11136</v>
      </c>
      <c r="B11137">
        <v>1441449</v>
      </c>
      <c r="C11137" s="1" t="str">
        <f>HYPERLINK("http://stackoverflow.com/users/1441449", "morphling")</f>
        <v>morphling</v>
      </c>
      <c r="D11137" t="s">
        <v>4</v>
      </c>
      <c r="E11137">
        <v>1</v>
      </c>
    </row>
    <row r="11138" spans="1:5" x14ac:dyDescent="0.25">
      <c r="A11138">
        <v>11137</v>
      </c>
      <c r="B11138">
        <v>8689381</v>
      </c>
      <c r="C11138" s="1" t="str">
        <f>HYPERLINK("http://stackoverflow.com/users/8689381", "陈华刚")</f>
        <v>陈华刚</v>
      </c>
      <c r="D11138" t="s">
        <v>4</v>
      </c>
      <c r="E11138">
        <v>1</v>
      </c>
    </row>
    <row r="11139" spans="1:5" x14ac:dyDescent="0.25">
      <c r="A11139">
        <v>11138</v>
      </c>
      <c r="B11139">
        <v>10503467</v>
      </c>
      <c r="C11139" s="1" t="str">
        <f>HYPERLINK("http://stackoverflow.com/users/10503467", "Lang Tuo")</f>
        <v>Lang Tuo</v>
      </c>
      <c r="D11139" t="s">
        <v>43</v>
      </c>
      <c r="E11139">
        <v>1</v>
      </c>
    </row>
    <row r="11140" spans="1:5" x14ac:dyDescent="0.25">
      <c r="A11140">
        <v>11139</v>
      </c>
      <c r="B11140">
        <v>3313715</v>
      </c>
      <c r="C11140" s="1" t="str">
        <f>HYPERLINK("http://stackoverflow.com/users/3313715", "user3313715")</f>
        <v>user3313715</v>
      </c>
      <c r="D11140" t="s">
        <v>8</v>
      </c>
      <c r="E11140">
        <v>1</v>
      </c>
    </row>
    <row r="11141" spans="1:5" x14ac:dyDescent="0.25">
      <c r="A11141">
        <v>11140</v>
      </c>
      <c r="B11141">
        <v>8681281</v>
      </c>
      <c r="C11141" s="1" t="str">
        <f>HYPERLINK("http://stackoverflow.com/users/8681281", "Tiger.H")</f>
        <v>Tiger.H</v>
      </c>
      <c r="D11141" t="s">
        <v>600</v>
      </c>
      <c r="E11141">
        <v>1</v>
      </c>
    </row>
    <row r="11142" spans="1:5" x14ac:dyDescent="0.25">
      <c r="A11142">
        <v>11141</v>
      </c>
      <c r="B11142">
        <v>8681370</v>
      </c>
      <c r="C11142" s="1" t="str">
        <f>HYPERLINK("http://stackoverflow.com/users/8681370", "hanhan su")</f>
        <v>hanhan su</v>
      </c>
      <c r="D11142" t="s">
        <v>5</v>
      </c>
      <c r="E11142">
        <v>1</v>
      </c>
    </row>
    <row r="11143" spans="1:5" x14ac:dyDescent="0.25">
      <c r="A11143">
        <v>11142</v>
      </c>
      <c r="B11143">
        <v>10494308</v>
      </c>
      <c r="C11143" s="1" t="str">
        <f>HYPERLINK("http://stackoverflow.com/users/10494308", "Oisin Hoy")</f>
        <v>Oisin Hoy</v>
      </c>
      <c r="D11143" t="s">
        <v>28</v>
      </c>
      <c r="E11143">
        <v>1</v>
      </c>
    </row>
    <row r="11144" spans="1:5" x14ac:dyDescent="0.25">
      <c r="A11144">
        <v>11143</v>
      </c>
      <c r="B11144">
        <v>3308555</v>
      </c>
      <c r="C11144" s="1" t="str">
        <f>HYPERLINK("http://stackoverflow.com/users/3308555", "yxc")</f>
        <v>yxc</v>
      </c>
      <c r="D11144" t="s">
        <v>4</v>
      </c>
      <c r="E11144">
        <v>1</v>
      </c>
    </row>
    <row r="11145" spans="1:5" x14ac:dyDescent="0.25">
      <c r="A11145">
        <v>11144</v>
      </c>
      <c r="B11145">
        <v>3308589</v>
      </c>
      <c r="C11145" s="1" t="str">
        <f>HYPERLINK("http://stackoverflow.com/users/3308589", "pakrchan")</f>
        <v>pakrchan</v>
      </c>
      <c r="D11145" t="s">
        <v>5</v>
      </c>
      <c r="E11145">
        <v>1</v>
      </c>
    </row>
    <row r="11146" spans="1:5" x14ac:dyDescent="0.25">
      <c r="A11146">
        <v>11145</v>
      </c>
      <c r="B11146">
        <v>3308923</v>
      </c>
      <c r="C11146" s="1" t="str">
        <f>HYPERLINK("http://stackoverflow.com/users/3308923", "xuejiao")</f>
        <v>xuejiao</v>
      </c>
      <c r="D11146" t="s">
        <v>5</v>
      </c>
      <c r="E11146">
        <v>1</v>
      </c>
    </row>
    <row r="11147" spans="1:5" x14ac:dyDescent="0.25">
      <c r="A11147">
        <v>11146</v>
      </c>
      <c r="B11147">
        <v>3309012</v>
      </c>
      <c r="C11147" s="1" t="str">
        <f>HYPERLINK("http://stackoverflow.com/users/3309012", "Raymond")</f>
        <v>Raymond</v>
      </c>
      <c r="D11147" t="s">
        <v>4</v>
      </c>
      <c r="E11147">
        <v>1</v>
      </c>
    </row>
    <row r="11148" spans="1:5" x14ac:dyDescent="0.25">
      <c r="A11148">
        <v>11147</v>
      </c>
      <c r="B11148">
        <v>10498244</v>
      </c>
      <c r="C11148" s="1" t="str">
        <f>HYPERLINK("http://stackoverflow.com/users/10498244", "Yiming Tang")</f>
        <v>Yiming Tang</v>
      </c>
      <c r="D11148" t="s">
        <v>601</v>
      </c>
      <c r="E11148">
        <v>1</v>
      </c>
    </row>
    <row r="11149" spans="1:5" x14ac:dyDescent="0.25">
      <c r="A11149">
        <v>11148</v>
      </c>
      <c r="B11149">
        <v>10498283</v>
      </c>
      <c r="C11149" s="1" t="str">
        <f>HYPERLINK("http://stackoverflow.com/users/10498283", "Ricardo Wang")</f>
        <v>Ricardo Wang</v>
      </c>
      <c r="D11149" t="s">
        <v>5</v>
      </c>
      <c r="E11149">
        <v>1</v>
      </c>
    </row>
    <row r="11150" spans="1:5" x14ac:dyDescent="0.25">
      <c r="A11150">
        <v>11149</v>
      </c>
      <c r="B11150">
        <v>10498503</v>
      </c>
      <c r="C11150" s="1" t="str">
        <f>HYPERLINK("http://stackoverflow.com/users/10498503", "任志江")</f>
        <v>任志江</v>
      </c>
      <c r="D11150" t="s">
        <v>602</v>
      </c>
      <c r="E11150">
        <v>1</v>
      </c>
    </row>
    <row r="11151" spans="1:5" x14ac:dyDescent="0.25">
      <c r="A11151">
        <v>11150</v>
      </c>
      <c r="B11151">
        <v>1441042</v>
      </c>
      <c r="C11151" s="1" t="str">
        <f>HYPERLINK("http://stackoverflow.com/users/1441042", "kenneth")</f>
        <v>kenneth</v>
      </c>
      <c r="D11151" t="s">
        <v>4</v>
      </c>
      <c r="E11151">
        <v>1</v>
      </c>
    </row>
    <row r="11152" spans="1:5" x14ac:dyDescent="0.25">
      <c r="A11152">
        <v>11151</v>
      </c>
      <c r="B11152">
        <v>1441225</v>
      </c>
      <c r="C11152" s="1" t="str">
        <f>HYPERLINK("http://stackoverflow.com/users/1441225", "minji-LT")</f>
        <v>minji-LT</v>
      </c>
      <c r="D11152" t="s">
        <v>243</v>
      </c>
      <c r="E11152">
        <v>1</v>
      </c>
    </row>
    <row r="11153" spans="1:5" x14ac:dyDescent="0.25">
      <c r="A11153">
        <v>11152</v>
      </c>
      <c r="B11153">
        <v>5132179</v>
      </c>
      <c r="C11153" s="1" t="str">
        <f>HYPERLINK("http://stackoverflow.com/users/5132179", "kooais")</f>
        <v>kooais</v>
      </c>
      <c r="D11153" t="s">
        <v>34</v>
      </c>
      <c r="E11153">
        <v>1</v>
      </c>
    </row>
    <row r="11154" spans="1:5" x14ac:dyDescent="0.25">
      <c r="A11154">
        <v>11153</v>
      </c>
      <c r="B11154">
        <v>10510887</v>
      </c>
      <c r="C11154" s="1" t="str">
        <f>HYPERLINK("http://stackoverflow.com/users/10510887", "Nishith")</f>
        <v>Nishith</v>
      </c>
      <c r="D11154" t="s">
        <v>415</v>
      </c>
      <c r="E11154">
        <v>1</v>
      </c>
    </row>
    <row r="11155" spans="1:5" x14ac:dyDescent="0.25">
      <c r="A11155">
        <v>11154</v>
      </c>
      <c r="B11155">
        <v>8693183</v>
      </c>
      <c r="C11155" s="1" t="str">
        <f>HYPERLINK("http://stackoverflow.com/users/8693183", "Yunxiang Zhang")</f>
        <v>Yunxiang Zhang</v>
      </c>
      <c r="D11155" t="s">
        <v>55</v>
      </c>
      <c r="E11155">
        <v>1</v>
      </c>
    </row>
    <row r="11156" spans="1:5" x14ac:dyDescent="0.25">
      <c r="A11156">
        <v>11155</v>
      </c>
      <c r="B11156">
        <v>8693290</v>
      </c>
      <c r="C11156" s="1" t="str">
        <f>HYPERLINK("http://stackoverflow.com/users/8693290", "apollo")</f>
        <v>apollo</v>
      </c>
      <c r="D11156" t="s">
        <v>74</v>
      </c>
      <c r="E11156">
        <v>1</v>
      </c>
    </row>
    <row r="11157" spans="1:5" x14ac:dyDescent="0.25">
      <c r="A11157">
        <v>11156</v>
      </c>
      <c r="B11157">
        <v>8693682</v>
      </c>
      <c r="C11157" s="1" t="str">
        <f>HYPERLINK("http://stackoverflow.com/users/8693682", "allen wu")</f>
        <v>allen wu</v>
      </c>
      <c r="D11157" t="s">
        <v>4</v>
      </c>
      <c r="E11157">
        <v>1</v>
      </c>
    </row>
    <row r="11158" spans="1:5" x14ac:dyDescent="0.25">
      <c r="A11158">
        <v>11157</v>
      </c>
      <c r="B11158">
        <v>8693864</v>
      </c>
      <c r="C11158" s="1" t="str">
        <f>HYPERLINK("http://stackoverflow.com/users/8693864", "user8693864")</f>
        <v>user8693864</v>
      </c>
      <c r="D11158" t="s">
        <v>603</v>
      </c>
      <c r="E11158">
        <v>1</v>
      </c>
    </row>
    <row r="11159" spans="1:5" x14ac:dyDescent="0.25">
      <c r="A11159">
        <v>11158</v>
      </c>
      <c r="B11159">
        <v>5131750</v>
      </c>
      <c r="C11159" s="1" t="str">
        <f>HYPERLINK("http://stackoverflow.com/users/5131750", "Allen Hou")</f>
        <v>Allen Hou</v>
      </c>
      <c r="D11159" t="s">
        <v>380</v>
      </c>
      <c r="E11159">
        <v>1</v>
      </c>
    </row>
    <row r="11160" spans="1:5" x14ac:dyDescent="0.25">
      <c r="A11160">
        <v>11159</v>
      </c>
      <c r="B11160">
        <v>8707812</v>
      </c>
      <c r="C11160" s="1" t="str">
        <f>HYPERLINK("http://stackoverflow.com/users/8707812", "clear night")</f>
        <v>clear night</v>
      </c>
      <c r="D11160" t="s">
        <v>5</v>
      </c>
      <c r="E11160">
        <v>1</v>
      </c>
    </row>
    <row r="11161" spans="1:5" x14ac:dyDescent="0.25">
      <c r="A11161">
        <v>11160</v>
      </c>
      <c r="B11161">
        <v>3333075</v>
      </c>
      <c r="C11161" s="1" t="str">
        <f>HYPERLINK("http://stackoverflow.com/users/3333075", "dandaoyi")</f>
        <v>dandaoyi</v>
      </c>
      <c r="D11161" t="s">
        <v>5</v>
      </c>
      <c r="E11161">
        <v>1</v>
      </c>
    </row>
    <row r="11162" spans="1:5" x14ac:dyDescent="0.25">
      <c r="A11162">
        <v>11161</v>
      </c>
      <c r="B11162">
        <v>6864499</v>
      </c>
      <c r="C11162" s="1" t="str">
        <f>HYPERLINK("http://stackoverflow.com/users/6864499", "Sprindy")</f>
        <v>Sprindy</v>
      </c>
      <c r="D11162" t="s">
        <v>4</v>
      </c>
      <c r="E11162">
        <v>1</v>
      </c>
    </row>
    <row r="11163" spans="1:5" x14ac:dyDescent="0.25">
      <c r="A11163">
        <v>11162</v>
      </c>
      <c r="B11163">
        <v>6864645</v>
      </c>
      <c r="C11163" s="1" t="str">
        <f>HYPERLINK("http://stackoverflow.com/users/6864645", "Manchester")</f>
        <v>Manchester</v>
      </c>
      <c r="D11163" t="s">
        <v>604</v>
      </c>
      <c r="E11163">
        <v>1</v>
      </c>
    </row>
    <row r="11164" spans="1:5" x14ac:dyDescent="0.25">
      <c r="A11164">
        <v>11163</v>
      </c>
      <c r="B11164">
        <v>8711943</v>
      </c>
      <c r="C11164" s="1" t="str">
        <f>HYPERLINK("http://stackoverflow.com/users/8711943", "Jingrong Zhang")</f>
        <v>Jingrong Zhang</v>
      </c>
      <c r="D11164" t="s">
        <v>5</v>
      </c>
      <c r="E11164">
        <v>1</v>
      </c>
    </row>
    <row r="11165" spans="1:5" x14ac:dyDescent="0.25">
      <c r="A11165">
        <v>11164</v>
      </c>
      <c r="B11165">
        <v>8711961</v>
      </c>
      <c r="C11165" s="1" t="str">
        <f>HYPERLINK("http://stackoverflow.com/users/8711961", "Ariel")</f>
        <v>Ariel</v>
      </c>
      <c r="D11165" t="s">
        <v>605</v>
      </c>
      <c r="E11165">
        <v>1</v>
      </c>
    </row>
    <row r="11166" spans="1:5" x14ac:dyDescent="0.25">
      <c r="A11166">
        <v>11165</v>
      </c>
      <c r="B11166">
        <v>1469413</v>
      </c>
      <c r="C11166" s="1" t="str">
        <f>HYPERLINK("http://stackoverflow.com/users/1469413", "Shuai Sun")</f>
        <v>Shuai Sun</v>
      </c>
      <c r="D11166" t="s">
        <v>5</v>
      </c>
      <c r="E11166">
        <v>1</v>
      </c>
    </row>
    <row r="11167" spans="1:5" x14ac:dyDescent="0.25">
      <c r="A11167">
        <v>11166</v>
      </c>
      <c r="B11167">
        <v>1492636</v>
      </c>
      <c r="C11167" s="1" t="str">
        <f>HYPERLINK("http://stackoverflow.com/users/1492636", "Vury Leo")</f>
        <v>Vury Leo</v>
      </c>
      <c r="D11167" t="s">
        <v>5</v>
      </c>
      <c r="E11167">
        <v>1</v>
      </c>
    </row>
    <row r="11168" spans="1:5" x14ac:dyDescent="0.25">
      <c r="A11168">
        <v>11167</v>
      </c>
      <c r="B11168">
        <v>1493142</v>
      </c>
      <c r="C11168" s="1" t="str">
        <f>HYPERLINK("http://stackoverflow.com/users/1493142", "Airhunter")</f>
        <v>Airhunter</v>
      </c>
      <c r="D11168" t="s">
        <v>4</v>
      </c>
      <c r="E11168">
        <v>1</v>
      </c>
    </row>
    <row r="11169" spans="1:5" x14ac:dyDescent="0.25">
      <c r="A11169">
        <v>11168</v>
      </c>
      <c r="B11169">
        <v>1493243</v>
      </c>
      <c r="C11169" s="1" t="str">
        <f>HYPERLINK("http://stackoverflow.com/users/1493243", "ladd.cn")</f>
        <v>ladd.cn</v>
      </c>
      <c r="D11169" t="s">
        <v>37</v>
      </c>
      <c r="E11169">
        <v>1</v>
      </c>
    </row>
    <row r="11170" spans="1:5" x14ac:dyDescent="0.25">
      <c r="A11170">
        <v>11169</v>
      </c>
      <c r="B11170">
        <v>1493279</v>
      </c>
      <c r="C11170" s="1" t="str">
        <f>HYPERLINK("http://stackoverflow.com/users/1493279", "Jodoo")</f>
        <v>Jodoo</v>
      </c>
      <c r="D11170" t="s">
        <v>5</v>
      </c>
      <c r="E11170">
        <v>1</v>
      </c>
    </row>
    <row r="11171" spans="1:5" x14ac:dyDescent="0.25">
      <c r="A11171">
        <v>11170</v>
      </c>
      <c r="B11171">
        <v>1493650</v>
      </c>
      <c r="C11171" s="1" t="str">
        <f>HYPERLINK("http://stackoverflow.com/users/1493650", "jxing")</f>
        <v>jxing</v>
      </c>
      <c r="D11171" t="s">
        <v>5</v>
      </c>
      <c r="E11171">
        <v>1</v>
      </c>
    </row>
    <row r="11172" spans="1:5" x14ac:dyDescent="0.25">
      <c r="A11172">
        <v>11171</v>
      </c>
      <c r="B11172">
        <v>1493861</v>
      </c>
      <c r="C11172" s="1" t="str">
        <f>HYPERLINK("http://stackoverflow.com/users/1493861", "whitefable")</f>
        <v>whitefable</v>
      </c>
      <c r="D11172" t="s">
        <v>606</v>
      </c>
      <c r="E11172">
        <v>1</v>
      </c>
    </row>
    <row r="11173" spans="1:5" x14ac:dyDescent="0.25">
      <c r="A11173">
        <v>11172</v>
      </c>
      <c r="B11173">
        <v>10540063</v>
      </c>
      <c r="C11173" s="1" t="str">
        <f>HYPERLINK("http://stackoverflow.com/users/10540063", "Wansit")</f>
        <v>Wansit</v>
      </c>
      <c r="D11173" t="s">
        <v>86</v>
      </c>
      <c r="E11173">
        <v>1</v>
      </c>
    </row>
    <row r="11174" spans="1:5" x14ac:dyDescent="0.25">
      <c r="A11174">
        <v>11173</v>
      </c>
      <c r="B11174">
        <v>5160058</v>
      </c>
      <c r="C11174" s="1" t="str">
        <f>HYPERLINK("http://stackoverflow.com/users/5160058", "LiuNing")</f>
        <v>LiuNing</v>
      </c>
      <c r="D11174" t="s">
        <v>5</v>
      </c>
      <c r="E11174">
        <v>1</v>
      </c>
    </row>
    <row r="11175" spans="1:5" x14ac:dyDescent="0.25">
      <c r="A11175">
        <v>11174</v>
      </c>
      <c r="B11175">
        <v>1487859</v>
      </c>
      <c r="C11175" s="1" t="str">
        <f>HYPERLINK("http://stackoverflow.com/users/1487859", "stonewesley")</f>
        <v>stonewesley</v>
      </c>
      <c r="D11175" t="s">
        <v>8</v>
      </c>
      <c r="E11175">
        <v>1</v>
      </c>
    </row>
    <row r="11176" spans="1:5" x14ac:dyDescent="0.25">
      <c r="A11176">
        <v>11175</v>
      </c>
      <c r="B11176">
        <v>3344762</v>
      </c>
      <c r="C11176" s="1" t="str">
        <f>HYPERLINK("http://stackoverflow.com/users/3344762", "tomlelouch")</f>
        <v>tomlelouch</v>
      </c>
      <c r="D11176" t="s">
        <v>4</v>
      </c>
      <c r="E11176">
        <v>1</v>
      </c>
    </row>
    <row r="11177" spans="1:5" x14ac:dyDescent="0.25">
      <c r="A11177">
        <v>11176</v>
      </c>
      <c r="B11177">
        <v>10539665</v>
      </c>
      <c r="C11177" s="1" t="str">
        <f>HYPERLINK("http://stackoverflow.com/users/10539665", "lybtt")</f>
        <v>lybtt</v>
      </c>
      <c r="D11177" t="s">
        <v>4</v>
      </c>
      <c r="E11177">
        <v>1</v>
      </c>
    </row>
    <row r="11178" spans="1:5" x14ac:dyDescent="0.25">
      <c r="A11178">
        <v>11177</v>
      </c>
      <c r="B11178">
        <v>10539769</v>
      </c>
      <c r="C11178" s="1" t="str">
        <f>HYPERLINK("http://stackoverflow.com/users/10539769", "Haiqing")</f>
        <v>Haiqing</v>
      </c>
      <c r="D11178" t="s">
        <v>4</v>
      </c>
      <c r="E11178">
        <v>1</v>
      </c>
    </row>
    <row r="11179" spans="1:5" x14ac:dyDescent="0.25">
      <c r="A11179">
        <v>11178</v>
      </c>
      <c r="B11179">
        <v>10539874</v>
      </c>
      <c r="C11179" s="1" t="str">
        <f>HYPERLINK("http://stackoverflow.com/users/10539874", "Alan Ning")</f>
        <v>Alan Ning</v>
      </c>
      <c r="D11179" t="s">
        <v>4</v>
      </c>
      <c r="E11179">
        <v>1</v>
      </c>
    </row>
    <row r="11180" spans="1:5" x14ac:dyDescent="0.25">
      <c r="A11180">
        <v>11179</v>
      </c>
      <c r="B11180">
        <v>3337648</v>
      </c>
      <c r="C11180" s="1" t="str">
        <f>HYPERLINK("http://stackoverflow.com/users/3337648", "Bing")</f>
        <v>Bing</v>
      </c>
      <c r="D11180" t="s">
        <v>5</v>
      </c>
      <c r="E11180">
        <v>1</v>
      </c>
    </row>
    <row r="11181" spans="1:5" x14ac:dyDescent="0.25">
      <c r="A11181">
        <v>11180</v>
      </c>
      <c r="B11181">
        <v>1465184</v>
      </c>
      <c r="C11181" s="1" t="str">
        <f>HYPERLINK("http://stackoverflow.com/users/1465184", "Rye")</f>
        <v>Rye</v>
      </c>
      <c r="D11181" t="s">
        <v>4</v>
      </c>
      <c r="E11181">
        <v>1</v>
      </c>
    </row>
    <row r="11182" spans="1:5" x14ac:dyDescent="0.25">
      <c r="A11182">
        <v>11181</v>
      </c>
      <c r="B11182">
        <v>10511411</v>
      </c>
      <c r="C11182" s="1" t="str">
        <f>HYPERLINK("http://stackoverflow.com/users/10511411", "wang fei")</f>
        <v>wang fei</v>
      </c>
      <c r="D11182" t="s">
        <v>5</v>
      </c>
      <c r="E11182">
        <v>1</v>
      </c>
    </row>
    <row r="11183" spans="1:5" x14ac:dyDescent="0.25">
      <c r="A11183">
        <v>11182</v>
      </c>
      <c r="B11183">
        <v>6852431</v>
      </c>
      <c r="C11183" s="1" t="str">
        <f>HYPERLINK("http://stackoverflow.com/users/6852431", "超先森")</f>
        <v>超先森</v>
      </c>
      <c r="D11183" t="s">
        <v>389</v>
      </c>
      <c r="E11183">
        <v>1</v>
      </c>
    </row>
    <row r="11184" spans="1:5" x14ac:dyDescent="0.25">
      <c r="A11184">
        <v>11183</v>
      </c>
      <c r="B11184">
        <v>8702566</v>
      </c>
      <c r="C11184" s="1" t="str">
        <f>HYPERLINK("http://stackoverflow.com/users/8702566", "Aver Jing")</f>
        <v>Aver Jing</v>
      </c>
      <c r="D11184" t="s">
        <v>55</v>
      </c>
      <c r="E11184">
        <v>1</v>
      </c>
    </row>
    <row r="11185" spans="1:5" x14ac:dyDescent="0.25">
      <c r="A11185">
        <v>11184</v>
      </c>
      <c r="B11185">
        <v>6856167</v>
      </c>
      <c r="C11185" s="1" t="str">
        <f>HYPERLINK("http://stackoverflow.com/users/6856167", "Jeallyn")</f>
        <v>Jeallyn</v>
      </c>
      <c r="D11185" t="s">
        <v>4</v>
      </c>
      <c r="E11185">
        <v>1</v>
      </c>
    </row>
    <row r="11186" spans="1:5" x14ac:dyDescent="0.25">
      <c r="A11186">
        <v>11185</v>
      </c>
      <c r="B11186">
        <v>1460105</v>
      </c>
      <c r="C11186" s="1" t="str">
        <f>HYPERLINK("http://stackoverflow.com/users/1460105", "deewoo")</f>
        <v>deewoo</v>
      </c>
      <c r="D11186" t="s">
        <v>5</v>
      </c>
      <c r="E11186">
        <v>1</v>
      </c>
    </row>
    <row r="11187" spans="1:5" x14ac:dyDescent="0.25">
      <c r="A11187">
        <v>11186</v>
      </c>
      <c r="B11187">
        <v>6868395</v>
      </c>
      <c r="C11187" s="1" t="str">
        <f>HYPERLINK("http://stackoverflow.com/users/6868395", "Shelley Shyan")</f>
        <v>Shelley Shyan</v>
      </c>
      <c r="D11187" t="s">
        <v>5</v>
      </c>
      <c r="E11187">
        <v>1</v>
      </c>
    </row>
    <row r="11188" spans="1:5" x14ac:dyDescent="0.25">
      <c r="A11188">
        <v>11187</v>
      </c>
      <c r="B11188">
        <v>10532117</v>
      </c>
      <c r="C11188" s="1" t="str">
        <f>HYPERLINK("http://stackoverflow.com/users/10532117", "Alex Tze")</f>
        <v>Alex Tze</v>
      </c>
      <c r="D11188" t="s">
        <v>25</v>
      </c>
      <c r="E11188">
        <v>1</v>
      </c>
    </row>
    <row r="11189" spans="1:5" x14ac:dyDescent="0.25">
      <c r="A11189">
        <v>11188</v>
      </c>
      <c r="B11189">
        <v>10532171</v>
      </c>
      <c r="C11189" s="1" t="str">
        <f>HYPERLINK("http://stackoverflow.com/users/10532171", "Jack Frost")</f>
        <v>Jack Frost</v>
      </c>
      <c r="D11189" t="s">
        <v>4</v>
      </c>
      <c r="E11189">
        <v>1</v>
      </c>
    </row>
    <row r="11190" spans="1:5" x14ac:dyDescent="0.25">
      <c r="A11190">
        <v>11189</v>
      </c>
      <c r="B11190">
        <v>10532287</v>
      </c>
      <c r="C11190" s="1" t="str">
        <f>HYPERLINK("http://stackoverflow.com/users/10532287", "stormwen")</f>
        <v>stormwen</v>
      </c>
      <c r="D11190" t="s">
        <v>131</v>
      </c>
      <c r="E11190">
        <v>1</v>
      </c>
    </row>
    <row r="11191" spans="1:5" x14ac:dyDescent="0.25">
      <c r="A11191">
        <v>11190</v>
      </c>
      <c r="B11191">
        <v>3340501</v>
      </c>
      <c r="C11191" s="1" t="str">
        <f>HYPERLINK("http://stackoverflow.com/users/3340501", "Wei-Ying Yi")</f>
        <v>Wei-Ying Yi</v>
      </c>
      <c r="D11191" t="s">
        <v>607</v>
      </c>
      <c r="E11191">
        <v>1</v>
      </c>
    </row>
    <row r="11192" spans="1:5" x14ac:dyDescent="0.25">
      <c r="A11192">
        <v>11191</v>
      </c>
      <c r="B11192">
        <v>3340762</v>
      </c>
      <c r="C11192" s="1" t="str">
        <f>HYPERLINK("http://stackoverflow.com/users/3340762", "pengpengwu")</f>
        <v>pengpengwu</v>
      </c>
      <c r="D11192" t="s">
        <v>21</v>
      </c>
      <c r="E11192">
        <v>1</v>
      </c>
    </row>
    <row r="11193" spans="1:5" x14ac:dyDescent="0.25">
      <c r="A11193">
        <v>11192</v>
      </c>
      <c r="B11193">
        <v>8723920</v>
      </c>
      <c r="C11193" s="1" t="str">
        <f>HYPERLINK("http://stackoverflow.com/users/8723920", "su you")</f>
        <v>su you</v>
      </c>
      <c r="D11193" t="s">
        <v>5</v>
      </c>
      <c r="E11193">
        <v>1</v>
      </c>
    </row>
    <row r="11194" spans="1:5" x14ac:dyDescent="0.25">
      <c r="A11194">
        <v>11193</v>
      </c>
      <c r="B11194">
        <v>5156394</v>
      </c>
      <c r="C11194" s="1" t="str">
        <f>HYPERLINK("http://stackoverflow.com/users/5156394", "SEN LIN")</f>
        <v>SEN LIN</v>
      </c>
      <c r="D11194" t="s">
        <v>5</v>
      </c>
      <c r="E11194">
        <v>1</v>
      </c>
    </row>
    <row r="11195" spans="1:5" x14ac:dyDescent="0.25">
      <c r="A11195">
        <v>11194</v>
      </c>
      <c r="B11195">
        <v>1482304</v>
      </c>
      <c r="C11195" s="1" t="str">
        <f>HYPERLINK("http://stackoverflow.com/users/1482304", "jnduan")</f>
        <v>jnduan</v>
      </c>
      <c r="D11195" t="s">
        <v>5</v>
      </c>
      <c r="E11195">
        <v>1</v>
      </c>
    </row>
    <row r="11196" spans="1:5" x14ac:dyDescent="0.25">
      <c r="A11196">
        <v>11195</v>
      </c>
      <c r="B11196">
        <v>1482874</v>
      </c>
      <c r="C11196" s="1" t="str">
        <f>HYPERLINK("http://stackoverflow.com/users/1482874", "Charlie Lee")</f>
        <v>Charlie Lee</v>
      </c>
      <c r="D11196" t="s">
        <v>12</v>
      </c>
      <c r="E11196">
        <v>1</v>
      </c>
    </row>
    <row r="11197" spans="1:5" x14ac:dyDescent="0.25">
      <c r="A11197">
        <v>11196</v>
      </c>
      <c r="B11197">
        <v>3344715</v>
      </c>
      <c r="C11197" s="1" t="str">
        <f>HYPERLINK("http://stackoverflow.com/users/3344715", "ticktockmiss")</f>
        <v>ticktockmiss</v>
      </c>
      <c r="D11197" t="s">
        <v>37</v>
      </c>
      <c r="E11197">
        <v>1</v>
      </c>
    </row>
    <row r="11198" spans="1:5" x14ac:dyDescent="0.25">
      <c r="A11198">
        <v>11197</v>
      </c>
      <c r="B11198">
        <v>10674099</v>
      </c>
      <c r="C11198" s="1" t="str">
        <f>HYPERLINK("http://stackoverflow.com/users/10674099", "Daniel Monga")</f>
        <v>Daniel Monga</v>
      </c>
      <c r="D11198" t="s">
        <v>43</v>
      </c>
      <c r="E11198">
        <v>1</v>
      </c>
    </row>
    <row r="11199" spans="1:5" x14ac:dyDescent="0.25">
      <c r="A11199">
        <v>11198</v>
      </c>
      <c r="B11199">
        <v>5281620</v>
      </c>
      <c r="C11199" s="1" t="str">
        <f>HYPERLINK("http://stackoverflow.com/users/5281620", "Derek Xiao")</f>
        <v>Derek Xiao</v>
      </c>
      <c r="D11199" t="s">
        <v>5</v>
      </c>
      <c r="E11199">
        <v>1</v>
      </c>
    </row>
    <row r="11200" spans="1:5" x14ac:dyDescent="0.25">
      <c r="A11200">
        <v>11199</v>
      </c>
      <c r="B11200">
        <v>3467357</v>
      </c>
      <c r="C11200" s="1" t="str">
        <f>HYPERLINK("http://stackoverflow.com/users/3467357", "GeekAndy")</f>
        <v>GeekAndy</v>
      </c>
      <c r="D11200" t="s">
        <v>5</v>
      </c>
      <c r="E11200">
        <v>1</v>
      </c>
    </row>
    <row r="11201" spans="1:5" x14ac:dyDescent="0.25">
      <c r="A11201">
        <v>11200</v>
      </c>
      <c r="B11201">
        <v>1645613</v>
      </c>
      <c r="C11201" s="1" t="str">
        <f>HYPERLINK("http://stackoverflow.com/users/1645613", "Susan")</f>
        <v>Susan</v>
      </c>
      <c r="D11201" t="s">
        <v>17</v>
      </c>
      <c r="E11201">
        <v>1</v>
      </c>
    </row>
    <row r="11202" spans="1:5" x14ac:dyDescent="0.25">
      <c r="A11202">
        <v>11201</v>
      </c>
      <c r="B11202">
        <v>1645695</v>
      </c>
      <c r="C11202" s="1" t="str">
        <f>HYPERLINK("http://stackoverflow.com/users/1645695", "liy_1988")</f>
        <v>liy_1988</v>
      </c>
      <c r="D11202" t="s">
        <v>5</v>
      </c>
      <c r="E11202">
        <v>1</v>
      </c>
    </row>
    <row r="11203" spans="1:5" x14ac:dyDescent="0.25">
      <c r="A11203">
        <v>11202</v>
      </c>
      <c r="B11203">
        <v>1645766</v>
      </c>
      <c r="C11203" s="1" t="str">
        <f>HYPERLINK("http://stackoverflow.com/users/1645766", "qileererer")</f>
        <v>qileererer</v>
      </c>
      <c r="D11203" t="s">
        <v>5</v>
      </c>
      <c r="E11203">
        <v>1</v>
      </c>
    </row>
    <row r="11204" spans="1:5" x14ac:dyDescent="0.25">
      <c r="A11204">
        <v>11203</v>
      </c>
      <c r="B11204">
        <v>5281874</v>
      </c>
      <c r="C11204" s="1" t="str">
        <f>HYPERLINK("http://stackoverflow.com/users/5281874", "Alan Chaw")</f>
        <v>Alan Chaw</v>
      </c>
      <c r="D11204" t="s">
        <v>21</v>
      </c>
      <c r="E11204">
        <v>1</v>
      </c>
    </row>
    <row r="11205" spans="1:5" x14ac:dyDescent="0.25">
      <c r="A11205">
        <v>11204</v>
      </c>
      <c r="B11205">
        <v>8868431</v>
      </c>
      <c r="C11205" s="1" t="str">
        <f>HYPERLINK("http://stackoverflow.com/users/8868431", "Javy.xu")</f>
        <v>Javy.xu</v>
      </c>
      <c r="D11205" t="s">
        <v>5</v>
      </c>
      <c r="E11205">
        <v>1</v>
      </c>
    </row>
    <row r="11206" spans="1:5" x14ac:dyDescent="0.25">
      <c r="A11206">
        <v>11205</v>
      </c>
      <c r="B11206">
        <v>10678329</v>
      </c>
      <c r="C11206" s="1" t="str">
        <f>HYPERLINK("http://stackoverflow.com/users/10678329", "FangQi Lee")</f>
        <v>FangQi Lee</v>
      </c>
      <c r="D11206" t="s">
        <v>4</v>
      </c>
      <c r="E11206">
        <v>1</v>
      </c>
    </row>
    <row r="11207" spans="1:5" x14ac:dyDescent="0.25">
      <c r="A11207">
        <v>11206</v>
      </c>
      <c r="B11207">
        <v>10678355</v>
      </c>
      <c r="C11207" s="1" t="str">
        <f>HYPERLINK("http://stackoverflow.com/users/10678355", "Leon Li")</f>
        <v>Leon Li</v>
      </c>
      <c r="D11207" t="s">
        <v>5</v>
      </c>
      <c r="E11207">
        <v>1</v>
      </c>
    </row>
    <row r="11208" spans="1:5" x14ac:dyDescent="0.25">
      <c r="A11208">
        <v>11207</v>
      </c>
      <c r="B11208">
        <v>10679161</v>
      </c>
      <c r="C11208" s="1" t="str">
        <f>HYPERLINK("http://stackoverflow.com/users/10679161", "OsmondJiang")</f>
        <v>OsmondJiang</v>
      </c>
      <c r="D11208" t="s">
        <v>4</v>
      </c>
      <c r="E11208">
        <v>1</v>
      </c>
    </row>
    <row r="11209" spans="1:5" x14ac:dyDescent="0.25">
      <c r="A11209">
        <v>11208</v>
      </c>
      <c r="B11209">
        <v>7041233</v>
      </c>
      <c r="C11209" s="1" t="str">
        <f>HYPERLINK("http://stackoverflow.com/users/7041233", "Zhaoxiong Tan")</f>
        <v>Zhaoxiong Tan</v>
      </c>
      <c r="D11209" t="s">
        <v>52</v>
      </c>
      <c r="E11209">
        <v>1</v>
      </c>
    </row>
    <row r="11210" spans="1:5" x14ac:dyDescent="0.25">
      <c r="A11210">
        <v>11209</v>
      </c>
      <c r="B11210">
        <v>1645015</v>
      </c>
      <c r="C11210" s="1" t="str">
        <f>HYPERLINK("http://stackoverflow.com/users/1645015", "nicholasWong")</f>
        <v>nicholasWong</v>
      </c>
      <c r="D11210" t="s">
        <v>21</v>
      </c>
      <c r="E11210">
        <v>1</v>
      </c>
    </row>
    <row r="11211" spans="1:5" x14ac:dyDescent="0.25">
      <c r="A11211">
        <v>11210</v>
      </c>
      <c r="B11211">
        <v>1645048</v>
      </c>
      <c r="C11211" s="1" t="str">
        <f>HYPERLINK("http://stackoverflow.com/users/1645048", "Aaron Zhang")</f>
        <v>Aaron Zhang</v>
      </c>
      <c r="D11211" t="s">
        <v>12</v>
      </c>
      <c r="E11211">
        <v>1</v>
      </c>
    </row>
    <row r="11212" spans="1:5" x14ac:dyDescent="0.25">
      <c r="A11212">
        <v>11211</v>
      </c>
      <c r="B11212">
        <v>8846616</v>
      </c>
      <c r="C11212" s="1" t="str">
        <f>HYPERLINK("http://stackoverflow.com/users/8846616", "Sy9876")</f>
        <v>Sy9876</v>
      </c>
      <c r="D11212" t="s">
        <v>5</v>
      </c>
      <c r="E11212">
        <v>1</v>
      </c>
    </row>
    <row r="11213" spans="1:5" x14ac:dyDescent="0.25">
      <c r="A11213">
        <v>11212</v>
      </c>
      <c r="B11213">
        <v>7023180</v>
      </c>
      <c r="C11213" s="1" t="str">
        <f>HYPERLINK("http://stackoverflow.com/users/7023180", "Bo Liu")</f>
        <v>Bo Liu</v>
      </c>
      <c r="D11213" t="s">
        <v>28</v>
      </c>
      <c r="E11213">
        <v>1</v>
      </c>
    </row>
    <row r="11214" spans="1:5" x14ac:dyDescent="0.25">
      <c r="A11214">
        <v>11213</v>
      </c>
      <c r="B11214">
        <v>5263081</v>
      </c>
      <c r="C11214" s="1" t="str">
        <f>HYPERLINK("http://stackoverflow.com/users/5263081", "so.me")</f>
        <v>so.me</v>
      </c>
      <c r="D11214" t="s">
        <v>5</v>
      </c>
      <c r="E11214">
        <v>1</v>
      </c>
    </row>
    <row r="11215" spans="1:5" x14ac:dyDescent="0.25">
      <c r="A11215">
        <v>11214</v>
      </c>
      <c r="B11215">
        <v>5263200</v>
      </c>
      <c r="C11215" s="1" t="str">
        <f>HYPERLINK("http://stackoverflow.com/users/5263200", "zengshufang")</f>
        <v>zengshufang</v>
      </c>
      <c r="D11215" t="s">
        <v>4</v>
      </c>
      <c r="E11215">
        <v>1</v>
      </c>
    </row>
    <row r="11216" spans="1:5" x14ac:dyDescent="0.25">
      <c r="A11216">
        <v>11215</v>
      </c>
      <c r="B11216">
        <v>5263224</v>
      </c>
      <c r="C11216" s="1" t="str">
        <f>HYPERLINK("http://stackoverflow.com/users/5263224", "Hello Young")</f>
        <v>Hello Young</v>
      </c>
      <c r="D11216" t="s">
        <v>63</v>
      </c>
      <c r="E11216">
        <v>1</v>
      </c>
    </row>
    <row r="11217" spans="1:5" x14ac:dyDescent="0.25">
      <c r="A11217">
        <v>11216</v>
      </c>
      <c r="B11217">
        <v>5263366</v>
      </c>
      <c r="C11217" s="1" t="str">
        <f>HYPERLINK("http://stackoverflow.com/users/5263366", "Tsukuyomi")</f>
        <v>Tsukuyomi</v>
      </c>
      <c r="D11217" t="s">
        <v>608</v>
      </c>
      <c r="E11217">
        <v>1</v>
      </c>
    </row>
    <row r="11218" spans="1:5" x14ac:dyDescent="0.25">
      <c r="A11218">
        <v>11217</v>
      </c>
      <c r="B11218">
        <v>8849176</v>
      </c>
      <c r="C11218" s="1" t="str">
        <f>HYPERLINK("http://stackoverflow.com/users/8849176", "e.t.z.r.")</f>
        <v>e.t.z.r.</v>
      </c>
      <c r="D11218" t="s">
        <v>4</v>
      </c>
      <c r="E11218">
        <v>1</v>
      </c>
    </row>
    <row r="11219" spans="1:5" x14ac:dyDescent="0.25">
      <c r="A11219">
        <v>11218</v>
      </c>
      <c r="B11219">
        <v>1629116</v>
      </c>
      <c r="C11219" s="1" t="str">
        <f>HYPERLINK("http://stackoverflow.com/users/1629116", "LoyaltyJi")</f>
        <v>LoyaltyJi</v>
      </c>
      <c r="D11219" t="s">
        <v>5</v>
      </c>
      <c r="E11219">
        <v>1</v>
      </c>
    </row>
    <row r="11220" spans="1:5" x14ac:dyDescent="0.25">
      <c r="A11220">
        <v>11219</v>
      </c>
      <c r="B11220">
        <v>1629172</v>
      </c>
      <c r="C11220" s="1" t="str">
        <f>HYPERLINK("http://stackoverflow.com/users/1629172", "Ray Zheng")</f>
        <v>Ray Zheng</v>
      </c>
      <c r="D11220" t="s">
        <v>48</v>
      </c>
      <c r="E11220">
        <v>1</v>
      </c>
    </row>
    <row r="11221" spans="1:5" x14ac:dyDescent="0.25">
      <c r="A11221">
        <v>11220</v>
      </c>
      <c r="B11221">
        <v>7029974</v>
      </c>
      <c r="C11221" s="1" t="str">
        <f>HYPERLINK("http://stackoverflow.com/users/7029974", "powerlei")</f>
        <v>powerlei</v>
      </c>
      <c r="D11221" t="s">
        <v>52</v>
      </c>
      <c r="E11221">
        <v>1</v>
      </c>
    </row>
    <row r="11222" spans="1:5" x14ac:dyDescent="0.25">
      <c r="A11222">
        <v>11221</v>
      </c>
      <c r="B11222">
        <v>7030112</v>
      </c>
      <c r="C11222" s="1" t="str">
        <f>HYPERLINK("http://stackoverflow.com/users/7030112", "wuxii")</f>
        <v>wuxii</v>
      </c>
      <c r="D11222" t="s">
        <v>15</v>
      </c>
      <c r="E11222">
        <v>1</v>
      </c>
    </row>
    <row r="11223" spans="1:5" x14ac:dyDescent="0.25">
      <c r="A11223">
        <v>11222</v>
      </c>
      <c r="B11223">
        <v>8854003</v>
      </c>
      <c r="C11223" s="1" t="str">
        <f>HYPERLINK("http://stackoverflow.com/users/8854003", "Hackroid")</f>
        <v>Hackroid</v>
      </c>
      <c r="D11223" t="s">
        <v>7</v>
      </c>
      <c r="E11223">
        <v>1</v>
      </c>
    </row>
    <row r="11224" spans="1:5" x14ac:dyDescent="0.25">
      <c r="A11224">
        <v>11223</v>
      </c>
      <c r="B11224">
        <v>8854184</v>
      </c>
      <c r="C11224" s="1" t="str">
        <f>HYPERLINK("http://stackoverflow.com/users/8854184", "Tangerwei")</f>
        <v>Tangerwei</v>
      </c>
      <c r="D11224" t="s">
        <v>4</v>
      </c>
      <c r="E11224">
        <v>1</v>
      </c>
    </row>
    <row r="11225" spans="1:5" x14ac:dyDescent="0.25">
      <c r="A11225">
        <v>11224</v>
      </c>
      <c r="B11225">
        <v>3471117</v>
      </c>
      <c r="C11225" s="1" t="str">
        <f>HYPERLINK("http://stackoverflow.com/users/3471117", "Simmon")</f>
        <v>Simmon</v>
      </c>
      <c r="D11225" t="s">
        <v>5</v>
      </c>
      <c r="E11225">
        <v>1</v>
      </c>
    </row>
    <row r="11226" spans="1:5" x14ac:dyDescent="0.25">
      <c r="A11226">
        <v>11225</v>
      </c>
      <c r="B11226">
        <v>3471250</v>
      </c>
      <c r="C11226" s="1" t="str">
        <f>HYPERLINK("http://stackoverflow.com/users/3471250", "AFei")</f>
        <v>AFei</v>
      </c>
      <c r="D11226" t="s">
        <v>4</v>
      </c>
      <c r="E11226">
        <v>1</v>
      </c>
    </row>
    <row r="11227" spans="1:5" x14ac:dyDescent="0.25">
      <c r="A11227">
        <v>11226</v>
      </c>
      <c r="B11227">
        <v>10673562</v>
      </c>
      <c r="C11227" s="1" t="str">
        <f>HYPERLINK("http://stackoverflow.com/users/10673562", "Chris O'Ding")</f>
        <v>Chris O'Ding</v>
      </c>
      <c r="D11227" t="s">
        <v>16</v>
      </c>
      <c r="E11227">
        <v>1</v>
      </c>
    </row>
    <row r="11228" spans="1:5" x14ac:dyDescent="0.25">
      <c r="A11228">
        <v>11227</v>
      </c>
      <c r="B11228">
        <v>10673648</v>
      </c>
      <c r="C11228" s="1" t="str">
        <f>HYPERLINK("http://stackoverflow.com/users/10673648", "drfish")</f>
        <v>drfish</v>
      </c>
      <c r="D11228" t="s">
        <v>4</v>
      </c>
      <c r="E11228">
        <v>1</v>
      </c>
    </row>
    <row r="11229" spans="1:5" x14ac:dyDescent="0.25">
      <c r="A11229">
        <v>11228</v>
      </c>
      <c r="B11229">
        <v>3448999</v>
      </c>
      <c r="C11229" s="1" t="str">
        <f>HYPERLINK("http://stackoverflow.com/users/3448999", "vtpp")</f>
        <v>vtpp</v>
      </c>
      <c r="D11229" t="s">
        <v>5</v>
      </c>
      <c r="E11229">
        <v>1</v>
      </c>
    </row>
    <row r="11230" spans="1:5" x14ac:dyDescent="0.25">
      <c r="A11230">
        <v>11229</v>
      </c>
      <c r="B11230">
        <v>3449199</v>
      </c>
      <c r="C11230" s="1" t="str">
        <f>HYPERLINK("http://stackoverflow.com/users/3449199", "zhangkaizhao")</f>
        <v>zhangkaizhao</v>
      </c>
      <c r="D11230" t="s">
        <v>21</v>
      </c>
      <c r="E11230">
        <v>1</v>
      </c>
    </row>
    <row r="11231" spans="1:5" x14ac:dyDescent="0.25">
      <c r="A11231">
        <v>11230</v>
      </c>
      <c r="B11231">
        <v>5259788</v>
      </c>
      <c r="C11231" s="1" t="str">
        <f>HYPERLINK("http://stackoverflow.com/users/5259788", "LongChen")</f>
        <v>LongChen</v>
      </c>
      <c r="D11231" t="s">
        <v>4</v>
      </c>
      <c r="E11231">
        <v>1</v>
      </c>
    </row>
    <row r="11232" spans="1:5" x14ac:dyDescent="0.25">
      <c r="A11232">
        <v>11231</v>
      </c>
      <c r="B11232">
        <v>8842377</v>
      </c>
      <c r="C11232" s="1" t="str">
        <f>HYPERLINK("http://stackoverflow.com/users/8842377", "Runner Hong")</f>
        <v>Runner Hong</v>
      </c>
      <c r="D11232" t="s">
        <v>15</v>
      </c>
      <c r="E11232">
        <v>1</v>
      </c>
    </row>
    <row r="11233" spans="1:5" x14ac:dyDescent="0.25">
      <c r="A11233">
        <v>11232</v>
      </c>
      <c r="B11233">
        <v>5262957</v>
      </c>
      <c r="C11233" s="1" t="str">
        <f>HYPERLINK("http://stackoverflow.com/users/5262957", "Terry")</f>
        <v>Terry</v>
      </c>
      <c r="D11233" t="s">
        <v>5</v>
      </c>
      <c r="E11233">
        <v>1</v>
      </c>
    </row>
    <row r="11234" spans="1:5" x14ac:dyDescent="0.25">
      <c r="A11234">
        <v>11233</v>
      </c>
      <c r="B11234">
        <v>7004842</v>
      </c>
      <c r="C11234" s="1" t="str">
        <f>HYPERLINK("http://stackoverflow.com/users/7004842", "Terry Xu")</f>
        <v>Terry Xu</v>
      </c>
      <c r="D11234" t="s">
        <v>5</v>
      </c>
      <c r="E11234">
        <v>1</v>
      </c>
    </row>
    <row r="11235" spans="1:5" x14ac:dyDescent="0.25">
      <c r="A11235">
        <v>11234</v>
      </c>
      <c r="B11235">
        <v>8818652</v>
      </c>
      <c r="C11235" s="1" t="str">
        <f>HYPERLINK("http://stackoverflow.com/users/8818652", "Terence Deng ")</f>
        <v xml:space="preserve">Terence Deng </v>
      </c>
      <c r="D11235" t="s">
        <v>25</v>
      </c>
      <c r="E11235">
        <v>1</v>
      </c>
    </row>
    <row r="11236" spans="1:5" x14ac:dyDescent="0.25">
      <c r="A11236">
        <v>11235</v>
      </c>
      <c r="B11236">
        <v>3432430</v>
      </c>
      <c r="C11236" s="1" t="str">
        <f>HYPERLINK("http://stackoverflow.com/users/3432430", "Zhuhuang Zhou")</f>
        <v>Zhuhuang Zhou</v>
      </c>
      <c r="D11236" t="s">
        <v>5</v>
      </c>
      <c r="E11236">
        <v>1</v>
      </c>
    </row>
    <row r="11237" spans="1:5" x14ac:dyDescent="0.25">
      <c r="A11237">
        <v>11236</v>
      </c>
      <c r="B11237">
        <v>1593194</v>
      </c>
      <c r="C11237" s="1" t="str">
        <f>HYPERLINK("http://stackoverflow.com/users/1593194", "wdskuki")</f>
        <v>wdskuki</v>
      </c>
      <c r="D11237" t="s">
        <v>4</v>
      </c>
      <c r="E11237">
        <v>1</v>
      </c>
    </row>
    <row r="11238" spans="1:5" x14ac:dyDescent="0.25">
      <c r="A11238">
        <v>11237</v>
      </c>
      <c r="B11238">
        <v>7004867</v>
      </c>
      <c r="C11238" s="1" t="str">
        <f>HYPERLINK("http://stackoverflow.com/users/7004867", "Jacob")</f>
        <v>Jacob</v>
      </c>
      <c r="D11238" t="s">
        <v>5</v>
      </c>
      <c r="E11238">
        <v>1</v>
      </c>
    </row>
    <row r="11239" spans="1:5" x14ac:dyDescent="0.25">
      <c r="A11239">
        <v>11238</v>
      </c>
      <c r="B11239">
        <v>7004987</v>
      </c>
      <c r="C11239" s="1" t="str">
        <f>HYPERLINK("http://stackoverflow.com/users/7004987", "PH Dean")</f>
        <v>PH Dean</v>
      </c>
      <c r="D11239" t="s">
        <v>55</v>
      </c>
      <c r="E11239">
        <v>1</v>
      </c>
    </row>
    <row r="11240" spans="1:5" x14ac:dyDescent="0.25">
      <c r="A11240">
        <v>11239</v>
      </c>
      <c r="B11240">
        <v>10634790</v>
      </c>
      <c r="C11240" s="1" t="str">
        <f>HYPERLINK("http://stackoverflow.com/users/10634790", "Lynn")</f>
        <v>Lynn</v>
      </c>
      <c r="D11240" t="s">
        <v>52</v>
      </c>
      <c r="E11240">
        <v>1</v>
      </c>
    </row>
    <row r="11241" spans="1:5" x14ac:dyDescent="0.25">
      <c r="A11241">
        <v>11240</v>
      </c>
      <c r="B11241">
        <v>3440558</v>
      </c>
      <c r="C11241" s="1" t="str">
        <f>HYPERLINK("http://stackoverflow.com/users/3440558", "Bruce")</f>
        <v>Bruce</v>
      </c>
      <c r="D11241" t="s">
        <v>5</v>
      </c>
      <c r="E11241">
        <v>1</v>
      </c>
    </row>
    <row r="11242" spans="1:5" x14ac:dyDescent="0.25">
      <c r="A11242">
        <v>11241</v>
      </c>
      <c r="B11242">
        <v>10638715</v>
      </c>
      <c r="C11242" s="1" t="str">
        <f>HYPERLINK("http://stackoverflow.com/users/10638715", "Shane.Z")</f>
        <v>Shane.Z</v>
      </c>
      <c r="D11242" t="s">
        <v>7</v>
      </c>
      <c r="E11242">
        <v>1</v>
      </c>
    </row>
    <row r="11243" spans="1:5" x14ac:dyDescent="0.25">
      <c r="A11243">
        <v>11242</v>
      </c>
      <c r="B11243">
        <v>10639145</v>
      </c>
      <c r="C11243" s="1" t="str">
        <f>HYPERLINK("http://stackoverflow.com/users/10639145", "TonSSV")</f>
        <v>TonSSV</v>
      </c>
      <c r="D11243" t="s">
        <v>4</v>
      </c>
      <c r="E11243">
        <v>1</v>
      </c>
    </row>
    <row r="11244" spans="1:5" x14ac:dyDescent="0.25">
      <c r="A11244">
        <v>11243</v>
      </c>
      <c r="B11244">
        <v>10639237</v>
      </c>
      <c r="C11244" s="1" t="str">
        <f>HYPERLINK("http://stackoverflow.com/users/10639237", "richard odongo")</f>
        <v>richard odongo</v>
      </c>
      <c r="D11244" t="s">
        <v>609</v>
      </c>
      <c r="E11244">
        <v>1</v>
      </c>
    </row>
    <row r="11245" spans="1:5" x14ac:dyDescent="0.25">
      <c r="A11245">
        <v>11244</v>
      </c>
      <c r="B11245">
        <v>10639290</v>
      </c>
      <c r="C11245" s="1" t="str">
        <f>HYPERLINK("http://stackoverflow.com/users/10639290", "MESHAQ BETTZ")</f>
        <v>MESHAQ BETTZ</v>
      </c>
      <c r="D11245" t="s">
        <v>29</v>
      </c>
      <c r="E11245">
        <v>1</v>
      </c>
    </row>
    <row r="11246" spans="1:5" x14ac:dyDescent="0.25">
      <c r="A11246">
        <v>11245</v>
      </c>
      <c r="B11246">
        <v>3445389</v>
      </c>
      <c r="C11246" s="1" t="str">
        <f>HYPERLINK("http://stackoverflow.com/users/3445389", "Sailor")</f>
        <v>Sailor</v>
      </c>
      <c r="D11246" t="s">
        <v>35</v>
      </c>
      <c r="E11246">
        <v>1</v>
      </c>
    </row>
    <row r="11247" spans="1:5" x14ac:dyDescent="0.25">
      <c r="A11247">
        <v>11246</v>
      </c>
      <c r="B11247">
        <v>10644721</v>
      </c>
      <c r="C11247" s="1" t="str">
        <f>HYPERLINK("http://stackoverflow.com/users/10644721", "lewis thomas")</f>
        <v>lewis thomas</v>
      </c>
      <c r="D11247" t="s">
        <v>28</v>
      </c>
      <c r="E11247">
        <v>1</v>
      </c>
    </row>
    <row r="11248" spans="1:5" x14ac:dyDescent="0.25">
      <c r="A11248">
        <v>11247</v>
      </c>
      <c r="B11248">
        <v>10644743</v>
      </c>
      <c r="C11248" s="1" t="str">
        <f>HYPERLINK("http://stackoverflow.com/users/10644743", "王晓明")</f>
        <v>王晓明</v>
      </c>
      <c r="D11248" t="s">
        <v>5</v>
      </c>
      <c r="E11248">
        <v>1</v>
      </c>
    </row>
    <row r="11249" spans="1:5" x14ac:dyDescent="0.25">
      <c r="A11249">
        <v>11248</v>
      </c>
      <c r="B11249">
        <v>10645452</v>
      </c>
      <c r="C11249" s="1" t="str">
        <f>HYPERLINK("http://stackoverflow.com/users/10645452", "素十八")</f>
        <v>素十八</v>
      </c>
      <c r="D11249" t="s">
        <v>5</v>
      </c>
      <c r="E11249">
        <v>1</v>
      </c>
    </row>
    <row r="11250" spans="1:5" x14ac:dyDescent="0.25">
      <c r="A11250">
        <v>11249</v>
      </c>
      <c r="B11250">
        <v>5256188</v>
      </c>
      <c r="C11250" s="1" t="str">
        <f>HYPERLINK("http://stackoverflow.com/users/5256188", "allen211")</f>
        <v>allen211</v>
      </c>
      <c r="D11250" t="s">
        <v>310</v>
      </c>
      <c r="E11250">
        <v>1</v>
      </c>
    </row>
    <row r="11251" spans="1:5" x14ac:dyDescent="0.25">
      <c r="A11251">
        <v>11250</v>
      </c>
      <c r="B11251">
        <v>5252530</v>
      </c>
      <c r="C11251" s="1" t="str">
        <f>HYPERLINK("http://stackoverflow.com/users/5252530", "段迎春")</f>
        <v>段迎春</v>
      </c>
      <c r="D11251" t="s">
        <v>5</v>
      </c>
      <c r="E11251">
        <v>1</v>
      </c>
    </row>
    <row r="11252" spans="1:5" x14ac:dyDescent="0.25">
      <c r="A11252">
        <v>11251</v>
      </c>
      <c r="B11252">
        <v>5252672</v>
      </c>
      <c r="C11252" s="1" t="str">
        <f>HYPERLINK("http://stackoverflow.com/users/5252672", "shlijiapeng")</f>
        <v>shlijiapeng</v>
      </c>
      <c r="D11252" t="s">
        <v>4</v>
      </c>
      <c r="E11252">
        <v>1</v>
      </c>
    </row>
    <row r="11253" spans="1:5" x14ac:dyDescent="0.25">
      <c r="A11253">
        <v>11252</v>
      </c>
      <c r="B11253">
        <v>5252816</v>
      </c>
      <c r="C11253" s="1" t="str">
        <f>HYPERLINK("http://stackoverflow.com/users/5252816", "rugbydude")</f>
        <v>rugbydude</v>
      </c>
      <c r="D11253" t="s">
        <v>4</v>
      </c>
      <c r="E11253">
        <v>1</v>
      </c>
    </row>
    <row r="11254" spans="1:5" x14ac:dyDescent="0.25">
      <c r="A11254">
        <v>11253</v>
      </c>
      <c r="B11254">
        <v>5253178</v>
      </c>
      <c r="C11254" s="1" t="str">
        <f>HYPERLINK("http://stackoverflow.com/users/5253178", "CptTony")</f>
        <v>CptTony</v>
      </c>
      <c r="D11254" t="s">
        <v>55</v>
      </c>
      <c r="E11254">
        <v>1</v>
      </c>
    </row>
    <row r="11255" spans="1:5" x14ac:dyDescent="0.25">
      <c r="A11255">
        <v>11254</v>
      </c>
      <c r="B11255">
        <v>3444783</v>
      </c>
      <c r="C11255" s="1" t="str">
        <f>HYPERLINK("http://stackoverflow.com/users/3444783", "Not_single")</f>
        <v>Not_single</v>
      </c>
      <c r="D11255" t="s">
        <v>5</v>
      </c>
      <c r="E11255">
        <v>1</v>
      </c>
    </row>
    <row r="11256" spans="1:5" x14ac:dyDescent="0.25">
      <c r="A11256">
        <v>11255</v>
      </c>
      <c r="B11256">
        <v>1599627</v>
      </c>
      <c r="C11256" s="1" t="str">
        <f>HYPERLINK("http://stackoverflow.com/users/1599627", "besteric")</f>
        <v>besteric</v>
      </c>
      <c r="D11256" t="s">
        <v>12</v>
      </c>
      <c r="E11256">
        <v>1</v>
      </c>
    </row>
    <row r="11257" spans="1:5" x14ac:dyDescent="0.25">
      <c r="A11257">
        <v>11256</v>
      </c>
      <c r="B11257">
        <v>1599716</v>
      </c>
      <c r="C11257" s="1" t="str">
        <f>HYPERLINK("http://stackoverflow.com/users/1599716", "hanzhang dai")</f>
        <v>hanzhang dai</v>
      </c>
      <c r="D11257" t="s">
        <v>12</v>
      </c>
      <c r="E11257">
        <v>1</v>
      </c>
    </row>
    <row r="11258" spans="1:5" x14ac:dyDescent="0.25">
      <c r="A11258">
        <v>11257</v>
      </c>
      <c r="B11258">
        <v>1599718</v>
      </c>
      <c r="C11258" s="1" t="str">
        <f>HYPERLINK("http://stackoverflow.com/users/1599718", "burningwings")</f>
        <v>burningwings</v>
      </c>
      <c r="D11258" t="s">
        <v>12</v>
      </c>
      <c r="E11258">
        <v>1</v>
      </c>
    </row>
    <row r="11259" spans="1:5" x14ac:dyDescent="0.25">
      <c r="A11259">
        <v>11258</v>
      </c>
      <c r="B11259">
        <v>1553438</v>
      </c>
      <c r="C11259" s="1" t="str">
        <f>HYPERLINK("http://stackoverflow.com/users/1553438", "HsuY")</f>
        <v>HsuY</v>
      </c>
      <c r="D11259" t="s">
        <v>5</v>
      </c>
      <c r="E11259">
        <v>1</v>
      </c>
    </row>
    <row r="11260" spans="1:5" x14ac:dyDescent="0.25">
      <c r="A11260">
        <v>11259</v>
      </c>
      <c r="B11260">
        <v>10597185</v>
      </c>
      <c r="C11260" s="1" t="str">
        <f>HYPERLINK("http://stackoverflow.com/users/10597185", "Chris Bai")</f>
        <v>Chris Bai</v>
      </c>
      <c r="D11260" t="s">
        <v>62</v>
      </c>
      <c r="E11260">
        <v>1</v>
      </c>
    </row>
    <row r="11261" spans="1:5" x14ac:dyDescent="0.25">
      <c r="A11261">
        <v>11260</v>
      </c>
      <c r="B11261">
        <v>6933549</v>
      </c>
      <c r="C11261" s="1" t="str">
        <f>HYPERLINK("http://stackoverflow.com/users/6933549", "dongsir")</f>
        <v>dongsir</v>
      </c>
      <c r="D11261" t="s">
        <v>610</v>
      </c>
      <c r="E11261">
        <v>1</v>
      </c>
    </row>
    <row r="11262" spans="1:5" x14ac:dyDescent="0.25">
      <c r="A11262">
        <v>11261</v>
      </c>
      <c r="B11262">
        <v>10606214</v>
      </c>
      <c r="C11262" s="1" t="str">
        <f>HYPERLINK("http://stackoverflow.com/users/10606214", "Shaune Feng")</f>
        <v>Shaune Feng</v>
      </c>
      <c r="D11262" t="s">
        <v>4</v>
      </c>
      <c r="E11262">
        <v>1</v>
      </c>
    </row>
    <row r="11263" spans="1:5" x14ac:dyDescent="0.25">
      <c r="A11263">
        <v>11262</v>
      </c>
      <c r="B11263">
        <v>10606426</v>
      </c>
      <c r="C11263" s="1" t="str">
        <f>HYPERLINK("http://stackoverflow.com/users/10606426", "user10606426")</f>
        <v>user10606426</v>
      </c>
      <c r="D11263" t="s">
        <v>7</v>
      </c>
      <c r="E11263">
        <v>1</v>
      </c>
    </row>
    <row r="11264" spans="1:5" x14ac:dyDescent="0.25">
      <c r="A11264">
        <v>11263</v>
      </c>
      <c r="B11264">
        <v>5223804</v>
      </c>
      <c r="C11264" s="1" t="str">
        <f>HYPERLINK("http://stackoverflow.com/users/5223804", "Zhengheng Li")</f>
        <v>Zhengheng Li</v>
      </c>
      <c r="D11264" t="s">
        <v>5</v>
      </c>
      <c r="E11264">
        <v>1</v>
      </c>
    </row>
    <row r="11265" spans="1:5" x14ac:dyDescent="0.25">
      <c r="A11265">
        <v>11264</v>
      </c>
      <c r="B11265">
        <v>5224375</v>
      </c>
      <c r="C11265" s="1" t="str">
        <f>HYPERLINK("http://stackoverflow.com/users/5224375", "xjqalec32")</f>
        <v>xjqalec32</v>
      </c>
      <c r="D11265" t="s">
        <v>4</v>
      </c>
      <c r="E11265">
        <v>1</v>
      </c>
    </row>
    <row r="11266" spans="1:5" x14ac:dyDescent="0.25">
      <c r="A11266">
        <v>11265</v>
      </c>
      <c r="B11266">
        <v>1559389</v>
      </c>
      <c r="C11266" s="1" t="str">
        <f>HYPERLINK("http://stackoverflow.com/users/1559389", "Jacky")</f>
        <v>Jacky</v>
      </c>
      <c r="D11266" t="s">
        <v>5</v>
      </c>
      <c r="E11266">
        <v>1</v>
      </c>
    </row>
    <row r="11267" spans="1:5" x14ac:dyDescent="0.25">
      <c r="A11267">
        <v>11266</v>
      </c>
      <c r="B11267">
        <v>1559798</v>
      </c>
      <c r="C11267" s="1" t="str">
        <f>HYPERLINK("http://stackoverflow.com/users/1559798", "ciceblue")</f>
        <v>ciceblue</v>
      </c>
      <c r="D11267" t="s">
        <v>4</v>
      </c>
      <c r="E11267">
        <v>1</v>
      </c>
    </row>
    <row r="11268" spans="1:5" x14ac:dyDescent="0.25">
      <c r="A11268">
        <v>11267</v>
      </c>
      <c r="B11268">
        <v>10602649</v>
      </c>
      <c r="C11268" s="1" t="str">
        <f>HYPERLINK("http://stackoverflow.com/users/10602649", "szrollball")</f>
        <v>szrollball</v>
      </c>
      <c r="D11268" t="s">
        <v>7</v>
      </c>
      <c r="E11268">
        <v>1</v>
      </c>
    </row>
    <row r="11269" spans="1:5" x14ac:dyDescent="0.25">
      <c r="A11269">
        <v>11268</v>
      </c>
      <c r="B11269">
        <v>10602865</v>
      </c>
      <c r="C11269" s="1" t="str">
        <f>HYPERLINK("http://stackoverflow.com/users/10602865", "Camber")</f>
        <v>Camber</v>
      </c>
      <c r="D11269" t="s">
        <v>611</v>
      </c>
      <c r="E11269">
        <v>1</v>
      </c>
    </row>
    <row r="11270" spans="1:5" x14ac:dyDescent="0.25">
      <c r="A11270">
        <v>11269</v>
      </c>
      <c r="B11270">
        <v>3411284</v>
      </c>
      <c r="C11270" s="1" t="str">
        <f>HYPERLINK("http://stackoverflow.com/users/3411284", "EiddleChen")</f>
        <v>EiddleChen</v>
      </c>
      <c r="D11270" t="s">
        <v>5</v>
      </c>
      <c r="E11270">
        <v>1</v>
      </c>
    </row>
    <row r="11271" spans="1:5" x14ac:dyDescent="0.25">
      <c r="A11271">
        <v>11270</v>
      </c>
      <c r="B11271">
        <v>8804835</v>
      </c>
      <c r="C11271" s="1" t="str">
        <f>HYPERLINK("http://stackoverflow.com/users/8804835", "张杰璘")</f>
        <v>张杰璘</v>
      </c>
      <c r="D11271" t="s">
        <v>7</v>
      </c>
      <c r="E11271">
        <v>1</v>
      </c>
    </row>
    <row r="11272" spans="1:5" x14ac:dyDescent="0.25">
      <c r="A11272">
        <v>11271</v>
      </c>
      <c r="B11272">
        <v>5231570</v>
      </c>
      <c r="C11272" s="1" t="str">
        <f>HYPERLINK("http://stackoverflow.com/users/5231570", "Li Xuan")</f>
        <v>Li Xuan</v>
      </c>
      <c r="D11272" t="s">
        <v>5</v>
      </c>
      <c r="E11272">
        <v>1</v>
      </c>
    </row>
    <row r="11273" spans="1:5" x14ac:dyDescent="0.25">
      <c r="A11273">
        <v>11272</v>
      </c>
      <c r="B11273">
        <v>5231897</v>
      </c>
      <c r="C11273" s="1" t="str">
        <f>HYPERLINK("http://stackoverflow.com/users/5231897", "ZhiXing")</f>
        <v>ZhiXing</v>
      </c>
      <c r="D11273" t="s">
        <v>17</v>
      </c>
      <c r="E11273">
        <v>1</v>
      </c>
    </row>
    <row r="11274" spans="1:5" x14ac:dyDescent="0.25">
      <c r="A11274">
        <v>11273</v>
      </c>
      <c r="B11274">
        <v>5231910</v>
      </c>
      <c r="C11274" s="1" t="str">
        <f>HYPERLINK("http://stackoverflow.com/users/5231910", "Jason")</f>
        <v>Jason</v>
      </c>
      <c r="D11274" t="s">
        <v>12</v>
      </c>
      <c r="E11274">
        <v>1</v>
      </c>
    </row>
    <row r="11275" spans="1:5" x14ac:dyDescent="0.25">
      <c r="A11275">
        <v>11274</v>
      </c>
      <c r="B11275">
        <v>5232281</v>
      </c>
      <c r="C11275" s="1" t="str">
        <f>HYPERLINK("http://stackoverflow.com/users/5232281", "3power_txy")</f>
        <v>3power_txy</v>
      </c>
      <c r="D11275" t="s">
        <v>22</v>
      </c>
      <c r="E11275">
        <v>1</v>
      </c>
    </row>
    <row r="11276" spans="1:5" x14ac:dyDescent="0.25">
      <c r="A11276">
        <v>11275</v>
      </c>
      <c r="B11276">
        <v>1576930</v>
      </c>
      <c r="C11276" s="1" t="str">
        <f>HYPERLINK("http://stackoverflow.com/users/1576930", "Wilson Tian")</f>
        <v>Wilson Tian</v>
      </c>
      <c r="D11276" t="s">
        <v>4</v>
      </c>
      <c r="E11276">
        <v>1</v>
      </c>
    </row>
    <row r="11277" spans="1:5" x14ac:dyDescent="0.25">
      <c r="A11277">
        <v>11276</v>
      </c>
      <c r="B11277">
        <v>3414786</v>
      </c>
      <c r="C11277" s="1" t="str">
        <f>HYPERLINK("http://stackoverflow.com/users/3414786", "user3414786")</f>
        <v>user3414786</v>
      </c>
      <c r="D11277" t="s">
        <v>4</v>
      </c>
      <c r="E11277">
        <v>1</v>
      </c>
    </row>
    <row r="11278" spans="1:5" x14ac:dyDescent="0.25">
      <c r="A11278">
        <v>11277</v>
      </c>
      <c r="B11278">
        <v>10611135</v>
      </c>
      <c r="C11278" s="1" t="str">
        <f>HYPERLINK("http://stackoverflow.com/users/10611135", "Amy Yiting Wu")</f>
        <v>Amy Yiting Wu</v>
      </c>
      <c r="D11278" t="s">
        <v>4</v>
      </c>
      <c r="E11278">
        <v>1</v>
      </c>
    </row>
    <row r="11279" spans="1:5" x14ac:dyDescent="0.25">
      <c r="A11279">
        <v>11278</v>
      </c>
      <c r="B11279">
        <v>10611647</v>
      </c>
      <c r="C11279" s="1" t="str">
        <f>HYPERLINK("http://stackoverflow.com/users/10611647", "Jiaxiang Wu")</f>
        <v>Jiaxiang Wu</v>
      </c>
      <c r="D11279" t="s">
        <v>7</v>
      </c>
      <c r="E11279">
        <v>1</v>
      </c>
    </row>
    <row r="11280" spans="1:5" x14ac:dyDescent="0.25">
      <c r="A11280">
        <v>11279</v>
      </c>
      <c r="B11280">
        <v>1567660</v>
      </c>
      <c r="C11280" s="1" t="str">
        <f>HYPERLINK("http://stackoverflow.com/users/1567660", "flying hero")</f>
        <v>flying hero</v>
      </c>
      <c r="D11280" t="s">
        <v>8</v>
      </c>
      <c r="E11280">
        <v>1</v>
      </c>
    </row>
    <row r="11281" spans="1:5" x14ac:dyDescent="0.25">
      <c r="A11281">
        <v>11280</v>
      </c>
      <c r="B11281">
        <v>1578432</v>
      </c>
      <c r="C11281" s="1" t="str">
        <f>HYPERLINK("http://stackoverflow.com/users/1578432", "iAladdin")</f>
        <v>iAladdin</v>
      </c>
      <c r="D11281" t="s">
        <v>5</v>
      </c>
      <c r="E11281">
        <v>1</v>
      </c>
    </row>
    <row r="11282" spans="1:5" x14ac:dyDescent="0.25">
      <c r="A11282">
        <v>11281</v>
      </c>
      <c r="B11282">
        <v>1578627</v>
      </c>
      <c r="C11282" s="1" t="str">
        <f>HYPERLINK("http://stackoverflow.com/users/1578627", "AthlonFX87")</f>
        <v>AthlonFX87</v>
      </c>
      <c r="D11282" t="s">
        <v>12</v>
      </c>
      <c r="E11282">
        <v>1</v>
      </c>
    </row>
    <row r="11283" spans="1:5" x14ac:dyDescent="0.25">
      <c r="A11283">
        <v>11282</v>
      </c>
      <c r="B11283">
        <v>10624853</v>
      </c>
      <c r="C11283" s="1" t="str">
        <f>HYPERLINK("http://stackoverflow.com/users/10624853", "A.Alim")</f>
        <v>A.Alim</v>
      </c>
      <c r="D11283" t="s">
        <v>57</v>
      </c>
      <c r="E11283">
        <v>1</v>
      </c>
    </row>
    <row r="11284" spans="1:5" x14ac:dyDescent="0.25">
      <c r="A11284">
        <v>11283</v>
      </c>
      <c r="B11284">
        <v>8813967</v>
      </c>
      <c r="C11284" s="1" t="str">
        <f>HYPERLINK("http://stackoverflow.com/users/8813967", "WYQDBBWL")</f>
        <v>WYQDBBWL</v>
      </c>
      <c r="D11284" t="s">
        <v>91</v>
      </c>
      <c r="E11284">
        <v>1</v>
      </c>
    </row>
    <row r="11285" spans="1:5" x14ac:dyDescent="0.25">
      <c r="A11285">
        <v>11284</v>
      </c>
      <c r="B11285">
        <v>8814212</v>
      </c>
      <c r="C11285" s="1" t="str">
        <f>HYPERLINK("http://stackoverflow.com/users/8814212", "田依腾")</f>
        <v>田依腾</v>
      </c>
      <c r="D11285" t="s">
        <v>25</v>
      </c>
      <c r="E11285">
        <v>1</v>
      </c>
    </row>
    <row r="11286" spans="1:5" x14ac:dyDescent="0.25">
      <c r="A11286">
        <v>11285</v>
      </c>
      <c r="B11286">
        <v>8814343</v>
      </c>
      <c r="C11286" s="1" t="str">
        <f>HYPERLINK("http://stackoverflow.com/users/8814343", "Adam Poh")</f>
        <v>Adam Poh</v>
      </c>
      <c r="D11286" t="s">
        <v>612</v>
      </c>
      <c r="E11286">
        <v>1</v>
      </c>
    </row>
    <row r="11287" spans="1:5" x14ac:dyDescent="0.25">
      <c r="A11287">
        <v>11286</v>
      </c>
      <c r="B11287">
        <v>6995564</v>
      </c>
      <c r="C11287" s="1" t="str">
        <f>HYPERLINK("http://stackoverflow.com/users/6995564", "hock yuan")</f>
        <v>hock yuan</v>
      </c>
      <c r="D11287" t="s">
        <v>7</v>
      </c>
      <c r="E11287">
        <v>1</v>
      </c>
    </row>
    <row r="11288" spans="1:5" x14ac:dyDescent="0.25">
      <c r="A11288">
        <v>11287</v>
      </c>
      <c r="B11288">
        <v>6995948</v>
      </c>
      <c r="C11288" s="1" t="str">
        <f>HYPERLINK("http://stackoverflow.com/users/6995948", "Quan Wang")</f>
        <v>Quan Wang</v>
      </c>
      <c r="D11288" t="s">
        <v>320</v>
      </c>
      <c r="E11288">
        <v>1</v>
      </c>
    </row>
    <row r="11289" spans="1:5" x14ac:dyDescent="0.25">
      <c r="A11289">
        <v>11288</v>
      </c>
      <c r="B11289">
        <v>3390655</v>
      </c>
      <c r="C11289" s="1" t="str">
        <f>HYPERLINK("http://stackoverflow.com/users/3390655", "fabself")</f>
        <v>fabself</v>
      </c>
      <c r="D11289" t="s">
        <v>5</v>
      </c>
      <c r="E11289">
        <v>1</v>
      </c>
    </row>
    <row r="11290" spans="1:5" x14ac:dyDescent="0.25">
      <c r="A11290">
        <v>11289</v>
      </c>
      <c r="B11290">
        <v>3390868</v>
      </c>
      <c r="C11290" s="1" t="str">
        <f>HYPERLINK("http://stackoverflow.com/users/3390868", "lao5")</f>
        <v>lao5</v>
      </c>
      <c r="D11290" t="s">
        <v>5</v>
      </c>
      <c r="E11290">
        <v>1</v>
      </c>
    </row>
    <row r="11291" spans="1:5" x14ac:dyDescent="0.25">
      <c r="A11291">
        <v>11290</v>
      </c>
      <c r="B11291">
        <v>3390873</v>
      </c>
      <c r="C11291" s="1" t="str">
        <f>HYPERLINK("http://stackoverflow.com/users/3390873", "Martin Sit")</f>
        <v>Martin Sit</v>
      </c>
      <c r="D11291" t="s">
        <v>4</v>
      </c>
      <c r="E11291">
        <v>1</v>
      </c>
    </row>
    <row r="11292" spans="1:5" x14ac:dyDescent="0.25">
      <c r="A11292">
        <v>11291</v>
      </c>
      <c r="B11292">
        <v>3390886</v>
      </c>
      <c r="C11292" s="1" t="str">
        <f>HYPERLINK("http://stackoverflow.com/users/3390886", "Brian")</f>
        <v>Brian</v>
      </c>
      <c r="D11292" t="s">
        <v>17</v>
      </c>
      <c r="E11292">
        <v>1</v>
      </c>
    </row>
    <row r="11293" spans="1:5" x14ac:dyDescent="0.25">
      <c r="A11293">
        <v>11292</v>
      </c>
      <c r="B11293">
        <v>3391593</v>
      </c>
      <c r="C11293" s="1" t="str">
        <f>HYPERLINK("http://stackoverflow.com/users/3391593", "Tom Yao")</f>
        <v>Tom Yao</v>
      </c>
      <c r="D11293" t="s">
        <v>3</v>
      </c>
      <c r="E11293">
        <v>1</v>
      </c>
    </row>
    <row r="11294" spans="1:5" x14ac:dyDescent="0.25">
      <c r="A11294">
        <v>11293</v>
      </c>
      <c r="B11294">
        <v>5196698</v>
      </c>
      <c r="C11294" s="1" t="str">
        <f>HYPERLINK("http://stackoverflow.com/users/5196698", "Nick Chen")</f>
        <v>Nick Chen</v>
      </c>
      <c r="D11294" t="s">
        <v>21</v>
      </c>
      <c r="E11294">
        <v>1</v>
      </c>
    </row>
    <row r="11295" spans="1:5" x14ac:dyDescent="0.25">
      <c r="A11295">
        <v>11294</v>
      </c>
      <c r="B11295">
        <v>1544902</v>
      </c>
      <c r="C11295" s="1" t="str">
        <f>HYPERLINK("http://stackoverflow.com/users/1544902", "zhiyanzhiyu")</f>
        <v>zhiyanzhiyu</v>
      </c>
      <c r="D11295" t="s">
        <v>4</v>
      </c>
      <c r="E11295">
        <v>1</v>
      </c>
    </row>
    <row r="11296" spans="1:5" x14ac:dyDescent="0.25">
      <c r="A11296">
        <v>11295</v>
      </c>
      <c r="B11296">
        <v>10584657</v>
      </c>
      <c r="C11296" s="1" t="str">
        <f>HYPERLINK("http://stackoverflow.com/users/10584657", "sealewe")</f>
        <v>sealewe</v>
      </c>
      <c r="D11296" t="s">
        <v>613</v>
      </c>
      <c r="E11296">
        <v>1</v>
      </c>
    </row>
    <row r="11297" spans="1:5" x14ac:dyDescent="0.25">
      <c r="A11297">
        <v>11296</v>
      </c>
      <c r="B11297">
        <v>1540321</v>
      </c>
      <c r="C11297" s="1" t="str">
        <f>HYPERLINK("http://stackoverflow.com/users/1540321", "flucheng")</f>
        <v>flucheng</v>
      </c>
      <c r="D11297" t="s">
        <v>5</v>
      </c>
      <c r="E11297">
        <v>1</v>
      </c>
    </row>
    <row r="11298" spans="1:5" x14ac:dyDescent="0.25">
      <c r="A11298">
        <v>11297</v>
      </c>
      <c r="B11298">
        <v>10584433</v>
      </c>
      <c r="C11298" s="1" t="str">
        <f>HYPERLINK("http://stackoverflow.com/users/10584433", "Xiang Qi")</f>
        <v>Xiang Qi</v>
      </c>
      <c r="D11298" t="s">
        <v>74</v>
      </c>
      <c r="E11298">
        <v>1</v>
      </c>
    </row>
    <row r="11299" spans="1:5" x14ac:dyDescent="0.25">
      <c r="A11299">
        <v>11298</v>
      </c>
      <c r="B11299">
        <v>6921388</v>
      </c>
      <c r="C11299" s="1" t="str">
        <f>HYPERLINK("http://stackoverflow.com/users/6921388", "kinfilter")</f>
        <v>kinfilter</v>
      </c>
      <c r="D11299" t="s">
        <v>62</v>
      </c>
      <c r="E11299">
        <v>1</v>
      </c>
    </row>
    <row r="11300" spans="1:5" x14ac:dyDescent="0.25">
      <c r="A11300">
        <v>11299</v>
      </c>
      <c r="B11300">
        <v>5204167</v>
      </c>
      <c r="C11300" s="1" t="str">
        <f>HYPERLINK("http://stackoverflow.com/users/5204167", "tuttutt")</f>
        <v>tuttutt</v>
      </c>
      <c r="D11300" t="s">
        <v>5</v>
      </c>
      <c r="E11300">
        <v>1</v>
      </c>
    </row>
    <row r="11301" spans="1:5" x14ac:dyDescent="0.25">
      <c r="A11301">
        <v>11300</v>
      </c>
      <c r="B11301">
        <v>8778408</v>
      </c>
      <c r="C11301" s="1" t="str">
        <f>HYPERLINK("http://stackoverflow.com/users/8778408", "Angelica Zhang")</f>
        <v>Angelica Zhang</v>
      </c>
      <c r="D11301" t="s">
        <v>4</v>
      </c>
      <c r="E11301">
        <v>1</v>
      </c>
    </row>
    <row r="11302" spans="1:5" x14ac:dyDescent="0.25">
      <c r="A11302">
        <v>11301</v>
      </c>
      <c r="B11302">
        <v>8778422</v>
      </c>
      <c r="C11302" s="1" t="str">
        <f>HYPERLINK("http://stackoverflow.com/users/8778422", "scold")</f>
        <v>scold</v>
      </c>
      <c r="D11302" t="s">
        <v>614</v>
      </c>
      <c r="E11302">
        <v>1</v>
      </c>
    </row>
    <row r="11303" spans="1:5" x14ac:dyDescent="0.25">
      <c r="A11303">
        <v>11302</v>
      </c>
      <c r="B11303">
        <v>8778769</v>
      </c>
      <c r="C11303" s="1" t="str">
        <f>HYPERLINK("http://stackoverflow.com/users/8778769", "Candice")</f>
        <v>Candice</v>
      </c>
      <c r="D11303" t="s">
        <v>5</v>
      </c>
      <c r="E11303">
        <v>1</v>
      </c>
    </row>
    <row r="11304" spans="1:5" x14ac:dyDescent="0.25">
      <c r="A11304">
        <v>11303</v>
      </c>
      <c r="B11304">
        <v>6924914</v>
      </c>
      <c r="C11304" s="1" t="str">
        <f>HYPERLINK("http://stackoverflow.com/users/6924914", "gtumprqq")</f>
        <v>gtumprqq</v>
      </c>
      <c r="D11304" t="s">
        <v>486</v>
      </c>
      <c r="E11304">
        <v>1</v>
      </c>
    </row>
    <row r="11305" spans="1:5" x14ac:dyDescent="0.25">
      <c r="A11305">
        <v>11304</v>
      </c>
      <c r="B11305">
        <v>5208197</v>
      </c>
      <c r="C11305" s="1" t="str">
        <f>HYPERLINK("http://stackoverflow.com/users/5208197", "Xuelong Hui")</f>
        <v>Xuelong Hui</v>
      </c>
      <c r="D11305" t="s">
        <v>40</v>
      </c>
      <c r="E11305">
        <v>1</v>
      </c>
    </row>
    <row r="11306" spans="1:5" x14ac:dyDescent="0.25">
      <c r="A11306">
        <v>11305</v>
      </c>
      <c r="B11306">
        <v>5208262</v>
      </c>
      <c r="C11306" s="1" t="str">
        <f>HYPERLINK("http://stackoverflow.com/users/5208262", "Ryan Gao")</f>
        <v>Ryan Gao</v>
      </c>
      <c r="D11306" t="s">
        <v>5</v>
      </c>
      <c r="E11306">
        <v>1</v>
      </c>
    </row>
    <row r="11307" spans="1:5" x14ac:dyDescent="0.25">
      <c r="A11307">
        <v>11306</v>
      </c>
      <c r="B11307">
        <v>5208722</v>
      </c>
      <c r="C11307" s="1" t="str">
        <f>HYPERLINK("http://stackoverflow.com/users/5208722", "Awei")</f>
        <v>Awei</v>
      </c>
      <c r="D11307" t="s">
        <v>5</v>
      </c>
      <c r="E11307">
        <v>1</v>
      </c>
    </row>
    <row r="11308" spans="1:5" x14ac:dyDescent="0.25">
      <c r="A11308">
        <v>11307</v>
      </c>
      <c r="B11308">
        <v>10594111</v>
      </c>
      <c r="C11308" s="1" t="str">
        <f>HYPERLINK("http://stackoverflow.com/users/10594111", "quan")</f>
        <v>quan</v>
      </c>
      <c r="D11308" t="s">
        <v>4</v>
      </c>
      <c r="E11308">
        <v>1</v>
      </c>
    </row>
    <row r="11309" spans="1:5" x14ac:dyDescent="0.25">
      <c r="A11309">
        <v>11308</v>
      </c>
      <c r="B11309">
        <v>8782833</v>
      </c>
      <c r="C11309" s="1" t="str">
        <f>HYPERLINK("http://stackoverflow.com/users/8782833", "qualitysteroid")</f>
        <v>qualitysteroid</v>
      </c>
      <c r="D11309" t="s">
        <v>42</v>
      </c>
      <c r="E11309">
        <v>1</v>
      </c>
    </row>
    <row r="11310" spans="1:5" x14ac:dyDescent="0.25">
      <c r="A11310">
        <v>11309</v>
      </c>
      <c r="B11310">
        <v>8782889</v>
      </c>
      <c r="C11310" s="1" t="str">
        <f>HYPERLINK("http://stackoverflow.com/users/8782889", "amy lee")</f>
        <v>amy lee</v>
      </c>
      <c r="D11310" t="s">
        <v>28</v>
      </c>
      <c r="E11310">
        <v>1</v>
      </c>
    </row>
    <row r="11311" spans="1:5" x14ac:dyDescent="0.25">
      <c r="A11311">
        <v>11310</v>
      </c>
      <c r="B11311">
        <v>5209450</v>
      </c>
      <c r="C11311" s="1" t="str">
        <f>HYPERLINK("http://stackoverflow.com/users/5209450", "mbaby520")</f>
        <v>mbaby520</v>
      </c>
      <c r="D11311" t="s">
        <v>22</v>
      </c>
      <c r="E11311">
        <v>1</v>
      </c>
    </row>
    <row r="11312" spans="1:5" x14ac:dyDescent="0.25">
      <c r="A11312">
        <v>11311</v>
      </c>
      <c r="B11312">
        <v>10593827</v>
      </c>
      <c r="C11312" s="1" t="str">
        <f>HYPERLINK("http://stackoverflow.com/users/10593827", "Firefox2100")</f>
        <v>Firefox2100</v>
      </c>
      <c r="D11312" t="s">
        <v>131</v>
      </c>
      <c r="E11312">
        <v>1</v>
      </c>
    </row>
    <row r="11313" spans="1:5" x14ac:dyDescent="0.25">
      <c r="A11313">
        <v>11312</v>
      </c>
      <c r="B11313">
        <v>10593911</v>
      </c>
      <c r="C11313" s="1" t="str">
        <f>HYPERLINK("http://stackoverflow.com/users/10593911", "Me5")</f>
        <v>Me5</v>
      </c>
      <c r="D11313" t="s">
        <v>28</v>
      </c>
      <c r="E11313">
        <v>1</v>
      </c>
    </row>
    <row r="11314" spans="1:5" x14ac:dyDescent="0.25">
      <c r="A11314">
        <v>11313</v>
      </c>
      <c r="B11314">
        <v>8945375</v>
      </c>
      <c r="C11314" s="1" t="str">
        <f>HYPERLINK("http://stackoverflow.com/users/8945375", "黄立耘")</f>
        <v>黄立耘</v>
      </c>
      <c r="D11314" t="s">
        <v>266</v>
      </c>
      <c r="E11314">
        <v>1</v>
      </c>
    </row>
    <row r="11315" spans="1:5" x14ac:dyDescent="0.25">
      <c r="A11315">
        <v>11314</v>
      </c>
      <c r="B11315">
        <v>5351134</v>
      </c>
      <c r="C11315" s="1" t="str">
        <f>HYPERLINK("http://stackoverflow.com/users/5351134", "AllenWan")</f>
        <v>AllenWan</v>
      </c>
      <c r="D11315" t="s">
        <v>17</v>
      </c>
      <c r="E11315">
        <v>1</v>
      </c>
    </row>
    <row r="11316" spans="1:5" x14ac:dyDescent="0.25">
      <c r="A11316">
        <v>11315</v>
      </c>
      <c r="B11316">
        <v>5354894</v>
      </c>
      <c r="C11316" s="1" t="str">
        <f>HYPERLINK("http://stackoverflow.com/users/5354894", "Oscar Sun")</f>
        <v>Oscar Sun</v>
      </c>
      <c r="D11316" t="s">
        <v>5</v>
      </c>
      <c r="E11316">
        <v>1</v>
      </c>
    </row>
    <row r="11317" spans="1:5" x14ac:dyDescent="0.25">
      <c r="A11317">
        <v>11316</v>
      </c>
      <c r="B11317">
        <v>7112011</v>
      </c>
      <c r="C11317" s="1" t="str">
        <f>HYPERLINK("http://stackoverflow.com/users/7112011", "AlvinGoFast")</f>
        <v>AlvinGoFast</v>
      </c>
      <c r="D11317" t="s">
        <v>5</v>
      </c>
      <c r="E11317">
        <v>1</v>
      </c>
    </row>
    <row r="11318" spans="1:5" x14ac:dyDescent="0.25">
      <c r="A11318">
        <v>11317</v>
      </c>
      <c r="B11318">
        <v>10759078</v>
      </c>
      <c r="C11318" s="1" t="str">
        <f>HYPERLINK("http://stackoverflow.com/users/10759078", "Guillaume Mougeot")</f>
        <v>Guillaume Mougeot</v>
      </c>
      <c r="D11318" t="s">
        <v>4</v>
      </c>
      <c r="E11318">
        <v>1</v>
      </c>
    </row>
    <row r="11319" spans="1:5" x14ac:dyDescent="0.25">
      <c r="A11319">
        <v>11318</v>
      </c>
      <c r="B11319">
        <v>10759590</v>
      </c>
      <c r="C11319" s="1" t="str">
        <f>HYPERLINK("http://stackoverflow.com/users/10759590", "Hugo54")</f>
        <v>Hugo54</v>
      </c>
      <c r="D11319" t="s">
        <v>55</v>
      </c>
      <c r="E11319">
        <v>1</v>
      </c>
    </row>
    <row r="11320" spans="1:5" x14ac:dyDescent="0.25">
      <c r="A11320">
        <v>11319</v>
      </c>
      <c r="B11320">
        <v>3548004</v>
      </c>
      <c r="C11320" s="1" t="str">
        <f>HYPERLINK("http://stackoverflow.com/users/3548004", "user3548004")</f>
        <v>user3548004</v>
      </c>
      <c r="D11320" t="s">
        <v>12</v>
      </c>
      <c r="E11320">
        <v>1</v>
      </c>
    </row>
    <row r="11321" spans="1:5" x14ac:dyDescent="0.25">
      <c r="A11321">
        <v>11320</v>
      </c>
      <c r="B11321">
        <v>1720175</v>
      </c>
      <c r="C11321" s="1" t="str">
        <f>HYPERLINK("http://stackoverflow.com/users/1720175", "LTaoist")</f>
        <v>LTaoist</v>
      </c>
      <c r="D11321" t="s">
        <v>21</v>
      </c>
      <c r="E11321">
        <v>1</v>
      </c>
    </row>
    <row r="11322" spans="1:5" x14ac:dyDescent="0.25">
      <c r="A11322">
        <v>11321</v>
      </c>
      <c r="B11322">
        <v>3538497</v>
      </c>
      <c r="C11322" s="1" t="str">
        <f>HYPERLINK("http://stackoverflow.com/users/3538497", "Jack Yu")</f>
        <v>Jack Yu</v>
      </c>
      <c r="D11322" t="s">
        <v>5</v>
      </c>
      <c r="E11322">
        <v>1</v>
      </c>
    </row>
    <row r="11323" spans="1:5" x14ac:dyDescent="0.25">
      <c r="A11323">
        <v>11322</v>
      </c>
      <c r="B11323">
        <v>1718852</v>
      </c>
      <c r="C11323" s="1" t="str">
        <f>HYPERLINK("http://stackoverflow.com/users/1718852", "zhangyunfeng")</f>
        <v>zhangyunfeng</v>
      </c>
      <c r="D11323" t="s">
        <v>8</v>
      </c>
      <c r="E11323">
        <v>1</v>
      </c>
    </row>
    <row r="11324" spans="1:5" x14ac:dyDescent="0.25">
      <c r="A11324">
        <v>11323</v>
      </c>
      <c r="B11324">
        <v>10745954</v>
      </c>
      <c r="C11324" s="1" t="str">
        <f>HYPERLINK("http://stackoverflow.com/users/10745954", "Tiny Angel")</f>
        <v>Tiny Angel</v>
      </c>
      <c r="D11324" t="s">
        <v>320</v>
      </c>
      <c r="E11324">
        <v>1</v>
      </c>
    </row>
    <row r="11325" spans="1:5" x14ac:dyDescent="0.25">
      <c r="A11325">
        <v>11324</v>
      </c>
      <c r="B11325">
        <v>5345944</v>
      </c>
      <c r="C11325" s="1" t="str">
        <f>HYPERLINK("http://stackoverflow.com/users/5345944", "iucgnaw")</f>
        <v>iucgnaw</v>
      </c>
      <c r="D11325" t="s">
        <v>4</v>
      </c>
      <c r="E11325">
        <v>1</v>
      </c>
    </row>
    <row r="11326" spans="1:5" x14ac:dyDescent="0.25">
      <c r="A11326">
        <v>11325</v>
      </c>
      <c r="B11326">
        <v>10749585</v>
      </c>
      <c r="C11326" s="1" t="str">
        <f>HYPERLINK("http://stackoverflow.com/users/10749585", "Galoopi")</f>
        <v>Galoopi</v>
      </c>
      <c r="D11326" t="s">
        <v>4</v>
      </c>
      <c r="E11326">
        <v>1</v>
      </c>
    </row>
    <row r="11327" spans="1:5" x14ac:dyDescent="0.25">
      <c r="A11327">
        <v>11326</v>
      </c>
      <c r="B11327">
        <v>10749853</v>
      </c>
      <c r="C11327" s="1" t="str">
        <f>HYPERLINK("http://stackoverflow.com/users/10749853", "Efrey")</f>
        <v>Efrey</v>
      </c>
      <c r="D11327" t="s">
        <v>62</v>
      </c>
      <c r="E11327">
        <v>1</v>
      </c>
    </row>
    <row r="11328" spans="1:5" x14ac:dyDescent="0.25">
      <c r="A11328">
        <v>11327</v>
      </c>
      <c r="B11328">
        <v>10750072</v>
      </c>
      <c r="C11328" s="1" t="str">
        <f>HYPERLINK("http://stackoverflow.com/users/10750072", "韩传毅")</f>
        <v>韩传毅</v>
      </c>
      <c r="D11328" t="s">
        <v>5</v>
      </c>
      <c r="E11328">
        <v>1</v>
      </c>
    </row>
    <row r="11329" spans="1:5" x14ac:dyDescent="0.25">
      <c r="A11329">
        <v>11328</v>
      </c>
      <c r="B11329">
        <v>8955112</v>
      </c>
      <c r="C11329" s="1" t="str">
        <f>HYPERLINK("http://stackoverflow.com/users/8955112", "Fred Meng")</f>
        <v>Fred Meng</v>
      </c>
      <c r="D11329" t="s">
        <v>5</v>
      </c>
      <c r="E11329">
        <v>1</v>
      </c>
    </row>
    <row r="11330" spans="1:5" x14ac:dyDescent="0.25">
      <c r="A11330">
        <v>11329</v>
      </c>
      <c r="B11330">
        <v>10763413</v>
      </c>
      <c r="C11330" s="1" t="str">
        <f>HYPERLINK("http://stackoverflow.com/users/10763413", "Obaid Nasary")</f>
        <v>Obaid Nasary</v>
      </c>
      <c r="D11330" t="s">
        <v>52</v>
      </c>
      <c r="E11330">
        <v>1</v>
      </c>
    </row>
    <row r="11331" spans="1:5" x14ac:dyDescent="0.25">
      <c r="A11331">
        <v>11330</v>
      </c>
      <c r="B11331">
        <v>5358181</v>
      </c>
      <c r="C11331" s="1" t="str">
        <f>HYPERLINK("http://stackoverflow.com/users/5358181", "Fanlu")</f>
        <v>Fanlu</v>
      </c>
      <c r="D11331" t="s">
        <v>5</v>
      </c>
      <c r="E11331">
        <v>1</v>
      </c>
    </row>
    <row r="11332" spans="1:5" x14ac:dyDescent="0.25">
      <c r="A11332">
        <v>11331</v>
      </c>
      <c r="B11332">
        <v>5358424</v>
      </c>
      <c r="C11332" s="1" t="str">
        <f>HYPERLINK("http://stackoverflow.com/users/5358424", "suhas hendole")</f>
        <v>suhas hendole</v>
      </c>
      <c r="D11332" t="s">
        <v>4</v>
      </c>
      <c r="E11332">
        <v>1</v>
      </c>
    </row>
    <row r="11333" spans="1:5" x14ac:dyDescent="0.25">
      <c r="A11333">
        <v>11332</v>
      </c>
      <c r="B11333">
        <v>1733527</v>
      </c>
      <c r="C11333" s="1" t="str">
        <f>HYPERLINK("http://stackoverflow.com/users/1733527", "user1733527")</f>
        <v>user1733527</v>
      </c>
      <c r="D11333" t="s">
        <v>54</v>
      </c>
      <c r="E11333">
        <v>1</v>
      </c>
    </row>
    <row r="11334" spans="1:5" x14ac:dyDescent="0.25">
      <c r="A11334">
        <v>11333</v>
      </c>
      <c r="B11334">
        <v>1733591</v>
      </c>
      <c r="C11334" s="1" t="str">
        <f>HYPERLINK("http://stackoverflow.com/users/1733591", "kangjia")</f>
        <v>kangjia</v>
      </c>
      <c r="D11334" t="s">
        <v>5</v>
      </c>
      <c r="E11334">
        <v>1</v>
      </c>
    </row>
    <row r="11335" spans="1:5" x14ac:dyDescent="0.25">
      <c r="A11335">
        <v>11334</v>
      </c>
      <c r="B11335">
        <v>1733894</v>
      </c>
      <c r="C11335" s="1" t="str">
        <f>HYPERLINK("http://stackoverflow.com/users/1733894", "liumyong")</f>
        <v>liumyong</v>
      </c>
      <c r="D11335" t="s">
        <v>615</v>
      </c>
      <c r="E11335">
        <v>1</v>
      </c>
    </row>
    <row r="11336" spans="1:5" x14ac:dyDescent="0.25">
      <c r="A11336">
        <v>11335</v>
      </c>
      <c r="B11336">
        <v>1734075</v>
      </c>
      <c r="C11336" s="1" t="str">
        <f>HYPERLINK("http://stackoverflow.com/users/1734075", "luke_lew")</f>
        <v>luke_lew</v>
      </c>
      <c r="D11336" t="s">
        <v>5</v>
      </c>
      <c r="E11336">
        <v>1</v>
      </c>
    </row>
    <row r="11337" spans="1:5" x14ac:dyDescent="0.25">
      <c r="A11337">
        <v>11336</v>
      </c>
      <c r="B11337">
        <v>1734204</v>
      </c>
      <c r="C11337" s="1" t="str">
        <f>HYPERLINK("http://stackoverflow.com/users/1734204", "Showing")</f>
        <v>Showing</v>
      </c>
      <c r="D11337" t="s">
        <v>5</v>
      </c>
      <c r="E11337">
        <v>1</v>
      </c>
    </row>
    <row r="11338" spans="1:5" x14ac:dyDescent="0.25">
      <c r="A11338">
        <v>11337</v>
      </c>
      <c r="B11338">
        <v>10763358</v>
      </c>
      <c r="C11338" s="1" t="str">
        <f>HYPERLINK("http://stackoverflow.com/users/10763358", "Kris Luo")</f>
        <v>Kris Luo</v>
      </c>
      <c r="D11338" t="s">
        <v>4</v>
      </c>
      <c r="E11338">
        <v>1</v>
      </c>
    </row>
    <row r="11339" spans="1:5" x14ac:dyDescent="0.25">
      <c r="A11339">
        <v>11338</v>
      </c>
      <c r="B11339">
        <v>7093528</v>
      </c>
      <c r="C11339" s="1" t="str">
        <f>HYPERLINK("http://stackoverflow.com/users/7093528", "WanQing FengTao")</f>
        <v>WanQing FengTao</v>
      </c>
      <c r="D11339" t="s">
        <v>4</v>
      </c>
      <c r="E11339">
        <v>1</v>
      </c>
    </row>
    <row r="11340" spans="1:5" x14ac:dyDescent="0.25">
      <c r="A11340">
        <v>11339</v>
      </c>
      <c r="B11340">
        <v>10732029</v>
      </c>
      <c r="C11340" s="1" t="str">
        <f>HYPERLINK("http://stackoverflow.com/users/10732029", "crawfishApocalypse")</f>
        <v>crawfishApocalypse</v>
      </c>
      <c r="D11340" t="s">
        <v>55</v>
      </c>
      <c r="E11340">
        <v>1</v>
      </c>
    </row>
    <row r="11341" spans="1:5" x14ac:dyDescent="0.25">
      <c r="A11341">
        <v>11340</v>
      </c>
      <c r="B11341">
        <v>8936714</v>
      </c>
      <c r="C11341" s="1" t="str">
        <f>HYPERLINK("http://stackoverflow.com/users/8936714", "Le F")</f>
        <v>Le F</v>
      </c>
      <c r="D11341" t="s">
        <v>5</v>
      </c>
      <c r="E11341">
        <v>1</v>
      </c>
    </row>
    <row r="11342" spans="1:5" x14ac:dyDescent="0.25">
      <c r="A11342">
        <v>11341</v>
      </c>
      <c r="B11342">
        <v>10741752</v>
      </c>
      <c r="C11342" s="1" t="str">
        <f>HYPERLINK("http://stackoverflow.com/users/10741752", "NianHao Xiao")</f>
        <v>NianHao Xiao</v>
      </c>
      <c r="D11342" t="s">
        <v>79</v>
      </c>
      <c r="E11342">
        <v>1</v>
      </c>
    </row>
    <row r="11343" spans="1:5" x14ac:dyDescent="0.25">
      <c r="A11343">
        <v>11342</v>
      </c>
      <c r="B11343">
        <v>10741839</v>
      </c>
      <c r="C11343" s="1" t="str">
        <f>HYPERLINK("http://stackoverflow.com/users/10741839", "van van")</f>
        <v>van van</v>
      </c>
      <c r="D11343" t="s">
        <v>5</v>
      </c>
      <c r="E11343">
        <v>1</v>
      </c>
    </row>
    <row r="11344" spans="1:5" x14ac:dyDescent="0.25">
      <c r="A11344">
        <v>11343</v>
      </c>
      <c r="B11344">
        <v>1692199</v>
      </c>
      <c r="C11344" s="1" t="str">
        <f>HYPERLINK("http://stackoverflow.com/users/1692199", "zhangtai")</f>
        <v>zhangtai</v>
      </c>
      <c r="D11344" t="s">
        <v>12</v>
      </c>
      <c r="E11344">
        <v>1</v>
      </c>
    </row>
    <row r="11345" spans="1:5" x14ac:dyDescent="0.25">
      <c r="A11345">
        <v>11344</v>
      </c>
      <c r="B11345">
        <v>8917914</v>
      </c>
      <c r="C11345" s="1" t="str">
        <f>HYPERLINK("http://stackoverflow.com/users/8917914", "BigBoss")</f>
        <v>BigBoss</v>
      </c>
      <c r="D11345" t="s">
        <v>4</v>
      </c>
      <c r="E11345">
        <v>1</v>
      </c>
    </row>
    <row r="11346" spans="1:5" x14ac:dyDescent="0.25">
      <c r="A11346">
        <v>11345</v>
      </c>
      <c r="B11346">
        <v>8917986</v>
      </c>
      <c r="C11346" s="1" t="str">
        <f>HYPERLINK("http://stackoverflow.com/users/8917986", "Sebastian Wang")</f>
        <v>Sebastian Wang</v>
      </c>
      <c r="D11346" t="s">
        <v>4</v>
      </c>
      <c r="E11346">
        <v>1</v>
      </c>
    </row>
    <row r="11347" spans="1:5" x14ac:dyDescent="0.25">
      <c r="A11347">
        <v>11346</v>
      </c>
      <c r="B11347">
        <v>8918071</v>
      </c>
      <c r="C11347" s="1" t="str">
        <f>HYPERLINK("http://stackoverflow.com/users/8918071", "Yifei")</f>
        <v>Yifei</v>
      </c>
      <c r="D11347" t="s">
        <v>52</v>
      </c>
      <c r="E11347">
        <v>1</v>
      </c>
    </row>
    <row r="11348" spans="1:5" x14ac:dyDescent="0.25">
      <c r="A11348">
        <v>11347</v>
      </c>
      <c r="B11348">
        <v>7083980</v>
      </c>
      <c r="C11348" s="1" t="str">
        <f>HYPERLINK("http://stackoverflow.com/users/7083980", "huyaodong")</f>
        <v>huyaodong</v>
      </c>
      <c r="D11348" t="s">
        <v>4</v>
      </c>
      <c r="E11348">
        <v>1</v>
      </c>
    </row>
    <row r="11349" spans="1:5" x14ac:dyDescent="0.25">
      <c r="A11349">
        <v>11348</v>
      </c>
      <c r="B11349">
        <v>3523171</v>
      </c>
      <c r="C11349" s="1" t="str">
        <f>HYPERLINK("http://stackoverflow.com/users/3523171", "Lucky Luke")</f>
        <v>Lucky Luke</v>
      </c>
      <c r="D11349" t="s">
        <v>5</v>
      </c>
      <c r="E11349">
        <v>1</v>
      </c>
    </row>
    <row r="11350" spans="1:5" x14ac:dyDescent="0.25">
      <c r="A11350">
        <v>11349</v>
      </c>
      <c r="B11350">
        <v>5328527</v>
      </c>
      <c r="C11350" s="1" t="str">
        <f>HYPERLINK("http://stackoverflow.com/users/5328527", "leon hou")</f>
        <v>leon hou</v>
      </c>
      <c r="D11350" t="s">
        <v>57</v>
      </c>
      <c r="E11350">
        <v>1</v>
      </c>
    </row>
    <row r="11351" spans="1:5" x14ac:dyDescent="0.25">
      <c r="A11351">
        <v>11350</v>
      </c>
      <c r="B11351">
        <v>1700651</v>
      </c>
      <c r="C11351" s="1" t="str">
        <f>HYPERLINK("http://stackoverflow.com/users/1700651", "LuoXianXiong")</f>
        <v>LuoXianXiong</v>
      </c>
      <c r="D11351" t="s">
        <v>17</v>
      </c>
      <c r="E11351">
        <v>1</v>
      </c>
    </row>
    <row r="11352" spans="1:5" x14ac:dyDescent="0.25">
      <c r="A11352">
        <v>11351</v>
      </c>
      <c r="B11352">
        <v>8922957</v>
      </c>
      <c r="C11352" s="1" t="str">
        <f>HYPERLINK("http://stackoverflow.com/users/8922957", "Mitch1990")</f>
        <v>Mitch1990</v>
      </c>
      <c r="D11352" t="s">
        <v>5</v>
      </c>
      <c r="E11352">
        <v>1</v>
      </c>
    </row>
    <row r="11353" spans="1:5" x14ac:dyDescent="0.25">
      <c r="A11353">
        <v>11352</v>
      </c>
      <c r="B11353">
        <v>8927372</v>
      </c>
      <c r="C11353" s="1" t="str">
        <f>HYPERLINK("http://stackoverflow.com/users/8927372", "Marc Ilunga")</f>
        <v>Marc Ilunga</v>
      </c>
      <c r="D11353" t="s">
        <v>4</v>
      </c>
      <c r="E11353">
        <v>1</v>
      </c>
    </row>
    <row r="11354" spans="1:5" x14ac:dyDescent="0.25">
      <c r="A11354">
        <v>11353</v>
      </c>
      <c r="B11354">
        <v>10736652</v>
      </c>
      <c r="C11354" s="1" t="str">
        <f>HYPERLINK("http://stackoverflow.com/users/10736652", "sean")</f>
        <v>sean</v>
      </c>
      <c r="D11354" t="s">
        <v>5</v>
      </c>
      <c r="E11354">
        <v>1</v>
      </c>
    </row>
    <row r="11355" spans="1:5" x14ac:dyDescent="0.25">
      <c r="A11355">
        <v>11354</v>
      </c>
      <c r="B11355">
        <v>10736666</v>
      </c>
      <c r="C11355" s="1" t="str">
        <f>HYPERLINK("http://stackoverflow.com/users/10736666", "Tensor")</f>
        <v>Tensor</v>
      </c>
      <c r="D11355" t="s">
        <v>5</v>
      </c>
      <c r="E11355">
        <v>1</v>
      </c>
    </row>
    <row r="11356" spans="1:5" x14ac:dyDescent="0.25">
      <c r="A11356">
        <v>11355</v>
      </c>
      <c r="B11356">
        <v>10736732</v>
      </c>
      <c r="C11356" s="1" t="str">
        <f>HYPERLINK("http://stackoverflow.com/users/10736732", "Stack0x7ce")</f>
        <v>Stack0x7ce</v>
      </c>
      <c r="D11356" t="s">
        <v>616</v>
      </c>
      <c r="E11356">
        <v>1</v>
      </c>
    </row>
    <row r="11357" spans="1:5" x14ac:dyDescent="0.25">
      <c r="A11357">
        <v>11356</v>
      </c>
      <c r="B11357">
        <v>10736930</v>
      </c>
      <c r="C11357" s="1" t="str">
        <f>HYPERLINK("http://stackoverflow.com/users/10736930", "longl yang")</f>
        <v>longl yang</v>
      </c>
      <c r="D11357" t="s">
        <v>28</v>
      </c>
      <c r="E11357">
        <v>1</v>
      </c>
    </row>
    <row r="11358" spans="1:5" x14ac:dyDescent="0.25">
      <c r="A11358">
        <v>11357</v>
      </c>
      <c r="B11358">
        <v>1651909</v>
      </c>
      <c r="C11358" s="1" t="str">
        <f>HYPERLINK("http://stackoverflow.com/users/1651909", "Eli Gao")</f>
        <v>Eli Gao</v>
      </c>
      <c r="D11358" t="s">
        <v>5</v>
      </c>
      <c r="E11358">
        <v>1</v>
      </c>
    </row>
    <row r="11359" spans="1:5" x14ac:dyDescent="0.25">
      <c r="A11359">
        <v>11358</v>
      </c>
      <c r="B11359">
        <v>7050608</v>
      </c>
      <c r="C11359" s="1" t="str">
        <f>HYPERLINK("http://stackoverflow.com/users/7050608", "EnderQIU")</f>
        <v>EnderQIU</v>
      </c>
      <c r="D11359" t="s">
        <v>266</v>
      </c>
      <c r="E11359">
        <v>1</v>
      </c>
    </row>
    <row r="11360" spans="1:5" x14ac:dyDescent="0.25">
      <c r="A11360">
        <v>11359</v>
      </c>
      <c r="B11360">
        <v>7050796</v>
      </c>
      <c r="C11360" s="1" t="str">
        <f>HYPERLINK("http://stackoverflow.com/users/7050796", "JayLee")</f>
        <v>JayLee</v>
      </c>
      <c r="D11360" t="s">
        <v>52</v>
      </c>
      <c r="E11360">
        <v>1</v>
      </c>
    </row>
    <row r="11361" spans="1:5" x14ac:dyDescent="0.25">
      <c r="A11361">
        <v>11360</v>
      </c>
      <c r="B11361">
        <v>5290732</v>
      </c>
      <c r="C11361" s="1" t="str">
        <f>HYPERLINK("http://stackoverflow.com/users/5290732", "ubuntuvim")</f>
        <v>ubuntuvim</v>
      </c>
      <c r="D11361" t="s">
        <v>17</v>
      </c>
      <c r="E11361">
        <v>1</v>
      </c>
    </row>
    <row r="11362" spans="1:5" x14ac:dyDescent="0.25">
      <c r="A11362">
        <v>11361</v>
      </c>
      <c r="B11362">
        <v>5290844</v>
      </c>
      <c r="C11362" s="1" t="str">
        <f>HYPERLINK("http://stackoverflow.com/users/5290844", "Pasco")</f>
        <v>Pasco</v>
      </c>
      <c r="D11362" t="s">
        <v>54</v>
      </c>
      <c r="E11362">
        <v>1</v>
      </c>
    </row>
    <row r="11363" spans="1:5" x14ac:dyDescent="0.25">
      <c r="A11363">
        <v>11362</v>
      </c>
      <c r="B11363">
        <v>1651246</v>
      </c>
      <c r="C11363" s="1" t="str">
        <f>HYPERLINK("http://stackoverflow.com/users/1651246", "Jim Liu")</f>
        <v>Jim Liu</v>
      </c>
      <c r="D11363" t="s">
        <v>5</v>
      </c>
      <c r="E11363">
        <v>1</v>
      </c>
    </row>
    <row r="11364" spans="1:5" x14ac:dyDescent="0.25">
      <c r="A11364">
        <v>11363</v>
      </c>
      <c r="B11364">
        <v>1651376</v>
      </c>
      <c r="C11364" s="1" t="str">
        <f>HYPERLINK("http://stackoverflow.com/users/1651376", "Optimus Prime")</f>
        <v>Optimus Prime</v>
      </c>
      <c r="D11364" t="s">
        <v>5</v>
      </c>
      <c r="E11364">
        <v>1</v>
      </c>
    </row>
    <row r="11365" spans="1:5" x14ac:dyDescent="0.25">
      <c r="A11365">
        <v>11364</v>
      </c>
      <c r="B11365">
        <v>1650743</v>
      </c>
      <c r="C11365" s="1" t="str">
        <f>HYPERLINK("http://stackoverflow.com/users/1650743", "cunsheng")</f>
        <v>cunsheng</v>
      </c>
      <c r="D11365" t="s">
        <v>5</v>
      </c>
      <c r="E11365">
        <v>1</v>
      </c>
    </row>
    <row r="11366" spans="1:5" x14ac:dyDescent="0.25">
      <c r="A11366">
        <v>11365</v>
      </c>
      <c r="B11366">
        <v>1650930</v>
      </c>
      <c r="C11366" s="1" t="str">
        <f>HYPERLINK("http://stackoverflow.com/users/1650930", "hanmushui")</f>
        <v>hanmushui</v>
      </c>
      <c r="D11366" t="s">
        <v>5</v>
      </c>
      <c r="E11366">
        <v>1</v>
      </c>
    </row>
    <row r="11367" spans="1:5" x14ac:dyDescent="0.25">
      <c r="A11367">
        <v>11366</v>
      </c>
      <c r="B11367">
        <v>1651139</v>
      </c>
      <c r="C11367" s="1" t="str">
        <f>HYPERLINK("http://stackoverflow.com/users/1651139", "Zhang Xin")</f>
        <v>Zhang Xin</v>
      </c>
      <c r="D11367" t="s">
        <v>5</v>
      </c>
      <c r="E11367">
        <v>1</v>
      </c>
    </row>
    <row r="11368" spans="1:5" x14ac:dyDescent="0.25">
      <c r="A11368">
        <v>11367</v>
      </c>
      <c r="B11368">
        <v>1646104</v>
      </c>
      <c r="C11368" s="1" t="str">
        <f>HYPERLINK("http://stackoverflow.com/users/1646104", "Elaine")</f>
        <v>Elaine</v>
      </c>
      <c r="D11368" t="s">
        <v>5</v>
      </c>
      <c r="E11368">
        <v>1</v>
      </c>
    </row>
    <row r="11369" spans="1:5" x14ac:dyDescent="0.25">
      <c r="A11369">
        <v>11368</v>
      </c>
      <c r="B11369">
        <v>10683057</v>
      </c>
      <c r="C11369" s="1" t="str">
        <f>HYPERLINK("http://stackoverflow.com/users/10683057", "user10683057")</f>
        <v>user10683057</v>
      </c>
      <c r="D11369" t="s">
        <v>407</v>
      </c>
      <c r="E11369">
        <v>1</v>
      </c>
    </row>
    <row r="11370" spans="1:5" x14ac:dyDescent="0.25">
      <c r="A11370">
        <v>11369</v>
      </c>
      <c r="B11370">
        <v>10683193</v>
      </c>
      <c r="C11370" s="1" t="str">
        <f>HYPERLINK("http://stackoverflow.com/users/10683193", "ChunLiang Zhao")</f>
        <v>ChunLiang Zhao</v>
      </c>
      <c r="D11370" t="s">
        <v>16</v>
      </c>
      <c r="E11370">
        <v>1</v>
      </c>
    </row>
    <row r="11371" spans="1:5" x14ac:dyDescent="0.25">
      <c r="A11371">
        <v>11370</v>
      </c>
      <c r="B11371">
        <v>10683242</v>
      </c>
      <c r="C11371" s="1" t="str">
        <f>HYPERLINK("http://stackoverflow.com/users/10683242", "Benjamin")</f>
        <v>Benjamin</v>
      </c>
      <c r="D11371" t="s">
        <v>131</v>
      </c>
      <c r="E11371">
        <v>1</v>
      </c>
    </row>
    <row r="11372" spans="1:5" x14ac:dyDescent="0.25">
      <c r="A11372">
        <v>11371</v>
      </c>
      <c r="B11372">
        <v>8877476</v>
      </c>
      <c r="C11372" s="1" t="str">
        <f>HYPERLINK("http://stackoverflow.com/users/8877476", "Zhang Fan")</f>
        <v>Zhang Fan</v>
      </c>
      <c r="D11372" t="s">
        <v>25</v>
      </c>
      <c r="E11372">
        <v>1</v>
      </c>
    </row>
    <row r="11373" spans="1:5" x14ac:dyDescent="0.25">
      <c r="A11373">
        <v>11372</v>
      </c>
      <c r="B11373">
        <v>10693444</v>
      </c>
      <c r="C11373" s="1" t="str">
        <f>HYPERLINK("http://stackoverflow.com/users/10693444", "user10693444")</f>
        <v>user10693444</v>
      </c>
      <c r="D11373" t="s">
        <v>442</v>
      </c>
      <c r="E11373">
        <v>1</v>
      </c>
    </row>
    <row r="11374" spans="1:5" x14ac:dyDescent="0.25">
      <c r="A11374">
        <v>11373</v>
      </c>
      <c r="B11374">
        <v>10693536</v>
      </c>
      <c r="C11374" s="1" t="str">
        <f>HYPERLINK("http://stackoverflow.com/users/10693536", "Ray Leimin")</f>
        <v>Ray Leimin</v>
      </c>
      <c r="D11374" t="s">
        <v>4</v>
      </c>
      <c r="E11374">
        <v>1</v>
      </c>
    </row>
    <row r="11375" spans="1:5" x14ac:dyDescent="0.25">
      <c r="A11375">
        <v>11374</v>
      </c>
      <c r="B11375">
        <v>7055882</v>
      </c>
      <c r="C11375" s="1" t="str">
        <f>HYPERLINK("http://stackoverflow.com/users/7055882", "songyongbin")</f>
        <v>songyongbin</v>
      </c>
      <c r="D11375" t="s">
        <v>4</v>
      </c>
      <c r="E11375">
        <v>1</v>
      </c>
    </row>
    <row r="11376" spans="1:5" x14ac:dyDescent="0.25">
      <c r="A11376">
        <v>11375</v>
      </c>
      <c r="B11376">
        <v>5299438</v>
      </c>
      <c r="C11376" s="1" t="str">
        <f>HYPERLINK("http://stackoverflow.com/users/5299438", "Crack")</f>
        <v>Crack</v>
      </c>
      <c r="D11376" t="s">
        <v>5</v>
      </c>
      <c r="E11376">
        <v>1</v>
      </c>
    </row>
    <row r="11377" spans="1:5" x14ac:dyDescent="0.25">
      <c r="A11377">
        <v>11376</v>
      </c>
      <c r="B11377">
        <v>10697798</v>
      </c>
      <c r="C11377" s="1" t="str">
        <f>HYPERLINK("http://stackoverflow.com/users/10697798", "bottledload")</f>
        <v>bottledload</v>
      </c>
      <c r="D11377" t="s">
        <v>617</v>
      </c>
      <c r="E11377">
        <v>1</v>
      </c>
    </row>
    <row r="11378" spans="1:5" x14ac:dyDescent="0.25">
      <c r="A11378">
        <v>11377</v>
      </c>
      <c r="B11378">
        <v>1660373</v>
      </c>
      <c r="C11378" s="1" t="str">
        <f>HYPERLINK("http://stackoverflow.com/users/1660373", "Arthur Wang")</f>
        <v>Arthur Wang</v>
      </c>
      <c r="D11378" t="s">
        <v>17</v>
      </c>
      <c r="E11378">
        <v>1</v>
      </c>
    </row>
    <row r="11379" spans="1:5" x14ac:dyDescent="0.25">
      <c r="A11379">
        <v>11378</v>
      </c>
      <c r="B11379">
        <v>1667395</v>
      </c>
      <c r="C11379" s="1" t="str">
        <f>HYPERLINK("http://stackoverflow.com/users/1667395", "Tomo")</f>
        <v>Tomo</v>
      </c>
      <c r="D11379" t="s">
        <v>55</v>
      </c>
      <c r="E11379">
        <v>1</v>
      </c>
    </row>
    <row r="11380" spans="1:5" x14ac:dyDescent="0.25">
      <c r="A11380">
        <v>11379</v>
      </c>
      <c r="B11380">
        <v>1667452</v>
      </c>
      <c r="C11380" s="1" t="str">
        <f>HYPERLINK("http://stackoverflow.com/users/1667452", "DanielYang")</f>
        <v>DanielYang</v>
      </c>
      <c r="D11380" t="s">
        <v>5</v>
      </c>
      <c r="E11380">
        <v>1</v>
      </c>
    </row>
    <row r="11381" spans="1:5" x14ac:dyDescent="0.25">
      <c r="A11381">
        <v>11380</v>
      </c>
      <c r="B11381">
        <v>1668072</v>
      </c>
      <c r="C11381" s="1" t="str">
        <f>HYPERLINK("http://stackoverflow.com/users/1668072", "suxu")</f>
        <v>suxu</v>
      </c>
      <c r="D11381" t="s">
        <v>22</v>
      </c>
      <c r="E11381">
        <v>1</v>
      </c>
    </row>
    <row r="11382" spans="1:5" x14ac:dyDescent="0.25">
      <c r="A11382">
        <v>11381</v>
      </c>
      <c r="B11382">
        <v>8892704</v>
      </c>
      <c r="C11382" s="1" t="str">
        <f>HYPERLINK("http://stackoverflow.com/users/8892704", "wangwei")</f>
        <v>wangwei</v>
      </c>
      <c r="D11382" t="s">
        <v>16</v>
      </c>
      <c r="E11382">
        <v>1</v>
      </c>
    </row>
    <row r="11383" spans="1:5" x14ac:dyDescent="0.25">
      <c r="A11383">
        <v>11382</v>
      </c>
      <c r="B11383">
        <v>8892966</v>
      </c>
      <c r="C11383" s="1" t="str">
        <f>HYPERLINK("http://stackoverflow.com/users/8892966", "wsq_star")</f>
        <v>wsq_star</v>
      </c>
      <c r="D11383" t="s">
        <v>618</v>
      </c>
      <c r="E11383">
        <v>1</v>
      </c>
    </row>
    <row r="11384" spans="1:5" x14ac:dyDescent="0.25">
      <c r="A11384">
        <v>11383</v>
      </c>
      <c r="B11384">
        <v>10722918</v>
      </c>
      <c r="C11384" s="1" t="str">
        <f>HYPERLINK("http://stackoverflow.com/users/10722918", "seito bu")</f>
        <v>seito bu</v>
      </c>
      <c r="D11384" t="s">
        <v>33</v>
      </c>
      <c r="E11384">
        <v>1</v>
      </c>
    </row>
    <row r="11385" spans="1:5" x14ac:dyDescent="0.25">
      <c r="A11385">
        <v>11384</v>
      </c>
      <c r="B11385">
        <v>8913691</v>
      </c>
      <c r="C11385" s="1" t="str">
        <f>HYPERLINK("http://stackoverflow.com/users/8913691", "Berwin Joule")</f>
        <v>Berwin Joule</v>
      </c>
      <c r="D11385" t="s">
        <v>25</v>
      </c>
      <c r="E11385">
        <v>1</v>
      </c>
    </row>
    <row r="11386" spans="1:5" x14ac:dyDescent="0.25">
      <c r="A11386">
        <v>11385</v>
      </c>
      <c r="B11386">
        <v>8913848</v>
      </c>
      <c r="C11386" s="1" t="str">
        <f>HYPERLINK("http://stackoverflow.com/users/8913848", "Rogers")</f>
        <v>Rogers</v>
      </c>
      <c r="D11386" t="s">
        <v>42</v>
      </c>
      <c r="E11386">
        <v>1</v>
      </c>
    </row>
    <row r="11387" spans="1:5" x14ac:dyDescent="0.25">
      <c r="A11387">
        <v>11386</v>
      </c>
      <c r="B11387">
        <v>8914078</v>
      </c>
      <c r="C11387" s="1" t="str">
        <f>HYPERLINK("http://stackoverflow.com/users/8914078", "Tony Meng")</f>
        <v>Tony Meng</v>
      </c>
      <c r="D11387" t="s">
        <v>4</v>
      </c>
      <c r="E11387">
        <v>1</v>
      </c>
    </row>
    <row r="11388" spans="1:5" x14ac:dyDescent="0.25">
      <c r="A11388">
        <v>11387</v>
      </c>
      <c r="B11388">
        <v>7080890</v>
      </c>
      <c r="C11388" s="1" t="str">
        <f>HYPERLINK("http://stackoverflow.com/users/7080890", "Z.Chau")</f>
        <v>Z.Chau</v>
      </c>
      <c r="D11388" t="s">
        <v>619</v>
      </c>
      <c r="E11388">
        <v>1</v>
      </c>
    </row>
    <row r="11389" spans="1:5" x14ac:dyDescent="0.25">
      <c r="A11389">
        <v>11388</v>
      </c>
      <c r="B11389">
        <v>1690966</v>
      </c>
      <c r="C11389" s="1" t="str">
        <f>HYPERLINK("http://stackoverflow.com/users/1690966", "Shanks")</f>
        <v>Shanks</v>
      </c>
      <c r="D11389" t="s">
        <v>4</v>
      </c>
      <c r="E11389">
        <v>1</v>
      </c>
    </row>
    <row r="11390" spans="1:5" x14ac:dyDescent="0.25">
      <c r="A11390">
        <v>11389</v>
      </c>
      <c r="B11390">
        <v>1691257</v>
      </c>
      <c r="C11390" s="1" t="str">
        <f>HYPERLINK("http://stackoverflow.com/users/1691257", "侯西阳")</f>
        <v>侯西阳</v>
      </c>
      <c r="D11390" t="s">
        <v>4</v>
      </c>
      <c r="E11390">
        <v>1</v>
      </c>
    </row>
    <row r="11391" spans="1:5" x14ac:dyDescent="0.25">
      <c r="A11391">
        <v>11390</v>
      </c>
      <c r="B11391">
        <v>1691792</v>
      </c>
      <c r="C11391" s="1" t="str">
        <f>HYPERLINK("http://stackoverflow.com/users/1691792", "yvesma")</f>
        <v>yvesma</v>
      </c>
      <c r="D11391" t="s">
        <v>5</v>
      </c>
      <c r="E11391">
        <v>1</v>
      </c>
    </row>
    <row r="11392" spans="1:5" x14ac:dyDescent="0.25">
      <c r="A11392">
        <v>11391</v>
      </c>
      <c r="B11392">
        <v>10722687</v>
      </c>
      <c r="C11392" s="1" t="str">
        <f>HYPERLINK("http://stackoverflow.com/users/10722687", "L. Xiang")</f>
        <v>L. Xiang</v>
      </c>
      <c r="D11392" t="s">
        <v>4</v>
      </c>
      <c r="E11392">
        <v>1</v>
      </c>
    </row>
    <row r="11393" spans="1:5" x14ac:dyDescent="0.25">
      <c r="A11393">
        <v>11392</v>
      </c>
      <c r="B11393">
        <v>8903509</v>
      </c>
      <c r="C11393" s="1" t="str">
        <f>HYPERLINK("http://stackoverflow.com/users/8903509", "JJJJustCode")</f>
        <v>JJJJustCode</v>
      </c>
      <c r="D11393" t="s">
        <v>4</v>
      </c>
      <c r="E11393">
        <v>1</v>
      </c>
    </row>
    <row r="11394" spans="1:5" x14ac:dyDescent="0.25">
      <c r="A11394">
        <v>11393</v>
      </c>
      <c r="B11394">
        <v>8904009</v>
      </c>
      <c r="C11394" s="1" t="str">
        <f>HYPERLINK("http://stackoverflow.com/users/8904009", "wang su")</f>
        <v>wang su</v>
      </c>
      <c r="D11394" t="s">
        <v>5</v>
      </c>
      <c r="E11394">
        <v>1</v>
      </c>
    </row>
    <row r="11395" spans="1:5" x14ac:dyDescent="0.25">
      <c r="A11395">
        <v>11394</v>
      </c>
      <c r="B11395">
        <v>1685773</v>
      </c>
      <c r="C11395" s="1" t="str">
        <f>HYPERLINK("http://stackoverflow.com/users/1685773", "windy")</f>
        <v>windy</v>
      </c>
      <c r="D11395" t="s">
        <v>5</v>
      </c>
      <c r="E11395">
        <v>1</v>
      </c>
    </row>
    <row r="11396" spans="1:5" x14ac:dyDescent="0.25">
      <c r="A11396">
        <v>11395</v>
      </c>
      <c r="B11396">
        <v>1676536</v>
      </c>
      <c r="C11396" s="1" t="str">
        <f>HYPERLINK("http://stackoverflow.com/users/1676536", "happyycm")</f>
        <v>happyycm</v>
      </c>
      <c r="D11396" t="s">
        <v>180</v>
      </c>
      <c r="E11396">
        <v>1</v>
      </c>
    </row>
    <row r="11397" spans="1:5" x14ac:dyDescent="0.25">
      <c r="A11397">
        <v>11396</v>
      </c>
      <c r="B11397">
        <v>5309759</v>
      </c>
      <c r="C11397" s="1" t="str">
        <f>HYPERLINK("http://stackoverflow.com/users/5309759", "HuJie")</f>
        <v>HuJie</v>
      </c>
      <c r="D11397" t="s">
        <v>52</v>
      </c>
      <c r="E11397">
        <v>1</v>
      </c>
    </row>
    <row r="11398" spans="1:5" x14ac:dyDescent="0.25">
      <c r="A11398">
        <v>11397</v>
      </c>
      <c r="B11398">
        <v>1676003</v>
      </c>
      <c r="C11398" s="1" t="str">
        <f>HYPERLINK("http://stackoverflow.com/users/1676003", "t7ink")</f>
        <v>t7ink</v>
      </c>
      <c r="D11398" t="s">
        <v>5</v>
      </c>
      <c r="E11398">
        <v>1</v>
      </c>
    </row>
    <row r="11399" spans="1:5" x14ac:dyDescent="0.25">
      <c r="A11399">
        <v>11398</v>
      </c>
      <c r="B11399">
        <v>10709771</v>
      </c>
      <c r="C11399" s="1" t="str">
        <f>HYPERLINK("http://stackoverflow.com/users/10709771", "bin bai")</f>
        <v>bin bai</v>
      </c>
      <c r="D11399" t="s">
        <v>5</v>
      </c>
      <c r="E11399">
        <v>1</v>
      </c>
    </row>
    <row r="11400" spans="1:5" x14ac:dyDescent="0.25">
      <c r="A11400">
        <v>11399</v>
      </c>
      <c r="B11400">
        <v>10710083</v>
      </c>
      <c r="C11400" s="1" t="str">
        <f>HYPERLINK("http://stackoverflow.com/users/10710083", "Jarax")</f>
        <v>Jarax</v>
      </c>
      <c r="D11400" t="s">
        <v>7</v>
      </c>
      <c r="E11400">
        <v>1</v>
      </c>
    </row>
    <row r="11401" spans="1:5" x14ac:dyDescent="0.25">
      <c r="A11401">
        <v>11400</v>
      </c>
      <c r="B11401">
        <v>1680469</v>
      </c>
      <c r="C11401" s="1" t="str">
        <f>HYPERLINK("http://stackoverflow.com/users/1680469", "rockace1")</f>
        <v>rockace1</v>
      </c>
      <c r="D11401" t="s">
        <v>5</v>
      </c>
      <c r="E11401">
        <v>1</v>
      </c>
    </row>
    <row r="11402" spans="1:5" x14ac:dyDescent="0.25">
      <c r="A11402">
        <v>11401</v>
      </c>
      <c r="B11402">
        <v>7072380</v>
      </c>
      <c r="C11402" s="1" t="str">
        <f>HYPERLINK("http://stackoverflow.com/users/7072380", "keepsmiling.hgp")</f>
        <v>keepsmiling.hgp</v>
      </c>
      <c r="D11402" t="s">
        <v>19</v>
      </c>
      <c r="E11402">
        <v>1</v>
      </c>
    </row>
    <row r="11403" spans="1:5" x14ac:dyDescent="0.25">
      <c r="A11403">
        <v>11402</v>
      </c>
      <c r="B11403">
        <v>7072786</v>
      </c>
      <c r="C11403" s="1" t="str">
        <f>HYPERLINK("http://stackoverflow.com/users/7072786", "A. South")</f>
        <v>A. South</v>
      </c>
      <c r="D11403" t="s">
        <v>5</v>
      </c>
      <c r="E11403">
        <v>1</v>
      </c>
    </row>
    <row r="11404" spans="1:5" x14ac:dyDescent="0.25">
      <c r="A11404">
        <v>11403</v>
      </c>
      <c r="B11404">
        <v>1667787</v>
      </c>
      <c r="C11404" s="1" t="str">
        <f>HYPERLINK("http://stackoverflow.com/users/1667787", "Gao Qingpo")</f>
        <v>Gao Qingpo</v>
      </c>
      <c r="D11404" t="s">
        <v>4</v>
      </c>
      <c r="E11404">
        <v>1</v>
      </c>
    </row>
    <row r="11405" spans="1:5" x14ac:dyDescent="0.25">
      <c r="A11405">
        <v>11404</v>
      </c>
      <c r="B11405">
        <v>1675320</v>
      </c>
      <c r="C11405" s="1" t="str">
        <f>HYPERLINK("http://stackoverflow.com/users/1675320", "Qifei Xue")</f>
        <v>Qifei Xue</v>
      </c>
      <c r="D11405" t="s">
        <v>5</v>
      </c>
      <c r="E11405">
        <v>1</v>
      </c>
    </row>
    <row r="11406" spans="1:5" x14ac:dyDescent="0.25">
      <c r="A11406">
        <v>11405</v>
      </c>
      <c r="B11406">
        <v>8893272</v>
      </c>
      <c r="C11406" s="1" t="str">
        <f>HYPERLINK("http://stackoverflow.com/users/8893272", "E.Li")</f>
        <v>E.Li</v>
      </c>
      <c r="D11406" t="s">
        <v>4</v>
      </c>
      <c r="E11406">
        <v>1</v>
      </c>
    </row>
    <row r="11407" spans="1:5" x14ac:dyDescent="0.25">
      <c r="A11407">
        <v>11406</v>
      </c>
      <c r="B11407">
        <v>10703829</v>
      </c>
      <c r="C11407" s="1" t="str">
        <f>HYPERLINK("http://stackoverflow.com/users/10703829", "Criss")</f>
        <v>Criss</v>
      </c>
      <c r="D11407" t="s">
        <v>5</v>
      </c>
      <c r="E11407">
        <v>1</v>
      </c>
    </row>
    <row r="11408" spans="1:5" x14ac:dyDescent="0.25">
      <c r="A11408">
        <v>11407</v>
      </c>
      <c r="B11408">
        <v>10704007</v>
      </c>
      <c r="C11408" s="1" t="str">
        <f>HYPERLINK("http://stackoverflow.com/users/10704007", "user10704007")</f>
        <v>user10704007</v>
      </c>
      <c r="D11408" t="s">
        <v>620</v>
      </c>
      <c r="E11408">
        <v>1</v>
      </c>
    </row>
    <row r="11409" spans="1:5" x14ac:dyDescent="0.25">
      <c r="A11409">
        <v>11408</v>
      </c>
      <c r="B11409">
        <v>10704039</v>
      </c>
      <c r="C11409" s="1" t="str">
        <f>HYPERLINK("http://stackoverflow.com/users/10704039", "h7lyaphets")</f>
        <v>h7lyaphets</v>
      </c>
      <c r="D11409" t="s">
        <v>5</v>
      </c>
      <c r="E11409">
        <v>1</v>
      </c>
    </row>
    <row r="11410" spans="1:5" x14ac:dyDescent="0.25">
      <c r="A11410">
        <v>11409</v>
      </c>
      <c r="B11410">
        <v>10704111</v>
      </c>
      <c r="C11410" s="1" t="str">
        <f>HYPERLINK("http://stackoverflow.com/users/10704111", "Yumei Zhen")</f>
        <v>Yumei Zhen</v>
      </c>
      <c r="D11410" t="s">
        <v>7</v>
      </c>
      <c r="E11410">
        <v>1</v>
      </c>
    </row>
    <row r="11411" spans="1:5" x14ac:dyDescent="0.25">
      <c r="A11411">
        <v>11410</v>
      </c>
      <c r="B11411">
        <v>10704207</v>
      </c>
      <c r="C11411" s="1" t="str">
        <f>HYPERLINK("http://stackoverflow.com/users/10704207", "jagottsicher")</f>
        <v>jagottsicher</v>
      </c>
      <c r="D11411" t="s">
        <v>4</v>
      </c>
      <c r="E11411">
        <v>1</v>
      </c>
    </row>
    <row r="11412" spans="1:5" x14ac:dyDescent="0.25">
      <c r="A11412">
        <v>11411</v>
      </c>
      <c r="B11412">
        <v>10370567</v>
      </c>
      <c r="C11412" s="1" t="str">
        <f>HYPERLINK("http://stackoverflow.com/users/10370567", "李子俊")</f>
        <v>李子俊</v>
      </c>
      <c r="D11412" t="s">
        <v>78</v>
      </c>
      <c r="E11412">
        <v>1</v>
      </c>
    </row>
    <row r="11413" spans="1:5" x14ac:dyDescent="0.25">
      <c r="A11413">
        <v>11412</v>
      </c>
      <c r="B11413">
        <v>10370773</v>
      </c>
      <c r="C11413" s="1" t="str">
        <f>HYPERLINK("http://stackoverflow.com/users/10370773", "Ziqian Chai")</f>
        <v>Ziqian Chai</v>
      </c>
      <c r="D11413" t="s">
        <v>4</v>
      </c>
      <c r="E11413">
        <v>1</v>
      </c>
    </row>
    <row r="11414" spans="1:5" x14ac:dyDescent="0.25">
      <c r="A11414">
        <v>11413</v>
      </c>
      <c r="B11414">
        <v>10370994</v>
      </c>
      <c r="C11414" s="1" t="str">
        <f>HYPERLINK("http://stackoverflow.com/users/10370994", "Alan Qin")</f>
        <v>Alan Qin</v>
      </c>
      <c r="D11414" t="s">
        <v>7</v>
      </c>
      <c r="E11414">
        <v>1</v>
      </c>
    </row>
    <row r="11415" spans="1:5" x14ac:dyDescent="0.25">
      <c r="A11415">
        <v>11414</v>
      </c>
      <c r="B11415">
        <v>8557506</v>
      </c>
      <c r="C11415" s="1" t="str">
        <f>HYPERLINK("http://stackoverflow.com/users/8557506", "Nicole. C")</f>
        <v>Nicole. C</v>
      </c>
      <c r="D11415" t="s">
        <v>55</v>
      </c>
      <c r="E11415">
        <v>1</v>
      </c>
    </row>
    <row r="11416" spans="1:5" x14ac:dyDescent="0.25">
      <c r="A11416">
        <v>11415</v>
      </c>
      <c r="B11416">
        <v>8557556</v>
      </c>
      <c r="C11416" s="1" t="str">
        <f>HYPERLINK("http://stackoverflow.com/users/8557556", "zhaolong")</f>
        <v>zhaolong</v>
      </c>
      <c r="D11416" t="s">
        <v>5</v>
      </c>
      <c r="E11416">
        <v>1</v>
      </c>
    </row>
    <row r="11417" spans="1:5" x14ac:dyDescent="0.25">
      <c r="A11417">
        <v>11416</v>
      </c>
      <c r="B11417">
        <v>5007487</v>
      </c>
      <c r="C11417" s="1" t="str">
        <f>HYPERLINK("http://stackoverflow.com/users/5007487", "user5007487")</f>
        <v>user5007487</v>
      </c>
      <c r="D11417" t="s">
        <v>266</v>
      </c>
      <c r="E11417">
        <v>1</v>
      </c>
    </row>
    <row r="11418" spans="1:5" x14ac:dyDescent="0.25">
      <c r="A11418">
        <v>11417</v>
      </c>
      <c r="B11418">
        <v>5007582</v>
      </c>
      <c r="C11418" s="1" t="str">
        <f>HYPERLINK("http://stackoverflow.com/users/5007582", "Charlie Lin")</f>
        <v>Charlie Lin</v>
      </c>
      <c r="D11418" t="s">
        <v>21</v>
      </c>
      <c r="E11418">
        <v>1</v>
      </c>
    </row>
    <row r="11419" spans="1:5" x14ac:dyDescent="0.25">
      <c r="A11419">
        <v>11418</v>
      </c>
      <c r="B11419">
        <v>1278688</v>
      </c>
      <c r="C11419" s="1" t="str">
        <f>HYPERLINK("http://stackoverflow.com/users/1278688", "Mr.Faint")</f>
        <v>Mr.Faint</v>
      </c>
      <c r="D11419" t="s">
        <v>6</v>
      </c>
      <c r="E11419">
        <v>1</v>
      </c>
    </row>
    <row r="11420" spans="1:5" x14ac:dyDescent="0.25">
      <c r="A11420">
        <v>11419</v>
      </c>
      <c r="B11420">
        <v>1267979</v>
      </c>
      <c r="C11420" s="1" t="str">
        <f>HYPERLINK("http://stackoverflow.com/users/1267979", "smileherd")</f>
        <v>smileherd</v>
      </c>
      <c r="D11420" t="s">
        <v>5</v>
      </c>
      <c r="E11420">
        <v>1</v>
      </c>
    </row>
    <row r="11421" spans="1:5" x14ac:dyDescent="0.25">
      <c r="A11421">
        <v>11420</v>
      </c>
      <c r="B11421">
        <v>3184154</v>
      </c>
      <c r="C11421" s="1" t="str">
        <f>HYPERLINK("http://stackoverflow.com/users/3184154", "Jason Chen")</f>
        <v>Jason Chen</v>
      </c>
      <c r="D11421" t="s">
        <v>17</v>
      </c>
      <c r="E11421">
        <v>1</v>
      </c>
    </row>
    <row r="11422" spans="1:5" x14ac:dyDescent="0.25">
      <c r="A11422">
        <v>11421</v>
      </c>
      <c r="B11422">
        <v>3184182</v>
      </c>
      <c r="C11422" s="1" t="str">
        <f>HYPERLINK("http://stackoverflow.com/users/3184182", "koboshi")</f>
        <v>koboshi</v>
      </c>
      <c r="D11422" t="s">
        <v>21</v>
      </c>
      <c r="E11422">
        <v>1</v>
      </c>
    </row>
    <row r="11423" spans="1:5" x14ac:dyDescent="0.25">
      <c r="A11423">
        <v>11422</v>
      </c>
      <c r="B11423">
        <v>3184201</v>
      </c>
      <c r="C11423" s="1" t="str">
        <f>HYPERLINK("http://stackoverflow.com/users/3184201", "moonlight")</f>
        <v>moonlight</v>
      </c>
      <c r="D11423" t="s">
        <v>5</v>
      </c>
      <c r="E11423">
        <v>1</v>
      </c>
    </row>
    <row r="11424" spans="1:5" x14ac:dyDescent="0.25">
      <c r="A11424">
        <v>11423</v>
      </c>
      <c r="B11424">
        <v>10361371</v>
      </c>
      <c r="C11424" s="1" t="str">
        <f>HYPERLINK("http://stackoverflow.com/users/10361371", "Larry Huo")</f>
        <v>Larry Huo</v>
      </c>
      <c r="D11424" t="s">
        <v>25</v>
      </c>
      <c r="E11424">
        <v>1</v>
      </c>
    </row>
    <row r="11425" spans="1:5" x14ac:dyDescent="0.25">
      <c r="A11425">
        <v>11424</v>
      </c>
      <c r="B11425">
        <v>10361996</v>
      </c>
      <c r="C11425" s="1" t="str">
        <f>HYPERLINK("http://stackoverflow.com/users/10361996", "Mr.Z")</f>
        <v>Mr.Z</v>
      </c>
      <c r="D11425" t="s">
        <v>6</v>
      </c>
      <c r="E11425">
        <v>1</v>
      </c>
    </row>
    <row r="11426" spans="1:5" x14ac:dyDescent="0.25">
      <c r="A11426">
        <v>11425</v>
      </c>
      <c r="B11426">
        <v>6719708</v>
      </c>
      <c r="C11426" s="1" t="str">
        <f>HYPERLINK("http://stackoverflow.com/users/6719708", "Lucky Zhou")</f>
        <v>Lucky Zhou</v>
      </c>
      <c r="D11426" t="s">
        <v>43</v>
      </c>
      <c r="E11426">
        <v>1</v>
      </c>
    </row>
    <row r="11427" spans="1:5" x14ac:dyDescent="0.25">
      <c r="A11427">
        <v>11426</v>
      </c>
      <c r="B11427">
        <v>6719915</v>
      </c>
      <c r="C11427" s="1" t="str">
        <f>HYPERLINK("http://stackoverflow.com/users/6719915", "Ice Zero")</f>
        <v>Ice Zero</v>
      </c>
      <c r="D11427" t="s">
        <v>21</v>
      </c>
      <c r="E11427">
        <v>1</v>
      </c>
    </row>
    <row r="11428" spans="1:5" x14ac:dyDescent="0.25">
      <c r="A11428">
        <v>11427</v>
      </c>
      <c r="B11428">
        <v>8549258</v>
      </c>
      <c r="C11428" s="1" t="str">
        <f>HYPERLINK("http://stackoverflow.com/users/8549258", "Xing Hong")</f>
        <v>Xing Hong</v>
      </c>
      <c r="D11428" t="s">
        <v>33</v>
      </c>
      <c r="E11428">
        <v>1</v>
      </c>
    </row>
    <row r="11429" spans="1:5" x14ac:dyDescent="0.25">
      <c r="A11429">
        <v>11428</v>
      </c>
      <c r="B11429">
        <v>1268281</v>
      </c>
      <c r="C11429" s="1" t="str">
        <f>HYPERLINK("http://stackoverflow.com/users/1268281", "Isun")</f>
        <v>Isun</v>
      </c>
      <c r="D11429" t="s">
        <v>8</v>
      </c>
      <c r="E11429">
        <v>1</v>
      </c>
    </row>
    <row r="11430" spans="1:5" x14ac:dyDescent="0.25">
      <c r="A11430">
        <v>11429</v>
      </c>
      <c r="B11430">
        <v>1268368</v>
      </c>
      <c r="C11430" s="1" t="str">
        <f>HYPERLINK("http://stackoverflow.com/users/1268368", "Select")</f>
        <v>Select</v>
      </c>
      <c r="D11430" t="s">
        <v>4</v>
      </c>
      <c r="E11430">
        <v>1</v>
      </c>
    </row>
    <row r="11431" spans="1:5" x14ac:dyDescent="0.25">
      <c r="A11431">
        <v>11430</v>
      </c>
      <c r="B11431">
        <v>8553288</v>
      </c>
      <c r="C11431" s="1" t="str">
        <f>HYPERLINK("http://stackoverflow.com/users/8553288", "Edwin367")</f>
        <v>Edwin367</v>
      </c>
      <c r="D11431" t="s">
        <v>28</v>
      </c>
      <c r="E11431">
        <v>1</v>
      </c>
    </row>
    <row r="11432" spans="1:5" x14ac:dyDescent="0.25">
      <c r="A11432">
        <v>11431</v>
      </c>
      <c r="B11432">
        <v>10366188</v>
      </c>
      <c r="C11432" s="1" t="str">
        <f>HYPERLINK("http://stackoverflow.com/users/10366188", "Arjun")</f>
        <v>Arjun</v>
      </c>
      <c r="D11432" t="s">
        <v>4</v>
      </c>
      <c r="E11432">
        <v>1</v>
      </c>
    </row>
    <row r="11433" spans="1:5" x14ac:dyDescent="0.25">
      <c r="A11433">
        <v>11432</v>
      </c>
      <c r="B11433">
        <v>10366238</v>
      </c>
      <c r="C11433" s="1" t="str">
        <f>HYPERLINK("http://stackoverflow.com/users/10366238", "menciusbj")</f>
        <v>menciusbj</v>
      </c>
      <c r="D11433" t="s">
        <v>57</v>
      </c>
      <c r="E11433">
        <v>1</v>
      </c>
    </row>
    <row r="11434" spans="1:5" x14ac:dyDescent="0.25">
      <c r="A11434">
        <v>11433</v>
      </c>
      <c r="B11434">
        <v>10366397</v>
      </c>
      <c r="C11434" s="1" t="str">
        <f>HYPERLINK("http://stackoverflow.com/users/10366397", "ewing zhang")</f>
        <v>ewing zhang</v>
      </c>
      <c r="D11434" t="s">
        <v>19</v>
      </c>
      <c r="E11434">
        <v>1</v>
      </c>
    </row>
    <row r="11435" spans="1:5" x14ac:dyDescent="0.25">
      <c r="A11435">
        <v>11434</v>
      </c>
      <c r="B11435">
        <v>10366451</v>
      </c>
      <c r="C11435" s="1" t="str">
        <f>HYPERLINK("http://stackoverflow.com/users/10366451", "Jamey")</f>
        <v>Jamey</v>
      </c>
      <c r="D11435" t="s">
        <v>97</v>
      </c>
      <c r="E11435">
        <v>1</v>
      </c>
    </row>
    <row r="11436" spans="1:5" x14ac:dyDescent="0.25">
      <c r="A11436">
        <v>11435</v>
      </c>
      <c r="B11436">
        <v>8553455</v>
      </c>
      <c r="C11436" s="1" t="str">
        <f>HYPERLINK("http://stackoverflow.com/users/8553455", "Alan Mei")</f>
        <v>Alan Mei</v>
      </c>
      <c r="D11436" t="s">
        <v>5</v>
      </c>
      <c r="E11436">
        <v>1</v>
      </c>
    </row>
    <row r="11437" spans="1:5" x14ac:dyDescent="0.25">
      <c r="A11437">
        <v>11436</v>
      </c>
      <c r="B11437">
        <v>6712112</v>
      </c>
      <c r="C11437" s="1" t="str">
        <f>HYPERLINK("http://stackoverflow.com/users/6712112", "Mark_up")</f>
        <v>Mark_up</v>
      </c>
      <c r="D11437" t="s">
        <v>7</v>
      </c>
      <c r="E11437">
        <v>1</v>
      </c>
    </row>
    <row r="11438" spans="1:5" x14ac:dyDescent="0.25">
      <c r="A11438">
        <v>11437</v>
      </c>
      <c r="B11438">
        <v>1263077</v>
      </c>
      <c r="C11438" s="1" t="str">
        <f>HYPERLINK("http://stackoverflow.com/users/1263077", "ssh")</f>
        <v>ssh</v>
      </c>
      <c r="D11438" t="s">
        <v>8</v>
      </c>
      <c r="E11438">
        <v>1</v>
      </c>
    </row>
    <row r="11439" spans="1:5" x14ac:dyDescent="0.25">
      <c r="A11439">
        <v>11438</v>
      </c>
      <c r="B11439">
        <v>3180211</v>
      </c>
      <c r="C11439" s="1" t="str">
        <f>HYPERLINK("http://stackoverflow.com/users/3180211", "CodeMySky")</f>
        <v>CodeMySky</v>
      </c>
      <c r="D11439" t="s">
        <v>5</v>
      </c>
      <c r="E11439">
        <v>1</v>
      </c>
    </row>
    <row r="11440" spans="1:5" x14ac:dyDescent="0.25">
      <c r="A11440">
        <v>11439</v>
      </c>
      <c r="B11440">
        <v>3180343</v>
      </c>
      <c r="C11440" s="1" t="str">
        <f>HYPERLINK("http://stackoverflow.com/users/3180343", "Brain Z")</f>
        <v>Brain Z</v>
      </c>
      <c r="D11440" t="s">
        <v>5</v>
      </c>
      <c r="E11440">
        <v>1</v>
      </c>
    </row>
    <row r="11441" spans="1:5" x14ac:dyDescent="0.25">
      <c r="A11441">
        <v>11440</v>
      </c>
      <c r="B11441">
        <v>3180610</v>
      </c>
      <c r="C11441" s="1" t="str">
        <f>HYPERLINK("http://stackoverflow.com/users/3180610", "Jianfei Chen")</f>
        <v>Jianfei Chen</v>
      </c>
      <c r="D11441" t="s">
        <v>5</v>
      </c>
      <c r="E11441">
        <v>1</v>
      </c>
    </row>
    <row r="11442" spans="1:5" x14ac:dyDescent="0.25">
      <c r="A11442">
        <v>11441</v>
      </c>
      <c r="B11442">
        <v>4989725</v>
      </c>
      <c r="C11442" s="1" t="str">
        <f>HYPERLINK("http://stackoverflow.com/users/4989725", "Sa1ka")</f>
        <v>Sa1ka</v>
      </c>
      <c r="D11442" t="s">
        <v>37</v>
      </c>
      <c r="E11442">
        <v>1</v>
      </c>
    </row>
    <row r="11443" spans="1:5" x14ac:dyDescent="0.25">
      <c r="A11443">
        <v>11442</v>
      </c>
      <c r="B11443">
        <v>8541113</v>
      </c>
      <c r="C11443" s="1" t="str">
        <f>HYPERLINK("http://stackoverflow.com/users/8541113", "buding")</f>
        <v>buding</v>
      </c>
      <c r="D11443" t="s">
        <v>621</v>
      </c>
      <c r="E11443">
        <v>1</v>
      </c>
    </row>
    <row r="11444" spans="1:5" x14ac:dyDescent="0.25">
      <c r="A11444">
        <v>11443</v>
      </c>
      <c r="B11444">
        <v>8541176</v>
      </c>
      <c r="C11444" s="1" t="str">
        <f>HYPERLINK("http://stackoverflow.com/users/8541176", "BingLau")</f>
        <v>BingLau</v>
      </c>
      <c r="D11444" t="s">
        <v>5</v>
      </c>
      <c r="E11444">
        <v>1</v>
      </c>
    </row>
    <row r="11445" spans="1:5" x14ac:dyDescent="0.25">
      <c r="A11445">
        <v>11444</v>
      </c>
      <c r="B11445">
        <v>8541235</v>
      </c>
      <c r="C11445" s="1" t="str">
        <f>HYPERLINK("http://stackoverflow.com/users/8541235", "Nicholas Li")</f>
        <v>Nicholas Li</v>
      </c>
      <c r="D11445" t="s">
        <v>4</v>
      </c>
      <c r="E11445">
        <v>1</v>
      </c>
    </row>
    <row r="11446" spans="1:5" x14ac:dyDescent="0.25">
      <c r="A11446">
        <v>11445</v>
      </c>
      <c r="B11446">
        <v>8541317</v>
      </c>
      <c r="C11446" s="1" t="str">
        <f>HYPERLINK("http://stackoverflow.com/users/8541317", "Paladnix")</f>
        <v>Paladnix</v>
      </c>
      <c r="D11446" t="s">
        <v>420</v>
      </c>
      <c r="E11446">
        <v>1</v>
      </c>
    </row>
    <row r="11447" spans="1:5" x14ac:dyDescent="0.25">
      <c r="A11447">
        <v>11446</v>
      </c>
      <c r="B11447">
        <v>4989226</v>
      </c>
      <c r="C11447" s="1" t="str">
        <f>HYPERLINK("http://stackoverflow.com/users/4989226", "cokebean")</f>
        <v>cokebean</v>
      </c>
      <c r="D11447" t="s">
        <v>5</v>
      </c>
      <c r="E11447">
        <v>1</v>
      </c>
    </row>
    <row r="11448" spans="1:5" x14ac:dyDescent="0.25">
      <c r="A11448">
        <v>11447</v>
      </c>
      <c r="B11448">
        <v>1242206</v>
      </c>
      <c r="C11448" s="1" t="str">
        <f>HYPERLINK("http://stackoverflow.com/users/1242206", "ziyoutt")</f>
        <v>ziyoutt</v>
      </c>
      <c r="D11448" t="s">
        <v>22</v>
      </c>
      <c r="E11448">
        <v>1</v>
      </c>
    </row>
    <row r="11449" spans="1:5" x14ac:dyDescent="0.25">
      <c r="A11449">
        <v>11448</v>
      </c>
      <c r="B11449">
        <v>1247849</v>
      </c>
      <c r="C11449" s="1" t="str">
        <f>HYPERLINK("http://stackoverflow.com/users/1247849", "Wu Huajie")</f>
        <v>Wu Huajie</v>
      </c>
      <c r="D11449" t="s">
        <v>4</v>
      </c>
      <c r="E11449">
        <v>1</v>
      </c>
    </row>
    <row r="11450" spans="1:5" x14ac:dyDescent="0.25">
      <c r="A11450">
        <v>11449</v>
      </c>
      <c r="B11450">
        <v>1247872</v>
      </c>
      <c r="C11450" s="1" t="str">
        <f>HYPERLINK("http://stackoverflow.com/users/1247872", "taurenshaman")</f>
        <v>taurenshaman</v>
      </c>
      <c r="D11450" t="s">
        <v>12</v>
      </c>
      <c r="E11450">
        <v>1</v>
      </c>
    </row>
    <row r="11451" spans="1:5" x14ac:dyDescent="0.25">
      <c r="A11451">
        <v>11450</v>
      </c>
      <c r="B11451">
        <v>1248196</v>
      </c>
      <c r="C11451" s="1" t="str">
        <f>HYPERLINK("http://stackoverflow.com/users/1248196", "Li Jianping")</f>
        <v>Li Jianping</v>
      </c>
      <c r="D11451" t="s">
        <v>54</v>
      </c>
      <c r="E11451">
        <v>1</v>
      </c>
    </row>
    <row r="11452" spans="1:5" x14ac:dyDescent="0.25">
      <c r="A11452">
        <v>11451</v>
      </c>
      <c r="B11452">
        <v>1248233</v>
      </c>
      <c r="C11452" s="1" t="str">
        <f>HYPERLINK("http://stackoverflow.com/users/1248233", "Cosmos")</f>
        <v>Cosmos</v>
      </c>
      <c r="D11452" t="s">
        <v>4</v>
      </c>
      <c r="E11452">
        <v>1</v>
      </c>
    </row>
    <row r="11453" spans="1:5" x14ac:dyDescent="0.25">
      <c r="A11453">
        <v>11452</v>
      </c>
      <c r="B11453">
        <v>3167556</v>
      </c>
      <c r="C11453" s="1" t="str">
        <f>HYPERLINK("http://stackoverflow.com/users/3167556", "Zak Elkhachia")</f>
        <v>Zak Elkhachia</v>
      </c>
      <c r="D11453" t="s">
        <v>5</v>
      </c>
      <c r="E11453">
        <v>1</v>
      </c>
    </row>
    <row r="11454" spans="1:5" x14ac:dyDescent="0.25">
      <c r="A11454">
        <v>11453</v>
      </c>
      <c r="B11454">
        <v>3171534</v>
      </c>
      <c r="C11454" s="1" t="str">
        <f>HYPERLINK("http://stackoverflow.com/users/3171534", "Qiang")</f>
        <v>Qiang</v>
      </c>
      <c r="D11454" t="s">
        <v>4</v>
      </c>
      <c r="E11454">
        <v>1</v>
      </c>
    </row>
    <row r="11455" spans="1:5" x14ac:dyDescent="0.25">
      <c r="A11455">
        <v>11454</v>
      </c>
      <c r="B11455">
        <v>1249237</v>
      </c>
      <c r="C11455" s="1" t="str">
        <f>HYPERLINK("http://stackoverflow.com/users/1249237", "Adrian Peng")</f>
        <v>Adrian Peng</v>
      </c>
      <c r="D11455" t="s">
        <v>5</v>
      </c>
      <c r="E11455">
        <v>1</v>
      </c>
    </row>
    <row r="11456" spans="1:5" x14ac:dyDescent="0.25">
      <c r="A11456">
        <v>11455</v>
      </c>
      <c r="B11456">
        <v>1249591</v>
      </c>
      <c r="C11456" s="1" t="str">
        <f>HYPERLINK("http://stackoverflow.com/users/1249591", "user1249591")</f>
        <v>user1249591</v>
      </c>
      <c r="D11456" t="s">
        <v>4</v>
      </c>
      <c r="E11456">
        <v>1</v>
      </c>
    </row>
    <row r="11457" spans="1:5" x14ac:dyDescent="0.25">
      <c r="A11457">
        <v>11456</v>
      </c>
      <c r="B11457">
        <v>1249638</v>
      </c>
      <c r="C11457" s="1" t="str">
        <f>HYPERLINK("http://stackoverflow.com/users/1249638", "王大力")</f>
        <v>王大力</v>
      </c>
      <c r="D11457" t="s">
        <v>5</v>
      </c>
      <c r="E11457">
        <v>1</v>
      </c>
    </row>
    <row r="11458" spans="1:5" x14ac:dyDescent="0.25">
      <c r="A11458">
        <v>11457</v>
      </c>
      <c r="B11458">
        <v>10394459</v>
      </c>
      <c r="C11458" s="1" t="str">
        <f>HYPERLINK("http://stackoverflow.com/users/10394459", "wuc")</f>
        <v>wuc</v>
      </c>
      <c r="D11458" t="s">
        <v>78</v>
      </c>
      <c r="E11458">
        <v>1</v>
      </c>
    </row>
    <row r="11459" spans="1:5" x14ac:dyDescent="0.25">
      <c r="A11459">
        <v>11458</v>
      </c>
      <c r="B11459">
        <v>10394498</v>
      </c>
      <c r="C11459" s="1" t="str">
        <f>HYPERLINK("http://stackoverflow.com/users/10394498", "Cube Snorlax")</f>
        <v>Cube Snorlax</v>
      </c>
      <c r="D11459" t="s">
        <v>622</v>
      </c>
      <c r="E11459">
        <v>1</v>
      </c>
    </row>
    <row r="11460" spans="1:5" x14ac:dyDescent="0.25">
      <c r="A11460">
        <v>11459</v>
      </c>
      <c r="B11460">
        <v>3213592</v>
      </c>
      <c r="C11460" s="1" t="str">
        <f>HYPERLINK("http://stackoverflow.com/users/3213592", "Veidt")</f>
        <v>Veidt</v>
      </c>
      <c r="D11460" t="s">
        <v>12</v>
      </c>
      <c r="E11460">
        <v>1</v>
      </c>
    </row>
    <row r="11461" spans="1:5" x14ac:dyDescent="0.25">
      <c r="A11461">
        <v>11460</v>
      </c>
      <c r="B11461">
        <v>3213629</v>
      </c>
      <c r="C11461" s="1" t="str">
        <f>HYPERLINK("http://stackoverflow.com/users/3213629", "dragon.li.chen")</f>
        <v>dragon.li.chen</v>
      </c>
      <c r="D11461" t="s">
        <v>8</v>
      </c>
      <c r="E11461">
        <v>1</v>
      </c>
    </row>
    <row r="11462" spans="1:5" x14ac:dyDescent="0.25">
      <c r="A11462">
        <v>11461</v>
      </c>
      <c r="B11462">
        <v>3213820</v>
      </c>
      <c r="C11462" s="1" t="str">
        <f>HYPERLINK("http://stackoverflow.com/users/3213820", "Jie-Yuan Lee")</f>
        <v>Jie-Yuan Lee</v>
      </c>
      <c r="D11462" t="s">
        <v>4</v>
      </c>
      <c r="E11462">
        <v>1</v>
      </c>
    </row>
    <row r="11463" spans="1:5" x14ac:dyDescent="0.25">
      <c r="A11463">
        <v>11462</v>
      </c>
      <c r="B11463">
        <v>3214166</v>
      </c>
      <c r="C11463" s="1" t="str">
        <f>HYPERLINK("http://stackoverflow.com/users/3214166", "wxfred")</f>
        <v>wxfred</v>
      </c>
      <c r="D11463" t="s">
        <v>22</v>
      </c>
      <c r="E11463">
        <v>1</v>
      </c>
    </row>
    <row r="11464" spans="1:5" x14ac:dyDescent="0.25">
      <c r="A11464">
        <v>11463</v>
      </c>
      <c r="B11464">
        <v>3214213</v>
      </c>
      <c r="C11464" s="1" t="str">
        <f>HYPERLINK("http://stackoverflow.com/users/3214213", "qingyi")</f>
        <v>qingyi</v>
      </c>
      <c r="D11464" t="s">
        <v>5</v>
      </c>
      <c r="E11464">
        <v>1</v>
      </c>
    </row>
    <row r="11465" spans="1:5" x14ac:dyDescent="0.25">
      <c r="A11465">
        <v>11464</v>
      </c>
      <c r="B11465">
        <v>3217330</v>
      </c>
      <c r="C11465" s="1" t="str">
        <f>HYPERLINK("http://stackoverflow.com/users/3217330", "f3ng14")</f>
        <v>f3ng14</v>
      </c>
      <c r="D11465" t="s">
        <v>4</v>
      </c>
      <c r="E11465">
        <v>1</v>
      </c>
    </row>
    <row r="11466" spans="1:5" x14ac:dyDescent="0.25">
      <c r="A11466">
        <v>11465</v>
      </c>
      <c r="B11466">
        <v>3217597</v>
      </c>
      <c r="C11466" s="1" t="str">
        <f>HYPERLINK("http://stackoverflow.com/users/3217597", "Jekin")</f>
        <v>Jekin</v>
      </c>
      <c r="D11466" t="s">
        <v>21</v>
      </c>
      <c r="E11466">
        <v>1</v>
      </c>
    </row>
    <row r="11467" spans="1:5" x14ac:dyDescent="0.25">
      <c r="A11467">
        <v>11466</v>
      </c>
      <c r="B11467">
        <v>1320031</v>
      </c>
      <c r="C11467" s="1" t="str">
        <f>HYPERLINK("http://stackoverflow.com/users/1320031", "Loocor")</f>
        <v>Loocor</v>
      </c>
      <c r="D11467" t="s">
        <v>366</v>
      </c>
      <c r="E11467">
        <v>1</v>
      </c>
    </row>
    <row r="11468" spans="1:5" x14ac:dyDescent="0.25">
      <c r="A11468">
        <v>11467</v>
      </c>
      <c r="B11468">
        <v>1319939</v>
      </c>
      <c r="C11468" s="1" t="str">
        <f>HYPERLINK("http://stackoverflow.com/users/1319939", "Charles_Xiong")</f>
        <v>Charles_Xiong</v>
      </c>
      <c r="D11468" t="s">
        <v>5</v>
      </c>
      <c r="E11468">
        <v>1</v>
      </c>
    </row>
    <row r="11469" spans="1:5" x14ac:dyDescent="0.25">
      <c r="A11469">
        <v>11468</v>
      </c>
      <c r="B11469">
        <v>1321492</v>
      </c>
      <c r="C11469" s="1" t="str">
        <f>HYPERLINK("http://stackoverflow.com/users/1321492", "robinw")</f>
        <v>robinw</v>
      </c>
      <c r="D11469" t="s">
        <v>4</v>
      </c>
      <c r="E11469">
        <v>1</v>
      </c>
    </row>
    <row r="11470" spans="1:5" x14ac:dyDescent="0.25">
      <c r="A11470">
        <v>11469</v>
      </c>
      <c r="B11470">
        <v>1321582</v>
      </c>
      <c r="C11470" s="1" t="str">
        <f>HYPERLINK("http://stackoverflow.com/users/1321582", "kunkka.wu")</f>
        <v>kunkka.wu</v>
      </c>
      <c r="D11470" t="s">
        <v>4</v>
      </c>
      <c r="E11470">
        <v>1</v>
      </c>
    </row>
    <row r="11471" spans="1:5" x14ac:dyDescent="0.25">
      <c r="A11471">
        <v>11470</v>
      </c>
      <c r="B11471">
        <v>1327890</v>
      </c>
      <c r="C11471" s="1" t="str">
        <f>HYPERLINK("http://stackoverflow.com/users/1327890", "wuche")</f>
        <v>wuche</v>
      </c>
      <c r="D11471" t="s">
        <v>12</v>
      </c>
      <c r="E11471">
        <v>1</v>
      </c>
    </row>
    <row r="11472" spans="1:5" x14ac:dyDescent="0.25">
      <c r="A11472">
        <v>11471</v>
      </c>
      <c r="B11472">
        <v>1328592</v>
      </c>
      <c r="C11472" s="1" t="str">
        <f>HYPERLINK("http://stackoverflow.com/users/1328592", "Jun Zhang")</f>
        <v>Jun Zhang</v>
      </c>
      <c r="D11472" t="s">
        <v>5</v>
      </c>
      <c r="E11472">
        <v>1</v>
      </c>
    </row>
    <row r="11473" spans="1:5" x14ac:dyDescent="0.25">
      <c r="A11473">
        <v>11472</v>
      </c>
      <c r="B11473">
        <v>8588211</v>
      </c>
      <c r="C11473" s="1" t="str">
        <f>HYPERLINK("http://stackoverflow.com/users/8588211", "wang ming")</f>
        <v>wang ming</v>
      </c>
      <c r="D11473" t="s">
        <v>320</v>
      </c>
      <c r="E11473">
        <v>1</v>
      </c>
    </row>
    <row r="11474" spans="1:5" x14ac:dyDescent="0.25">
      <c r="A11474">
        <v>11473</v>
      </c>
      <c r="B11474">
        <v>8588256</v>
      </c>
      <c r="C11474" s="1" t="str">
        <f>HYPERLINK("http://stackoverflow.com/users/8588256", "veichang")</f>
        <v>veichang</v>
      </c>
      <c r="D11474" t="s">
        <v>5</v>
      </c>
      <c r="E11474">
        <v>1</v>
      </c>
    </row>
    <row r="11475" spans="1:5" x14ac:dyDescent="0.25">
      <c r="A11475">
        <v>11474</v>
      </c>
      <c r="B11475">
        <v>1320057</v>
      </c>
      <c r="C11475" s="1" t="str">
        <f>HYPERLINK("http://stackoverflow.com/users/1320057", "Belliedmonkey")</f>
        <v>Belliedmonkey</v>
      </c>
      <c r="D11475" t="s">
        <v>12</v>
      </c>
      <c r="E11475">
        <v>1</v>
      </c>
    </row>
    <row r="11476" spans="1:5" x14ac:dyDescent="0.25">
      <c r="A11476">
        <v>11475</v>
      </c>
      <c r="B11476">
        <v>6756031</v>
      </c>
      <c r="C11476" s="1" t="str">
        <f>HYPERLINK("http://stackoverflow.com/users/6756031", "weida")</f>
        <v>weida</v>
      </c>
      <c r="D11476" t="s">
        <v>4</v>
      </c>
      <c r="E11476">
        <v>1</v>
      </c>
    </row>
    <row r="11477" spans="1:5" x14ac:dyDescent="0.25">
      <c r="A11477">
        <v>11476</v>
      </c>
      <c r="B11477">
        <v>5036405</v>
      </c>
      <c r="C11477" s="1" t="str">
        <f>HYPERLINK("http://stackoverflow.com/users/5036405", "ericdiao")</f>
        <v>ericdiao</v>
      </c>
      <c r="D11477" t="s">
        <v>4</v>
      </c>
      <c r="E11477">
        <v>1</v>
      </c>
    </row>
    <row r="11478" spans="1:5" x14ac:dyDescent="0.25">
      <c r="A11478">
        <v>11477</v>
      </c>
      <c r="B11478">
        <v>10391016</v>
      </c>
      <c r="C11478" s="1" t="str">
        <f>HYPERLINK("http://stackoverflow.com/users/10391016", "Little Monster")</f>
        <v>Little Monster</v>
      </c>
      <c r="D11478" t="s">
        <v>5</v>
      </c>
      <c r="E11478">
        <v>1</v>
      </c>
    </row>
    <row r="11479" spans="1:5" x14ac:dyDescent="0.25">
      <c r="A11479">
        <v>11478</v>
      </c>
      <c r="B11479">
        <v>10390455</v>
      </c>
      <c r="C11479" s="1" t="str">
        <f>HYPERLINK("http://stackoverflow.com/users/10390455", "Liu Jason")</f>
        <v>Liu Jason</v>
      </c>
      <c r="D11479" t="s">
        <v>4</v>
      </c>
      <c r="E11479">
        <v>1</v>
      </c>
    </row>
    <row r="11480" spans="1:5" x14ac:dyDescent="0.25">
      <c r="A11480">
        <v>11479</v>
      </c>
      <c r="B11480">
        <v>10390532</v>
      </c>
      <c r="C11480" s="1" t="str">
        <f>HYPERLINK("http://stackoverflow.com/users/10390532", "F.Zhao")</f>
        <v>F.Zhao</v>
      </c>
      <c r="D11480" t="s">
        <v>5</v>
      </c>
      <c r="E11480">
        <v>1</v>
      </c>
    </row>
    <row r="11481" spans="1:5" x14ac:dyDescent="0.25">
      <c r="A11481">
        <v>11480</v>
      </c>
      <c r="B11481">
        <v>6742093</v>
      </c>
      <c r="C11481" s="1" t="str">
        <f>HYPERLINK("http://stackoverflow.com/users/6742093", "Ed Wios")</f>
        <v>Ed Wios</v>
      </c>
      <c r="D11481" t="s">
        <v>4</v>
      </c>
      <c r="E11481">
        <v>1</v>
      </c>
    </row>
    <row r="11482" spans="1:5" x14ac:dyDescent="0.25">
      <c r="A11482">
        <v>11481</v>
      </c>
      <c r="B11482">
        <v>5018481</v>
      </c>
      <c r="C11482" s="1" t="str">
        <f>HYPERLINK("http://stackoverflow.com/users/5018481", "ONLY_LTY")</f>
        <v>ONLY_LTY</v>
      </c>
      <c r="D11482" t="s">
        <v>5</v>
      </c>
      <c r="E11482">
        <v>1</v>
      </c>
    </row>
    <row r="11483" spans="1:5" x14ac:dyDescent="0.25">
      <c r="A11483">
        <v>11482</v>
      </c>
      <c r="B11483">
        <v>6745121</v>
      </c>
      <c r="C11483" s="1" t="str">
        <f>HYPERLINK("http://stackoverflow.com/users/6745121", "王天丰")</f>
        <v>王天丰</v>
      </c>
      <c r="D11483" t="s">
        <v>5</v>
      </c>
      <c r="E11483">
        <v>1</v>
      </c>
    </row>
    <row r="11484" spans="1:5" x14ac:dyDescent="0.25">
      <c r="A11484">
        <v>11483</v>
      </c>
      <c r="B11484">
        <v>6745635</v>
      </c>
      <c r="C11484" s="1" t="str">
        <f>HYPERLINK("http://stackoverflow.com/users/6745635", "仇宏磊")</f>
        <v>仇宏磊</v>
      </c>
      <c r="D11484" t="s">
        <v>623</v>
      </c>
      <c r="E11484">
        <v>1</v>
      </c>
    </row>
    <row r="11485" spans="1:5" x14ac:dyDescent="0.25">
      <c r="A11485">
        <v>11484</v>
      </c>
      <c r="B11485">
        <v>3211437</v>
      </c>
      <c r="C11485" s="1" t="str">
        <f>HYPERLINK("http://stackoverflow.com/users/3211437", "David")</f>
        <v>David</v>
      </c>
      <c r="D11485" t="s">
        <v>12</v>
      </c>
      <c r="E11485">
        <v>1</v>
      </c>
    </row>
    <row r="11486" spans="1:5" x14ac:dyDescent="0.25">
      <c r="A11486">
        <v>11485</v>
      </c>
      <c r="B11486">
        <v>8577732</v>
      </c>
      <c r="C11486" s="1" t="str">
        <f>HYPERLINK("http://stackoverflow.com/users/8577732", "zmlu")</f>
        <v>zmlu</v>
      </c>
      <c r="D11486" t="s">
        <v>114</v>
      </c>
      <c r="E11486">
        <v>1</v>
      </c>
    </row>
    <row r="11487" spans="1:5" x14ac:dyDescent="0.25">
      <c r="A11487">
        <v>11486</v>
      </c>
      <c r="B11487">
        <v>8577734</v>
      </c>
      <c r="C11487" s="1" t="str">
        <f>HYPERLINK("http://stackoverflow.com/users/8577734", "JingxuanZhang")</f>
        <v>JingxuanZhang</v>
      </c>
      <c r="D11487" t="s">
        <v>131</v>
      </c>
      <c r="E11487">
        <v>1</v>
      </c>
    </row>
    <row r="11488" spans="1:5" x14ac:dyDescent="0.25">
      <c r="A11488">
        <v>11487</v>
      </c>
      <c r="B11488">
        <v>8577852</v>
      </c>
      <c r="C11488" s="1" t="str">
        <f>HYPERLINK("http://stackoverflow.com/users/8577852", "Jeff Zhu")</f>
        <v>Jeff Zhu</v>
      </c>
      <c r="D11488" t="s">
        <v>4</v>
      </c>
      <c r="E11488">
        <v>1</v>
      </c>
    </row>
    <row r="11489" spans="1:5" x14ac:dyDescent="0.25">
      <c r="A11489">
        <v>11488</v>
      </c>
      <c r="B11489">
        <v>8577941</v>
      </c>
      <c r="C11489" s="1" t="str">
        <f>HYPERLINK("http://stackoverflow.com/users/8577941", "Marquis")</f>
        <v>Marquis</v>
      </c>
      <c r="D11489" t="s">
        <v>59</v>
      </c>
      <c r="E11489">
        <v>1</v>
      </c>
    </row>
    <row r="11490" spans="1:5" x14ac:dyDescent="0.25">
      <c r="A11490">
        <v>11489</v>
      </c>
      <c r="B11490">
        <v>8578217</v>
      </c>
      <c r="C11490" s="1" t="str">
        <f>HYPERLINK("http://stackoverflow.com/users/8578217", "Hao Zhan")</f>
        <v>Hao Zhan</v>
      </c>
      <c r="D11490" t="s">
        <v>4</v>
      </c>
      <c r="E11490">
        <v>1</v>
      </c>
    </row>
    <row r="11491" spans="1:5" x14ac:dyDescent="0.25">
      <c r="A11491">
        <v>11490</v>
      </c>
      <c r="B11491">
        <v>8578373</v>
      </c>
      <c r="C11491" s="1" t="str">
        <f>HYPERLINK("http://stackoverflow.com/users/8578373", "Leo Lei")</f>
        <v>Leo Lei</v>
      </c>
      <c r="D11491" t="s">
        <v>16</v>
      </c>
      <c r="E11491">
        <v>1</v>
      </c>
    </row>
    <row r="11492" spans="1:5" x14ac:dyDescent="0.25">
      <c r="A11492">
        <v>11491</v>
      </c>
      <c r="B11492">
        <v>8561726</v>
      </c>
      <c r="C11492" s="1" t="str">
        <f>HYPERLINK("http://stackoverflow.com/users/8561726", "Xiaoxing DONG")</f>
        <v>Xiaoxing DONG</v>
      </c>
      <c r="D11492" t="s">
        <v>43</v>
      </c>
      <c r="E11492">
        <v>1</v>
      </c>
    </row>
    <row r="11493" spans="1:5" x14ac:dyDescent="0.25">
      <c r="A11493">
        <v>11492</v>
      </c>
      <c r="B11493">
        <v>3196307</v>
      </c>
      <c r="C11493" s="1" t="str">
        <f>HYPERLINK("http://stackoverflow.com/users/3196307", "zsf2014")</f>
        <v>zsf2014</v>
      </c>
      <c r="D11493" t="s">
        <v>12</v>
      </c>
      <c r="E11493">
        <v>1</v>
      </c>
    </row>
    <row r="11494" spans="1:5" x14ac:dyDescent="0.25">
      <c r="A11494">
        <v>11493</v>
      </c>
      <c r="B11494">
        <v>3196561</v>
      </c>
      <c r="C11494" s="1" t="str">
        <f>HYPERLINK("http://stackoverflow.com/users/3196561", "wxf0701")</f>
        <v>wxf0701</v>
      </c>
      <c r="D11494" t="s">
        <v>5</v>
      </c>
      <c r="E11494">
        <v>1</v>
      </c>
    </row>
    <row r="11495" spans="1:5" x14ac:dyDescent="0.25">
      <c r="A11495">
        <v>11494</v>
      </c>
      <c r="B11495">
        <v>3196647</v>
      </c>
      <c r="C11495" s="1" t="str">
        <f>HYPERLINK("http://stackoverflow.com/users/3196647", "xjq284")</f>
        <v>xjq284</v>
      </c>
      <c r="D11495" t="s">
        <v>17</v>
      </c>
      <c r="E11495">
        <v>1</v>
      </c>
    </row>
    <row r="11496" spans="1:5" x14ac:dyDescent="0.25">
      <c r="A11496">
        <v>11495</v>
      </c>
      <c r="B11496">
        <v>10374614</v>
      </c>
      <c r="C11496" s="1" t="str">
        <f>HYPERLINK("http://stackoverflow.com/users/10374614", "guxiangfly")</f>
        <v>guxiangfly</v>
      </c>
      <c r="D11496" t="s">
        <v>4</v>
      </c>
      <c r="E11496">
        <v>1</v>
      </c>
    </row>
    <row r="11497" spans="1:5" x14ac:dyDescent="0.25">
      <c r="A11497">
        <v>11496</v>
      </c>
      <c r="B11497">
        <v>10375069</v>
      </c>
      <c r="C11497" s="1" t="str">
        <f>HYPERLINK("http://stackoverflow.com/users/10375069", "Zhou fang")</f>
        <v>Zhou fang</v>
      </c>
      <c r="D11497" t="s">
        <v>7</v>
      </c>
      <c r="E11497">
        <v>1</v>
      </c>
    </row>
    <row r="11498" spans="1:5" x14ac:dyDescent="0.25">
      <c r="A11498">
        <v>11497</v>
      </c>
      <c r="B11498">
        <v>10375327</v>
      </c>
      <c r="C11498" s="1" t="str">
        <f>HYPERLINK("http://stackoverflow.com/users/10375327", "young")</f>
        <v>young</v>
      </c>
      <c r="D11498" t="s">
        <v>5</v>
      </c>
      <c r="E11498">
        <v>1</v>
      </c>
    </row>
    <row r="11499" spans="1:5" x14ac:dyDescent="0.25">
      <c r="A11499">
        <v>11498</v>
      </c>
      <c r="B11499">
        <v>10383302</v>
      </c>
      <c r="C11499" s="1" t="str">
        <f>HYPERLINK("http://stackoverflow.com/users/10383302", "matt_wang")</f>
        <v>matt_wang</v>
      </c>
      <c r="D11499" t="s">
        <v>146</v>
      </c>
      <c r="E11499">
        <v>1</v>
      </c>
    </row>
    <row r="11500" spans="1:5" x14ac:dyDescent="0.25">
      <c r="A11500">
        <v>11499</v>
      </c>
      <c r="B11500">
        <v>5015422</v>
      </c>
      <c r="C11500" s="1" t="str">
        <f>HYPERLINK("http://stackoverflow.com/users/5015422", "wanzhou")</f>
        <v>wanzhou</v>
      </c>
      <c r="D11500" t="s">
        <v>37</v>
      </c>
      <c r="E11500">
        <v>1</v>
      </c>
    </row>
    <row r="11501" spans="1:5" x14ac:dyDescent="0.25">
      <c r="A11501">
        <v>11500</v>
      </c>
      <c r="B11501">
        <v>10386860</v>
      </c>
      <c r="C11501" s="1" t="str">
        <f>HYPERLINK("http://stackoverflow.com/users/10386860", "姚晓超")</f>
        <v>姚晓超</v>
      </c>
      <c r="D11501" t="s">
        <v>67</v>
      </c>
      <c r="E11501">
        <v>1</v>
      </c>
    </row>
    <row r="11502" spans="1:5" x14ac:dyDescent="0.25">
      <c r="A11502">
        <v>11501</v>
      </c>
      <c r="B11502">
        <v>8573411</v>
      </c>
      <c r="C11502" s="1" t="str">
        <f>HYPERLINK("http://stackoverflow.com/users/8573411", "Windy Cross DavidTK")</f>
        <v>Windy Cross DavidTK</v>
      </c>
      <c r="D11502" t="s">
        <v>16</v>
      </c>
      <c r="E11502">
        <v>1</v>
      </c>
    </row>
    <row r="11503" spans="1:5" x14ac:dyDescent="0.25">
      <c r="A11503">
        <v>11502</v>
      </c>
      <c r="B11503">
        <v>8573975</v>
      </c>
      <c r="C11503" s="1" t="str">
        <f>HYPERLINK("http://stackoverflow.com/users/8573975", "rubble")</f>
        <v>rubble</v>
      </c>
      <c r="D11503" t="s">
        <v>120</v>
      </c>
      <c r="E11503">
        <v>1</v>
      </c>
    </row>
    <row r="11504" spans="1:5" x14ac:dyDescent="0.25">
      <c r="A11504">
        <v>11503</v>
      </c>
      <c r="B11504">
        <v>8574065</v>
      </c>
      <c r="C11504" s="1" t="str">
        <f>HYPERLINK("http://stackoverflow.com/users/8574065", "xty")</f>
        <v>xty</v>
      </c>
      <c r="D11504" t="s">
        <v>440</v>
      </c>
      <c r="E11504">
        <v>1</v>
      </c>
    </row>
    <row r="11505" spans="1:5" x14ac:dyDescent="0.25">
      <c r="A11505">
        <v>11504</v>
      </c>
      <c r="B11505">
        <v>5008423</v>
      </c>
      <c r="C11505" s="1" t="str">
        <f>HYPERLINK("http://stackoverflow.com/users/5008423", "YufeiLi")</f>
        <v>YufeiLi</v>
      </c>
      <c r="D11505" t="s">
        <v>4</v>
      </c>
      <c r="E11505">
        <v>1</v>
      </c>
    </row>
    <row r="11506" spans="1:5" x14ac:dyDescent="0.25">
      <c r="A11506">
        <v>11505</v>
      </c>
      <c r="B11506">
        <v>1280319</v>
      </c>
      <c r="C11506" s="1" t="str">
        <f>HYPERLINK("http://stackoverflow.com/users/1280319", "tangfl")</f>
        <v>tangfl</v>
      </c>
      <c r="D11506" t="s">
        <v>5</v>
      </c>
      <c r="E11506">
        <v>1</v>
      </c>
    </row>
    <row r="11507" spans="1:5" x14ac:dyDescent="0.25">
      <c r="A11507">
        <v>11506</v>
      </c>
      <c r="B11507">
        <v>1227310</v>
      </c>
      <c r="C11507" s="1" t="str">
        <f>HYPERLINK("http://stackoverflow.com/users/1227310", "Joe")</f>
        <v>Joe</v>
      </c>
      <c r="D11507" t="s">
        <v>291</v>
      </c>
      <c r="E11507">
        <v>1</v>
      </c>
    </row>
    <row r="11508" spans="1:5" x14ac:dyDescent="0.25">
      <c r="A11508">
        <v>11507</v>
      </c>
      <c r="B11508">
        <v>3150369</v>
      </c>
      <c r="C11508" s="1" t="str">
        <f>HYPERLINK("http://stackoverflow.com/users/3150369", "barrylee")</f>
        <v>barrylee</v>
      </c>
      <c r="D11508" t="s">
        <v>4</v>
      </c>
      <c r="E11508">
        <v>1</v>
      </c>
    </row>
    <row r="11509" spans="1:5" x14ac:dyDescent="0.25">
      <c r="A11509">
        <v>11508</v>
      </c>
      <c r="B11509">
        <v>1227683</v>
      </c>
      <c r="C11509" s="1" t="str">
        <f>HYPERLINK("http://stackoverflow.com/users/1227683", "Lei Wong")</f>
        <v>Lei Wong</v>
      </c>
      <c r="D11509" t="s">
        <v>5</v>
      </c>
      <c r="E11509">
        <v>1</v>
      </c>
    </row>
    <row r="11510" spans="1:5" x14ac:dyDescent="0.25">
      <c r="A11510">
        <v>11509</v>
      </c>
      <c r="B11510">
        <v>1227858</v>
      </c>
      <c r="C11510" s="1" t="str">
        <f>HYPERLINK("http://stackoverflow.com/users/1227858", "King")</f>
        <v>King</v>
      </c>
      <c r="D11510" t="s">
        <v>17</v>
      </c>
      <c r="E11510">
        <v>1</v>
      </c>
    </row>
    <row r="11511" spans="1:5" x14ac:dyDescent="0.25">
      <c r="A11511">
        <v>11510</v>
      </c>
      <c r="B11511">
        <v>1227334</v>
      </c>
      <c r="C11511" s="1" t="str">
        <f>HYPERLINK("http://stackoverflow.com/users/1227334", "haimingli")</f>
        <v>haimingli</v>
      </c>
      <c r="D11511" t="s">
        <v>21</v>
      </c>
      <c r="E11511">
        <v>1</v>
      </c>
    </row>
    <row r="11512" spans="1:5" x14ac:dyDescent="0.25">
      <c r="A11512">
        <v>11511</v>
      </c>
      <c r="B11512">
        <v>10336321</v>
      </c>
      <c r="C11512" s="1" t="str">
        <f>HYPERLINK("http://stackoverflow.com/users/10336321", "Yizheng")</f>
        <v>Yizheng</v>
      </c>
      <c r="D11512" t="s">
        <v>4</v>
      </c>
      <c r="E11512">
        <v>1</v>
      </c>
    </row>
    <row r="11513" spans="1:5" x14ac:dyDescent="0.25">
      <c r="A11513">
        <v>11512</v>
      </c>
      <c r="B11513">
        <v>8526352</v>
      </c>
      <c r="C11513" s="1" t="str">
        <f>HYPERLINK("http://stackoverflow.com/users/8526352", "Jacky Hung")</f>
        <v>Jacky Hung</v>
      </c>
      <c r="D11513" t="s">
        <v>47</v>
      </c>
      <c r="E11513">
        <v>1</v>
      </c>
    </row>
    <row r="11514" spans="1:5" x14ac:dyDescent="0.25">
      <c r="A11514">
        <v>11513</v>
      </c>
      <c r="B11514">
        <v>8526489</v>
      </c>
      <c r="C11514" s="1" t="str">
        <f>HYPERLINK("http://stackoverflow.com/users/8526489", "Tian Feng")</f>
        <v>Tian Feng</v>
      </c>
      <c r="D11514" t="s">
        <v>624</v>
      </c>
      <c r="E11514">
        <v>1</v>
      </c>
    </row>
    <row r="11515" spans="1:5" x14ac:dyDescent="0.25">
      <c r="A11515">
        <v>11514</v>
      </c>
      <c r="B11515">
        <v>8526724</v>
      </c>
      <c r="C11515" s="1" t="str">
        <f>HYPERLINK("http://stackoverflow.com/users/8526724", "DarrenZ")</f>
        <v>DarrenZ</v>
      </c>
      <c r="D11515" t="s">
        <v>5</v>
      </c>
      <c r="E11515">
        <v>1</v>
      </c>
    </row>
    <row r="11516" spans="1:5" x14ac:dyDescent="0.25">
      <c r="A11516">
        <v>11515</v>
      </c>
      <c r="B11516">
        <v>8526789</v>
      </c>
      <c r="C11516" s="1" t="str">
        <f>HYPERLINK("http://stackoverflow.com/users/8526789", "FunGu")</f>
        <v>FunGu</v>
      </c>
      <c r="D11516" t="s">
        <v>7</v>
      </c>
      <c r="E11516">
        <v>1</v>
      </c>
    </row>
    <row r="11517" spans="1:5" x14ac:dyDescent="0.25">
      <c r="A11517">
        <v>11516</v>
      </c>
      <c r="B11517">
        <v>10339845</v>
      </c>
      <c r="C11517" s="1" t="str">
        <f>HYPERLINK("http://stackoverflow.com/users/10339845", "Bin Zhan")</f>
        <v>Bin Zhan</v>
      </c>
      <c r="D11517" t="s">
        <v>16</v>
      </c>
      <c r="E11517">
        <v>1</v>
      </c>
    </row>
    <row r="11518" spans="1:5" x14ac:dyDescent="0.25">
      <c r="A11518">
        <v>11517</v>
      </c>
      <c r="B11518">
        <v>10339864</v>
      </c>
      <c r="C11518" s="1" t="str">
        <f>HYPERLINK("http://stackoverflow.com/users/10339864", "Tsou")</f>
        <v>Tsou</v>
      </c>
      <c r="D11518" t="s">
        <v>42</v>
      </c>
      <c r="E11518">
        <v>1</v>
      </c>
    </row>
    <row r="11519" spans="1:5" x14ac:dyDescent="0.25">
      <c r="A11519">
        <v>11518</v>
      </c>
      <c r="B11519">
        <v>10340184</v>
      </c>
      <c r="C11519" s="1" t="str">
        <f>HYPERLINK("http://stackoverflow.com/users/10340184", "chenchen")</f>
        <v>chenchen</v>
      </c>
      <c r="D11519" t="s">
        <v>79</v>
      </c>
      <c r="E11519">
        <v>1</v>
      </c>
    </row>
    <row r="11520" spans="1:5" x14ac:dyDescent="0.25">
      <c r="A11520">
        <v>11519</v>
      </c>
      <c r="B11520">
        <v>10340225</v>
      </c>
      <c r="C11520" s="1" t="str">
        <f>HYPERLINK("http://stackoverflow.com/users/10340225", "Lily")</f>
        <v>Lily</v>
      </c>
      <c r="D11520" t="s">
        <v>55</v>
      </c>
      <c r="E11520">
        <v>1</v>
      </c>
    </row>
    <row r="11521" spans="1:5" x14ac:dyDescent="0.25">
      <c r="A11521">
        <v>11520</v>
      </c>
      <c r="B11521">
        <v>4964623</v>
      </c>
      <c r="C11521" s="1" t="str">
        <f>HYPERLINK("http://stackoverflow.com/users/4964623", "fangs")</f>
        <v>fangs</v>
      </c>
      <c r="D11521" t="s">
        <v>5</v>
      </c>
      <c r="E11521">
        <v>1</v>
      </c>
    </row>
    <row r="11522" spans="1:5" x14ac:dyDescent="0.25">
      <c r="A11522">
        <v>11521</v>
      </c>
      <c r="B11522">
        <v>4967657</v>
      </c>
      <c r="C11522" s="1" t="str">
        <f>HYPERLINK("http://stackoverflow.com/users/4967657", "GourdErwa")</f>
        <v>GourdErwa</v>
      </c>
      <c r="D11522" t="s">
        <v>5</v>
      </c>
      <c r="E11522">
        <v>1</v>
      </c>
    </row>
    <row r="11523" spans="1:5" x14ac:dyDescent="0.25">
      <c r="A11523">
        <v>11522</v>
      </c>
      <c r="B11523">
        <v>4971553</v>
      </c>
      <c r="C11523" s="1" t="str">
        <f>HYPERLINK("http://stackoverflow.com/users/4971553", "SWU spermary")</f>
        <v>SWU spermary</v>
      </c>
      <c r="D11523" t="s">
        <v>17</v>
      </c>
      <c r="E11523">
        <v>1</v>
      </c>
    </row>
    <row r="11524" spans="1:5" x14ac:dyDescent="0.25">
      <c r="A11524">
        <v>11523</v>
      </c>
      <c r="B11524">
        <v>10331348</v>
      </c>
      <c r="C11524" s="1" t="str">
        <f>HYPERLINK("http://stackoverflow.com/users/10331348", "NaJ1nTensor")</f>
        <v>NaJ1nTensor</v>
      </c>
      <c r="D11524" t="s">
        <v>27</v>
      </c>
      <c r="E11524">
        <v>1</v>
      </c>
    </row>
    <row r="11525" spans="1:5" x14ac:dyDescent="0.25">
      <c r="A11525">
        <v>11524</v>
      </c>
      <c r="B11525">
        <v>3153782</v>
      </c>
      <c r="C11525" s="1" t="str">
        <f>HYPERLINK("http://stackoverflow.com/users/3153782", "kthinker")</f>
        <v>kthinker</v>
      </c>
      <c r="D11525" t="s">
        <v>5</v>
      </c>
      <c r="E11525">
        <v>1</v>
      </c>
    </row>
    <row r="11526" spans="1:5" x14ac:dyDescent="0.25">
      <c r="A11526">
        <v>11525</v>
      </c>
      <c r="B11526">
        <v>3153827</v>
      </c>
      <c r="C11526" s="1" t="str">
        <f>HYPERLINK("http://stackoverflow.com/users/3153827", "Kaihao")</f>
        <v>Kaihao</v>
      </c>
      <c r="D11526" t="s">
        <v>5</v>
      </c>
      <c r="E11526">
        <v>1</v>
      </c>
    </row>
    <row r="11527" spans="1:5" x14ac:dyDescent="0.25">
      <c r="A11527">
        <v>11526</v>
      </c>
      <c r="B11527">
        <v>3153961</v>
      </c>
      <c r="C11527" s="1" t="str">
        <f>HYPERLINK("http://stackoverflow.com/users/3153961", "Alex Tang")</f>
        <v>Alex Tang</v>
      </c>
      <c r="D11527" t="s">
        <v>4</v>
      </c>
      <c r="E11527">
        <v>1</v>
      </c>
    </row>
    <row r="11528" spans="1:5" x14ac:dyDescent="0.25">
      <c r="A11528">
        <v>11527</v>
      </c>
      <c r="B11528">
        <v>8522727</v>
      </c>
      <c r="C11528" s="1" t="str">
        <f>HYPERLINK("http://stackoverflow.com/users/8522727", "Shadow.Lin")</f>
        <v>Shadow.Lin</v>
      </c>
      <c r="D11528" t="s">
        <v>16</v>
      </c>
      <c r="E11528">
        <v>1</v>
      </c>
    </row>
    <row r="11529" spans="1:5" x14ac:dyDescent="0.25">
      <c r="A11529">
        <v>11528</v>
      </c>
      <c r="B11529">
        <v>8522763</v>
      </c>
      <c r="C11529" s="1" t="str">
        <f>HYPERLINK("http://stackoverflow.com/users/8522763", "Guanwen Jiao")</f>
        <v>Guanwen Jiao</v>
      </c>
      <c r="D11529" t="s">
        <v>5</v>
      </c>
      <c r="E11529">
        <v>1</v>
      </c>
    </row>
    <row r="11530" spans="1:5" x14ac:dyDescent="0.25">
      <c r="A11530">
        <v>11529</v>
      </c>
      <c r="B11530">
        <v>1227215</v>
      </c>
      <c r="C11530" s="1" t="str">
        <f>HYPERLINK("http://stackoverflow.com/users/1227215", "Zack")</f>
        <v>Zack</v>
      </c>
      <c r="D11530" t="s">
        <v>291</v>
      </c>
      <c r="E11530">
        <v>1</v>
      </c>
    </row>
    <row r="11531" spans="1:5" x14ac:dyDescent="0.25">
      <c r="A11531">
        <v>11530</v>
      </c>
      <c r="B11531">
        <v>8536160</v>
      </c>
      <c r="C11531" s="1" t="str">
        <f>HYPERLINK("http://stackoverflow.com/users/8536160", "Salvador Huang")</f>
        <v>Salvador Huang</v>
      </c>
      <c r="D11531" t="s">
        <v>28</v>
      </c>
      <c r="E11531">
        <v>1</v>
      </c>
    </row>
    <row r="11532" spans="1:5" x14ac:dyDescent="0.25">
      <c r="A11532">
        <v>11531</v>
      </c>
      <c r="B11532">
        <v>8536345</v>
      </c>
      <c r="C11532" s="1" t="str">
        <f>HYPERLINK("http://stackoverflow.com/users/8536345", "linzhuwu")</f>
        <v>linzhuwu</v>
      </c>
      <c r="D11532" t="s">
        <v>7</v>
      </c>
      <c r="E11532">
        <v>1</v>
      </c>
    </row>
    <row r="11533" spans="1:5" x14ac:dyDescent="0.25">
      <c r="A11533">
        <v>11532</v>
      </c>
      <c r="B11533">
        <v>8536492</v>
      </c>
      <c r="C11533" s="1" t="str">
        <f>HYPERLINK("http://stackoverflow.com/users/8536492", "Maxine_24w")</f>
        <v>Maxine_24w</v>
      </c>
      <c r="D11533" t="s">
        <v>5</v>
      </c>
      <c r="E11533">
        <v>1</v>
      </c>
    </row>
    <row r="11534" spans="1:5" x14ac:dyDescent="0.25">
      <c r="A11534">
        <v>11533</v>
      </c>
      <c r="B11534">
        <v>8536603</v>
      </c>
      <c r="C11534" s="1" t="str">
        <f>HYPERLINK("http://stackoverflow.com/users/8536603", "Taek-In Jeong")</f>
        <v>Taek-In Jeong</v>
      </c>
      <c r="D11534" t="s">
        <v>4</v>
      </c>
      <c r="E11534">
        <v>1</v>
      </c>
    </row>
    <row r="11535" spans="1:5" x14ac:dyDescent="0.25">
      <c r="A11535">
        <v>11534</v>
      </c>
      <c r="B11535">
        <v>8536611</v>
      </c>
      <c r="C11535" s="1" t="str">
        <f>HYPERLINK("http://stackoverflow.com/users/8536611", "Sean  Huang")</f>
        <v>Sean  Huang</v>
      </c>
      <c r="D11535" t="s">
        <v>62</v>
      </c>
      <c r="E11535">
        <v>1</v>
      </c>
    </row>
    <row r="11536" spans="1:5" x14ac:dyDescent="0.25">
      <c r="A11536">
        <v>11535</v>
      </c>
      <c r="B11536">
        <v>8536618</v>
      </c>
      <c r="C11536" s="1" t="str">
        <f>HYPERLINK("http://stackoverflow.com/users/8536618", "James.Friman")</f>
        <v>James.Friman</v>
      </c>
      <c r="D11536" t="s">
        <v>16</v>
      </c>
      <c r="E11536">
        <v>1</v>
      </c>
    </row>
    <row r="11537" spans="1:5" x14ac:dyDescent="0.25">
      <c r="A11537">
        <v>11536</v>
      </c>
      <c r="B11537">
        <v>1241749</v>
      </c>
      <c r="C11537" s="1" t="str">
        <f>HYPERLINK("http://stackoverflow.com/users/1241749", "dull monkey")</f>
        <v>dull monkey</v>
      </c>
      <c r="D11537" t="s">
        <v>5</v>
      </c>
      <c r="E11537">
        <v>1</v>
      </c>
    </row>
    <row r="11538" spans="1:5" x14ac:dyDescent="0.25">
      <c r="A11538">
        <v>11537</v>
      </c>
      <c r="B11538">
        <v>1241930</v>
      </c>
      <c r="C11538" s="1" t="str">
        <f>HYPERLINK("http://stackoverflow.com/users/1241930", "Frank Yang")</f>
        <v>Frank Yang</v>
      </c>
      <c r="D11538" t="s">
        <v>8</v>
      </c>
      <c r="E11538">
        <v>1</v>
      </c>
    </row>
    <row r="11539" spans="1:5" x14ac:dyDescent="0.25">
      <c r="A11539">
        <v>11538</v>
      </c>
      <c r="B11539">
        <v>3162433</v>
      </c>
      <c r="C11539" s="1" t="str">
        <f>HYPERLINK("http://stackoverflow.com/users/3162433", "boy2000-007man")</f>
        <v>boy2000-007man</v>
      </c>
      <c r="D11539" t="s">
        <v>5</v>
      </c>
      <c r="E11539">
        <v>1</v>
      </c>
    </row>
    <row r="11540" spans="1:5" x14ac:dyDescent="0.25">
      <c r="A11540">
        <v>11539</v>
      </c>
      <c r="B11540">
        <v>3162469</v>
      </c>
      <c r="C11540" s="1" t="str">
        <f>HYPERLINK("http://stackoverflow.com/users/3162469", "win_lucky")</f>
        <v>win_lucky</v>
      </c>
      <c r="D11540" t="s">
        <v>5</v>
      </c>
      <c r="E11540">
        <v>1</v>
      </c>
    </row>
    <row r="11541" spans="1:5" x14ac:dyDescent="0.25">
      <c r="A11541">
        <v>11540</v>
      </c>
      <c r="B11541">
        <v>3162609</v>
      </c>
      <c r="C11541" s="1" t="str">
        <f>HYPERLINK("http://stackoverflow.com/users/3162609", "Zhiyong")</f>
        <v>Zhiyong</v>
      </c>
      <c r="D11541" t="s">
        <v>22</v>
      </c>
      <c r="E11541">
        <v>1</v>
      </c>
    </row>
    <row r="11542" spans="1:5" x14ac:dyDescent="0.25">
      <c r="A11542">
        <v>11541</v>
      </c>
      <c r="B11542">
        <v>3162639</v>
      </c>
      <c r="C11542" s="1" t="str">
        <f>HYPERLINK("http://stackoverflow.com/users/3162639", "Monkeycoderr")</f>
        <v>Monkeycoderr</v>
      </c>
      <c r="D11542" t="s">
        <v>17</v>
      </c>
      <c r="E11542">
        <v>1</v>
      </c>
    </row>
    <row r="11543" spans="1:5" x14ac:dyDescent="0.25">
      <c r="A11543">
        <v>11542</v>
      </c>
      <c r="B11543">
        <v>3162907</v>
      </c>
      <c r="C11543" s="1" t="str">
        <f>HYPERLINK("http://stackoverflow.com/users/3162907", "M.Wang")</f>
        <v>M.Wang</v>
      </c>
      <c r="D11543" t="s">
        <v>625</v>
      </c>
      <c r="E11543">
        <v>1</v>
      </c>
    </row>
    <row r="11544" spans="1:5" x14ac:dyDescent="0.25">
      <c r="A11544">
        <v>11543</v>
      </c>
      <c r="B11544">
        <v>1234696</v>
      </c>
      <c r="C11544" s="1" t="str">
        <f>HYPERLINK("http://stackoverflow.com/users/1234696", "cuiguojie")</f>
        <v>cuiguojie</v>
      </c>
      <c r="D11544" t="s">
        <v>4</v>
      </c>
      <c r="E11544">
        <v>1</v>
      </c>
    </row>
    <row r="11545" spans="1:5" x14ac:dyDescent="0.25">
      <c r="A11545">
        <v>11544</v>
      </c>
      <c r="B11545">
        <v>10344840</v>
      </c>
      <c r="C11545" s="1" t="str">
        <f>HYPERLINK("http://stackoverflow.com/users/10344840", "ramond")</f>
        <v>ramond</v>
      </c>
      <c r="D11545" t="s">
        <v>626</v>
      </c>
      <c r="E11545">
        <v>1</v>
      </c>
    </row>
    <row r="11546" spans="1:5" x14ac:dyDescent="0.25">
      <c r="A11546">
        <v>11545</v>
      </c>
      <c r="B11546">
        <v>10344920</v>
      </c>
      <c r="C11546" s="1" t="str">
        <f>HYPERLINK("http://stackoverflow.com/users/10344920", "hong luo")</f>
        <v>hong luo</v>
      </c>
      <c r="D11546" t="s">
        <v>25</v>
      </c>
      <c r="E11546">
        <v>1</v>
      </c>
    </row>
    <row r="11547" spans="1:5" x14ac:dyDescent="0.25">
      <c r="A11547">
        <v>11546</v>
      </c>
      <c r="B11547">
        <v>10345280</v>
      </c>
      <c r="C11547" s="1" t="str">
        <f>HYPERLINK("http://stackoverflow.com/users/10345280", "Franck Lugué")</f>
        <v>Franck Lugué</v>
      </c>
      <c r="D11547" t="s">
        <v>7</v>
      </c>
      <c r="E11547">
        <v>1</v>
      </c>
    </row>
    <row r="11548" spans="1:5" x14ac:dyDescent="0.25">
      <c r="A11548">
        <v>11547</v>
      </c>
      <c r="B11548">
        <v>4981366</v>
      </c>
      <c r="C11548" s="1" t="str">
        <f>HYPERLINK("http://stackoverflow.com/users/4981366", "William_DO")</f>
        <v>William_DO</v>
      </c>
      <c r="D11548" t="s">
        <v>12</v>
      </c>
      <c r="E11548">
        <v>1</v>
      </c>
    </row>
    <row r="11549" spans="1:5" x14ac:dyDescent="0.25">
      <c r="A11549">
        <v>11548</v>
      </c>
      <c r="B11549">
        <v>1233354</v>
      </c>
      <c r="C11549" s="1" t="str">
        <f>HYPERLINK("http://stackoverflow.com/users/1233354", "billben")</f>
        <v>billben</v>
      </c>
      <c r="D11549" t="s">
        <v>5</v>
      </c>
      <c r="E11549">
        <v>1</v>
      </c>
    </row>
    <row r="11550" spans="1:5" x14ac:dyDescent="0.25">
      <c r="A11550">
        <v>11549</v>
      </c>
      <c r="B11550">
        <v>1186731</v>
      </c>
      <c r="C11550" s="1" t="str">
        <f>HYPERLINK("http://stackoverflow.com/users/1186731", "flower_dog")</f>
        <v>flower_dog</v>
      </c>
      <c r="D11550" t="s">
        <v>22</v>
      </c>
      <c r="E11550">
        <v>1</v>
      </c>
    </row>
    <row r="11551" spans="1:5" x14ac:dyDescent="0.25">
      <c r="A11551">
        <v>11550</v>
      </c>
      <c r="B11551">
        <v>10308970</v>
      </c>
      <c r="C11551" s="1" t="str">
        <f>HYPERLINK("http://stackoverflow.com/users/10308970", "M. Ta")</f>
        <v>M. Ta</v>
      </c>
      <c r="D11551" t="s">
        <v>4</v>
      </c>
      <c r="E11551">
        <v>1</v>
      </c>
    </row>
    <row r="11552" spans="1:5" x14ac:dyDescent="0.25">
      <c r="A11552">
        <v>11551</v>
      </c>
      <c r="B11552">
        <v>10309111</v>
      </c>
      <c r="C11552" s="1" t="str">
        <f>HYPERLINK("http://stackoverflow.com/users/10309111", "Yumao Chang")</f>
        <v>Yumao Chang</v>
      </c>
      <c r="D11552" t="s">
        <v>4</v>
      </c>
      <c r="E11552">
        <v>1</v>
      </c>
    </row>
    <row r="11553" spans="1:5" x14ac:dyDescent="0.25">
      <c r="A11553">
        <v>11552</v>
      </c>
      <c r="B11553">
        <v>10309269</v>
      </c>
      <c r="C11553" s="1" t="str">
        <f>HYPERLINK("http://stackoverflow.com/users/10309269", "simbawu")</f>
        <v>simbawu</v>
      </c>
      <c r="D11553" t="s">
        <v>4</v>
      </c>
      <c r="E11553">
        <v>1</v>
      </c>
    </row>
    <row r="11554" spans="1:5" x14ac:dyDescent="0.25">
      <c r="A11554">
        <v>11553</v>
      </c>
      <c r="B11554">
        <v>3128992</v>
      </c>
      <c r="C11554" s="1" t="str">
        <f>HYPERLINK("http://stackoverflow.com/users/3128992", "Jinny Ma")</f>
        <v>Jinny Ma</v>
      </c>
      <c r="D11554" t="s">
        <v>5</v>
      </c>
      <c r="E11554">
        <v>1</v>
      </c>
    </row>
    <row r="11555" spans="1:5" x14ac:dyDescent="0.25">
      <c r="A11555">
        <v>11554</v>
      </c>
      <c r="B11555">
        <v>3129793</v>
      </c>
      <c r="C11555" s="1" t="str">
        <f>HYPERLINK("http://stackoverflow.com/users/3129793", "gonchen")</f>
        <v>gonchen</v>
      </c>
      <c r="D11555" t="s">
        <v>5</v>
      </c>
      <c r="E11555">
        <v>1</v>
      </c>
    </row>
    <row r="11556" spans="1:5" x14ac:dyDescent="0.25">
      <c r="A11556">
        <v>11555</v>
      </c>
      <c r="B11556">
        <v>4947735</v>
      </c>
      <c r="C11556" s="1" t="str">
        <f>HYPERLINK("http://stackoverflow.com/users/4947735", "weuolululu")</f>
        <v>weuolululu</v>
      </c>
      <c r="D11556" t="s">
        <v>4</v>
      </c>
      <c r="E11556">
        <v>1</v>
      </c>
    </row>
    <row r="11557" spans="1:5" x14ac:dyDescent="0.25">
      <c r="A11557">
        <v>11556</v>
      </c>
      <c r="B11557">
        <v>3128885</v>
      </c>
      <c r="C11557" s="1" t="str">
        <f>HYPERLINK("http://stackoverflow.com/users/3128885", "siyixin")</f>
        <v>siyixin</v>
      </c>
      <c r="D11557" t="s">
        <v>57</v>
      </c>
      <c r="E11557">
        <v>1</v>
      </c>
    </row>
    <row r="11558" spans="1:5" x14ac:dyDescent="0.25">
      <c r="A11558">
        <v>11557</v>
      </c>
      <c r="B11558">
        <v>3128964</v>
      </c>
      <c r="C11558" s="1" t="str">
        <f>HYPERLINK("http://stackoverflow.com/users/3128964", "user3128964")</f>
        <v>user3128964</v>
      </c>
      <c r="D11558" t="s">
        <v>5</v>
      </c>
      <c r="E11558">
        <v>1</v>
      </c>
    </row>
    <row r="11559" spans="1:5" x14ac:dyDescent="0.25">
      <c r="A11559">
        <v>11558</v>
      </c>
      <c r="B11559">
        <v>8500863</v>
      </c>
      <c r="C11559" s="1" t="str">
        <f>HYPERLINK("http://stackoverflow.com/users/8500863", "Jack Fu")</f>
        <v>Jack Fu</v>
      </c>
      <c r="D11559" t="s">
        <v>7</v>
      </c>
      <c r="E11559">
        <v>1</v>
      </c>
    </row>
    <row r="11560" spans="1:5" x14ac:dyDescent="0.25">
      <c r="A11560">
        <v>11559</v>
      </c>
      <c r="B11560">
        <v>1193887</v>
      </c>
      <c r="C11560" s="1" t="str">
        <f>HYPERLINK("http://stackoverflow.com/users/1193887", "user1193887")</f>
        <v>user1193887</v>
      </c>
      <c r="D11560" t="s">
        <v>17</v>
      </c>
      <c r="E11560">
        <v>1</v>
      </c>
    </row>
    <row r="11561" spans="1:5" x14ac:dyDescent="0.25">
      <c r="A11561">
        <v>11560</v>
      </c>
      <c r="B11561">
        <v>1194001</v>
      </c>
      <c r="C11561" s="1" t="str">
        <f>HYPERLINK("http://stackoverflow.com/users/1194001", "84zhu")</f>
        <v>84zhu</v>
      </c>
      <c r="D11561" t="s">
        <v>12</v>
      </c>
      <c r="E11561">
        <v>1</v>
      </c>
    </row>
    <row r="11562" spans="1:5" x14ac:dyDescent="0.25">
      <c r="A11562">
        <v>11561</v>
      </c>
      <c r="B11562">
        <v>8496338</v>
      </c>
      <c r="C11562" s="1" t="str">
        <f>HYPERLINK("http://stackoverflow.com/users/8496338", "anatolycode")</f>
        <v>anatolycode</v>
      </c>
      <c r="D11562" t="s">
        <v>4</v>
      </c>
      <c r="E11562">
        <v>1</v>
      </c>
    </row>
    <row r="11563" spans="1:5" x14ac:dyDescent="0.25">
      <c r="A11563">
        <v>11562</v>
      </c>
      <c r="B11563">
        <v>3133365</v>
      </c>
      <c r="C11563" s="1" t="str">
        <f>HYPERLINK("http://stackoverflow.com/users/3133365", "Atul Sharma")</f>
        <v>Atul Sharma</v>
      </c>
      <c r="D11563" t="s">
        <v>25</v>
      </c>
      <c r="E11563">
        <v>1</v>
      </c>
    </row>
    <row r="11564" spans="1:5" x14ac:dyDescent="0.25">
      <c r="A11564">
        <v>11563</v>
      </c>
      <c r="B11564">
        <v>8500332</v>
      </c>
      <c r="C11564" s="1" t="str">
        <f>HYPERLINK("http://stackoverflow.com/users/8500332", "Wu Kai")</f>
        <v>Wu Kai</v>
      </c>
      <c r="D11564" t="s">
        <v>63</v>
      </c>
      <c r="E11564">
        <v>1</v>
      </c>
    </row>
    <row r="11565" spans="1:5" x14ac:dyDescent="0.25">
      <c r="A11565">
        <v>11564</v>
      </c>
      <c r="B11565">
        <v>8500492</v>
      </c>
      <c r="C11565" s="1" t="str">
        <f>HYPERLINK("http://stackoverflow.com/users/8500492", "Benney Chan")</f>
        <v>Benney Chan</v>
      </c>
      <c r="D11565" t="s">
        <v>33</v>
      </c>
      <c r="E11565">
        <v>1</v>
      </c>
    </row>
    <row r="11566" spans="1:5" x14ac:dyDescent="0.25">
      <c r="A11566">
        <v>11565</v>
      </c>
      <c r="B11566">
        <v>10312908</v>
      </c>
      <c r="C11566" s="1" t="str">
        <f>HYPERLINK("http://stackoverflow.com/users/10312908", "jie zhang")</f>
        <v>jie zhang</v>
      </c>
      <c r="D11566" t="s">
        <v>5</v>
      </c>
      <c r="E11566">
        <v>1</v>
      </c>
    </row>
    <row r="11567" spans="1:5" x14ac:dyDescent="0.25">
      <c r="A11567">
        <v>11566</v>
      </c>
      <c r="B11567">
        <v>10313159</v>
      </c>
      <c r="C11567" s="1" t="str">
        <f>HYPERLINK("http://stackoverflow.com/users/10313159", "233 Mephisto")</f>
        <v>233 Mephisto</v>
      </c>
      <c r="D11567" t="s">
        <v>78</v>
      </c>
      <c r="E11567">
        <v>1</v>
      </c>
    </row>
    <row r="11568" spans="1:5" x14ac:dyDescent="0.25">
      <c r="A11568">
        <v>11567</v>
      </c>
      <c r="B11568">
        <v>10313216</v>
      </c>
      <c r="C11568" s="1" t="str">
        <f>HYPERLINK("http://stackoverflow.com/users/10313216", "Jingyao ZHOU")</f>
        <v>Jingyao ZHOU</v>
      </c>
      <c r="D11568" t="s">
        <v>16</v>
      </c>
      <c r="E11568">
        <v>1</v>
      </c>
    </row>
    <row r="11569" spans="1:5" x14ac:dyDescent="0.25">
      <c r="A11569">
        <v>11568</v>
      </c>
      <c r="B11569">
        <v>10313524</v>
      </c>
      <c r="C11569" s="1" t="str">
        <f>HYPERLINK("http://stackoverflow.com/users/10313524", "Lingxiao Hu")</f>
        <v>Lingxiao Hu</v>
      </c>
      <c r="D11569" t="s">
        <v>13</v>
      </c>
      <c r="E11569">
        <v>1</v>
      </c>
    </row>
    <row r="11570" spans="1:5" x14ac:dyDescent="0.25">
      <c r="A11570">
        <v>11569</v>
      </c>
      <c r="B11570">
        <v>10313530</v>
      </c>
      <c r="C11570" s="1" t="str">
        <f>HYPERLINK("http://stackoverflow.com/users/10313530", "Hao Wang")</f>
        <v>Hao Wang</v>
      </c>
      <c r="D11570" t="s">
        <v>91</v>
      </c>
      <c r="E11570">
        <v>1</v>
      </c>
    </row>
    <row r="11571" spans="1:5" x14ac:dyDescent="0.25">
      <c r="A11571">
        <v>11570</v>
      </c>
      <c r="B11571">
        <v>6685402</v>
      </c>
      <c r="C11571" s="1" t="str">
        <f>HYPERLINK("http://stackoverflow.com/users/6685402", "Felix C")</f>
        <v>Felix C</v>
      </c>
      <c r="D11571" t="s">
        <v>43</v>
      </c>
      <c r="E11571">
        <v>1</v>
      </c>
    </row>
    <row r="11572" spans="1:5" x14ac:dyDescent="0.25">
      <c r="A11572">
        <v>11571</v>
      </c>
      <c r="B11572">
        <v>4960724</v>
      </c>
      <c r="C11572" s="1" t="str">
        <f>HYPERLINK("http://stackoverflow.com/users/4960724", "creasy lai")</f>
        <v>creasy lai</v>
      </c>
      <c r="D11572" t="s">
        <v>17</v>
      </c>
      <c r="E11572">
        <v>1</v>
      </c>
    </row>
    <row r="11573" spans="1:5" x14ac:dyDescent="0.25">
      <c r="A11573">
        <v>11572</v>
      </c>
      <c r="B11573">
        <v>8509380</v>
      </c>
      <c r="C11573" s="1" t="str">
        <f>HYPERLINK("http://stackoverflow.com/users/8509380", "WangJian")</f>
        <v>WangJian</v>
      </c>
      <c r="D11573" t="s">
        <v>320</v>
      </c>
      <c r="E11573">
        <v>1</v>
      </c>
    </row>
    <row r="11574" spans="1:5" x14ac:dyDescent="0.25">
      <c r="A11574">
        <v>11573</v>
      </c>
      <c r="B11574">
        <v>8509784</v>
      </c>
      <c r="C11574" s="1" t="str">
        <f>HYPERLINK("http://stackoverflow.com/users/8509784", "Jessie.Z")</f>
        <v>Jessie.Z</v>
      </c>
      <c r="D11574" t="s">
        <v>4</v>
      </c>
      <c r="E11574">
        <v>1</v>
      </c>
    </row>
    <row r="11575" spans="1:5" x14ac:dyDescent="0.25">
      <c r="A11575">
        <v>11574</v>
      </c>
      <c r="B11575">
        <v>8509808</v>
      </c>
      <c r="C11575" s="1" t="str">
        <f>HYPERLINK("http://stackoverflow.com/users/8509808", "cxc823")</f>
        <v>cxc823</v>
      </c>
      <c r="D11575" t="s">
        <v>55</v>
      </c>
      <c r="E11575">
        <v>1</v>
      </c>
    </row>
    <row r="11576" spans="1:5" x14ac:dyDescent="0.25">
      <c r="A11576">
        <v>11575</v>
      </c>
      <c r="B11576">
        <v>8509811</v>
      </c>
      <c r="C11576" s="1" t="str">
        <f>HYPERLINK("http://stackoverflow.com/users/8509811", "liam bao")</f>
        <v>liam bao</v>
      </c>
      <c r="D11576" t="s">
        <v>4</v>
      </c>
      <c r="E11576">
        <v>1</v>
      </c>
    </row>
    <row r="11577" spans="1:5" x14ac:dyDescent="0.25">
      <c r="A11577">
        <v>11576</v>
      </c>
      <c r="B11577">
        <v>6682173</v>
      </c>
      <c r="C11577" s="1" t="str">
        <f>HYPERLINK("http://stackoverflow.com/users/6682173", "vodasafe jammer store")</f>
        <v>vodasafe jammer store</v>
      </c>
      <c r="D11577" t="s">
        <v>627</v>
      </c>
      <c r="E11577">
        <v>1</v>
      </c>
    </row>
    <row r="11578" spans="1:5" x14ac:dyDescent="0.25">
      <c r="A11578">
        <v>11577</v>
      </c>
      <c r="B11578">
        <v>10318003</v>
      </c>
      <c r="C11578" s="1" t="str">
        <f>HYPERLINK("http://stackoverflow.com/users/10318003", "Eric Feng")</f>
        <v>Eric Feng</v>
      </c>
      <c r="D11578" t="s">
        <v>62</v>
      </c>
      <c r="E11578">
        <v>1</v>
      </c>
    </row>
    <row r="11579" spans="1:5" x14ac:dyDescent="0.25">
      <c r="A11579">
        <v>11578</v>
      </c>
      <c r="B11579">
        <v>10318248</v>
      </c>
      <c r="C11579" s="1" t="str">
        <f>HYPERLINK("http://stackoverflow.com/users/10318248", "blue dream")</f>
        <v>blue dream</v>
      </c>
      <c r="D11579" t="s">
        <v>214</v>
      </c>
      <c r="E11579">
        <v>1</v>
      </c>
    </row>
    <row r="11580" spans="1:5" x14ac:dyDescent="0.25">
      <c r="A11580">
        <v>11579</v>
      </c>
      <c r="B11580">
        <v>10318688</v>
      </c>
      <c r="C11580" s="1" t="str">
        <f>HYPERLINK("http://stackoverflow.com/users/10318688", "lulu Men")</f>
        <v>lulu Men</v>
      </c>
      <c r="D11580" t="s">
        <v>4</v>
      </c>
      <c r="E11580">
        <v>1</v>
      </c>
    </row>
    <row r="11581" spans="1:5" x14ac:dyDescent="0.25">
      <c r="A11581">
        <v>11580</v>
      </c>
      <c r="B11581">
        <v>10318763</v>
      </c>
      <c r="C11581" s="1" t="str">
        <f>HYPERLINK("http://stackoverflow.com/users/10318763", "buyprintingtowels")</f>
        <v>buyprintingtowels</v>
      </c>
      <c r="D11581" t="s">
        <v>628</v>
      </c>
      <c r="E11581">
        <v>1</v>
      </c>
    </row>
    <row r="11582" spans="1:5" x14ac:dyDescent="0.25">
      <c r="A11582">
        <v>11581</v>
      </c>
      <c r="B11582">
        <v>8505228</v>
      </c>
      <c r="C11582" s="1" t="str">
        <f>HYPERLINK("http://stackoverflow.com/users/8505228", "motoral Cheng")</f>
        <v>motoral Cheng</v>
      </c>
      <c r="D11582" t="s">
        <v>217</v>
      </c>
      <c r="E11582">
        <v>1</v>
      </c>
    </row>
    <row r="11583" spans="1:5" x14ac:dyDescent="0.25">
      <c r="A11583">
        <v>11582</v>
      </c>
      <c r="B11583">
        <v>8505799</v>
      </c>
      <c r="C11583" s="1" t="str">
        <f>HYPERLINK("http://stackoverflow.com/users/8505799", "Wei Gao")</f>
        <v>Wei Gao</v>
      </c>
      <c r="D11583" t="s">
        <v>5</v>
      </c>
      <c r="E11583">
        <v>1</v>
      </c>
    </row>
    <row r="11584" spans="1:5" x14ac:dyDescent="0.25">
      <c r="A11584">
        <v>11583</v>
      </c>
      <c r="B11584">
        <v>8510174</v>
      </c>
      <c r="C11584" s="1" t="str">
        <f>HYPERLINK("http://stackoverflow.com/users/8510174", "Paul")</f>
        <v>Paul</v>
      </c>
      <c r="D11584" t="s">
        <v>5</v>
      </c>
      <c r="E11584">
        <v>1</v>
      </c>
    </row>
    <row r="11585" spans="1:5" x14ac:dyDescent="0.25">
      <c r="A11585">
        <v>11584</v>
      </c>
      <c r="B11585">
        <v>10322985</v>
      </c>
      <c r="C11585" s="1" t="str">
        <f>HYPERLINK("http://stackoverflow.com/users/10322985", "周嘉伟")</f>
        <v>周嘉伟</v>
      </c>
      <c r="D11585" t="s">
        <v>4</v>
      </c>
      <c r="E11585">
        <v>1</v>
      </c>
    </row>
    <row r="11586" spans="1:5" x14ac:dyDescent="0.25">
      <c r="A11586">
        <v>11585</v>
      </c>
      <c r="B11586">
        <v>10323151</v>
      </c>
      <c r="C11586" s="1" t="str">
        <f>HYPERLINK("http://stackoverflow.com/users/10323151", "shangyw")</f>
        <v>shangyw</v>
      </c>
      <c r="D11586" t="s">
        <v>5</v>
      </c>
      <c r="E11586">
        <v>1</v>
      </c>
    </row>
    <row r="11587" spans="1:5" x14ac:dyDescent="0.25">
      <c r="A11587">
        <v>11586</v>
      </c>
      <c r="B11587">
        <v>10323230</v>
      </c>
      <c r="C11587" s="1" t="str">
        <f>HYPERLINK("http://stackoverflow.com/users/10323230", "user10323230")</f>
        <v>user10323230</v>
      </c>
      <c r="D11587" t="s">
        <v>74</v>
      </c>
      <c r="E11587">
        <v>1</v>
      </c>
    </row>
    <row r="11588" spans="1:5" x14ac:dyDescent="0.25">
      <c r="A11588">
        <v>11587</v>
      </c>
      <c r="B11588">
        <v>10323240</v>
      </c>
      <c r="C11588" s="1" t="str">
        <f>HYPERLINK("http://stackoverflow.com/users/10323240", "J.Hao")</f>
        <v>J.Hao</v>
      </c>
      <c r="D11588" t="s">
        <v>16</v>
      </c>
      <c r="E11588">
        <v>1</v>
      </c>
    </row>
    <row r="11589" spans="1:5" x14ac:dyDescent="0.25">
      <c r="A11589">
        <v>11588</v>
      </c>
      <c r="B11589">
        <v>10323241</v>
      </c>
      <c r="C11589" s="1" t="str">
        <f>HYPERLINK("http://stackoverflow.com/users/10323241", "张鹏宇")</f>
        <v>张鹏宇</v>
      </c>
      <c r="D11589" t="s">
        <v>42</v>
      </c>
      <c r="E11589">
        <v>1</v>
      </c>
    </row>
    <row r="11590" spans="1:5" x14ac:dyDescent="0.25">
      <c r="A11590">
        <v>11589</v>
      </c>
      <c r="B11590">
        <v>10323258</v>
      </c>
      <c r="C11590" s="1" t="str">
        <f>HYPERLINK("http://stackoverflow.com/users/10323258", "AskerYC")</f>
        <v>AskerYC</v>
      </c>
      <c r="D11590" t="s">
        <v>86</v>
      </c>
      <c r="E11590">
        <v>1</v>
      </c>
    </row>
    <row r="11591" spans="1:5" x14ac:dyDescent="0.25">
      <c r="A11591">
        <v>11590</v>
      </c>
      <c r="B11591">
        <v>10323275</v>
      </c>
      <c r="C11591" s="1" t="str">
        <f>HYPERLINK("http://stackoverflow.com/users/10323275", "YuJie.Cai")</f>
        <v>YuJie.Cai</v>
      </c>
      <c r="D11591" t="s">
        <v>4</v>
      </c>
      <c r="E11591">
        <v>1</v>
      </c>
    </row>
    <row r="11592" spans="1:5" x14ac:dyDescent="0.25">
      <c r="A11592">
        <v>11591</v>
      </c>
      <c r="B11592">
        <v>4967706</v>
      </c>
      <c r="C11592" s="1" t="str">
        <f>HYPERLINK("http://stackoverflow.com/users/4967706", "kaso")</f>
        <v>kaso</v>
      </c>
      <c r="D11592" t="s">
        <v>5</v>
      </c>
      <c r="E11592">
        <v>1</v>
      </c>
    </row>
    <row r="11593" spans="1:5" x14ac:dyDescent="0.25">
      <c r="A11593">
        <v>11592</v>
      </c>
      <c r="B11593">
        <v>4967790</v>
      </c>
      <c r="C11593" s="1" t="str">
        <f>HYPERLINK("http://stackoverflow.com/users/4967790", "Amor Tsai")</f>
        <v>Amor Tsai</v>
      </c>
      <c r="D11593" t="s">
        <v>21</v>
      </c>
      <c r="E11593">
        <v>1</v>
      </c>
    </row>
    <row r="11594" spans="1:5" x14ac:dyDescent="0.25">
      <c r="A11594">
        <v>11593</v>
      </c>
      <c r="B11594">
        <v>4967802</v>
      </c>
      <c r="C11594" s="1" t="str">
        <f>HYPERLINK("http://stackoverflow.com/users/4967802", "Wisp Zhan")</f>
        <v>Wisp Zhan</v>
      </c>
      <c r="D11594" t="s">
        <v>7</v>
      </c>
      <c r="E11594">
        <v>1</v>
      </c>
    </row>
    <row r="11595" spans="1:5" x14ac:dyDescent="0.25">
      <c r="A11595">
        <v>11594</v>
      </c>
      <c r="B11595">
        <v>8514297</v>
      </c>
      <c r="C11595" s="1" t="str">
        <f>HYPERLINK("http://stackoverflow.com/users/8514297", "Mindy Cheung")</f>
        <v>Mindy Cheung</v>
      </c>
      <c r="D11595" t="s">
        <v>7</v>
      </c>
      <c r="E11595">
        <v>1</v>
      </c>
    </row>
    <row r="11596" spans="1:5" x14ac:dyDescent="0.25">
      <c r="A11596">
        <v>11595</v>
      </c>
      <c r="B11596">
        <v>8514550</v>
      </c>
      <c r="C11596" s="1" t="str">
        <f>HYPERLINK("http://stackoverflow.com/users/8514550", "Yipu Wang")</f>
        <v>Yipu Wang</v>
      </c>
      <c r="D11596" t="s">
        <v>4</v>
      </c>
      <c r="E11596">
        <v>1</v>
      </c>
    </row>
    <row r="11597" spans="1:5" x14ac:dyDescent="0.25">
      <c r="A11597">
        <v>11596</v>
      </c>
      <c r="B11597">
        <v>8514557</v>
      </c>
      <c r="C11597" s="1" t="str">
        <f>HYPERLINK("http://stackoverflow.com/users/8514557", "llxmedici")</f>
        <v>llxmedici</v>
      </c>
      <c r="D11597" t="s">
        <v>4</v>
      </c>
      <c r="E11597">
        <v>1</v>
      </c>
    </row>
    <row r="11598" spans="1:5" x14ac:dyDescent="0.25">
      <c r="A11598">
        <v>11597</v>
      </c>
      <c r="B11598">
        <v>6689492</v>
      </c>
      <c r="C11598" s="1" t="str">
        <f>HYPERLINK("http://stackoverflow.com/users/6689492", "Sid Kang")</f>
        <v>Sid Kang</v>
      </c>
      <c r="D11598" t="s">
        <v>4</v>
      </c>
      <c r="E11598">
        <v>1</v>
      </c>
    </row>
    <row r="11599" spans="1:5" x14ac:dyDescent="0.25">
      <c r="A11599">
        <v>11598</v>
      </c>
      <c r="B11599">
        <v>3042582</v>
      </c>
      <c r="C11599" s="1" t="str">
        <f>HYPERLINK("http://stackoverflow.com/users/3042582", "Seita")</f>
        <v>Seita</v>
      </c>
      <c r="D11599" t="s">
        <v>22</v>
      </c>
      <c r="E11599">
        <v>1</v>
      </c>
    </row>
    <row r="11600" spans="1:5" x14ac:dyDescent="0.25">
      <c r="A11600">
        <v>11599</v>
      </c>
      <c r="B11600">
        <v>8403573</v>
      </c>
      <c r="C11600" s="1" t="str">
        <f>HYPERLINK("http://stackoverflow.com/users/8403573", "Steven Liu")</f>
        <v>Steven Liu</v>
      </c>
      <c r="D11600" t="s">
        <v>4</v>
      </c>
      <c r="E11600">
        <v>1</v>
      </c>
    </row>
    <row r="11601" spans="1:5" x14ac:dyDescent="0.25">
      <c r="A11601">
        <v>11600</v>
      </c>
      <c r="B11601">
        <v>1037227</v>
      </c>
      <c r="C11601" s="1" t="str">
        <f>HYPERLINK("http://stackoverflow.com/users/1037227", "Xinyu")</f>
        <v>Xinyu</v>
      </c>
      <c r="D11601" t="s">
        <v>5</v>
      </c>
      <c r="E11601">
        <v>1</v>
      </c>
    </row>
    <row r="11602" spans="1:5" x14ac:dyDescent="0.25">
      <c r="A11602">
        <v>11601</v>
      </c>
      <c r="B11602">
        <v>8403867</v>
      </c>
      <c r="C11602" s="1" t="str">
        <f>HYPERLINK("http://stackoverflow.com/users/8403867", "SUSY")</f>
        <v>SUSY</v>
      </c>
      <c r="D11602" t="s">
        <v>309</v>
      </c>
      <c r="E11602">
        <v>1</v>
      </c>
    </row>
    <row r="11603" spans="1:5" x14ac:dyDescent="0.25">
      <c r="A11603">
        <v>11602</v>
      </c>
      <c r="B11603">
        <v>1043092</v>
      </c>
      <c r="C11603" s="1" t="str">
        <f>HYPERLINK("http://stackoverflow.com/users/1043092", "littlefrog")</f>
        <v>littlefrog</v>
      </c>
      <c r="D11603" t="s">
        <v>6</v>
      </c>
      <c r="E11603">
        <v>1</v>
      </c>
    </row>
    <row r="11604" spans="1:5" x14ac:dyDescent="0.25">
      <c r="A11604">
        <v>11603</v>
      </c>
      <c r="B11604">
        <v>6581696</v>
      </c>
      <c r="C11604" s="1" t="str">
        <f>HYPERLINK("http://stackoverflow.com/users/6581696", "Yong Chen")</f>
        <v>Yong Chen</v>
      </c>
      <c r="D11604" t="s">
        <v>4</v>
      </c>
      <c r="E11604">
        <v>1</v>
      </c>
    </row>
    <row r="11605" spans="1:5" x14ac:dyDescent="0.25">
      <c r="A11605">
        <v>11604</v>
      </c>
      <c r="B11605">
        <v>1029435</v>
      </c>
      <c r="C11605" s="1" t="str">
        <f>HYPERLINK("http://stackoverflow.com/users/1029435", "fatjing")</f>
        <v>fatjing</v>
      </c>
      <c r="D11605" t="s">
        <v>21</v>
      </c>
      <c r="E11605">
        <v>1</v>
      </c>
    </row>
    <row r="11606" spans="1:5" x14ac:dyDescent="0.25">
      <c r="A11606">
        <v>11605</v>
      </c>
      <c r="B11606">
        <v>1037525</v>
      </c>
      <c r="C11606" s="1" t="str">
        <f>HYPERLINK("http://stackoverflow.com/users/1037525", "qingchen")</f>
        <v>qingchen</v>
      </c>
      <c r="D11606" t="s">
        <v>5</v>
      </c>
      <c r="E11606">
        <v>1</v>
      </c>
    </row>
    <row r="11607" spans="1:5" x14ac:dyDescent="0.25">
      <c r="A11607">
        <v>11606</v>
      </c>
      <c r="B11607">
        <v>1037660</v>
      </c>
      <c r="C11607" s="1" t="str">
        <f>HYPERLINK("http://stackoverflow.com/users/1037660", "Waclz")</f>
        <v>Waclz</v>
      </c>
      <c r="D11607" t="s">
        <v>4</v>
      </c>
      <c r="E11607">
        <v>1</v>
      </c>
    </row>
    <row r="11608" spans="1:5" x14ac:dyDescent="0.25">
      <c r="A11608">
        <v>11607</v>
      </c>
      <c r="B11608">
        <v>1037768</v>
      </c>
      <c r="C11608" s="1" t="str">
        <f>HYPERLINK("http://stackoverflow.com/users/1037768", "Goddy Zhao")</f>
        <v>Goddy Zhao</v>
      </c>
      <c r="D11608" t="s">
        <v>12</v>
      </c>
      <c r="E11608">
        <v>1</v>
      </c>
    </row>
    <row r="11609" spans="1:5" x14ac:dyDescent="0.25">
      <c r="A11609">
        <v>11608</v>
      </c>
      <c r="B11609">
        <v>1051192</v>
      </c>
      <c r="C11609" s="1" t="str">
        <f>HYPERLINK("http://stackoverflow.com/users/1051192", "hratsu")</f>
        <v>hratsu</v>
      </c>
      <c r="D11609" t="s">
        <v>5</v>
      </c>
      <c r="E11609">
        <v>1</v>
      </c>
    </row>
    <row r="11610" spans="1:5" x14ac:dyDescent="0.25">
      <c r="A11610">
        <v>11609</v>
      </c>
      <c r="B11610">
        <v>10222202</v>
      </c>
      <c r="C11610" s="1" t="str">
        <f>HYPERLINK("http://stackoverflow.com/users/10222202", "Frank Wang")</f>
        <v>Frank Wang</v>
      </c>
      <c r="D11610" t="s">
        <v>5</v>
      </c>
      <c r="E11610">
        <v>1</v>
      </c>
    </row>
    <row r="11611" spans="1:5" x14ac:dyDescent="0.25">
      <c r="A11611">
        <v>11610</v>
      </c>
      <c r="B11611">
        <v>10222213</v>
      </c>
      <c r="C11611" s="1" t="str">
        <f>HYPERLINK("http://stackoverflow.com/users/10222213", "Flyson Guo")</f>
        <v>Flyson Guo</v>
      </c>
      <c r="D11611" t="s">
        <v>5</v>
      </c>
      <c r="E11611">
        <v>1</v>
      </c>
    </row>
    <row r="11612" spans="1:5" x14ac:dyDescent="0.25">
      <c r="A11612">
        <v>11611</v>
      </c>
      <c r="B11612">
        <v>10222250</v>
      </c>
      <c r="C11612" s="1" t="str">
        <f>HYPERLINK("http://stackoverflow.com/users/10222250", "Zengjie Zhang")</f>
        <v>Zengjie Zhang</v>
      </c>
      <c r="D11612" t="s">
        <v>4</v>
      </c>
      <c r="E11612">
        <v>1</v>
      </c>
    </row>
    <row r="11613" spans="1:5" x14ac:dyDescent="0.25">
      <c r="A11613">
        <v>11612</v>
      </c>
      <c r="B11613">
        <v>10222485</v>
      </c>
      <c r="C11613" s="1" t="str">
        <f>HYPERLINK("http://stackoverflow.com/users/10222485", "AkatsukiSirius")</f>
        <v>AkatsukiSirius</v>
      </c>
      <c r="D11613" t="s">
        <v>4</v>
      </c>
      <c r="E11613">
        <v>1</v>
      </c>
    </row>
    <row r="11614" spans="1:5" x14ac:dyDescent="0.25">
      <c r="A11614">
        <v>11613</v>
      </c>
      <c r="B11614">
        <v>10222533</v>
      </c>
      <c r="C11614" s="1" t="str">
        <f>HYPERLINK("http://stackoverflow.com/users/10222533", "isalsiens")</f>
        <v>isalsiens</v>
      </c>
      <c r="D11614" t="s">
        <v>4</v>
      </c>
      <c r="E11614">
        <v>1</v>
      </c>
    </row>
    <row r="11615" spans="1:5" x14ac:dyDescent="0.25">
      <c r="A11615">
        <v>11614</v>
      </c>
      <c r="B11615">
        <v>4869562</v>
      </c>
      <c r="C11615" s="1" t="str">
        <f>HYPERLINK("http://stackoverflow.com/users/4869562", "Little Tree")</f>
        <v>Little Tree</v>
      </c>
      <c r="D11615" t="s">
        <v>5</v>
      </c>
      <c r="E11615">
        <v>1</v>
      </c>
    </row>
    <row r="11616" spans="1:5" x14ac:dyDescent="0.25">
      <c r="A11616">
        <v>11615</v>
      </c>
      <c r="B11616">
        <v>4869618</v>
      </c>
      <c r="C11616" s="1" t="str">
        <f>HYPERLINK("http://stackoverflow.com/users/4869618", "peter Cool")</f>
        <v>peter Cool</v>
      </c>
      <c r="D11616" t="s">
        <v>43</v>
      </c>
      <c r="E11616">
        <v>1</v>
      </c>
    </row>
    <row r="11617" spans="1:5" x14ac:dyDescent="0.25">
      <c r="A11617">
        <v>11616</v>
      </c>
      <c r="B11617">
        <v>4869851</v>
      </c>
      <c r="C11617" s="1" t="str">
        <f>HYPERLINK("http://stackoverflow.com/users/4869851", "zhengwen zhu")</f>
        <v>zhengwen zhu</v>
      </c>
      <c r="D11617" t="s">
        <v>4</v>
      </c>
      <c r="E11617">
        <v>1</v>
      </c>
    </row>
    <row r="11618" spans="1:5" x14ac:dyDescent="0.25">
      <c r="A11618">
        <v>11617</v>
      </c>
      <c r="B11618">
        <v>1057147</v>
      </c>
      <c r="C11618" s="1" t="str">
        <f>HYPERLINK("http://stackoverflow.com/users/1057147", "cassvin")</f>
        <v>cassvin</v>
      </c>
      <c r="D11618" t="s">
        <v>8</v>
      </c>
      <c r="E11618">
        <v>1</v>
      </c>
    </row>
    <row r="11619" spans="1:5" x14ac:dyDescent="0.25">
      <c r="A11619">
        <v>11618</v>
      </c>
      <c r="B11619">
        <v>1057329</v>
      </c>
      <c r="C11619" s="1" t="str">
        <f>HYPERLINK("http://stackoverflow.com/users/1057329", "Tong")</f>
        <v>Tong</v>
      </c>
      <c r="D11619" t="s">
        <v>5</v>
      </c>
      <c r="E11619">
        <v>1</v>
      </c>
    </row>
    <row r="11620" spans="1:5" x14ac:dyDescent="0.25">
      <c r="A11620">
        <v>11619</v>
      </c>
      <c r="B11620">
        <v>4865926</v>
      </c>
      <c r="C11620" s="1" t="str">
        <f>HYPERLINK("http://stackoverflow.com/users/4865926", "clarkzjw")</f>
        <v>clarkzjw</v>
      </c>
      <c r="D11620" t="s">
        <v>12</v>
      </c>
      <c r="E11620">
        <v>1</v>
      </c>
    </row>
    <row r="11621" spans="1:5" x14ac:dyDescent="0.25">
      <c r="A11621">
        <v>11620</v>
      </c>
      <c r="B11621">
        <v>4866305</v>
      </c>
      <c r="C11621" s="1" t="str">
        <f>HYPERLINK("http://stackoverflow.com/users/4866305", "luffy song")</f>
        <v>luffy song</v>
      </c>
      <c r="D11621" t="s">
        <v>5</v>
      </c>
      <c r="E11621">
        <v>1</v>
      </c>
    </row>
    <row r="11622" spans="1:5" x14ac:dyDescent="0.25">
      <c r="A11622">
        <v>11621</v>
      </c>
      <c r="B11622">
        <v>10217845</v>
      </c>
      <c r="C11622" s="1" t="str">
        <f>HYPERLINK("http://stackoverflow.com/users/10217845", "hehuiyuan")</f>
        <v>hehuiyuan</v>
      </c>
      <c r="D11622" t="s">
        <v>5</v>
      </c>
      <c r="E11622">
        <v>1</v>
      </c>
    </row>
    <row r="11623" spans="1:5" x14ac:dyDescent="0.25">
      <c r="A11623">
        <v>11622</v>
      </c>
      <c r="B11623">
        <v>10218000</v>
      </c>
      <c r="C11623" s="1" t="str">
        <f>HYPERLINK("http://stackoverflow.com/users/10218000", "francois li")</f>
        <v>francois li</v>
      </c>
      <c r="D11623" t="s">
        <v>4</v>
      </c>
      <c r="E11623">
        <v>1</v>
      </c>
    </row>
    <row r="11624" spans="1:5" x14ac:dyDescent="0.25">
      <c r="A11624">
        <v>11623</v>
      </c>
      <c r="B11624">
        <v>10218314</v>
      </c>
      <c r="C11624" s="1" t="str">
        <f>HYPERLINK("http://stackoverflow.com/users/10218314", "Romain P-H")</f>
        <v>Romain P-H</v>
      </c>
      <c r="D11624" t="s">
        <v>4</v>
      </c>
      <c r="E11624">
        <v>1</v>
      </c>
    </row>
    <row r="11625" spans="1:5" x14ac:dyDescent="0.25">
      <c r="A11625">
        <v>11624</v>
      </c>
      <c r="B11625">
        <v>10218458</v>
      </c>
      <c r="C11625" s="1" t="str">
        <f>HYPERLINK("http://stackoverflow.com/users/10218458", "Lijian Zhang")</f>
        <v>Lijian Zhang</v>
      </c>
      <c r="D11625" t="s">
        <v>4</v>
      </c>
      <c r="E11625">
        <v>1</v>
      </c>
    </row>
    <row r="11626" spans="1:5" x14ac:dyDescent="0.25">
      <c r="A11626">
        <v>11625</v>
      </c>
      <c r="B11626">
        <v>8403994</v>
      </c>
      <c r="C11626" s="1" t="str">
        <f>HYPERLINK("http://stackoverflow.com/users/8403994", "Yun Du")</f>
        <v>Yun Du</v>
      </c>
      <c r="D11626" t="s">
        <v>43</v>
      </c>
      <c r="E11626">
        <v>1</v>
      </c>
    </row>
    <row r="11627" spans="1:5" x14ac:dyDescent="0.25">
      <c r="A11627">
        <v>11626</v>
      </c>
      <c r="B11627">
        <v>1050950</v>
      </c>
      <c r="C11627" s="1" t="str">
        <f>HYPERLINK("http://stackoverflow.com/users/1050950", "choristes")</f>
        <v>choristes</v>
      </c>
      <c r="D11627" t="s">
        <v>4</v>
      </c>
      <c r="E11627">
        <v>1</v>
      </c>
    </row>
    <row r="11628" spans="1:5" x14ac:dyDescent="0.25">
      <c r="A11628">
        <v>11627</v>
      </c>
      <c r="B11628">
        <v>4874036</v>
      </c>
      <c r="C11628" s="1" t="str">
        <f>HYPERLINK("http://stackoverflow.com/users/4874036", "yybmec")</f>
        <v>yybmec</v>
      </c>
      <c r="D11628" t="s">
        <v>8</v>
      </c>
      <c r="E11628">
        <v>1</v>
      </c>
    </row>
    <row r="11629" spans="1:5" x14ac:dyDescent="0.25">
      <c r="A11629">
        <v>11628</v>
      </c>
      <c r="B11629">
        <v>4874049</v>
      </c>
      <c r="C11629" s="1" t="str">
        <f>HYPERLINK("http://stackoverflow.com/users/4874049", "dansen")</f>
        <v>dansen</v>
      </c>
      <c r="D11629" t="s">
        <v>7</v>
      </c>
      <c r="E11629">
        <v>1</v>
      </c>
    </row>
    <row r="11630" spans="1:5" x14ac:dyDescent="0.25">
      <c r="A11630">
        <v>11629</v>
      </c>
      <c r="B11630">
        <v>1064078</v>
      </c>
      <c r="C11630" s="1" t="str">
        <f>HYPERLINK("http://stackoverflow.com/users/1064078", "laozhu")</f>
        <v>laozhu</v>
      </c>
      <c r="D11630" t="s">
        <v>37</v>
      </c>
      <c r="E11630">
        <v>1</v>
      </c>
    </row>
    <row r="11631" spans="1:5" x14ac:dyDescent="0.25">
      <c r="A11631">
        <v>11630</v>
      </c>
      <c r="B11631">
        <v>1057713</v>
      </c>
      <c r="C11631" s="1" t="str">
        <f>HYPERLINK("http://stackoverflow.com/users/1057713", "kenwell")</f>
        <v>kenwell</v>
      </c>
      <c r="D11631" t="s">
        <v>17</v>
      </c>
      <c r="E11631">
        <v>1</v>
      </c>
    </row>
    <row r="11632" spans="1:5" x14ac:dyDescent="0.25">
      <c r="A11632">
        <v>11631</v>
      </c>
      <c r="B11632">
        <v>1057835</v>
      </c>
      <c r="C11632" s="1" t="str">
        <f>HYPERLINK("http://stackoverflow.com/users/1057835", "Chanceful")</f>
        <v>Chanceful</v>
      </c>
      <c r="D11632" t="s">
        <v>12</v>
      </c>
      <c r="E11632">
        <v>1</v>
      </c>
    </row>
    <row r="11633" spans="1:5" x14ac:dyDescent="0.25">
      <c r="A11633">
        <v>11632</v>
      </c>
      <c r="B11633">
        <v>1065195</v>
      </c>
      <c r="C11633" s="1" t="str">
        <f>HYPERLINK("http://stackoverflow.com/users/1065195", "Sam Yuen")</f>
        <v>Sam Yuen</v>
      </c>
      <c r="D11633" t="s">
        <v>5</v>
      </c>
      <c r="E11633">
        <v>1</v>
      </c>
    </row>
    <row r="11634" spans="1:5" x14ac:dyDescent="0.25">
      <c r="A11634">
        <v>11633</v>
      </c>
      <c r="B11634">
        <v>1065244</v>
      </c>
      <c r="C11634" s="1" t="str">
        <f>HYPERLINK("http://stackoverflow.com/users/1065244", "Hennry")</f>
        <v>Hennry</v>
      </c>
      <c r="D11634" t="s">
        <v>4</v>
      </c>
      <c r="E11634">
        <v>1</v>
      </c>
    </row>
    <row r="11635" spans="1:5" x14ac:dyDescent="0.25">
      <c r="A11635">
        <v>11634</v>
      </c>
      <c r="B11635">
        <v>1064627</v>
      </c>
      <c r="C11635" s="1" t="str">
        <f>HYPERLINK("http://stackoverflow.com/users/1064627", "XiongHui Guo")</f>
        <v>XiongHui Guo</v>
      </c>
      <c r="D11635" t="s">
        <v>59</v>
      </c>
      <c r="E11635">
        <v>1</v>
      </c>
    </row>
    <row r="11636" spans="1:5" x14ac:dyDescent="0.25">
      <c r="A11636">
        <v>11635</v>
      </c>
      <c r="B11636">
        <v>8416499</v>
      </c>
      <c r="C11636" s="1" t="str">
        <f>HYPERLINK("http://stackoverflow.com/users/8416499", "Liang Shao")</f>
        <v>Liang Shao</v>
      </c>
      <c r="D11636" t="s">
        <v>4</v>
      </c>
      <c r="E11636">
        <v>1</v>
      </c>
    </row>
    <row r="11637" spans="1:5" x14ac:dyDescent="0.25">
      <c r="A11637">
        <v>11636</v>
      </c>
      <c r="B11637">
        <v>10234319</v>
      </c>
      <c r="C11637" s="1" t="str">
        <f>HYPERLINK("http://stackoverflow.com/users/10234319", "Jim Liang")</f>
        <v>Jim Liang</v>
      </c>
      <c r="D11637" t="s">
        <v>180</v>
      </c>
      <c r="E11637">
        <v>1</v>
      </c>
    </row>
    <row r="11638" spans="1:5" x14ac:dyDescent="0.25">
      <c r="A11638">
        <v>11637</v>
      </c>
      <c r="B11638">
        <v>4877333</v>
      </c>
      <c r="C11638" s="1" t="str">
        <f>HYPERLINK("http://stackoverflow.com/users/4877333", "Seng")</f>
        <v>Seng</v>
      </c>
      <c r="D11638" t="s">
        <v>59</v>
      </c>
      <c r="E11638">
        <v>1</v>
      </c>
    </row>
    <row r="11639" spans="1:5" x14ac:dyDescent="0.25">
      <c r="A11639">
        <v>11638</v>
      </c>
      <c r="B11639">
        <v>6611309</v>
      </c>
      <c r="C11639" s="1" t="str">
        <f>HYPERLINK("http://stackoverflow.com/users/6611309", "王瑞琦")</f>
        <v>王瑞琦</v>
      </c>
      <c r="D11639" t="s">
        <v>87</v>
      </c>
      <c r="E11639">
        <v>1</v>
      </c>
    </row>
    <row r="11640" spans="1:5" x14ac:dyDescent="0.25">
      <c r="A11640">
        <v>11639</v>
      </c>
      <c r="B11640">
        <v>6611335</v>
      </c>
      <c r="C11640" s="1" t="str">
        <f>HYPERLINK("http://stackoverflow.com/users/6611335", "Alexander Tolstoy")</f>
        <v>Alexander Tolstoy</v>
      </c>
      <c r="D11640" t="s">
        <v>16</v>
      </c>
      <c r="E11640">
        <v>1</v>
      </c>
    </row>
    <row r="11641" spans="1:5" x14ac:dyDescent="0.25">
      <c r="A11641">
        <v>11640</v>
      </c>
      <c r="B11641">
        <v>4887975</v>
      </c>
      <c r="C11641" s="1" t="str">
        <f>HYPERLINK("http://stackoverflow.com/users/4887975", "ShenYang")</f>
        <v>ShenYang</v>
      </c>
      <c r="D11641" t="s">
        <v>5</v>
      </c>
      <c r="E11641">
        <v>1</v>
      </c>
    </row>
    <row r="11642" spans="1:5" x14ac:dyDescent="0.25">
      <c r="A11642">
        <v>11641</v>
      </c>
      <c r="B11642">
        <v>3070511</v>
      </c>
      <c r="C11642" s="1" t="str">
        <f>HYPERLINK("http://stackoverflow.com/users/3070511", "Ming-Zhe")</f>
        <v>Ming-Zhe</v>
      </c>
      <c r="D11642" t="s">
        <v>5</v>
      </c>
      <c r="E11642">
        <v>1</v>
      </c>
    </row>
    <row r="11643" spans="1:5" x14ac:dyDescent="0.25">
      <c r="A11643">
        <v>11642</v>
      </c>
      <c r="B11643">
        <v>8420783</v>
      </c>
      <c r="C11643" s="1" t="str">
        <f>HYPERLINK("http://stackoverflow.com/users/8420783", "smile")</f>
        <v>smile</v>
      </c>
      <c r="D11643" t="s">
        <v>629</v>
      </c>
      <c r="E11643">
        <v>1</v>
      </c>
    </row>
    <row r="11644" spans="1:5" x14ac:dyDescent="0.25">
      <c r="A11644">
        <v>11643</v>
      </c>
      <c r="B11644">
        <v>6608225</v>
      </c>
      <c r="C11644" s="1" t="str">
        <f>HYPERLINK("http://stackoverflow.com/users/6608225", "Miao Jiong Heng")</f>
        <v>Miao Jiong Heng</v>
      </c>
      <c r="D11644" t="s">
        <v>28</v>
      </c>
      <c r="E11644">
        <v>1</v>
      </c>
    </row>
    <row r="11645" spans="1:5" x14ac:dyDescent="0.25">
      <c r="A11645">
        <v>11644</v>
      </c>
      <c r="B11645">
        <v>6608927</v>
      </c>
      <c r="C11645" s="1" t="str">
        <f>HYPERLINK("http://stackoverflow.com/users/6608927", "Abbe")</f>
        <v>Abbe</v>
      </c>
      <c r="D11645" t="s">
        <v>5</v>
      </c>
      <c r="E11645">
        <v>1</v>
      </c>
    </row>
    <row r="11646" spans="1:5" x14ac:dyDescent="0.25">
      <c r="A11646">
        <v>11645</v>
      </c>
      <c r="B11646">
        <v>10242111</v>
      </c>
      <c r="C11646" s="1" t="str">
        <f>HYPERLINK("http://stackoverflow.com/users/10242111", "zhouzhou")</f>
        <v>zhouzhou</v>
      </c>
      <c r="D11646" t="s">
        <v>5</v>
      </c>
      <c r="E11646">
        <v>1</v>
      </c>
    </row>
    <row r="11647" spans="1:5" x14ac:dyDescent="0.25">
      <c r="A11647">
        <v>11646</v>
      </c>
      <c r="B11647">
        <v>10242328</v>
      </c>
      <c r="C11647" s="1" t="str">
        <f>HYPERLINK("http://stackoverflow.com/users/10242328", "Jerry Xiong")</f>
        <v>Jerry Xiong</v>
      </c>
      <c r="D11647" t="s">
        <v>4</v>
      </c>
      <c r="E11647">
        <v>1</v>
      </c>
    </row>
    <row r="11648" spans="1:5" x14ac:dyDescent="0.25">
      <c r="A11648">
        <v>11647</v>
      </c>
      <c r="B11648">
        <v>8427747</v>
      </c>
      <c r="C11648" s="1" t="str">
        <f>HYPERLINK("http://stackoverflow.com/users/8427747", "Dan")</f>
        <v>Dan</v>
      </c>
      <c r="D11648" t="s">
        <v>5</v>
      </c>
      <c r="E11648">
        <v>1</v>
      </c>
    </row>
    <row r="11649" spans="1:5" x14ac:dyDescent="0.25">
      <c r="A11649">
        <v>11648</v>
      </c>
      <c r="B11649">
        <v>8385799</v>
      </c>
      <c r="C11649" s="1" t="str">
        <f>HYPERLINK("http://stackoverflow.com/users/8385799", "xiehuihui")</f>
        <v>xiehuihui</v>
      </c>
      <c r="D11649" t="s">
        <v>5</v>
      </c>
      <c r="E11649">
        <v>1</v>
      </c>
    </row>
    <row r="11650" spans="1:5" x14ac:dyDescent="0.25">
      <c r="A11650">
        <v>11649</v>
      </c>
      <c r="B11650">
        <v>8385815</v>
      </c>
      <c r="C11650" s="1" t="str">
        <f>HYPERLINK("http://stackoverflow.com/users/8385815", "kkry")</f>
        <v>kkry</v>
      </c>
      <c r="D11650" t="s">
        <v>630</v>
      </c>
      <c r="E11650">
        <v>1</v>
      </c>
    </row>
    <row r="11651" spans="1:5" x14ac:dyDescent="0.25">
      <c r="A11651">
        <v>11650</v>
      </c>
      <c r="B11651">
        <v>3023745</v>
      </c>
      <c r="C11651" s="1" t="str">
        <f>HYPERLINK("http://stackoverflow.com/users/3023745", "F. Xiang")</f>
        <v>F. Xiang</v>
      </c>
      <c r="D11651" t="s">
        <v>4</v>
      </c>
      <c r="E11651">
        <v>1</v>
      </c>
    </row>
    <row r="11652" spans="1:5" x14ac:dyDescent="0.25">
      <c r="A11652">
        <v>11651</v>
      </c>
      <c r="B11652">
        <v>3024006</v>
      </c>
      <c r="C11652" s="1" t="str">
        <f>HYPERLINK("http://stackoverflow.com/users/3024006", "spf")</f>
        <v>spf</v>
      </c>
      <c r="D11652" t="s">
        <v>12</v>
      </c>
      <c r="E11652">
        <v>1</v>
      </c>
    </row>
    <row r="11653" spans="1:5" x14ac:dyDescent="0.25">
      <c r="A11653">
        <v>11652</v>
      </c>
      <c r="B11653">
        <v>3024118</v>
      </c>
      <c r="C11653" s="1" t="str">
        <f>HYPERLINK("http://stackoverflow.com/users/3024118", "Ray")</f>
        <v>Ray</v>
      </c>
      <c r="D11653" t="s">
        <v>22</v>
      </c>
      <c r="E11653">
        <v>1</v>
      </c>
    </row>
    <row r="11654" spans="1:5" x14ac:dyDescent="0.25">
      <c r="A11654">
        <v>11653</v>
      </c>
      <c r="B11654">
        <v>8374079</v>
      </c>
      <c r="C11654" s="1" t="str">
        <f>HYPERLINK("http://stackoverflow.com/users/8374079", "Kevin Li")</f>
        <v>Kevin Li</v>
      </c>
      <c r="D11654" t="s">
        <v>4</v>
      </c>
      <c r="E11654">
        <v>1</v>
      </c>
    </row>
    <row r="11655" spans="1:5" x14ac:dyDescent="0.25">
      <c r="A11655">
        <v>11654</v>
      </c>
      <c r="B11655">
        <v>8376885</v>
      </c>
      <c r="C11655" s="1" t="str">
        <f>HYPERLINK("http://stackoverflow.com/users/8376885", "Joe Chou")</f>
        <v>Joe Chou</v>
      </c>
      <c r="D11655" t="s">
        <v>7</v>
      </c>
      <c r="E11655">
        <v>1</v>
      </c>
    </row>
    <row r="11656" spans="1:5" x14ac:dyDescent="0.25">
      <c r="A11656">
        <v>11655</v>
      </c>
      <c r="B11656">
        <v>10191149</v>
      </c>
      <c r="C11656" s="1" t="str">
        <f>HYPERLINK("http://stackoverflow.com/users/10191149", "Jay Zou")</f>
        <v>Jay Zou</v>
      </c>
      <c r="D11656" t="s">
        <v>5</v>
      </c>
      <c r="E11656">
        <v>1</v>
      </c>
    </row>
    <row r="11657" spans="1:5" x14ac:dyDescent="0.25">
      <c r="A11657">
        <v>11656</v>
      </c>
      <c r="B11657">
        <v>10191184</v>
      </c>
      <c r="C11657" s="1" t="str">
        <f>HYPERLINK("http://stackoverflow.com/users/10191184", "Engineer")</f>
        <v>Engineer</v>
      </c>
      <c r="D11657" t="s">
        <v>5</v>
      </c>
      <c r="E11657">
        <v>1</v>
      </c>
    </row>
    <row r="11658" spans="1:5" x14ac:dyDescent="0.25">
      <c r="A11658">
        <v>11657</v>
      </c>
      <c r="B11658">
        <v>999523</v>
      </c>
      <c r="C11658" s="1" t="str">
        <f>HYPERLINK("http://stackoverflow.com/users/999523", "jinan hong")</f>
        <v>jinan hong</v>
      </c>
      <c r="D11658" t="s">
        <v>5</v>
      </c>
      <c r="E11658">
        <v>1</v>
      </c>
    </row>
    <row r="11659" spans="1:5" x14ac:dyDescent="0.25">
      <c r="A11659">
        <v>11658</v>
      </c>
      <c r="B11659">
        <v>999550</v>
      </c>
      <c r="C11659" s="1" t="str">
        <f>HYPERLINK("http://stackoverflow.com/users/999550", "MarshallChen")</f>
        <v>MarshallChen</v>
      </c>
      <c r="D11659" t="s">
        <v>5</v>
      </c>
      <c r="E11659">
        <v>1</v>
      </c>
    </row>
    <row r="11660" spans="1:5" x14ac:dyDescent="0.25">
      <c r="A11660">
        <v>11659</v>
      </c>
      <c r="B11660">
        <v>10196548</v>
      </c>
      <c r="C11660" s="1" t="str">
        <f>HYPERLINK("http://stackoverflow.com/users/10196548", "bo oo")</f>
        <v>bo oo</v>
      </c>
      <c r="D11660" t="s">
        <v>631</v>
      </c>
      <c r="E11660">
        <v>1</v>
      </c>
    </row>
    <row r="11661" spans="1:5" x14ac:dyDescent="0.25">
      <c r="A11661">
        <v>11660</v>
      </c>
      <c r="B11661">
        <v>10196884</v>
      </c>
      <c r="C11661" s="1" t="str">
        <f>HYPERLINK("http://stackoverflow.com/users/10196884", "ARS")</f>
        <v>ARS</v>
      </c>
      <c r="D11661" t="s">
        <v>632</v>
      </c>
      <c r="E11661">
        <v>1</v>
      </c>
    </row>
    <row r="11662" spans="1:5" x14ac:dyDescent="0.25">
      <c r="A11662">
        <v>11661</v>
      </c>
      <c r="B11662">
        <v>8382485</v>
      </c>
      <c r="C11662" s="1" t="str">
        <f>HYPERLINK("http://stackoverflow.com/users/8382485", "ly1302116")</f>
        <v>ly1302116</v>
      </c>
      <c r="D11662" t="s">
        <v>633</v>
      </c>
      <c r="E11662">
        <v>1</v>
      </c>
    </row>
    <row r="11663" spans="1:5" x14ac:dyDescent="0.25">
      <c r="A11663">
        <v>11662</v>
      </c>
      <c r="B11663">
        <v>6570830</v>
      </c>
      <c r="C11663" s="1" t="str">
        <f>HYPERLINK("http://stackoverflow.com/users/6570830", "syaokun219")</f>
        <v>syaokun219</v>
      </c>
      <c r="D11663" t="s">
        <v>5</v>
      </c>
      <c r="E11663">
        <v>1</v>
      </c>
    </row>
    <row r="11664" spans="1:5" x14ac:dyDescent="0.25">
      <c r="A11664">
        <v>11663</v>
      </c>
      <c r="B11664">
        <v>3036606</v>
      </c>
      <c r="C11664" s="1" t="str">
        <f>HYPERLINK("http://stackoverflow.com/users/3036606", "user3036606")</f>
        <v>user3036606</v>
      </c>
      <c r="D11664" t="s">
        <v>17</v>
      </c>
      <c r="E11664">
        <v>1</v>
      </c>
    </row>
    <row r="11665" spans="1:5" x14ac:dyDescent="0.25">
      <c r="A11665">
        <v>11664</v>
      </c>
      <c r="B11665">
        <v>1029026</v>
      </c>
      <c r="C11665" s="1" t="str">
        <f>HYPERLINK("http://stackoverflow.com/users/1029026", "witwall")</f>
        <v>witwall</v>
      </c>
      <c r="D11665" t="s">
        <v>4</v>
      </c>
      <c r="E11665">
        <v>1</v>
      </c>
    </row>
    <row r="11666" spans="1:5" x14ac:dyDescent="0.25">
      <c r="A11666">
        <v>11665</v>
      </c>
      <c r="B11666">
        <v>1029038</v>
      </c>
      <c r="C11666" s="1" t="str">
        <f>HYPERLINK("http://stackoverflow.com/users/1029038", "Caesar Anders")</f>
        <v>Caesar Anders</v>
      </c>
      <c r="D11666" t="s">
        <v>4</v>
      </c>
      <c r="E11666">
        <v>1</v>
      </c>
    </row>
    <row r="11667" spans="1:5" x14ac:dyDescent="0.25">
      <c r="A11667">
        <v>11666</v>
      </c>
      <c r="B11667">
        <v>8391336</v>
      </c>
      <c r="C11667" s="1" t="str">
        <f>HYPERLINK("http://stackoverflow.com/users/8391336", "athena3368")</f>
        <v>athena3368</v>
      </c>
      <c r="D11667" t="s">
        <v>5</v>
      </c>
      <c r="E11667">
        <v>1</v>
      </c>
    </row>
    <row r="11668" spans="1:5" x14ac:dyDescent="0.25">
      <c r="A11668">
        <v>11667</v>
      </c>
      <c r="B11668">
        <v>8386182</v>
      </c>
      <c r="C11668" s="1" t="str">
        <f>HYPERLINK("http://stackoverflow.com/users/8386182", "Joo")</f>
        <v>Joo</v>
      </c>
      <c r="D11668" t="s">
        <v>16</v>
      </c>
      <c r="E11668">
        <v>1</v>
      </c>
    </row>
    <row r="11669" spans="1:5" x14ac:dyDescent="0.25">
      <c r="A11669">
        <v>11668</v>
      </c>
      <c r="B11669">
        <v>3026663</v>
      </c>
      <c r="C11669" s="1" t="str">
        <f>HYPERLINK("http://stackoverflow.com/users/3026663", "linkliu")</f>
        <v>linkliu</v>
      </c>
      <c r="D11669" t="s">
        <v>634</v>
      </c>
      <c r="E11669">
        <v>1</v>
      </c>
    </row>
    <row r="11670" spans="1:5" x14ac:dyDescent="0.25">
      <c r="A11670">
        <v>11669</v>
      </c>
      <c r="B11670">
        <v>10204905</v>
      </c>
      <c r="C11670" s="1" t="str">
        <f>HYPERLINK("http://stackoverflow.com/users/10204905", "YunLai")</f>
        <v>YunLai</v>
      </c>
      <c r="D11670" t="s">
        <v>33</v>
      </c>
      <c r="E11670">
        <v>1</v>
      </c>
    </row>
    <row r="11671" spans="1:5" x14ac:dyDescent="0.25">
      <c r="A11671">
        <v>11670</v>
      </c>
      <c r="B11671">
        <v>6563096</v>
      </c>
      <c r="C11671" s="1" t="str">
        <f>HYPERLINK("http://stackoverflow.com/users/6563096", "no5no6")</f>
        <v>no5no6</v>
      </c>
      <c r="D11671" t="s">
        <v>5</v>
      </c>
      <c r="E11671">
        <v>1</v>
      </c>
    </row>
    <row r="11672" spans="1:5" x14ac:dyDescent="0.25">
      <c r="A11672">
        <v>11671</v>
      </c>
      <c r="B11672">
        <v>967217</v>
      </c>
      <c r="C11672" s="1" t="str">
        <f>HYPERLINK("http://stackoverflow.com/users/967217", "Hongguang")</f>
        <v>Hongguang</v>
      </c>
      <c r="D11672" t="s">
        <v>35</v>
      </c>
      <c r="E11672">
        <v>1</v>
      </c>
    </row>
    <row r="11673" spans="1:5" x14ac:dyDescent="0.25">
      <c r="A11673">
        <v>11672</v>
      </c>
      <c r="B11673">
        <v>8361531</v>
      </c>
      <c r="C11673" s="1" t="str">
        <f>HYPERLINK("http://stackoverflow.com/users/8361531", "Fenglin Li")</f>
        <v>Fenglin Li</v>
      </c>
      <c r="D11673" t="s">
        <v>4</v>
      </c>
      <c r="E11673">
        <v>1</v>
      </c>
    </row>
    <row r="11674" spans="1:5" x14ac:dyDescent="0.25">
      <c r="A11674">
        <v>11673</v>
      </c>
      <c r="B11674">
        <v>8361559</v>
      </c>
      <c r="C11674" s="1" t="str">
        <f>HYPERLINK("http://stackoverflow.com/users/8361559", "feng.y")</f>
        <v>feng.y</v>
      </c>
      <c r="D11674" t="s">
        <v>4</v>
      </c>
      <c r="E11674">
        <v>1</v>
      </c>
    </row>
    <row r="11675" spans="1:5" x14ac:dyDescent="0.25">
      <c r="A11675">
        <v>11674</v>
      </c>
      <c r="B11675">
        <v>8361586</v>
      </c>
      <c r="C11675" s="1" t="str">
        <f>HYPERLINK("http://stackoverflow.com/users/8361586", "wangyu1771")</f>
        <v>wangyu1771</v>
      </c>
      <c r="D11675" t="s">
        <v>4</v>
      </c>
      <c r="E11675">
        <v>1</v>
      </c>
    </row>
    <row r="11676" spans="1:5" x14ac:dyDescent="0.25">
      <c r="A11676">
        <v>11675</v>
      </c>
      <c r="B11676">
        <v>8361662</v>
      </c>
      <c r="C11676" s="1" t="str">
        <f>HYPERLINK("http://stackoverflow.com/users/8361662", "Yinhuan Xu")</f>
        <v>Yinhuan Xu</v>
      </c>
      <c r="D11676" t="s">
        <v>42</v>
      </c>
      <c r="E11676">
        <v>1</v>
      </c>
    </row>
    <row r="11677" spans="1:5" x14ac:dyDescent="0.25">
      <c r="A11677">
        <v>11676</v>
      </c>
      <c r="B11677">
        <v>3003069</v>
      </c>
      <c r="C11677" s="1" t="str">
        <f>HYPERLINK("http://stackoverflow.com/users/3003069", "Owen Liu")</f>
        <v>Owen Liu</v>
      </c>
      <c r="D11677" t="s">
        <v>78</v>
      </c>
      <c r="E11677">
        <v>1</v>
      </c>
    </row>
    <row r="11678" spans="1:5" x14ac:dyDescent="0.25">
      <c r="A11678">
        <v>11677</v>
      </c>
      <c r="B11678">
        <v>3003188</v>
      </c>
      <c r="C11678" s="1" t="str">
        <f>HYPERLINK("http://stackoverflow.com/users/3003188", "John Wang")</f>
        <v>John Wang</v>
      </c>
      <c r="D11678" t="s">
        <v>17</v>
      </c>
      <c r="E11678">
        <v>1</v>
      </c>
    </row>
    <row r="11679" spans="1:5" x14ac:dyDescent="0.25">
      <c r="A11679">
        <v>11678</v>
      </c>
      <c r="B11679">
        <v>4833469</v>
      </c>
      <c r="C11679" s="1" t="str">
        <f>HYPERLINK("http://stackoverflow.com/users/4833469", "RHCDS")</f>
        <v>RHCDS</v>
      </c>
      <c r="D11679" t="s">
        <v>12</v>
      </c>
      <c r="E11679">
        <v>1</v>
      </c>
    </row>
    <row r="11680" spans="1:5" x14ac:dyDescent="0.25">
      <c r="A11680">
        <v>11679</v>
      </c>
      <c r="B11680">
        <v>8365116</v>
      </c>
      <c r="C11680" s="1" t="str">
        <f>HYPERLINK("http://stackoverflow.com/users/8365116", "Amber Lin")</f>
        <v>Amber Lin</v>
      </c>
      <c r="D11680" t="s">
        <v>4</v>
      </c>
      <c r="E11680">
        <v>1</v>
      </c>
    </row>
    <row r="11681" spans="1:5" x14ac:dyDescent="0.25">
      <c r="A11681">
        <v>11680</v>
      </c>
      <c r="B11681">
        <v>6556167</v>
      </c>
      <c r="C11681" s="1" t="str">
        <f>HYPERLINK("http://stackoverflow.com/users/6556167", "zhaohe li")</f>
        <v>zhaohe li</v>
      </c>
      <c r="D11681" t="s">
        <v>193</v>
      </c>
      <c r="E11681">
        <v>1</v>
      </c>
    </row>
    <row r="11682" spans="1:5" x14ac:dyDescent="0.25">
      <c r="A11682">
        <v>11681</v>
      </c>
      <c r="B11682">
        <v>10180088</v>
      </c>
      <c r="C11682" s="1" t="str">
        <f>HYPERLINK("http://stackoverflow.com/users/10180088", "dfsbbl")</f>
        <v>dfsbbl</v>
      </c>
      <c r="D11682" t="s">
        <v>4</v>
      </c>
      <c r="E11682">
        <v>1</v>
      </c>
    </row>
    <row r="11683" spans="1:5" x14ac:dyDescent="0.25">
      <c r="A11683">
        <v>11682</v>
      </c>
      <c r="B11683">
        <v>8366516</v>
      </c>
      <c r="C11683" s="1" t="str">
        <f>HYPERLINK("http://stackoverflow.com/users/8366516", "LiuHaoran")</f>
        <v>LiuHaoran</v>
      </c>
      <c r="D11683" t="s">
        <v>325</v>
      </c>
      <c r="E11683">
        <v>1</v>
      </c>
    </row>
    <row r="11684" spans="1:5" x14ac:dyDescent="0.25">
      <c r="A11684">
        <v>11683</v>
      </c>
      <c r="B11684">
        <v>3011125</v>
      </c>
      <c r="C11684" s="1" t="str">
        <f>HYPERLINK("http://stackoverflow.com/users/3011125", "RobertC")</f>
        <v>RobertC</v>
      </c>
      <c r="D11684" t="s">
        <v>5</v>
      </c>
      <c r="E11684">
        <v>1</v>
      </c>
    </row>
    <row r="11685" spans="1:5" x14ac:dyDescent="0.25">
      <c r="A11685">
        <v>11684</v>
      </c>
      <c r="B11685">
        <v>10184540</v>
      </c>
      <c r="C11685" s="1" t="str">
        <f>HYPERLINK("http://stackoverflow.com/users/10184540", "chao guo")</f>
        <v>chao guo</v>
      </c>
      <c r="D11685" t="s">
        <v>5</v>
      </c>
      <c r="E11685">
        <v>1</v>
      </c>
    </row>
    <row r="11686" spans="1:5" x14ac:dyDescent="0.25">
      <c r="A11686">
        <v>11685</v>
      </c>
      <c r="B11686">
        <v>10184575</v>
      </c>
      <c r="C11686" s="1" t="str">
        <f>HYPERLINK("http://stackoverflow.com/users/10184575", "ys2006")</f>
        <v>ys2006</v>
      </c>
      <c r="D11686" t="s">
        <v>5</v>
      </c>
      <c r="E11686">
        <v>1</v>
      </c>
    </row>
    <row r="11687" spans="1:5" x14ac:dyDescent="0.25">
      <c r="A11687">
        <v>11686</v>
      </c>
      <c r="B11687">
        <v>8373604</v>
      </c>
      <c r="C11687" s="1" t="str">
        <f>HYPERLINK("http://stackoverflow.com/users/8373604", "AliweeLee")</f>
        <v>AliweeLee</v>
      </c>
      <c r="D11687" t="s">
        <v>22</v>
      </c>
      <c r="E11687">
        <v>1</v>
      </c>
    </row>
    <row r="11688" spans="1:5" x14ac:dyDescent="0.25">
      <c r="A11688">
        <v>11687</v>
      </c>
      <c r="B11688">
        <v>8373632</v>
      </c>
      <c r="C11688" s="1" t="str">
        <f>HYPERLINK("http://stackoverflow.com/users/8373632", "zheng ji")</f>
        <v>zheng ji</v>
      </c>
      <c r="D11688" t="s">
        <v>432</v>
      </c>
      <c r="E11688">
        <v>1</v>
      </c>
    </row>
    <row r="11689" spans="1:5" x14ac:dyDescent="0.25">
      <c r="A11689">
        <v>11688</v>
      </c>
      <c r="B11689">
        <v>8373643</v>
      </c>
      <c r="C11689" s="1" t="str">
        <f>HYPERLINK("http://stackoverflow.com/users/8373643", "Ray")</f>
        <v>Ray</v>
      </c>
      <c r="D11689" t="s">
        <v>5</v>
      </c>
      <c r="E11689">
        <v>1</v>
      </c>
    </row>
    <row r="11690" spans="1:5" x14ac:dyDescent="0.25">
      <c r="A11690">
        <v>11689</v>
      </c>
      <c r="B11690">
        <v>8373656</v>
      </c>
      <c r="C11690" s="1" t="str">
        <f>HYPERLINK("http://stackoverflow.com/users/8373656", "user8373656")</f>
        <v>user8373656</v>
      </c>
      <c r="D11690" t="s">
        <v>5</v>
      </c>
      <c r="E11690">
        <v>1</v>
      </c>
    </row>
    <row r="11691" spans="1:5" x14ac:dyDescent="0.25">
      <c r="A11691">
        <v>11690</v>
      </c>
      <c r="B11691">
        <v>8373827</v>
      </c>
      <c r="C11691" s="1" t="str">
        <f>HYPERLINK("http://stackoverflow.com/users/8373827", "guuds.com")</f>
        <v>guuds.com</v>
      </c>
      <c r="D11691" t="s">
        <v>17</v>
      </c>
      <c r="E11691">
        <v>1</v>
      </c>
    </row>
    <row r="11692" spans="1:5" x14ac:dyDescent="0.25">
      <c r="A11692">
        <v>11691</v>
      </c>
      <c r="B11692">
        <v>8373830</v>
      </c>
      <c r="C11692" s="1" t="str">
        <f>HYPERLINK("http://stackoverflow.com/users/8373830", "W.Sinon")</f>
        <v>W.Sinon</v>
      </c>
      <c r="D11692" t="s">
        <v>635</v>
      </c>
      <c r="E11692">
        <v>1</v>
      </c>
    </row>
    <row r="11693" spans="1:5" x14ac:dyDescent="0.25">
      <c r="A11693">
        <v>11692</v>
      </c>
      <c r="B11693">
        <v>8374018</v>
      </c>
      <c r="C11693" s="1" t="str">
        <f>HYPERLINK("http://stackoverflow.com/users/8374018", "陈齐斌")</f>
        <v>陈齐斌</v>
      </c>
      <c r="D11693" t="s">
        <v>176</v>
      </c>
      <c r="E11693">
        <v>1</v>
      </c>
    </row>
    <row r="11694" spans="1:5" x14ac:dyDescent="0.25">
      <c r="A11694">
        <v>11693</v>
      </c>
      <c r="B11694">
        <v>4840178</v>
      </c>
      <c r="C11694" s="1" t="str">
        <f>HYPERLINK("http://stackoverflow.com/users/4840178", "Mike Leong")</f>
        <v>Mike Leong</v>
      </c>
      <c r="D11694" t="s">
        <v>21</v>
      </c>
      <c r="E11694">
        <v>1</v>
      </c>
    </row>
    <row r="11695" spans="1:5" x14ac:dyDescent="0.25">
      <c r="A11695">
        <v>11694</v>
      </c>
      <c r="B11695">
        <v>4840316</v>
      </c>
      <c r="C11695" s="1" t="str">
        <f>HYPERLINK("http://stackoverflow.com/users/4840316", "Hanchang Zhuo")</f>
        <v>Hanchang Zhuo</v>
      </c>
      <c r="D11695" t="s">
        <v>8</v>
      </c>
      <c r="E11695">
        <v>1</v>
      </c>
    </row>
    <row r="11696" spans="1:5" x14ac:dyDescent="0.25">
      <c r="A11696">
        <v>11695</v>
      </c>
      <c r="B11696">
        <v>4840494</v>
      </c>
      <c r="C11696" s="1" t="str">
        <f>HYPERLINK("http://stackoverflow.com/users/4840494", "Yifei Zhang Frank")</f>
        <v>Yifei Zhang Frank</v>
      </c>
      <c r="D11696" t="s">
        <v>55</v>
      </c>
      <c r="E11696">
        <v>1</v>
      </c>
    </row>
    <row r="11697" spans="1:5" x14ac:dyDescent="0.25">
      <c r="A11697">
        <v>11696</v>
      </c>
      <c r="B11697">
        <v>8373429</v>
      </c>
      <c r="C11697" s="1" t="str">
        <f>HYPERLINK("http://stackoverflow.com/users/8373429", "TrickyZark")</f>
        <v>TrickyZark</v>
      </c>
      <c r="D11697" t="s">
        <v>52</v>
      </c>
      <c r="E11697">
        <v>1</v>
      </c>
    </row>
    <row r="11698" spans="1:5" x14ac:dyDescent="0.25">
      <c r="A11698">
        <v>11697</v>
      </c>
      <c r="B11698">
        <v>8373562</v>
      </c>
      <c r="C11698" s="1" t="str">
        <f>HYPERLINK("http://stackoverflow.com/users/8373562", "武飞龙")</f>
        <v>武飞龙</v>
      </c>
      <c r="D11698" t="s">
        <v>4</v>
      </c>
      <c r="E11698">
        <v>1</v>
      </c>
    </row>
    <row r="11699" spans="1:5" x14ac:dyDescent="0.25">
      <c r="A11699">
        <v>11698</v>
      </c>
      <c r="B11699">
        <v>1071318</v>
      </c>
      <c r="C11699" s="1" t="str">
        <f>HYPERLINK("http://stackoverflow.com/users/1071318", "Jerry")</f>
        <v>Jerry</v>
      </c>
      <c r="D11699" t="s">
        <v>12</v>
      </c>
      <c r="E11699">
        <v>1</v>
      </c>
    </row>
    <row r="11700" spans="1:5" x14ac:dyDescent="0.25">
      <c r="A11700">
        <v>11699</v>
      </c>
      <c r="B11700">
        <v>6618676</v>
      </c>
      <c r="C11700" s="1" t="str">
        <f>HYPERLINK("http://stackoverflow.com/users/6618676", "Kim Zh")</f>
        <v>Kim Zh</v>
      </c>
      <c r="D11700" t="s">
        <v>43</v>
      </c>
      <c r="E11700">
        <v>1</v>
      </c>
    </row>
    <row r="11701" spans="1:5" x14ac:dyDescent="0.25">
      <c r="A11701">
        <v>11700</v>
      </c>
      <c r="B11701">
        <v>8432116</v>
      </c>
      <c r="C11701" s="1" t="str">
        <f>HYPERLINK("http://stackoverflow.com/users/8432116", "Wade Lu")</f>
        <v>Wade Lu</v>
      </c>
      <c r="D11701" t="s">
        <v>4</v>
      </c>
      <c r="E11701">
        <v>1</v>
      </c>
    </row>
    <row r="11702" spans="1:5" x14ac:dyDescent="0.25">
      <c r="A11702">
        <v>11701</v>
      </c>
      <c r="B11702">
        <v>8432330</v>
      </c>
      <c r="C11702" s="1" t="str">
        <f>HYPERLINK("http://stackoverflow.com/users/8432330", "aeoluspu")</f>
        <v>aeoluspu</v>
      </c>
      <c r="D11702" t="s">
        <v>5</v>
      </c>
      <c r="E11702">
        <v>1</v>
      </c>
    </row>
    <row r="11703" spans="1:5" x14ac:dyDescent="0.25">
      <c r="A11703">
        <v>11702</v>
      </c>
      <c r="B11703">
        <v>8432604</v>
      </c>
      <c r="C11703" s="1" t="str">
        <f>HYPERLINK("http://stackoverflow.com/users/8432604", "Whisky")</f>
        <v>Whisky</v>
      </c>
      <c r="D11703" t="s">
        <v>156</v>
      </c>
      <c r="E11703">
        <v>1</v>
      </c>
    </row>
    <row r="11704" spans="1:5" x14ac:dyDescent="0.25">
      <c r="A11704">
        <v>11703</v>
      </c>
      <c r="B11704">
        <v>8432721</v>
      </c>
      <c r="C11704" s="1" t="str">
        <f>HYPERLINK("http://stackoverflow.com/users/8432721", "neal")</f>
        <v>neal</v>
      </c>
      <c r="D11704" t="s">
        <v>4</v>
      </c>
      <c r="E11704">
        <v>1</v>
      </c>
    </row>
    <row r="11705" spans="1:5" x14ac:dyDescent="0.25">
      <c r="A11705">
        <v>11704</v>
      </c>
      <c r="B11705">
        <v>8432821</v>
      </c>
      <c r="C11705" s="1" t="str">
        <f>HYPERLINK("http://stackoverflow.com/users/8432821", "Dragon Sean")</f>
        <v>Dragon Sean</v>
      </c>
      <c r="D11705" t="s">
        <v>5</v>
      </c>
      <c r="E11705">
        <v>1</v>
      </c>
    </row>
    <row r="11706" spans="1:5" x14ac:dyDescent="0.25">
      <c r="A11706">
        <v>11705</v>
      </c>
      <c r="B11706">
        <v>6614449</v>
      </c>
      <c r="C11706" s="1" t="str">
        <f>HYPERLINK("http://stackoverflow.com/users/6614449", "pengqiangnj")</f>
        <v>pengqiangnj</v>
      </c>
      <c r="D11706" t="s">
        <v>55</v>
      </c>
      <c r="E11706">
        <v>1</v>
      </c>
    </row>
    <row r="11707" spans="1:5" x14ac:dyDescent="0.25">
      <c r="A11707">
        <v>11706</v>
      </c>
      <c r="B11707">
        <v>8443915</v>
      </c>
      <c r="C11707" s="1" t="str">
        <f>HYPERLINK("http://stackoverflow.com/users/8443915", "Xingwei Cao")</f>
        <v>Xingwei Cao</v>
      </c>
      <c r="D11707" t="s">
        <v>5</v>
      </c>
      <c r="E11707">
        <v>1</v>
      </c>
    </row>
    <row r="11708" spans="1:5" x14ac:dyDescent="0.25">
      <c r="A11708">
        <v>11707</v>
      </c>
      <c r="B11708">
        <v>8443943</v>
      </c>
      <c r="C11708" s="1" t="str">
        <f>HYPERLINK("http://stackoverflow.com/users/8443943", "iotmi")</f>
        <v>iotmi</v>
      </c>
      <c r="D11708" t="s">
        <v>4</v>
      </c>
      <c r="E11708">
        <v>1</v>
      </c>
    </row>
    <row r="11709" spans="1:5" x14ac:dyDescent="0.25">
      <c r="A11709">
        <v>11708</v>
      </c>
      <c r="B11709">
        <v>8444047</v>
      </c>
      <c r="C11709" s="1" t="str">
        <f>HYPERLINK("http://stackoverflow.com/users/8444047", "Andy.Y.Fan")</f>
        <v>Andy.Y.Fan</v>
      </c>
      <c r="D11709" t="s">
        <v>4</v>
      </c>
      <c r="E11709">
        <v>1</v>
      </c>
    </row>
    <row r="11710" spans="1:5" x14ac:dyDescent="0.25">
      <c r="A11710">
        <v>11709</v>
      </c>
      <c r="B11710">
        <v>8444050</v>
      </c>
      <c r="C11710" s="1" t="str">
        <f>HYPERLINK("http://stackoverflow.com/users/8444050", "Michealkhan ")</f>
        <v xml:space="preserve">Michealkhan </v>
      </c>
      <c r="D11710" t="s">
        <v>118</v>
      </c>
      <c r="E11710">
        <v>1</v>
      </c>
    </row>
    <row r="11711" spans="1:5" x14ac:dyDescent="0.25">
      <c r="A11711">
        <v>11710</v>
      </c>
      <c r="B11711">
        <v>8444071</v>
      </c>
      <c r="C11711" s="1" t="str">
        <f>HYPERLINK("http://stackoverflow.com/users/8444071", "FanFan")</f>
        <v>FanFan</v>
      </c>
      <c r="D11711" t="s">
        <v>4</v>
      </c>
      <c r="E11711">
        <v>1</v>
      </c>
    </row>
    <row r="11712" spans="1:5" x14ac:dyDescent="0.25">
      <c r="A11712">
        <v>11711</v>
      </c>
      <c r="B11712">
        <v>8444112</v>
      </c>
      <c r="C11712" s="1" t="str">
        <f>HYPERLINK("http://stackoverflow.com/users/8444112", "binbinsh")</f>
        <v>binbinsh</v>
      </c>
      <c r="D11712" t="s">
        <v>4</v>
      </c>
      <c r="E11712">
        <v>1</v>
      </c>
    </row>
    <row r="11713" spans="1:5" x14ac:dyDescent="0.25">
      <c r="A11713">
        <v>11712</v>
      </c>
      <c r="B11713">
        <v>8444148</v>
      </c>
      <c r="C11713" s="1" t="str">
        <f>HYPERLINK("http://stackoverflow.com/users/8444148", "魏思远")</f>
        <v>魏思远</v>
      </c>
      <c r="D11713" t="s">
        <v>636</v>
      </c>
      <c r="E11713">
        <v>1</v>
      </c>
    </row>
    <row r="11714" spans="1:5" x14ac:dyDescent="0.25">
      <c r="A11714">
        <v>11713</v>
      </c>
      <c r="B11714">
        <v>8444233</v>
      </c>
      <c r="C11714" s="1" t="str">
        <f>HYPERLINK("http://stackoverflow.com/users/8444233", "Kai Ding")</f>
        <v>Kai Ding</v>
      </c>
      <c r="D11714" t="s">
        <v>7</v>
      </c>
      <c r="E11714">
        <v>1</v>
      </c>
    </row>
    <row r="11715" spans="1:5" x14ac:dyDescent="0.25">
      <c r="A11715">
        <v>11714</v>
      </c>
      <c r="B11715">
        <v>3081324</v>
      </c>
      <c r="C11715" s="1" t="str">
        <f>HYPERLINK("http://stackoverflow.com/users/3081324", "m.b.b")</f>
        <v>m.b.b</v>
      </c>
      <c r="D11715" t="s">
        <v>17</v>
      </c>
      <c r="E11715">
        <v>1</v>
      </c>
    </row>
    <row r="11716" spans="1:5" x14ac:dyDescent="0.25">
      <c r="A11716">
        <v>11715</v>
      </c>
      <c r="B11716">
        <v>3081407</v>
      </c>
      <c r="C11716" s="1" t="str">
        <f>HYPERLINK("http://stackoverflow.com/users/3081407", "vincent")</f>
        <v>vincent</v>
      </c>
      <c r="D11716" t="s">
        <v>4</v>
      </c>
      <c r="E11716">
        <v>1</v>
      </c>
    </row>
    <row r="11717" spans="1:5" x14ac:dyDescent="0.25">
      <c r="A11717">
        <v>11716</v>
      </c>
      <c r="B11717">
        <v>3081448</v>
      </c>
      <c r="C11717" s="1" t="str">
        <f>HYPERLINK("http://stackoverflow.com/users/3081448", "lzqwebsoft")</f>
        <v>lzqwebsoft</v>
      </c>
      <c r="D11717" t="s">
        <v>4</v>
      </c>
      <c r="E11717">
        <v>1</v>
      </c>
    </row>
    <row r="11718" spans="1:5" x14ac:dyDescent="0.25">
      <c r="A11718">
        <v>11717</v>
      </c>
      <c r="B11718">
        <v>8440611</v>
      </c>
      <c r="C11718" s="1" t="str">
        <f>HYPERLINK("http://stackoverflow.com/users/8440611", "L.Cham")</f>
        <v>L.Cham</v>
      </c>
      <c r="D11718" t="s">
        <v>25</v>
      </c>
      <c r="E11718">
        <v>1</v>
      </c>
    </row>
    <row r="11719" spans="1:5" x14ac:dyDescent="0.25">
      <c r="A11719">
        <v>11718</v>
      </c>
      <c r="B11719">
        <v>4899650</v>
      </c>
      <c r="C11719" s="1" t="str">
        <f>HYPERLINK("http://stackoverflow.com/users/4899650", "Martin Ma")</f>
        <v>Martin Ma</v>
      </c>
      <c r="D11719" t="s">
        <v>6</v>
      </c>
      <c r="E11719">
        <v>1</v>
      </c>
    </row>
    <row r="11720" spans="1:5" x14ac:dyDescent="0.25">
      <c r="A11720">
        <v>11719</v>
      </c>
      <c r="B11720">
        <v>4900119</v>
      </c>
      <c r="C11720" s="1" t="str">
        <f>HYPERLINK("http://stackoverflow.com/users/4900119", "Rene Fang")</f>
        <v>Rene Fang</v>
      </c>
      <c r="D11720" t="s">
        <v>5</v>
      </c>
      <c r="E11720">
        <v>1</v>
      </c>
    </row>
    <row r="11721" spans="1:5" x14ac:dyDescent="0.25">
      <c r="A11721">
        <v>11720</v>
      </c>
      <c r="B11721">
        <v>3097860</v>
      </c>
      <c r="C11721" s="1" t="str">
        <f>HYPERLINK("http://stackoverflow.com/users/3097860", "Gwaka")</f>
        <v>Gwaka</v>
      </c>
      <c r="D11721" t="s">
        <v>4</v>
      </c>
      <c r="E11721">
        <v>1</v>
      </c>
    </row>
    <row r="11722" spans="1:5" x14ac:dyDescent="0.25">
      <c r="A11722">
        <v>11721</v>
      </c>
      <c r="B11722">
        <v>3097901</v>
      </c>
      <c r="C11722" s="1" t="str">
        <f>HYPERLINK("http://stackoverflow.com/users/3097901", "Transmixer")</f>
        <v>Transmixer</v>
      </c>
      <c r="D11722" t="s">
        <v>4</v>
      </c>
      <c r="E11722">
        <v>1</v>
      </c>
    </row>
    <row r="11723" spans="1:5" x14ac:dyDescent="0.25">
      <c r="A11723">
        <v>11722</v>
      </c>
      <c r="B11723">
        <v>3097920</v>
      </c>
      <c r="C11723" s="1" t="str">
        <f>HYPERLINK("http://stackoverflow.com/users/3097920", "ruoyiqing")</f>
        <v>ruoyiqing</v>
      </c>
      <c r="D11723" t="s">
        <v>5</v>
      </c>
      <c r="E11723">
        <v>1</v>
      </c>
    </row>
    <row r="11724" spans="1:5" x14ac:dyDescent="0.25">
      <c r="A11724">
        <v>11723</v>
      </c>
      <c r="B11724">
        <v>10274704</v>
      </c>
      <c r="C11724" s="1" t="str">
        <f>HYPERLINK("http://stackoverflow.com/users/10274704", "Kelvin")</f>
        <v>Kelvin</v>
      </c>
      <c r="D11724" t="s">
        <v>4</v>
      </c>
      <c r="E11724">
        <v>1</v>
      </c>
    </row>
    <row r="11725" spans="1:5" x14ac:dyDescent="0.25">
      <c r="A11725">
        <v>11724</v>
      </c>
      <c r="B11725">
        <v>10274715</v>
      </c>
      <c r="C11725" s="1" t="str">
        <f>HYPERLINK("http://stackoverflow.com/users/10274715", "liang n")</f>
        <v>liang n</v>
      </c>
      <c r="D11725" t="s">
        <v>442</v>
      </c>
      <c r="E11725">
        <v>1</v>
      </c>
    </row>
    <row r="11726" spans="1:5" x14ac:dyDescent="0.25">
      <c r="A11726">
        <v>11725</v>
      </c>
      <c r="B11726">
        <v>10274893</v>
      </c>
      <c r="C11726" s="1" t="str">
        <f>HYPERLINK("http://stackoverflow.com/users/10274893", "Azure Patton ")</f>
        <v xml:space="preserve">Azure Patton </v>
      </c>
      <c r="D11726" t="s">
        <v>7</v>
      </c>
      <c r="E11726">
        <v>1</v>
      </c>
    </row>
    <row r="11727" spans="1:5" x14ac:dyDescent="0.25">
      <c r="A11727">
        <v>11726</v>
      </c>
      <c r="B11727">
        <v>4916172</v>
      </c>
      <c r="C11727" s="1" t="str">
        <f>HYPERLINK("http://stackoverflow.com/users/4916172", "dcba63")</f>
        <v>dcba63</v>
      </c>
      <c r="D11727" t="s">
        <v>4</v>
      </c>
      <c r="E11727">
        <v>1</v>
      </c>
    </row>
    <row r="11728" spans="1:5" x14ac:dyDescent="0.25">
      <c r="A11728">
        <v>11727</v>
      </c>
      <c r="B11728">
        <v>4916471</v>
      </c>
      <c r="C11728" s="1" t="str">
        <f>HYPERLINK("http://stackoverflow.com/users/4916471", "Edwalt Xu")</f>
        <v>Edwalt Xu</v>
      </c>
      <c r="D11728" t="s">
        <v>4</v>
      </c>
      <c r="E11728">
        <v>1</v>
      </c>
    </row>
    <row r="11729" spans="1:5" x14ac:dyDescent="0.25">
      <c r="A11729">
        <v>11728</v>
      </c>
      <c r="B11729">
        <v>3097759</v>
      </c>
      <c r="C11729" s="1" t="str">
        <f>HYPERLINK("http://stackoverflow.com/users/3097759", "Javyen")</f>
        <v>Javyen</v>
      </c>
      <c r="D11729" t="s">
        <v>4</v>
      </c>
      <c r="E11729">
        <v>1</v>
      </c>
    </row>
    <row r="11730" spans="1:5" x14ac:dyDescent="0.25">
      <c r="A11730">
        <v>11729</v>
      </c>
      <c r="B11730">
        <v>4902900</v>
      </c>
      <c r="C11730" s="1" t="str">
        <f>HYPERLINK("http://stackoverflow.com/users/4902900", "JiangWang")</f>
        <v>JiangWang</v>
      </c>
      <c r="D11730" t="s">
        <v>4</v>
      </c>
      <c r="E11730">
        <v>1</v>
      </c>
    </row>
    <row r="11731" spans="1:5" x14ac:dyDescent="0.25">
      <c r="A11731">
        <v>11730</v>
      </c>
      <c r="B11731">
        <v>10257279</v>
      </c>
      <c r="C11731" s="1" t="str">
        <f>HYPERLINK("http://stackoverflow.com/users/10257279", "Nanhan Huang")</f>
        <v>Nanhan Huang</v>
      </c>
      <c r="D11731" t="s">
        <v>5</v>
      </c>
      <c r="E11731">
        <v>1</v>
      </c>
    </row>
    <row r="11732" spans="1:5" x14ac:dyDescent="0.25">
      <c r="A11732">
        <v>11731</v>
      </c>
      <c r="B11732">
        <v>1112870</v>
      </c>
      <c r="C11732" s="1" t="str">
        <f>HYPERLINK("http://stackoverflow.com/users/1112870", "David Liang")</f>
        <v>David Liang</v>
      </c>
      <c r="D11732" t="s">
        <v>12</v>
      </c>
      <c r="E11732">
        <v>1</v>
      </c>
    </row>
    <row r="11733" spans="1:5" x14ac:dyDescent="0.25">
      <c r="A11733">
        <v>11732</v>
      </c>
      <c r="B11733">
        <v>1112722</v>
      </c>
      <c r="C11733" s="1" t="str">
        <f>HYPERLINK("http://stackoverflow.com/users/1112722", "billy")</f>
        <v>billy</v>
      </c>
      <c r="D11733" t="s">
        <v>5</v>
      </c>
      <c r="E11733">
        <v>1</v>
      </c>
    </row>
    <row r="11734" spans="1:5" x14ac:dyDescent="0.25">
      <c r="A11734">
        <v>11733</v>
      </c>
      <c r="B11734">
        <v>8448222</v>
      </c>
      <c r="C11734" s="1" t="str">
        <f>HYPERLINK("http://stackoverflow.com/users/8448222", "qi wu")</f>
        <v>qi wu</v>
      </c>
      <c r="D11734" t="s">
        <v>16</v>
      </c>
      <c r="E11734">
        <v>1</v>
      </c>
    </row>
    <row r="11735" spans="1:5" x14ac:dyDescent="0.25">
      <c r="A11735">
        <v>11734</v>
      </c>
      <c r="B11735">
        <v>8448278</v>
      </c>
      <c r="C11735" s="1" t="str">
        <f>HYPERLINK("http://stackoverflow.com/users/8448278", "adam")</f>
        <v>adam</v>
      </c>
      <c r="D11735" t="s">
        <v>7</v>
      </c>
      <c r="E11735">
        <v>1</v>
      </c>
    </row>
    <row r="11736" spans="1:5" x14ac:dyDescent="0.25">
      <c r="A11736">
        <v>11735</v>
      </c>
      <c r="B11736">
        <v>8448388</v>
      </c>
      <c r="C11736" s="1" t="str">
        <f>HYPERLINK("http://stackoverflow.com/users/8448388", "马艳春")</f>
        <v>马艳春</v>
      </c>
      <c r="D11736" t="s">
        <v>52</v>
      </c>
      <c r="E11736">
        <v>1</v>
      </c>
    </row>
    <row r="11737" spans="1:5" x14ac:dyDescent="0.25">
      <c r="A11737">
        <v>11736</v>
      </c>
      <c r="B11737">
        <v>8448408</v>
      </c>
      <c r="C11737" s="1" t="str">
        <f>HYPERLINK("http://stackoverflow.com/users/8448408", "fobeeq")</f>
        <v>fobeeq</v>
      </c>
      <c r="D11737" t="s">
        <v>5</v>
      </c>
      <c r="E11737">
        <v>1</v>
      </c>
    </row>
    <row r="11738" spans="1:5" x14ac:dyDescent="0.25">
      <c r="A11738">
        <v>11737</v>
      </c>
      <c r="B11738">
        <v>8448500</v>
      </c>
      <c r="C11738" s="1" t="str">
        <f>HYPERLINK("http://stackoverflow.com/users/8448500", "王其帅")</f>
        <v>王其帅</v>
      </c>
      <c r="D11738" t="s">
        <v>4</v>
      </c>
      <c r="E11738">
        <v>1</v>
      </c>
    </row>
    <row r="11739" spans="1:5" x14ac:dyDescent="0.25">
      <c r="A11739">
        <v>11738</v>
      </c>
      <c r="B11739">
        <v>8448510</v>
      </c>
      <c r="C11739" s="1" t="str">
        <f>HYPERLINK("http://stackoverflow.com/users/8448510", "zhenyu.shi")</f>
        <v>zhenyu.shi</v>
      </c>
      <c r="D11739" t="s">
        <v>55</v>
      </c>
      <c r="E11739">
        <v>1</v>
      </c>
    </row>
    <row r="11740" spans="1:5" x14ac:dyDescent="0.25">
      <c r="A11740">
        <v>11739</v>
      </c>
      <c r="B11740">
        <v>8448517</v>
      </c>
      <c r="C11740" s="1" t="str">
        <f>HYPERLINK("http://stackoverflow.com/users/8448517", "Grandpa Zhai")</f>
        <v>Grandpa Zhai</v>
      </c>
      <c r="D11740" t="s">
        <v>55</v>
      </c>
      <c r="E11740">
        <v>1</v>
      </c>
    </row>
    <row r="11741" spans="1:5" x14ac:dyDescent="0.25">
      <c r="A11741">
        <v>11740</v>
      </c>
      <c r="B11741">
        <v>8448539</v>
      </c>
      <c r="C11741" s="1" t="str">
        <f>HYPERLINK("http://stackoverflow.com/users/8448539", "HaoJin")</f>
        <v>HaoJin</v>
      </c>
      <c r="D11741" t="s">
        <v>4</v>
      </c>
      <c r="E11741">
        <v>1</v>
      </c>
    </row>
    <row r="11742" spans="1:5" x14ac:dyDescent="0.25">
      <c r="A11742">
        <v>11741</v>
      </c>
      <c r="B11742">
        <v>8448553</v>
      </c>
      <c r="C11742" s="1" t="str">
        <f>HYPERLINK("http://stackoverflow.com/users/8448553", "fangka chen")</f>
        <v>fangka chen</v>
      </c>
      <c r="D11742" t="s">
        <v>11</v>
      </c>
      <c r="E11742">
        <v>1</v>
      </c>
    </row>
    <row r="11743" spans="1:5" x14ac:dyDescent="0.25">
      <c r="A11743">
        <v>11742</v>
      </c>
      <c r="B11743">
        <v>1118181</v>
      </c>
      <c r="C11743" s="1" t="str">
        <f>HYPERLINK("http://stackoverflow.com/users/1118181", "Nova")</f>
        <v>Nova</v>
      </c>
      <c r="D11743" t="s">
        <v>4</v>
      </c>
      <c r="E11743">
        <v>1</v>
      </c>
    </row>
    <row r="11744" spans="1:5" x14ac:dyDescent="0.25">
      <c r="A11744">
        <v>11743</v>
      </c>
      <c r="B11744">
        <v>1118529</v>
      </c>
      <c r="C11744" s="1" t="str">
        <f>HYPERLINK("http://stackoverflow.com/users/1118529", "polyahu")</f>
        <v>polyahu</v>
      </c>
      <c r="D11744" t="s">
        <v>5</v>
      </c>
      <c r="E11744">
        <v>1</v>
      </c>
    </row>
    <row r="11745" spans="1:5" x14ac:dyDescent="0.25">
      <c r="A11745">
        <v>11744</v>
      </c>
      <c r="B11745">
        <v>10291722</v>
      </c>
      <c r="C11745" s="1" t="str">
        <f>HYPERLINK("http://stackoverflow.com/users/10291722", "Chuanjie Pei")</f>
        <v>Chuanjie Pei</v>
      </c>
      <c r="D11745" t="s">
        <v>5</v>
      </c>
      <c r="E11745">
        <v>1</v>
      </c>
    </row>
    <row r="11746" spans="1:5" x14ac:dyDescent="0.25">
      <c r="A11746">
        <v>11745</v>
      </c>
      <c r="B11746">
        <v>8478568</v>
      </c>
      <c r="C11746" s="1" t="str">
        <f>HYPERLINK("http://stackoverflow.com/users/8478568", "Matthew Yorkroths")</f>
        <v>Matthew Yorkroths</v>
      </c>
      <c r="D11746" t="s">
        <v>4</v>
      </c>
      <c r="E11746">
        <v>1</v>
      </c>
    </row>
    <row r="11747" spans="1:5" x14ac:dyDescent="0.25">
      <c r="A11747">
        <v>11746</v>
      </c>
      <c r="B11747">
        <v>6656740</v>
      </c>
      <c r="C11747" s="1" t="str">
        <f>HYPERLINK("http://stackoverflow.com/users/6656740", "Aaron Zhang")</f>
        <v>Aaron Zhang</v>
      </c>
      <c r="D11747" t="s">
        <v>410</v>
      </c>
      <c r="E11747">
        <v>1</v>
      </c>
    </row>
    <row r="11748" spans="1:5" x14ac:dyDescent="0.25">
      <c r="A11748">
        <v>11747</v>
      </c>
      <c r="B11748">
        <v>6657224</v>
      </c>
      <c r="C11748" s="1" t="str">
        <f>HYPERLINK("http://stackoverflow.com/users/6657224", "Khan")</f>
        <v>Khan</v>
      </c>
      <c r="D11748" t="s">
        <v>341</v>
      </c>
      <c r="E11748">
        <v>1</v>
      </c>
    </row>
    <row r="11749" spans="1:5" x14ac:dyDescent="0.25">
      <c r="A11749">
        <v>11748</v>
      </c>
      <c r="B11749">
        <v>6660119</v>
      </c>
      <c r="C11749" s="1" t="str">
        <f>HYPERLINK("http://stackoverflow.com/users/6660119", "NeoZuo")</f>
        <v>NeoZuo</v>
      </c>
      <c r="D11749" t="s">
        <v>562</v>
      </c>
      <c r="E11749">
        <v>1</v>
      </c>
    </row>
    <row r="11750" spans="1:5" x14ac:dyDescent="0.25">
      <c r="A11750">
        <v>11749</v>
      </c>
      <c r="B11750">
        <v>10287561</v>
      </c>
      <c r="C11750" s="1" t="str">
        <f>HYPERLINK("http://stackoverflow.com/users/10287561", "Syed Shabab")</f>
        <v>Syed Shabab</v>
      </c>
      <c r="D11750" t="s">
        <v>57</v>
      </c>
      <c r="E11750">
        <v>1</v>
      </c>
    </row>
    <row r="11751" spans="1:5" x14ac:dyDescent="0.25">
      <c r="A11751">
        <v>11750</v>
      </c>
      <c r="B11751">
        <v>6653640</v>
      </c>
      <c r="C11751" s="1" t="str">
        <f>HYPERLINK("http://stackoverflow.com/users/6653640", "PHP-China")</f>
        <v>PHP-China</v>
      </c>
      <c r="D11751" t="s">
        <v>25</v>
      </c>
      <c r="E11751">
        <v>1</v>
      </c>
    </row>
    <row r="11752" spans="1:5" x14ac:dyDescent="0.25">
      <c r="A11752">
        <v>11751</v>
      </c>
      <c r="B11752">
        <v>4939261</v>
      </c>
      <c r="C11752" s="1" t="str">
        <f>HYPERLINK("http://stackoverflow.com/users/4939261", "BigUncleV")</f>
        <v>BigUncleV</v>
      </c>
      <c r="D11752" t="s">
        <v>194</v>
      </c>
      <c r="E11752">
        <v>1</v>
      </c>
    </row>
    <row r="11753" spans="1:5" x14ac:dyDescent="0.25">
      <c r="A11753">
        <v>11752</v>
      </c>
      <c r="B11753">
        <v>4938645</v>
      </c>
      <c r="C11753" s="1" t="str">
        <f>HYPERLINK("http://stackoverflow.com/users/4938645", "Ocean Yu")</f>
        <v>Ocean Yu</v>
      </c>
      <c r="D11753" t="s">
        <v>6</v>
      </c>
      <c r="E11753">
        <v>1</v>
      </c>
    </row>
    <row r="11754" spans="1:5" x14ac:dyDescent="0.25">
      <c r="A11754">
        <v>11753</v>
      </c>
      <c r="B11754">
        <v>8483105</v>
      </c>
      <c r="C11754" s="1" t="str">
        <f>HYPERLINK("http://stackoverflow.com/users/8483105", "mike")</f>
        <v>mike</v>
      </c>
      <c r="D11754" t="s">
        <v>5</v>
      </c>
      <c r="E11754">
        <v>1</v>
      </c>
    </row>
    <row r="11755" spans="1:5" x14ac:dyDescent="0.25">
      <c r="A11755">
        <v>11754</v>
      </c>
      <c r="B11755">
        <v>8483310</v>
      </c>
      <c r="C11755" s="1" t="str">
        <f>HYPERLINK("http://stackoverflow.com/users/8483310", "tianheng")</f>
        <v>tianheng</v>
      </c>
      <c r="D11755" t="s">
        <v>211</v>
      </c>
      <c r="E11755">
        <v>1</v>
      </c>
    </row>
    <row r="11756" spans="1:5" x14ac:dyDescent="0.25">
      <c r="A11756">
        <v>11755</v>
      </c>
      <c r="B11756">
        <v>10295564</v>
      </c>
      <c r="C11756" s="1" t="str">
        <f>HYPERLINK("http://stackoverflow.com/users/10295564", "曾子彦")</f>
        <v>曾子彦</v>
      </c>
      <c r="D11756" t="s">
        <v>4</v>
      </c>
      <c r="E11756">
        <v>1</v>
      </c>
    </row>
    <row r="11757" spans="1:5" x14ac:dyDescent="0.25">
      <c r="A11757">
        <v>11756</v>
      </c>
      <c r="B11757">
        <v>4942792</v>
      </c>
      <c r="C11757" s="1" t="str">
        <f>HYPERLINK("http://stackoverflow.com/users/4942792", "PandaLZMing")</f>
        <v>PandaLZMing</v>
      </c>
      <c r="D11757" t="s">
        <v>17</v>
      </c>
      <c r="E11757">
        <v>1</v>
      </c>
    </row>
    <row r="11758" spans="1:5" x14ac:dyDescent="0.25">
      <c r="A11758">
        <v>11757</v>
      </c>
      <c r="B11758">
        <v>4942957</v>
      </c>
      <c r="C11758" s="1" t="str">
        <f>HYPERLINK("http://stackoverflow.com/users/4942957", "yhyangjiabin")</f>
        <v>yhyangjiabin</v>
      </c>
      <c r="D11758" t="s">
        <v>4</v>
      </c>
      <c r="E11758">
        <v>1</v>
      </c>
    </row>
    <row r="11759" spans="1:5" x14ac:dyDescent="0.25">
      <c r="A11759">
        <v>11758</v>
      </c>
      <c r="B11759">
        <v>4943063</v>
      </c>
      <c r="C11759" s="1" t="str">
        <f>HYPERLINK("http://stackoverflow.com/users/4943063", "SokZ")</f>
        <v>SokZ</v>
      </c>
      <c r="D11759" t="s">
        <v>5</v>
      </c>
      <c r="E11759">
        <v>1</v>
      </c>
    </row>
    <row r="11760" spans="1:5" x14ac:dyDescent="0.25">
      <c r="A11760">
        <v>11759</v>
      </c>
      <c r="B11760">
        <v>10300556</v>
      </c>
      <c r="C11760" s="1" t="str">
        <f>HYPERLINK("http://stackoverflow.com/users/10300556", "AnnaYin")</f>
        <v>AnnaYin</v>
      </c>
      <c r="D11760" t="s">
        <v>5</v>
      </c>
      <c r="E11760">
        <v>1</v>
      </c>
    </row>
    <row r="11761" spans="1:5" x14ac:dyDescent="0.25">
      <c r="A11761">
        <v>11760</v>
      </c>
      <c r="B11761">
        <v>3124462</v>
      </c>
      <c r="C11761" s="1" t="str">
        <f>HYPERLINK("http://stackoverflow.com/users/3124462", "Sam")</f>
        <v>Sam</v>
      </c>
      <c r="D11761" t="s">
        <v>243</v>
      </c>
      <c r="E11761">
        <v>1</v>
      </c>
    </row>
    <row r="11762" spans="1:5" x14ac:dyDescent="0.25">
      <c r="A11762">
        <v>11761</v>
      </c>
      <c r="B11762">
        <v>3124466</v>
      </c>
      <c r="C11762" s="1" t="str">
        <f>HYPERLINK("http://stackoverflow.com/users/3124466", "angus_qing")</f>
        <v>angus_qing</v>
      </c>
      <c r="D11762" t="s">
        <v>17</v>
      </c>
      <c r="E11762">
        <v>1</v>
      </c>
    </row>
    <row r="11763" spans="1:5" x14ac:dyDescent="0.25">
      <c r="A11763">
        <v>11762</v>
      </c>
      <c r="B11763">
        <v>8491410</v>
      </c>
      <c r="C11763" s="1" t="str">
        <f>HYPERLINK("http://stackoverflow.com/users/8491410", "Faily")</f>
        <v>Faily</v>
      </c>
      <c r="D11763" t="s">
        <v>91</v>
      </c>
      <c r="E11763">
        <v>1</v>
      </c>
    </row>
    <row r="11764" spans="1:5" x14ac:dyDescent="0.25">
      <c r="A11764">
        <v>11763</v>
      </c>
      <c r="B11764">
        <v>4943241</v>
      </c>
      <c r="C11764" s="1" t="str">
        <f>HYPERLINK("http://stackoverflow.com/users/4943241", "hswarov")</f>
        <v>hswarov</v>
      </c>
      <c r="D11764" t="s">
        <v>4</v>
      </c>
      <c r="E11764">
        <v>1</v>
      </c>
    </row>
    <row r="11765" spans="1:5" x14ac:dyDescent="0.25">
      <c r="A11765">
        <v>11764</v>
      </c>
      <c r="B11765">
        <v>8486690</v>
      </c>
      <c r="C11765" s="1" t="str">
        <f>HYPERLINK("http://stackoverflow.com/users/8486690", "Chen.chen")</f>
        <v>Chen.chen</v>
      </c>
      <c r="D11765" t="s">
        <v>4</v>
      </c>
      <c r="E11765">
        <v>1</v>
      </c>
    </row>
    <row r="11766" spans="1:5" x14ac:dyDescent="0.25">
      <c r="A11766">
        <v>11765</v>
      </c>
      <c r="B11766">
        <v>8486891</v>
      </c>
      <c r="C11766" s="1" t="str">
        <f>HYPERLINK("http://stackoverflow.com/users/8486891", "KUNCHONG")</f>
        <v>KUNCHONG</v>
      </c>
      <c r="D11766" t="s">
        <v>28</v>
      </c>
      <c r="E11766">
        <v>1</v>
      </c>
    </row>
    <row r="11767" spans="1:5" x14ac:dyDescent="0.25">
      <c r="A11767">
        <v>11766</v>
      </c>
      <c r="B11767">
        <v>1145610</v>
      </c>
      <c r="C11767" s="1" t="str">
        <f>HYPERLINK("http://stackoverflow.com/users/1145610", "pan li")</f>
        <v>pan li</v>
      </c>
      <c r="D11767" t="s">
        <v>5</v>
      </c>
      <c r="E11767">
        <v>1</v>
      </c>
    </row>
    <row r="11768" spans="1:5" x14ac:dyDescent="0.25">
      <c r="A11768">
        <v>11767</v>
      </c>
      <c r="B11768">
        <v>10283142</v>
      </c>
      <c r="C11768" s="1" t="str">
        <f>HYPERLINK("http://stackoverflow.com/users/10283142", "Jerry.Zheng")</f>
        <v>Jerry.Zheng</v>
      </c>
      <c r="D11768" t="s">
        <v>7</v>
      </c>
      <c r="E11768">
        <v>1</v>
      </c>
    </row>
    <row r="11769" spans="1:5" x14ac:dyDescent="0.25">
      <c r="A11769">
        <v>11768</v>
      </c>
      <c r="B11769">
        <v>10283239</v>
      </c>
      <c r="C11769" s="1" t="str">
        <f>HYPERLINK("http://stackoverflow.com/users/10283239", "user10283239")</f>
        <v>user10283239</v>
      </c>
      <c r="D11769" t="s">
        <v>4</v>
      </c>
      <c r="E11769">
        <v>1</v>
      </c>
    </row>
    <row r="11770" spans="1:5" x14ac:dyDescent="0.25">
      <c r="A11770">
        <v>11769</v>
      </c>
      <c r="B11770">
        <v>8470012</v>
      </c>
      <c r="C11770" s="1" t="str">
        <f>HYPERLINK("http://stackoverflow.com/users/8470012", "七七八八")</f>
        <v>七七八八</v>
      </c>
      <c r="D11770" t="s">
        <v>16</v>
      </c>
      <c r="E11770">
        <v>1</v>
      </c>
    </row>
    <row r="11771" spans="1:5" x14ac:dyDescent="0.25">
      <c r="A11771">
        <v>11770</v>
      </c>
      <c r="B11771">
        <v>8470471</v>
      </c>
      <c r="C11771" s="1" t="str">
        <f>HYPERLINK("http://stackoverflow.com/users/8470471", "Nina")</f>
        <v>Nina</v>
      </c>
      <c r="D11771" t="s">
        <v>4</v>
      </c>
      <c r="E11771">
        <v>1</v>
      </c>
    </row>
    <row r="11772" spans="1:5" x14ac:dyDescent="0.25">
      <c r="A11772">
        <v>11771</v>
      </c>
      <c r="B11772">
        <v>8470475</v>
      </c>
      <c r="C11772" s="1" t="str">
        <f>HYPERLINK("http://stackoverflow.com/users/8470475", "Huayu Lei")</f>
        <v>Huayu Lei</v>
      </c>
      <c r="D11772" t="s">
        <v>120</v>
      </c>
      <c r="E11772">
        <v>1</v>
      </c>
    </row>
    <row r="11773" spans="1:5" x14ac:dyDescent="0.25">
      <c r="A11773">
        <v>11772</v>
      </c>
      <c r="B11773">
        <v>4927291</v>
      </c>
      <c r="C11773" s="1" t="str">
        <f>HYPERLINK("http://stackoverflow.com/users/4927291", "LionHeart")</f>
        <v>LionHeart</v>
      </c>
      <c r="D11773" t="s">
        <v>4</v>
      </c>
      <c r="E11773">
        <v>1</v>
      </c>
    </row>
    <row r="11774" spans="1:5" x14ac:dyDescent="0.25">
      <c r="A11774">
        <v>11773</v>
      </c>
      <c r="B11774">
        <v>4927645</v>
      </c>
      <c r="C11774" s="1" t="str">
        <f>HYPERLINK("http://stackoverflow.com/users/4927645", "Chen Sariel")</f>
        <v>Chen Sariel</v>
      </c>
      <c r="D11774" t="s">
        <v>4</v>
      </c>
      <c r="E11774">
        <v>1</v>
      </c>
    </row>
    <row r="11775" spans="1:5" x14ac:dyDescent="0.25">
      <c r="A11775">
        <v>11774</v>
      </c>
      <c r="B11775">
        <v>1145957</v>
      </c>
      <c r="C11775" s="1" t="str">
        <f>HYPERLINK("http://stackoverflow.com/users/1145957", "seatle")</f>
        <v>seatle</v>
      </c>
      <c r="D11775" t="s">
        <v>12</v>
      </c>
      <c r="E11775">
        <v>1</v>
      </c>
    </row>
    <row r="11776" spans="1:5" x14ac:dyDescent="0.25">
      <c r="A11776">
        <v>11775</v>
      </c>
      <c r="B11776">
        <v>4919502</v>
      </c>
      <c r="C11776" s="1" t="str">
        <f>HYPERLINK("http://stackoverflow.com/users/4919502", "viel")</f>
        <v>viel</v>
      </c>
      <c r="D11776" t="s">
        <v>4</v>
      </c>
      <c r="E11776">
        <v>1</v>
      </c>
    </row>
    <row r="11777" spans="1:5" x14ac:dyDescent="0.25">
      <c r="A11777">
        <v>11776</v>
      </c>
      <c r="B11777">
        <v>4919727</v>
      </c>
      <c r="C11777" s="1" t="str">
        <f>HYPERLINK("http://stackoverflow.com/users/4919727", "Bigwater")</f>
        <v>Bigwater</v>
      </c>
      <c r="D11777" t="s">
        <v>5</v>
      </c>
      <c r="E11777">
        <v>1</v>
      </c>
    </row>
    <row r="11778" spans="1:5" x14ac:dyDescent="0.25">
      <c r="A11778">
        <v>11777</v>
      </c>
      <c r="B11778">
        <v>4911085</v>
      </c>
      <c r="C11778" s="1" t="str">
        <f>HYPERLINK("http://stackoverflow.com/users/4911085", "l3rnao")</f>
        <v>l3rnao</v>
      </c>
      <c r="D11778" t="s">
        <v>4</v>
      </c>
      <c r="E11778">
        <v>1</v>
      </c>
    </row>
    <row r="11779" spans="1:5" x14ac:dyDescent="0.25">
      <c r="A11779">
        <v>11778</v>
      </c>
      <c r="B11779">
        <v>4927238</v>
      </c>
      <c r="C11779" s="1" t="str">
        <f>HYPERLINK("http://stackoverflow.com/users/4927238", "Shee-Fee Yang")</f>
        <v>Shee-Fee Yang</v>
      </c>
      <c r="D11779" t="s">
        <v>17</v>
      </c>
      <c r="E11779">
        <v>1</v>
      </c>
    </row>
    <row r="11780" spans="1:5" x14ac:dyDescent="0.25">
      <c r="A11780">
        <v>11779</v>
      </c>
      <c r="B11780">
        <v>3104649</v>
      </c>
      <c r="C11780" s="1" t="str">
        <f>HYPERLINK("http://stackoverflow.com/users/3104649", "Kyle Koover")</f>
        <v>Kyle Koover</v>
      </c>
      <c r="D11780" t="s">
        <v>637</v>
      </c>
      <c r="E11780">
        <v>1</v>
      </c>
    </row>
    <row r="11781" spans="1:5" x14ac:dyDescent="0.25">
      <c r="A11781">
        <v>11780</v>
      </c>
      <c r="B11781">
        <v>4924418</v>
      </c>
      <c r="C11781" s="1" t="str">
        <f>HYPERLINK("http://stackoverflow.com/users/4924418", "chenjianfeng")</f>
        <v>chenjianfeng</v>
      </c>
      <c r="D11781" t="s">
        <v>5</v>
      </c>
      <c r="E11781">
        <v>1</v>
      </c>
    </row>
    <row r="11782" spans="1:5" x14ac:dyDescent="0.25">
      <c r="A11782">
        <v>11781</v>
      </c>
      <c r="B11782">
        <v>1929982</v>
      </c>
      <c r="C11782" s="1" t="str">
        <f>HYPERLINK("http://stackoverflow.com/users/1929982", "Edward")</f>
        <v>Edward</v>
      </c>
      <c r="D11782" t="s">
        <v>4</v>
      </c>
      <c r="E11782">
        <v>1</v>
      </c>
    </row>
    <row r="11783" spans="1:5" x14ac:dyDescent="0.25">
      <c r="A11783">
        <v>11782</v>
      </c>
      <c r="B11783">
        <v>1929996</v>
      </c>
      <c r="C11783" s="1" t="str">
        <f>HYPERLINK("http://stackoverflow.com/users/1929996", "leemoispace")</f>
        <v>leemoispace</v>
      </c>
      <c r="D11783" t="s">
        <v>8</v>
      </c>
      <c r="E11783">
        <v>1</v>
      </c>
    </row>
    <row r="11784" spans="1:5" x14ac:dyDescent="0.25">
      <c r="A11784">
        <v>11783</v>
      </c>
      <c r="B11784">
        <v>1929961</v>
      </c>
      <c r="C11784" s="1" t="str">
        <f>HYPERLINK("http://stackoverflow.com/users/1929961", "TonyChan")</f>
        <v>TonyChan</v>
      </c>
      <c r="D11784" t="s">
        <v>12</v>
      </c>
      <c r="E11784">
        <v>1</v>
      </c>
    </row>
    <row r="11785" spans="1:5" x14ac:dyDescent="0.25">
      <c r="A11785">
        <v>11784</v>
      </c>
      <c r="B11785">
        <v>3722074</v>
      </c>
      <c r="C11785" s="1" t="str">
        <f>HYPERLINK("http://stackoverflow.com/users/3722074", "Elecky")</f>
        <v>Elecky</v>
      </c>
      <c r="D11785" t="s">
        <v>5</v>
      </c>
      <c r="E11785">
        <v>1</v>
      </c>
    </row>
    <row r="11786" spans="1:5" x14ac:dyDescent="0.25">
      <c r="A11786">
        <v>11785</v>
      </c>
      <c r="B11786">
        <v>1930131</v>
      </c>
      <c r="C11786" s="1" t="str">
        <f>HYPERLINK("http://stackoverflow.com/users/1930131", "ZhiQiang Chen")</f>
        <v>ZhiQiang Chen</v>
      </c>
      <c r="D11786" t="s">
        <v>74</v>
      </c>
      <c r="E11786">
        <v>1</v>
      </c>
    </row>
    <row r="11787" spans="1:5" x14ac:dyDescent="0.25">
      <c r="A11787">
        <v>11786</v>
      </c>
      <c r="B11787">
        <v>1930229</v>
      </c>
      <c r="C11787" s="1" t="str">
        <f>HYPERLINK("http://stackoverflow.com/users/1930229", "Usher Guo")</f>
        <v>Usher Guo</v>
      </c>
      <c r="D11787" t="s">
        <v>5</v>
      </c>
      <c r="E11787">
        <v>1</v>
      </c>
    </row>
    <row r="11788" spans="1:5" x14ac:dyDescent="0.25">
      <c r="A11788">
        <v>11787</v>
      </c>
      <c r="B11788">
        <v>1929342</v>
      </c>
      <c r="C11788" s="1" t="str">
        <f>HYPERLINK("http://stackoverflow.com/users/1929342", "Alex")</f>
        <v>Alex</v>
      </c>
      <c r="D11788" t="s">
        <v>74</v>
      </c>
      <c r="E11788">
        <v>1</v>
      </c>
    </row>
    <row r="11789" spans="1:5" x14ac:dyDescent="0.25">
      <c r="A11789">
        <v>11788</v>
      </c>
      <c r="B11789">
        <v>1929412</v>
      </c>
      <c r="C11789" s="1" t="str">
        <f>HYPERLINK("http://stackoverflow.com/users/1929412", "hub")</f>
        <v>hub</v>
      </c>
      <c r="D11789" t="s">
        <v>21</v>
      </c>
      <c r="E11789">
        <v>1</v>
      </c>
    </row>
    <row r="11790" spans="1:5" x14ac:dyDescent="0.25">
      <c r="A11790">
        <v>11789</v>
      </c>
      <c r="B11790">
        <v>1929440</v>
      </c>
      <c r="C11790" s="1" t="str">
        <f>HYPERLINK("http://stackoverflow.com/users/1929440", "xy.l")</f>
        <v>xy.l</v>
      </c>
      <c r="D11790" t="s">
        <v>5</v>
      </c>
      <c r="E11790">
        <v>1</v>
      </c>
    </row>
    <row r="11791" spans="1:5" x14ac:dyDescent="0.25">
      <c r="A11791">
        <v>11790</v>
      </c>
      <c r="B11791">
        <v>1938822</v>
      </c>
      <c r="C11791" s="1" t="str">
        <f>HYPERLINK("http://stackoverflow.com/users/1938822", "jian.liu.beijing")</f>
        <v>jian.liu.beijing</v>
      </c>
      <c r="D11791" t="s">
        <v>5</v>
      </c>
      <c r="E11791">
        <v>1</v>
      </c>
    </row>
    <row r="11792" spans="1:5" x14ac:dyDescent="0.25">
      <c r="A11792">
        <v>11791</v>
      </c>
      <c r="B11792">
        <v>1940500</v>
      </c>
      <c r="C11792" s="1" t="str">
        <f>HYPERLINK("http://stackoverflow.com/users/1940500", "Chao Liao")</f>
        <v>Chao Liao</v>
      </c>
      <c r="D11792" t="s">
        <v>4</v>
      </c>
      <c r="E11792">
        <v>1</v>
      </c>
    </row>
    <row r="11793" spans="1:5" x14ac:dyDescent="0.25">
      <c r="A11793">
        <v>11792</v>
      </c>
      <c r="B11793">
        <v>1940563</v>
      </c>
      <c r="C11793" s="1" t="str">
        <f>HYPERLINK("http://stackoverflow.com/users/1940563", "wdl")</f>
        <v>wdl</v>
      </c>
      <c r="D11793" t="s">
        <v>5</v>
      </c>
      <c r="E11793">
        <v>1</v>
      </c>
    </row>
    <row r="11794" spans="1:5" x14ac:dyDescent="0.25">
      <c r="A11794">
        <v>11793</v>
      </c>
      <c r="B11794">
        <v>9152189</v>
      </c>
      <c r="C11794" s="1" t="str">
        <f>HYPERLINK("http://stackoverflow.com/users/9152189", "WuStack")</f>
        <v>WuStack</v>
      </c>
      <c r="D11794" t="s">
        <v>16</v>
      </c>
      <c r="E11794">
        <v>1</v>
      </c>
    </row>
    <row r="11795" spans="1:5" x14ac:dyDescent="0.25">
      <c r="A11795">
        <v>11794</v>
      </c>
      <c r="B11795">
        <v>5524503</v>
      </c>
      <c r="C11795" s="1" t="str">
        <f>HYPERLINK("http://stackoverflow.com/users/5524503", "Shawn Zhao")</f>
        <v>Shawn Zhao</v>
      </c>
      <c r="D11795" t="s">
        <v>5</v>
      </c>
      <c r="E11795">
        <v>1</v>
      </c>
    </row>
    <row r="11796" spans="1:5" x14ac:dyDescent="0.25">
      <c r="A11796">
        <v>11795</v>
      </c>
      <c r="B11796">
        <v>5524740</v>
      </c>
      <c r="C11796" s="1" t="str">
        <f>HYPERLINK("http://stackoverflow.com/users/5524740", "kaierlong")</f>
        <v>kaierlong</v>
      </c>
      <c r="D11796" t="s">
        <v>5</v>
      </c>
      <c r="E11796">
        <v>1</v>
      </c>
    </row>
    <row r="11797" spans="1:5" x14ac:dyDescent="0.25">
      <c r="A11797">
        <v>11796</v>
      </c>
      <c r="B11797">
        <v>7275489</v>
      </c>
      <c r="C11797" s="1" t="str">
        <f>HYPERLINK("http://stackoverflow.com/users/7275489", "LuC Lee")</f>
        <v>LuC Lee</v>
      </c>
      <c r="D11797" t="s">
        <v>16</v>
      </c>
      <c r="E11797">
        <v>1</v>
      </c>
    </row>
    <row r="11798" spans="1:5" x14ac:dyDescent="0.25">
      <c r="A11798">
        <v>11797</v>
      </c>
      <c r="B11798">
        <v>7275530</v>
      </c>
      <c r="C11798" s="1" t="str">
        <f>HYPERLINK("http://stackoverflow.com/users/7275530", "陈吉祥")</f>
        <v>陈吉祥</v>
      </c>
      <c r="D11798" t="s">
        <v>91</v>
      </c>
      <c r="E11798">
        <v>1</v>
      </c>
    </row>
    <row r="11799" spans="1:5" x14ac:dyDescent="0.25">
      <c r="A11799">
        <v>11798</v>
      </c>
      <c r="B11799">
        <v>7275722</v>
      </c>
      <c r="C11799" s="1" t="str">
        <f>HYPERLINK("http://stackoverflow.com/users/7275722", "Lutfar Rahman")</f>
        <v>Lutfar Rahman</v>
      </c>
      <c r="D11799" t="s">
        <v>476</v>
      </c>
      <c r="E11799">
        <v>1</v>
      </c>
    </row>
    <row r="11800" spans="1:5" x14ac:dyDescent="0.25">
      <c r="A11800">
        <v>11799</v>
      </c>
      <c r="B11800">
        <v>9151577</v>
      </c>
      <c r="C11800" s="1" t="str">
        <f>HYPERLINK("http://stackoverflow.com/users/9151577", "Ring")</f>
        <v>Ring</v>
      </c>
      <c r="D11800" t="s">
        <v>638</v>
      </c>
      <c r="E11800">
        <v>1</v>
      </c>
    </row>
    <row r="11801" spans="1:5" x14ac:dyDescent="0.25">
      <c r="A11801">
        <v>11800</v>
      </c>
      <c r="B11801">
        <v>7250676</v>
      </c>
      <c r="C11801" s="1" t="str">
        <f>HYPERLINK("http://stackoverflow.com/users/7250676", "Tim_DT")</f>
        <v>Tim_DT</v>
      </c>
      <c r="D11801" t="s">
        <v>17</v>
      </c>
      <c r="E11801">
        <v>1</v>
      </c>
    </row>
    <row r="11802" spans="1:5" x14ac:dyDescent="0.25">
      <c r="A11802">
        <v>11801</v>
      </c>
      <c r="B11802">
        <v>3703370</v>
      </c>
      <c r="C11802" s="1" t="str">
        <f>HYPERLINK("http://stackoverflow.com/users/3703370", "Wayne Yuen")</f>
        <v>Wayne Yuen</v>
      </c>
      <c r="D11802" t="s">
        <v>21</v>
      </c>
      <c r="E11802">
        <v>1</v>
      </c>
    </row>
    <row r="11803" spans="1:5" x14ac:dyDescent="0.25">
      <c r="A11803">
        <v>11802</v>
      </c>
      <c r="B11803">
        <v>5496202</v>
      </c>
      <c r="C11803" s="1" t="str">
        <f>HYPERLINK("http://stackoverflow.com/users/5496202", "classicemi")</f>
        <v>classicemi</v>
      </c>
      <c r="D11803" t="s">
        <v>4</v>
      </c>
      <c r="E11803">
        <v>1</v>
      </c>
    </row>
    <row r="11804" spans="1:5" x14ac:dyDescent="0.25">
      <c r="A11804">
        <v>11803</v>
      </c>
      <c r="B11804">
        <v>5496336</v>
      </c>
      <c r="C11804" s="1" t="str">
        <f>HYPERLINK("http://stackoverflow.com/users/5496336", "Eddie.Yz")</f>
        <v>Eddie.Yz</v>
      </c>
      <c r="D11804" t="s">
        <v>5</v>
      </c>
      <c r="E11804">
        <v>1</v>
      </c>
    </row>
    <row r="11805" spans="1:5" x14ac:dyDescent="0.25">
      <c r="A11805">
        <v>11804</v>
      </c>
      <c r="B11805">
        <v>5496385</v>
      </c>
      <c r="C11805" s="1" t="str">
        <f>HYPERLINK("http://stackoverflow.com/users/5496385", "Li deguang")</f>
        <v>Li deguang</v>
      </c>
      <c r="D11805" t="s">
        <v>5</v>
      </c>
      <c r="E11805">
        <v>1</v>
      </c>
    </row>
    <row r="11806" spans="1:5" x14ac:dyDescent="0.25">
      <c r="A11806">
        <v>11805</v>
      </c>
      <c r="B11806">
        <v>9131503</v>
      </c>
      <c r="C11806" s="1" t="str">
        <f>HYPERLINK("http://stackoverflow.com/users/9131503", "CR.Liu")</f>
        <v>CR.Liu</v>
      </c>
      <c r="D11806" t="s">
        <v>57</v>
      </c>
      <c r="E11806">
        <v>1</v>
      </c>
    </row>
    <row r="11807" spans="1:5" x14ac:dyDescent="0.25">
      <c r="A11807">
        <v>11806</v>
      </c>
      <c r="B11807">
        <v>3711897</v>
      </c>
      <c r="C11807" s="1" t="str">
        <f>HYPERLINK("http://stackoverflow.com/users/3711897", "karl368")</f>
        <v>karl368</v>
      </c>
      <c r="D11807" t="s">
        <v>639</v>
      </c>
      <c r="E11807">
        <v>1</v>
      </c>
    </row>
    <row r="11808" spans="1:5" x14ac:dyDescent="0.25">
      <c r="A11808">
        <v>11807</v>
      </c>
      <c r="B11808">
        <v>10930934</v>
      </c>
      <c r="C11808" s="1" t="str">
        <f>HYPERLINK("http://stackoverflow.com/users/10930934", "Kevin Sun")</f>
        <v>Kevin Sun</v>
      </c>
      <c r="D11808" t="s">
        <v>4</v>
      </c>
      <c r="E11808">
        <v>1</v>
      </c>
    </row>
    <row r="11809" spans="1:5" x14ac:dyDescent="0.25">
      <c r="A11809">
        <v>11808</v>
      </c>
      <c r="B11809">
        <v>7261370</v>
      </c>
      <c r="C11809" s="1" t="str">
        <f>HYPERLINK("http://stackoverflow.com/users/7261370", "OscarChen")</f>
        <v>OscarChen</v>
      </c>
      <c r="D11809" t="s">
        <v>55</v>
      </c>
      <c r="E11809">
        <v>1</v>
      </c>
    </row>
    <row r="11810" spans="1:5" x14ac:dyDescent="0.25">
      <c r="A11810">
        <v>11809</v>
      </c>
      <c r="B11810">
        <v>10922367</v>
      </c>
      <c r="C11810" s="1" t="str">
        <f>HYPERLINK("http://stackoverflow.com/users/10922367", "LEDFUL group")</f>
        <v>LEDFUL group</v>
      </c>
      <c r="D11810" t="s">
        <v>7</v>
      </c>
      <c r="E11810">
        <v>1</v>
      </c>
    </row>
    <row r="11811" spans="1:5" x14ac:dyDescent="0.25">
      <c r="A11811">
        <v>11810</v>
      </c>
      <c r="B11811">
        <v>10922681</v>
      </c>
      <c r="C11811" s="1" t="str">
        <f>HYPERLINK("http://stackoverflow.com/users/10922681", "Xing Liu")</f>
        <v>Xing Liu</v>
      </c>
      <c r="D11811" t="s">
        <v>5</v>
      </c>
      <c r="E11811">
        <v>1</v>
      </c>
    </row>
    <row r="11812" spans="1:5" x14ac:dyDescent="0.25">
      <c r="A11812">
        <v>11811</v>
      </c>
      <c r="B11812">
        <v>10926530</v>
      </c>
      <c r="C11812" s="1" t="str">
        <f>HYPERLINK("http://stackoverflow.com/users/10926530", "汤海陆")</f>
        <v>汤海陆</v>
      </c>
      <c r="D11812" t="s">
        <v>4</v>
      </c>
      <c r="E11812">
        <v>1</v>
      </c>
    </row>
    <row r="11813" spans="1:5" x14ac:dyDescent="0.25">
      <c r="A11813">
        <v>11812</v>
      </c>
      <c r="B11813">
        <v>10926636</v>
      </c>
      <c r="C11813" s="1" t="str">
        <f>HYPERLINK("http://stackoverflow.com/users/10926636", "H Jw")</f>
        <v>H Jw</v>
      </c>
      <c r="D11813" t="s">
        <v>374</v>
      </c>
      <c r="E11813">
        <v>1</v>
      </c>
    </row>
    <row r="11814" spans="1:5" x14ac:dyDescent="0.25">
      <c r="A11814">
        <v>11813</v>
      </c>
      <c r="B11814">
        <v>10926853</v>
      </c>
      <c r="C11814" s="1" t="str">
        <f>HYPERLINK("http://stackoverflow.com/users/10926853", "Dragon Tan")</f>
        <v>Dragon Tan</v>
      </c>
      <c r="D11814" t="s">
        <v>43</v>
      </c>
      <c r="E11814">
        <v>1</v>
      </c>
    </row>
    <row r="11815" spans="1:5" x14ac:dyDescent="0.25">
      <c r="A11815">
        <v>11814</v>
      </c>
      <c r="B11815">
        <v>10926869</v>
      </c>
      <c r="C11815" s="1" t="str">
        <f>HYPERLINK("http://stackoverflow.com/users/10926869", "Bill Chen")</f>
        <v>Bill Chen</v>
      </c>
      <c r="D11815" t="s">
        <v>4</v>
      </c>
      <c r="E11815">
        <v>1</v>
      </c>
    </row>
    <row r="11816" spans="1:5" x14ac:dyDescent="0.25">
      <c r="A11816">
        <v>11815</v>
      </c>
      <c r="B11816">
        <v>7261461</v>
      </c>
      <c r="C11816" s="1" t="str">
        <f>HYPERLINK("http://stackoverflow.com/users/7261461", "Tina Zi")</f>
        <v>Tina Zi</v>
      </c>
      <c r="D11816" t="s">
        <v>55</v>
      </c>
      <c r="E11816">
        <v>1</v>
      </c>
    </row>
    <row r="11817" spans="1:5" x14ac:dyDescent="0.25">
      <c r="A11817">
        <v>11816</v>
      </c>
      <c r="B11817">
        <v>7261754</v>
      </c>
      <c r="C11817" s="1" t="str">
        <f>HYPERLINK("http://stackoverflow.com/users/7261754", "yuwei")</f>
        <v>yuwei</v>
      </c>
      <c r="D11817" t="s">
        <v>5</v>
      </c>
      <c r="E11817">
        <v>1</v>
      </c>
    </row>
    <row r="11818" spans="1:5" x14ac:dyDescent="0.25">
      <c r="A11818">
        <v>11817</v>
      </c>
      <c r="B11818">
        <v>5509059</v>
      </c>
      <c r="C11818" s="1" t="str">
        <f>HYPERLINK("http://stackoverflow.com/users/5509059", "Seeyagain")</f>
        <v>Seeyagain</v>
      </c>
      <c r="D11818" t="s">
        <v>4</v>
      </c>
      <c r="E11818">
        <v>1</v>
      </c>
    </row>
    <row r="11819" spans="1:5" x14ac:dyDescent="0.25">
      <c r="A11819">
        <v>11818</v>
      </c>
      <c r="B11819">
        <v>3714729</v>
      </c>
      <c r="C11819" s="1" t="str">
        <f>HYPERLINK("http://stackoverflow.com/users/3714729", "ChiHo")</f>
        <v>ChiHo</v>
      </c>
      <c r="D11819" t="s">
        <v>25</v>
      </c>
      <c r="E11819">
        <v>1</v>
      </c>
    </row>
    <row r="11820" spans="1:5" x14ac:dyDescent="0.25">
      <c r="A11820">
        <v>11819</v>
      </c>
      <c r="B11820">
        <v>10933770</v>
      </c>
      <c r="C11820" s="1" t="str">
        <f>HYPERLINK("http://stackoverflow.com/users/10933770", "Puppy Kitty")</f>
        <v>Puppy Kitty</v>
      </c>
      <c r="D11820" t="s">
        <v>320</v>
      </c>
      <c r="E11820">
        <v>1</v>
      </c>
    </row>
    <row r="11821" spans="1:5" x14ac:dyDescent="0.25">
      <c r="A11821">
        <v>11820</v>
      </c>
      <c r="B11821">
        <v>10934106</v>
      </c>
      <c r="C11821" s="1" t="str">
        <f>HYPERLINK("http://stackoverflow.com/users/10934106", "Aaron")</f>
        <v>Aaron</v>
      </c>
      <c r="D11821" t="s">
        <v>10</v>
      </c>
      <c r="E11821">
        <v>1</v>
      </c>
    </row>
    <row r="11822" spans="1:5" x14ac:dyDescent="0.25">
      <c r="A11822">
        <v>11821</v>
      </c>
      <c r="B11822">
        <v>9138906</v>
      </c>
      <c r="C11822" s="1" t="str">
        <f>HYPERLINK("http://stackoverflow.com/users/9138906", "Jack Chen")</f>
        <v>Jack Chen</v>
      </c>
      <c r="D11822" t="s">
        <v>4</v>
      </c>
      <c r="E11822">
        <v>1</v>
      </c>
    </row>
    <row r="11823" spans="1:5" x14ac:dyDescent="0.25">
      <c r="A11823">
        <v>11822</v>
      </c>
      <c r="B11823">
        <v>7268022</v>
      </c>
      <c r="C11823" s="1" t="str">
        <f>HYPERLINK("http://stackoverflow.com/users/7268022", "Demi Yu")</f>
        <v>Demi Yu</v>
      </c>
      <c r="D11823" t="s">
        <v>497</v>
      </c>
      <c r="E11823">
        <v>1</v>
      </c>
    </row>
    <row r="11824" spans="1:5" x14ac:dyDescent="0.25">
      <c r="A11824">
        <v>11823</v>
      </c>
      <c r="B11824">
        <v>3719048</v>
      </c>
      <c r="C11824" s="1" t="str">
        <f>HYPERLINK("http://stackoverflow.com/users/3719048", "Farkaswit")</f>
        <v>Farkaswit</v>
      </c>
      <c r="D11824" t="s">
        <v>79</v>
      </c>
      <c r="E11824">
        <v>1</v>
      </c>
    </row>
    <row r="11825" spans="1:5" x14ac:dyDescent="0.25">
      <c r="A11825">
        <v>11824</v>
      </c>
      <c r="B11825">
        <v>3719346</v>
      </c>
      <c r="C11825" s="1" t="str">
        <f>HYPERLINK("http://stackoverflow.com/users/3719346", "psychotich")</f>
        <v>psychotich</v>
      </c>
      <c r="D11825" t="s">
        <v>4</v>
      </c>
      <c r="E11825">
        <v>1</v>
      </c>
    </row>
    <row r="11826" spans="1:5" x14ac:dyDescent="0.25">
      <c r="A11826">
        <v>11825</v>
      </c>
      <c r="B11826">
        <v>9143302</v>
      </c>
      <c r="C11826" s="1" t="str">
        <f>HYPERLINK("http://stackoverflow.com/users/9143302", "jinbao")</f>
        <v>jinbao</v>
      </c>
      <c r="D11826" t="s">
        <v>43</v>
      </c>
      <c r="E11826">
        <v>1</v>
      </c>
    </row>
    <row r="11827" spans="1:5" x14ac:dyDescent="0.25">
      <c r="A11827">
        <v>11826</v>
      </c>
      <c r="B11827">
        <v>9143331</v>
      </c>
      <c r="C11827" s="1" t="str">
        <f>HYPERLINK("http://stackoverflow.com/users/9143331", "Teng Ling")</f>
        <v>Teng Ling</v>
      </c>
      <c r="D11827" t="s">
        <v>5</v>
      </c>
      <c r="E11827">
        <v>1</v>
      </c>
    </row>
    <row r="11828" spans="1:5" x14ac:dyDescent="0.25">
      <c r="A11828">
        <v>11827</v>
      </c>
      <c r="B11828">
        <v>9143386</v>
      </c>
      <c r="C11828" s="1" t="str">
        <f>HYPERLINK("http://stackoverflow.com/users/9143386", "zhuyue3")</f>
        <v>zhuyue3</v>
      </c>
      <c r="D11828" t="s">
        <v>5</v>
      </c>
      <c r="E11828">
        <v>1</v>
      </c>
    </row>
    <row r="11829" spans="1:5" x14ac:dyDescent="0.25">
      <c r="A11829">
        <v>11828</v>
      </c>
      <c r="B11829">
        <v>9143483</v>
      </c>
      <c r="C11829" s="1" t="str">
        <f>HYPERLINK("http://stackoverflow.com/users/9143483", "Bob")</f>
        <v>Bob</v>
      </c>
      <c r="D11829" t="s">
        <v>7</v>
      </c>
      <c r="E11829">
        <v>1</v>
      </c>
    </row>
    <row r="11830" spans="1:5" x14ac:dyDescent="0.25">
      <c r="A11830">
        <v>11829</v>
      </c>
      <c r="B11830">
        <v>9143574</v>
      </c>
      <c r="C11830" s="1" t="str">
        <f>HYPERLINK("http://stackoverflow.com/users/9143574", "kurileo")</f>
        <v>kurileo</v>
      </c>
      <c r="D11830" t="s">
        <v>62</v>
      </c>
      <c r="E11830">
        <v>1</v>
      </c>
    </row>
    <row r="11831" spans="1:5" x14ac:dyDescent="0.25">
      <c r="A11831">
        <v>11830</v>
      </c>
      <c r="B11831">
        <v>5516786</v>
      </c>
      <c r="C11831" s="1" t="str">
        <f>HYPERLINK("http://stackoverflow.com/users/5516786", "Neil Ni")</f>
        <v>Neil Ni</v>
      </c>
      <c r="D11831" t="s">
        <v>17</v>
      </c>
      <c r="E11831">
        <v>1</v>
      </c>
    </row>
    <row r="11832" spans="1:5" x14ac:dyDescent="0.25">
      <c r="A11832">
        <v>11831</v>
      </c>
      <c r="B11832">
        <v>9147273</v>
      </c>
      <c r="C11832" s="1" t="str">
        <f>HYPERLINK("http://stackoverflow.com/users/9147273", "wenshuang hu")</f>
        <v>wenshuang hu</v>
      </c>
      <c r="D11832" t="s">
        <v>5</v>
      </c>
      <c r="E11832">
        <v>1</v>
      </c>
    </row>
    <row r="11833" spans="1:5" x14ac:dyDescent="0.25">
      <c r="A11833">
        <v>11832</v>
      </c>
      <c r="B11833">
        <v>9147295</v>
      </c>
      <c r="C11833" s="1" t="str">
        <f>HYPERLINK("http://stackoverflow.com/users/9147295", "Hardy Chung")</f>
        <v>Hardy Chung</v>
      </c>
      <c r="D11833" t="s">
        <v>7</v>
      </c>
      <c r="E11833">
        <v>1</v>
      </c>
    </row>
    <row r="11834" spans="1:5" x14ac:dyDescent="0.25">
      <c r="A11834">
        <v>11833</v>
      </c>
      <c r="B11834">
        <v>9147339</v>
      </c>
      <c r="C11834" s="1" t="str">
        <f>HYPERLINK("http://stackoverflow.com/users/9147339", "GeYF")</f>
        <v>GeYF</v>
      </c>
      <c r="D11834" t="s">
        <v>74</v>
      </c>
      <c r="E11834">
        <v>1</v>
      </c>
    </row>
    <row r="11835" spans="1:5" x14ac:dyDescent="0.25">
      <c r="A11835">
        <v>11834</v>
      </c>
      <c r="B11835">
        <v>9084162</v>
      </c>
      <c r="C11835" s="1" t="str">
        <f>HYPERLINK("http://stackoverflow.com/users/9084162", "Llmoment")</f>
        <v>Llmoment</v>
      </c>
      <c r="D11835" t="s">
        <v>4</v>
      </c>
      <c r="E11835">
        <v>1</v>
      </c>
    </row>
    <row r="11836" spans="1:5" x14ac:dyDescent="0.25">
      <c r="A11836">
        <v>11835</v>
      </c>
      <c r="B11836">
        <v>9084635</v>
      </c>
      <c r="C11836" s="1" t="str">
        <f>HYPERLINK("http://stackoverflow.com/users/9084635", "Yaowei Du")</f>
        <v>Yaowei Du</v>
      </c>
      <c r="D11836" t="s">
        <v>5</v>
      </c>
      <c r="E11836">
        <v>1</v>
      </c>
    </row>
    <row r="11837" spans="1:5" x14ac:dyDescent="0.25">
      <c r="A11837">
        <v>11836</v>
      </c>
      <c r="B11837">
        <v>10879641</v>
      </c>
      <c r="C11837" s="1" t="str">
        <f>HYPERLINK("http://stackoverflow.com/users/10879641", "zhimengfeng")</f>
        <v>zhimengfeng</v>
      </c>
      <c r="D11837" t="s">
        <v>60</v>
      </c>
      <c r="E11837">
        <v>1</v>
      </c>
    </row>
    <row r="11838" spans="1:5" x14ac:dyDescent="0.25">
      <c r="A11838">
        <v>11837</v>
      </c>
      <c r="B11838">
        <v>1859778</v>
      </c>
      <c r="C11838" s="1" t="str">
        <f>HYPERLINK("http://stackoverflow.com/users/1859778", "revir.qing")</f>
        <v>revir.qing</v>
      </c>
      <c r="D11838" t="s">
        <v>4</v>
      </c>
      <c r="E11838">
        <v>1</v>
      </c>
    </row>
    <row r="11839" spans="1:5" x14ac:dyDescent="0.25">
      <c r="A11839">
        <v>11838</v>
      </c>
      <c r="B11839">
        <v>1860052</v>
      </c>
      <c r="C11839" s="1" t="str">
        <f>HYPERLINK("http://stackoverflow.com/users/1860052", "zhengel")</f>
        <v>zhengel</v>
      </c>
      <c r="D11839" t="s">
        <v>42</v>
      </c>
      <c r="E11839">
        <v>1</v>
      </c>
    </row>
    <row r="11840" spans="1:5" x14ac:dyDescent="0.25">
      <c r="A11840">
        <v>11839</v>
      </c>
      <c r="B11840">
        <v>3667439</v>
      </c>
      <c r="C11840" s="1" t="str">
        <f>HYPERLINK("http://stackoverflow.com/users/3667439", "Shafeng")</f>
        <v>Shafeng</v>
      </c>
      <c r="D11840" t="s">
        <v>5</v>
      </c>
      <c r="E11840">
        <v>1</v>
      </c>
    </row>
    <row r="11841" spans="1:5" x14ac:dyDescent="0.25">
      <c r="A11841">
        <v>11840</v>
      </c>
      <c r="B11841">
        <v>9089560</v>
      </c>
      <c r="C11841" s="1" t="str">
        <f>HYPERLINK("http://stackoverflow.com/users/9089560", "刘东亮")</f>
        <v>刘东亮</v>
      </c>
      <c r="D11841" t="s">
        <v>416</v>
      </c>
      <c r="E11841">
        <v>1</v>
      </c>
    </row>
    <row r="11842" spans="1:5" x14ac:dyDescent="0.25">
      <c r="A11842">
        <v>11841</v>
      </c>
      <c r="B11842">
        <v>3667282</v>
      </c>
      <c r="C11842" s="1" t="str">
        <f>HYPERLINK("http://stackoverflow.com/users/3667282", "egral")</f>
        <v>egral</v>
      </c>
      <c r="D11842" t="s">
        <v>4</v>
      </c>
      <c r="E11842">
        <v>1</v>
      </c>
    </row>
    <row r="11843" spans="1:5" x14ac:dyDescent="0.25">
      <c r="A11843">
        <v>11842</v>
      </c>
      <c r="B11843">
        <v>7218308</v>
      </c>
      <c r="C11843" s="1" t="str">
        <f>HYPERLINK("http://stackoverflow.com/users/7218308", "Chenxu Fu")</f>
        <v>Chenxu Fu</v>
      </c>
      <c r="D11843" t="s">
        <v>43</v>
      </c>
      <c r="E11843">
        <v>1</v>
      </c>
    </row>
    <row r="11844" spans="1:5" x14ac:dyDescent="0.25">
      <c r="A11844">
        <v>11843</v>
      </c>
      <c r="B11844">
        <v>7218337</v>
      </c>
      <c r="C11844" s="1" t="str">
        <f>HYPERLINK("http://stackoverflow.com/users/7218337", "harvies")</f>
        <v>harvies</v>
      </c>
      <c r="D11844" t="s">
        <v>16</v>
      </c>
      <c r="E11844">
        <v>1</v>
      </c>
    </row>
    <row r="11845" spans="1:5" x14ac:dyDescent="0.25">
      <c r="A11845">
        <v>11844</v>
      </c>
      <c r="B11845">
        <v>7218364</v>
      </c>
      <c r="C11845" s="1" t="str">
        <f>HYPERLINK("http://stackoverflow.com/users/7218364", "Sweet Pear")</f>
        <v>Sweet Pear</v>
      </c>
      <c r="D11845" t="s">
        <v>4</v>
      </c>
      <c r="E11845">
        <v>1</v>
      </c>
    </row>
    <row r="11846" spans="1:5" x14ac:dyDescent="0.25">
      <c r="A11846">
        <v>11845</v>
      </c>
      <c r="B11846">
        <v>7218409</v>
      </c>
      <c r="C11846" s="1" t="str">
        <f>HYPERLINK("http://stackoverflow.com/users/7218409", "Alston")</f>
        <v>Alston</v>
      </c>
      <c r="D11846" t="s">
        <v>7</v>
      </c>
      <c r="E11846">
        <v>1</v>
      </c>
    </row>
    <row r="11847" spans="1:5" x14ac:dyDescent="0.25">
      <c r="A11847">
        <v>11846</v>
      </c>
      <c r="B11847">
        <v>5467513</v>
      </c>
      <c r="C11847" s="1" t="str">
        <f>HYPERLINK("http://stackoverflow.com/users/5467513", "Orion_gi")</f>
        <v>Orion_gi</v>
      </c>
      <c r="D11847" t="s">
        <v>5</v>
      </c>
      <c r="E11847">
        <v>1</v>
      </c>
    </row>
    <row r="11848" spans="1:5" x14ac:dyDescent="0.25">
      <c r="A11848">
        <v>11847</v>
      </c>
      <c r="B11848">
        <v>5467574</v>
      </c>
      <c r="C11848" s="1" t="str">
        <f>HYPERLINK("http://stackoverflow.com/users/5467574", "April.Huang")</f>
        <v>April.Huang</v>
      </c>
      <c r="D11848" t="s">
        <v>4</v>
      </c>
      <c r="E11848">
        <v>1</v>
      </c>
    </row>
    <row r="11849" spans="1:5" x14ac:dyDescent="0.25">
      <c r="A11849">
        <v>11848</v>
      </c>
      <c r="B11849">
        <v>7225405</v>
      </c>
      <c r="C11849" s="1" t="str">
        <f>HYPERLINK("http://stackoverflow.com/users/7225405", "Andrea LI")</f>
        <v>Andrea LI</v>
      </c>
      <c r="D11849" t="s">
        <v>28</v>
      </c>
      <c r="E11849">
        <v>1</v>
      </c>
    </row>
    <row r="11850" spans="1:5" x14ac:dyDescent="0.25">
      <c r="A11850">
        <v>11849</v>
      </c>
      <c r="B11850">
        <v>7225509</v>
      </c>
      <c r="C11850" s="1" t="str">
        <f>HYPERLINK("http://stackoverflow.com/users/7225509", "Allforgot")</f>
        <v>Allforgot</v>
      </c>
      <c r="D11850" t="s">
        <v>131</v>
      </c>
      <c r="E11850">
        <v>1</v>
      </c>
    </row>
    <row r="11851" spans="1:5" x14ac:dyDescent="0.25">
      <c r="A11851">
        <v>11850</v>
      </c>
      <c r="B11851">
        <v>7225585</v>
      </c>
      <c r="C11851" s="1" t="str">
        <f>HYPERLINK("http://stackoverflow.com/users/7225585", "Edward")</f>
        <v>Edward</v>
      </c>
      <c r="D11851" t="s">
        <v>131</v>
      </c>
      <c r="E11851">
        <v>1</v>
      </c>
    </row>
    <row r="11852" spans="1:5" x14ac:dyDescent="0.25">
      <c r="A11852">
        <v>11851</v>
      </c>
      <c r="B11852">
        <v>7225841</v>
      </c>
      <c r="C11852" s="1" t="str">
        <f>HYPERLINK("http://stackoverflow.com/users/7225841", "Andrew Pan")</f>
        <v>Andrew Pan</v>
      </c>
      <c r="D11852" t="s">
        <v>27</v>
      </c>
      <c r="E11852">
        <v>1</v>
      </c>
    </row>
    <row r="11853" spans="1:5" x14ac:dyDescent="0.25">
      <c r="A11853">
        <v>11852</v>
      </c>
      <c r="B11853">
        <v>10888479</v>
      </c>
      <c r="C11853" s="1" t="str">
        <f>HYPERLINK("http://stackoverflow.com/users/10888479", "yuan hao")</f>
        <v>yuan hao</v>
      </c>
      <c r="D11853" t="s">
        <v>5</v>
      </c>
      <c r="E11853">
        <v>1</v>
      </c>
    </row>
    <row r="11854" spans="1:5" x14ac:dyDescent="0.25">
      <c r="A11854">
        <v>11853</v>
      </c>
      <c r="B11854">
        <v>9094141</v>
      </c>
      <c r="C11854" s="1" t="str">
        <f>HYPERLINK("http://stackoverflow.com/users/9094141", "Richard")</f>
        <v>Richard</v>
      </c>
      <c r="D11854" t="s">
        <v>16</v>
      </c>
      <c r="E11854">
        <v>1</v>
      </c>
    </row>
    <row r="11855" spans="1:5" x14ac:dyDescent="0.25">
      <c r="A11855">
        <v>11854</v>
      </c>
      <c r="B11855">
        <v>9094222</v>
      </c>
      <c r="C11855" s="1" t="str">
        <f>HYPERLINK("http://stackoverflow.com/users/9094222", "Song Qiang")</f>
        <v>Song Qiang</v>
      </c>
      <c r="D11855" t="s">
        <v>640</v>
      </c>
      <c r="E11855">
        <v>1</v>
      </c>
    </row>
    <row r="11856" spans="1:5" x14ac:dyDescent="0.25">
      <c r="A11856">
        <v>11855</v>
      </c>
      <c r="B11856">
        <v>9096806</v>
      </c>
      <c r="C11856" s="1" t="str">
        <f>HYPERLINK("http://stackoverflow.com/users/9096806", "SLIC")</f>
        <v>SLIC</v>
      </c>
      <c r="D11856" t="s">
        <v>55</v>
      </c>
      <c r="E11856">
        <v>1</v>
      </c>
    </row>
    <row r="11857" spans="1:5" x14ac:dyDescent="0.25">
      <c r="A11857">
        <v>11856</v>
      </c>
      <c r="B11857">
        <v>9096846</v>
      </c>
      <c r="C11857" s="1" t="str">
        <f>HYPERLINK("http://stackoverflow.com/users/9096846", "samuelly")</f>
        <v>samuelly</v>
      </c>
      <c r="D11857" t="s">
        <v>4</v>
      </c>
      <c r="E11857">
        <v>1</v>
      </c>
    </row>
    <row r="11858" spans="1:5" x14ac:dyDescent="0.25">
      <c r="A11858">
        <v>11857</v>
      </c>
      <c r="B11858">
        <v>1874458</v>
      </c>
      <c r="C11858" s="1" t="str">
        <f>HYPERLINK("http://stackoverflow.com/users/1874458", "user1874458")</f>
        <v>user1874458</v>
      </c>
      <c r="D11858" t="s">
        <v>4</v>
      </c>
      <c r="E11858">
        <v>1</v>
      </c>
    </row>
    <row r="11859" spans="1:5" x14ac:dyDescent="0.25">
      <c r="A11859">
        <v>11858</v>
      </c>
      <c r="B11859">
        <v>1874619</v>
      </c>
      <c r="C11859" s="1" t="str">
        <f>HYPERLINK("http://stackoverflow.com/users/1874619", "yefeng0279")</f>
        <v>yefeng0279</v>
      </c>
      <c r="D11859" t="s">
        <v>5</v>
      </c>
      <c r="E11859">
        <v>1</v>
      </c>
    </row>
    <row r="11860" spans="1:5" x14ac:dyDescent="0.25">
      <c r="A11860">
        <v>11859</v>
      </c>
      <c r="B11860">
        <v>1874681</v>
      </c>
      <c r="C11860" s="1" t="str">
        <f>HYPERLINK("http://stackoverflow.com/users/1874681", "haozhigang.saint")</f>
        <v>haozhigang.saint</v>
      </c>
      <c r="D11860" t="s">
        <v>5</v>
      </c>
      <c r="E11860">
        <v>1</v>
      </c>
    </row>
    <row r="11861" spans="1:5" x14ac:dyDescent="0.25">
      <c r="A11861">
        <v>11860</v>
      </c>
      <c r="B11861">
        <v>10892642</v>
      </c>
      <c r="C11861" s="1" t="str">
        <f>HYPERLINK("http://stackoverflow.com/users/10892642", "Alex.Shen")</f>
        <v>Alex.Shen</v>
      </c>
      <c r="D11861" t="s">
        <v>7</v>
      </c>
      <c r="E11861">
        <v>1</v>
      </c>
    </row>
    <row r="11862" spans="1:5" x14ac:dyDescent="0.25">
      <c r="A11862">
        <v>11861</v>
      </c>
      <c r="B11862">
        <v>10892787</v>
      </c>
      <c r="C11862" s="1" t="str">
        <f>HYPERLINK("http://stackoverflow.com/users/10892787", "Adam Zheng")</f>
        <v>Adam Zheng</v>
      </c>
      <c r="D11862" t="s">
        <v>641</v>
      </c>
      <c r="E11862">
        <v>1</v>
      </c>
    </row>
    <row r="11863" spans="1:5" x14ac:dyDescent="0.25">
      <c r="A11863">
        <v>11862</v>
      </c>
      <c r="B11863">
        <v>3674933</v>
      </c>
      <c r="C11863" s="1" t="str">
        <f>HYPERLINK("http://stackoverflow.com/users/3674933", "athena751")</f>
        <v>athena751</v>
      </c>
      <c r="D11863" t="s">
        <v>5</v>
      </c>
      <c r="E11863">
        <v>1</v>
      </c>
    </row>
    <row r="11864" spans="1:5" x14ac:dyDescent="0.25">
      <c r="A11864">
        <v>11863</v>
      </c>
      <c r="B11864">
        <v>3674939</v>
      </c>
      <c r="C11864" s="1" t="str">
        <f>HYPERLINK("http://stackoverflow.com/users/3674939", "CrazyBoy")</f>
        <v>CrazyBoy</v>
      </c>
      <c r="D11864" t="s">
        <v>5</v>
      </c>
      <c r="E11864">
        <v>1</v>
      </c>
    </row>
    <row r="11865" spans="1:5" x14ac:dyDescent="0.25">
      <c r="A11865">
        <v>11864</v>
      </c>
      <c r="B11865">
        <v>3675048</v>
      </c>
      <c r="C11865" s="1" t="str">
        <f>HYPERLINK("http://stackoverflow.com/users/3675048", "Albert")</f>
        <v>Albert</v>
      </c>
      <c r="D11865" t="s">
        <v>34</v>
      </c>
      <c r="E11865">
        <v>1</v>
      </c>
    </row>
    <row r="11866" spans="1:5" x14ac:dyDescent="0.25">
      <c r="A11866">
        <v>11865</v>
      </c>
      <c r="B11866">
        <v>7229171</v>
      </c>
      <c r="C11866" s="1" t="str">
        <f>HYPERLINK("http://stackoverflow.com/users/7229171", "JULIEngineering")</f>
        <v>JULIEngineering</v>
      </c>
      <c r="D11866" t="s">
        <v>642</v>
      </c>
      <c r="E11866">
        <v>1</v>
      </c>
    </row>
    <row r="11867" spans="1:5" x14ac:dyDescent="0.25">
      <c r="A11867">
        <v>11866</v>
      </c>
      <c r="B11867">
        <v>7229198</v>
      </c>
      <c r="C11867" s="1" t="str">
        <f>HYPERLINK("http://stackoverflow.com/users/7229198", "zack.luo")</f>
        <v>zack.luo</v>
      </c>
      <c r="D11867" t="s">
        <v>25</v>
      </c>
      <c r="E11867">
        <v>1</v>
      </c>
    </row>
    <row r="11868" spans="1:5" x14ac:dyDescent="0.25">
      <c r="A11868">
        <v>11867</v>
      </c>
      <c r="B11868">
        <v>7229200</v>
      </c>
      <c r="C11868" s="1" t="str">
        <f>HYPERLINK("http://stackoverflow.com/users/7229200", "Adam")</f>
        <v>Adam</v>
      </c>
      <c r="D11868" t="s">
        <v>4</v>
      </c>
      <c r="E11868">
        <v>1</v>
      </c>
    </row>
    <row r="11869" spans="1:5" x14ac:dyDescent="0.25">
      <c r="A11869">
        <v>11868</v>
      </c>
      <c r="B11869">
        <v>5478960</v>
      </c>
      <c r="C11869" s="1" t="str">
        <f>HYPERLINK("http://stackoverflow.com/users/5478960", "Jack Woods")</f>
        <v>Jack Woods</v>
      </c>
      <c r="D11869" t="s">
        <v>52</v>
      </c>
      <c r="E11869">
        <v>1</v>
      </c>
    </row>
    <row r="11870" spans="1:5" x14ac:dyDescent="0.25">
      <c r="A11870">
        <v>11869</v>
      </c>
      <c r="B11870">
        <v>3679301</v>
      </c>
      <c r="C11870" s="1" t="str">
        <f>HYPERLINK("http://stackoverflow.com/users/3679301", "Roy Shen")</f>
        <v>Roy Shen</v>
      </c>
      <c r="D11870" t="s">
        <v>4</v>
      </c>
      <c r="E11870">
        <v>1</v>
      </c>
    </row>
    <row r="11871" spans="1:5" x14ac:dyDescent="0.25">
      <c r="A11871">
        <v>11870</v>
      </c>
      <c r="B11871">
        <v>9102266</v>
      </c>
      <c r="C11871" s="1" t="str">
        <f>HYPERLINK("http://stackoverflow.com/users/9102266", "Maggie Sun")</f>
        <v>Maggie Sun</v>
      </c>
      <c r="D11871" t="s">
        <v>5</v>
      </c>
      <c r="E11871">
        <v>1</v>
      </c>
    </row>
    <row r="11872" spans="1:5" x14ac:dyDescent="0.25">
      <c r="A11872">
        <v>11871</v>
      </c>
      <c r="B11872">
        <v>9106314</v>
      </c>
      <c r="C11872" s="1" t="str">
        <f>HYPERLINK("http://stackoverflow.com/users/9106314", "LeiFrak")</f>
        <v>LeiFrak</v>
      </c>
      <c r="D11872" t="s">
        <v>5</v>
      </c>
      <c r="E11872">
        <v>1</v>
      </c>
    </row>
    <row r="11873" spans="1:5" x14ac:dyDescent="0.25">
      <c r="A11873">
        <v>11872</v>
      </c>
      <c r="B11873">
        <v>9106336</v>
      </c>
      <c r="C11873" s="1" t="str">
        <f>HYPERLINK("http://stackoverflow.com/users/9106336", "Zachary")</f>
        <v>Zachary</v>
      </c>
      <c r="D11873" t="s">
        <v>16</v>
      </c>
      <c r="E11873">
        <v>1</v>
      </c>
    </row>
    <row r="11874" spans="1:5" x14ac:dyDescent="0.25">
      <c r="A11874">
        <v>11873</v>
      </c>
      <c r="B11874">
        <v>9106554</v>
      </c>
      <c r="C11874" s="1" t="str">
        <f>HYPERLINK("http://stackoverflow.com/users/9106554", "Gwok-Hou Cheung")</f>
        <v>Gwok-Hou Cheung</v>
      </c>
      <c r="D11874" t="s">
        <v>55</v>
      </c>
      <c r="E11874">
        <v>1</v>
      </c>
    </row>
    <row r="11875" spans="1:5" x14ac:dyDescent="0.25">
      <c r="A11875">
        <v>11874</v>
      </c>
      <c r="B11875">
        <v>5478457</v>
      </c>
      <c r="C11875" s="1" t="str">
        <f>HYPERLINK("http://stackoverflow.com/users/5478457", "karepbq")</f>
        <v>karepbq</v>
      </c>
      <c r="D11875" t="s">
        <v>287</v>
      </c>
      <c r="E11875">
        <v>1</v>
      </c>
    </row>
    <row r="11876" spans="1:5" x14ac:dyDescent="0.25">
      <c r="A11876">
        <v>11875</v>
      </c>
      <c r="B11876">
        <v>5478584</v>
      </c>
      <c r="C11876" s="1" t="str">
        <f>HYPERLINK("http://stackoverflow.com/users/5478584", "XLF")</f>
        <v>XLF</v>
      </c>
      <c r="D11876" t="s">
        <v>643</v>
      </c>
      <c r="E11876">
        <v>1</v>
      </c>
    </row>
    <row r="11877" spans="1:5" x14ac:dyDescent="0.25">
      <c r="A11877">
        <v>11876</v>
      </c>
      <c r="B11877">
        <v>5478811</v>
      </c>
      <c r="C11877" s="1" t="str">
        <f>HYPERLINK("http://stackoverflow.com/users/5478811", "dong liu")</f>
        <v>dong liu</v>
      </c>
      <c r="D11877" t="s">
        <v>12</v>
      </c>
      <c r="E11877">
        <v>1</v>
      </c>
    </row>
    <row r="11878" spans="1:5" x14ac:dyDescent="0.25">
      <c r="A11878">
        <v>11877</v>
      </c>
      <c r="B11878">
        <v>7237335</v>
      </c>
      <c r="C11878" s="1" t="str">
        <f>HYPERLINK("http://stackoverflow.com/users/7237335", "Chares Wan")</f>
        <v>Chares Wan</v>
      </c>
      <c r="D11878" t="s">
        <v>131</v>
      </c>
      <c r="E11878">
        <v>1</v>
      </c>
    </row>
    <row r="11879" spans="1:5" x14ac:dyDescent="0.25">
      <c r="A11879">
        <v>11878</v>
      </c>
      <c r="B11879">
        <v>1890902</v>
      </c>
      <c r="C11879" s="1" t="str">
        <f>HYPERLINK("http://stackoverflow.com/users/1890902", "chaiqi")</f>
        <v>chaiqi</v>
      </c>
      <c r="D11879" t="s">
        <v>5</v>
      </c>
      <c r="E11879">
        <v>1</v>
      </c>
    </row>
    <row r="11880" spans="1:5" x14ac:dyDescent="0.25">
      <c r="A11880">
        <v>11879</v>
      </c>
      <c r="B11880">
        <v>5485831</v>
      </c>
      <c r="C11880" s="1" t="str">
        <f>HYPERLINK("http://stackoverflow.com/users/5485831", "SongLi")</f>
        <v>SongLi</v>
      </c>
      <c r="D11880" t="s">
        <v>4</v>
      </c>
      <c r="E11880">
        <v>1</v>
      </c>
    </row>
    <row r="11881" spans="1:5" x14ac:dyDescent="0.25">
      <c r="A11881">
        <v>11880</v>
      </c>
      <c r="B11881">
        <v>10910272</v>
      </c>
      <c r="C11881" s="1" t="str">
        <f>HYPERLINK("http://stackoverflow.com/users/10910272", "Leon Liu")</f>
        <v>Leon Liu</v>
      </c>
      <c r="D11881" t="s">
        <v>7</v>
      </c>
      <c r="E11881">
        <v>1</v>
      </c>
    </row>
    <row r="11882" spans="1:5" x14ac:dyDescent="0.25">
      <c r="A11882">
        <v>11881</v>
      </c>
      <c r="B11882">
        <v>3690598</v>
      </c>
      <c r="C11882" s="1" t="str">
        <f>HYPERLINK("http://stackoverflow.com/users/3690598", "tongxw")</f>
        <v>tongxw</v>
      </c>
      <c r="D11882" t="s">
        <v>5</v>
      </c>
      <c r="E11882">
        <v>1</v>
      </c>
    </row>
    <row r="11883" spans="1:5" x14ac:dyDescent="0.25">
      <c r="A11883">
        <v>11882</v>
      </c>
      <c r="B11883">
        <v>5492656</v>
      </c>
      <c r="C11883" s="1" t="str">
        <f>HYPERLINK("http://stackoverflow.com/users/5492656", "Maybe")</f>
        <v>Maybe</v>
      </c>
      <c r="D11883" t="s">
        <v>7</v>
      </c>
      <c r="E11883">
        <v>1</v>
      </c>
    </row>
    <row r="11884" spans="1:5" x14ac:dyDescent="0.25">
      <c r="A11884">
        <v>11883</v>
      </c>
      <c r="B11884">
        <v>5492765</v>
      </c>
      <c r="C11884" s="1" t="str">
        <f>HYPERLINK("http://stackoverflow.com/users/5492765", "lee hr")</f>
        <v>lee hr</v>
      </c>
      <c r="D11884" t="s">
        <v>22</v>
      </c>
      <c r="E11884">
        <v>1</v>
      </c>
    </row>
    <row r="11885" spans="1:5" x14ac:dyDescent="0.25">
      <c r="A11885">
        <v>11884</v>
      </c>
      <c r="B11885">
        <v>5492781</v>
      </c>
      <c r="C11885" s="1" t="str">
        <f>HYPERLINK("http://stackoverflow.com/users/5492781", "SamAndDean")</f>
        <v>SamAndDean</v>
      </c>
      <c r="D11885" t="s">
        <v>5</v>
      </c>
      <c r="E11885">
        <v>1</v>
      </c>
    </row>
    <row r="11886" spans="1:5" x14ac:dyDescent="0.25">
      <c r="A11886">
        <v>11885</v>
      </c>
      <c r="B11886">
        <v>5493073</v>
      </c>
      <c r="C11886" s="1" t="str">
        <f>HYPERLINK("http://stackoverflow.com/users/5493073", "Joe")</f>
        <v>Joe</v>
      </c>
      <c r="D11886" t="s">
        <v>7</v>
      </c>
      <c r="E11886">
        <v>1</v>
      </c>
    </row>
    <row r="11887" spans="1:5" x14ac:dyDescent="0.25">
      <c r="A11887">
        <v>11886</v>
      </c>
      <c r="B11887">
        <v>5493095</v>
      </c>
      <c r="C11887" s="1" t="str">
        <f>HYPERLINK("http://stackoverflow.com/users/5493095", "Developmc")</f>
        <v>Developmc</v>
      </c>
      <c r="D11887" t="s">
        <v>17</v>
      </c>
      <c r="E11887">
        <v>1</v>
      </c>
    </row>
    <row r="11888" spans="1:5" x14ac:dyDescent="0.25">
      <c r="A11888">
        <v>11887</v>
      </c>
      <c r="B11888">
        <v>7248733</v>
      </c>
      <c r="C11888" s="1" t="str">
        <f>HYPERLINK("http://stackoverflow.com/users/7248733", "AnqurVanillapy")</f>
        <v>AnqurVanillapy</v>
      </c>
      <c r="D11888" t="s">
        <v>42</v>
      </c>
      <c r="E11888">
        <v>1</v>
      </c>
    </row>
    <row r="11889" spans="1:5" x14ac:dyDescent="0.25">
      <c r="A11889">
        <v>11888</v>
      </c>
      <c r="B11889">
        <v>7248777</v>
      </c>
      <c r="C11889" s="1" t="str">
        <f>HYPERLINK("http://stackoverflow.com/users/7248777", "Lussac")</f>
        <v>Lussac</v>
      </c>
      <c r="D11889" t="s">
        <v>57</v>
      </c>
      <c r="E11889">
        <v>1</v>
      </c>
    </row>
    <row r="11890" spans="1:5" x14ac:dyDescent="0.25">
      <c r="A11890">
        <v>11889</v>
      </c>
      <c r="B11890">
        <v>10799212</v>
      </c>
      <c r="C11890" s="1" t="str">
        <f>HYPERLINK("http://stackoverflow.com/users/10799212", "L. Evan")</f>
        <v>L. Evan</v>
      </c>
      <c r="D11890" t="s">
        <v>4</v>
      </c>
      <c r="E11890">
        <v>1</v>
      </c>
    </row>
    <row r="11891" spans="1:5" x14ac:dyDescent="0.25">
      <c r="A11891">
        <v>11890</v>
      </c>
      <c r="B11891">
        <v>3604272</v>
      </c>
      <c r="C11891" s="1" t="str">
        <f>HYPERLINK("http://stackoverflow.com/users/3604272", "huangsy13")</f>
        <v>huangsy13</v>
      </c>
      <c r="D11891" t="s">
        <v>5</v>
      </c>
      <c r="E11891">
        <v>1</v>
      </c>
    </row>
    <row r="11892" spans="1:5" x14ac:dyDescent="0.25">
      <c r="A11892">
        <v>11891</v>
      </c>
      <c r="B11892">
        <v>9019628</v>
      </c>
      <c r="C11892" s="1" t="str">
        <f>HYPERLINK("http://stackoverflow.com/users/9019628", "yecong")</f>
        <v>yecong</v>
      </c>
      <c r="D11892" t="s">
        <v>4</v>
      </c>
      <c r="E11892">
        <v>1</v>
      </c>
    </row>
    <row r="11893" spans="1:5" x14ac:dyDescent="0.25">
      <c r="A11893">
        <v>11892</v>
      </c>
      <c r="B11893">
        <v>5405828</v>
      </c>
      <c r="C11893" s="1" t="str">
        <f>HYPERLINK("http://stackoverflow.com/users/5405828", "HiCrispy")</f>
        <v>HiCrispy</v>
      </c>
      <c r="D11893" t="s">
        <v>29</v>
      </c>
      <c r="E11893">
        <v>1</v>
      </c>
    </row>
    <row r="11894" spans="1:5" x14ac:dyDescent="0.25">
      <c r="A11894">
        <v>11893</v>
      </c>
      <c r="B11894">
        <v>5406202</v>
      </c>
      <c r="C11894" s="1" t="str">
        <f>HYPERLINK("http://stackoverflow.com/users/5406202", "LoopGan")</f>
        <v>LoopGan</v>
      </c>
      <c r="D11894" t="s">
        <v>28</v>
      </c>
      <c r="E11894">
        <v>1</v>
      </c>
    </row>
    <row r="11895" spans="1:5" x14ac:dyDescent="0.25">
      <c r="A11895">
        <v>11894</v>
      </c>
      <c r="B11895">
        <v>1795831</v>
      </c>
      <c r="C11895" s="1" t="str">
        <f>HYPERLINK("http://stackoverflow.com/users/1795831", "Tony Hu")</f>
        <v>Tony Hu</v>
      </c>
      <c r="D11895" t="s">
        <v>5</v>
      </c>
      <c r="E11895">
        <v>1</v>
      </c>
    </row>
    <row r="11896" spans="1:5" x14ac:dyDescent="0.25">
      <c r="A11896">
        <v>11895</v>
      </c>
      <c r="B11896">
        <v>1795899</v>
      </c>
      <c r="C11896" s="1" t="str">
        <f>HYPERLINK("http://stackoverflow.com/users/1795899", "base")</f>
        <v>base</v>
      </c>
      <c r="D11896" t="s">
        <v>17</v>
      </c>
      <c r="E11896">
        <v>1</v>
      </c>
    </row>
    <row r="11897" spans="1:5" x14ac:dyDescent="0.25">
      <c r="A11897">
        <v>11896</v>
      </c>
      <c r="B11897">
        <v>10818184</v>
      </c>
      <c r="C11897" s="1" t="str">
        <f>HYPERLINK("http://stackoverflow.com/users/10818184", "li_jessen")</f>
        <v>li_jessen</v>
      </c>
      <c r="D11897" t="s">
        <v>7</v>
      </c>
      <c r="E11897">
        <v>1</v>
      </c>
    </row>
    <row r="11898" spans="1:5" x14ac:dyDescent="0.25">
      <c r="A11898">
        <v>11897</v>
      </c>
      <c r="B11898">
        <v>3607570</v>
      </c>
      <c r="C11898" s="1" t="str">
        <f>HYPERLINK("http://stackoverflow.com/users/3607570", "Solitude Stone")</f>
        <v>Solitude Stone</v>
      </c>
      <c r="D11898" t="s">
        <v>4</v>
      </c>
      <c r="E11898">
        <v>1</v>
      </c>
    </row>
    <row r="11899" spans="1:5" x14ac:dyDescent="0.25">
      <c r="A11899">
        <v>11898</v>
      </c>
      <c r="B11899">
        <v>10822654</v>
      </c>
      <c r="C11899" s="1" t="str">
        <f>HYPERLINK("http://stackoverflow.com/users/10822654", "Jelaleddin Sultanov")</f>
        <v>Jelaleddin Sultanov</v>
      </c>
      <c r="D11899" t="s">
        <v>5</v>
      </c>
      <c r="E11899">
        <v>1</v>
      </c>
    </row>
    <row r="11900" spans="1:5" x14ac:dyDescent="0.25">
      <c r="A11900">
        <v>11899</v>
      </c>
      <c r="B11900">
        <v>7170699</v>
      </c>
      <c r="C11900" s="1" t="str">
        <f>HYPERLINK("http://stackoverflow.com/users/7170699", "Chiyuan.Ma")</f>
        <v>Chiyuan.Ma</v>
      </c>
      <c r="D11900" t="s">
        <v>7</v>
      </c>
      <c r="E11900">
        <v>1</v>
      </c>
    </row>
    <row r="11901" spans="1:5" x14ac:dyDescent="0.25">
      <c r="A11901">
        <v>11900</v>
      </c>
      <c r="B11901">
        <v>9029040</v>
      </c>
      <c r="C11901" s="1" t="str">
        <f>HYPERLINK("http://stackoverflow.com/users/9029040", "曹翼丰")</f>
        <v>曹翼丰</v>
      </c>
      <c r="D11901" t="s">
        <v>4</v>
      </c>
      <c r="E11901">
        <v>1</v>
      </c>
    </row>
    <row r="11902" spans="1:5" x14ac:dyDescent="0.25">
      <c r="A11902">
        <v>11901</v>
      </c>
      <c r="B11902">
        <v>10827300</v>
      </c>
      <c r="C11902" s="1" t="str">
        <f>HYPERLINK("http://stackoverflow.com/users/10827300", "Shunming-Li")</f>
        <v>Shunming-Li</v>
      </c>
      <c r="D11902" t="s">
        <v>133</v>
      </c>
      <c r="E11902">
        <v>1</v>
      </c>
    </row>
    <row r="11903" spans="1:5" x14ac:dyDescent="0.25">
      <c r="A11903">
        <v>11902</v>
      </c>
      <c r="B11903">
        <v>10827613</v>
      </c>
      <c r="C11903" s="1" t="str">
        <f>HYPERLINK("http://stackoverflow.com/users/10827613", "third_eye")</f>
        <v>third_eye</v>
      </c>
      <c r="D11903" t="s">
        <v>5</v>
      </c>
      <c r="E11903">
        <v>1</v>
      </c>
    </row>
    <row r="11904" spans="1:5" x14ac:dyDescent="0.25">
      <c r="A11904">
        <v>11903</v>
      </c>
      <c r="B11904">
        <v>7171336</v>
      </c>
      <c r="C11904" s="1" t="str">
        <f>HYPERLINK("http://stackoverflow.com/users/7171336", "Puzhen Qian")</f>
        <v>Puzhen Qian</v>
      </c>
      <c r="D11904" t="s">
        <v>120</v>
      </c>
      <c r="E11904">
        <v>1</v>
      </c>
    </row>
    <row r="11905" spans="1:5" x14ac:dyDescent="0.25">
      <c r="A11905">
        <v>11904</v>
      </c>
      <c r="B11905">
        <v>7171814</v>
      </c>
      <c r="C11905" s="1" t="str">
        <f>HYPERLINK("http://stackoverflow.com/users/7171814", "zhous")</f>
        <v>zhous</v>
      </c>
      <c r="D11905" t="s">
        <v>4</v>
      </c>
      <c r="E11905">
        <v>1</v>
      </c>
    </row>
    <row r="11906" spans="1:5" x14ac:dyDescent="0.25">
      <c r="A11906">
        <v>11905</v>
      </c>
      <c r="B11906">
        <v>1796375</v>
      </c>
      <c r="C11906" s="1" t="str">
        <f>HYPERLINK("http://stackoverflow.com/users/1796375", "Lunula")</f>
        <v>Lunula</v>
      </c>
      <c r="D11906" t="s">
        <v>4</v>
      </c>
      <c r="E11906">
        <v>1</v>
      </c>
    </row>
    <row r="11907" spans="1:5" x14ac:dyDescent="0.25">
      <c r="A11907">
        <v>11906</v>
      </c>
      <c r="B11907">
        <v>1796502</v>
      </c>
      <c r="C11907" s="1" t="str">
        <f>HYPERLINK("http://stackoverflow.com/users/1796502", "Zhurong")</f>
        <v>Zhurong</v>
      </c>
      <c r="D11907" t="s">
        <v>5</v>
      </c>
      <c r="E11907">
        <v>1</v>
      </c>
    </row>
    <row r="11908" spans="1:5" x14ac:dyDescent="0.25">
      <c r="A11908">
        <v>11907</v>
      </c>
      <c r="B11908">
        <v>7167102</v>
      </c>
      <c r="C11908" s="1" t="str">
        <f>HYPERLINK("http://stackoverflow.com/users/7167102", "user7167102")</f>
        <v>user7167102</v>
      </c>
      <c r="D11908" t="s">
        <v>29</v>
      </c>
      <c r="E11908">
        <v>1</v>
      </c>
    </row>
    <row r="11909" spans="1:5" x14ac:dyDescent="0.25">
      <c r="A11909">
        <v>11908</v>
      </c>
      <c r="B11909">
        <v>1804830</v>
      </c>
      <c r="C11909" s="1" t="str">
        <f>HYPERLINK("http://stackoverflow.com/users/1804830", "DewuZeng")</f>
        <v>DewuZeng</v>
      </c>
      <c r="D11909" t="s">
        <v>21</v>
      </c>
      <c r="E11909">
        <v>1</v>
      </c>
    </row>
    <row r="11910" spans="1:5" x14ac:dyDescent="0.25">
      <c r="A11910">
        <v>11909</v>
      </c>
      <c r="B11910">
        <v>1804915</v>
      </c>
      <c r="C11910" s="1" t="str">
        <f>HYPERLINK("http://stackoverflow.com/users/1804915", "xiaofeng_metis")</f>
        <v>xiaofeng_metis</v>
      </c>
      <c r="D11910" t="s">
        <v>12</v>
      </c>
      <c r="E11910">
        <v>1</v>
      </c>
    </row>
    <row r="11911" spans="1:5" x14ac:dyDescent="0.25">
      <c r="A11911">
        <v>11910</v>
      </c>
      <c r="B11911">
        <v>1805027</v>
      </c>
      <c r="C11911" s="1" t="str">
        <f>HYPERLINK("http://stackoverflow.com/users/1805027", "rainyjune")</f>
        <v>rainyjune</v>
      </c>
      <c r="D11911" t="s">
        <v>5</v>
      </c>
      <c r="E11911">
        <v>1</v>
      </c>
    </row>
    <row r="11912" spans="1:5" x14ac:dyDescent="0.25">
      <c r="A11912">
        <v>11911</v>
      </c>
      <c r="B11912">
        <v>1740133</v>
      </c>
      <c r="C11912" s="1" t="str">
        <f>HYPERLINK("http://stackoverflow.com/users/1740133", "fishfree")</f>
        <v>fishfree</v>
      </c>
      <c r="D11912" t="s">
        <v>4</v>
      </c>
      <c r="E11912">
        <v>1</v>
      </c>
    </row>
    <row r="11913" spans="1:5" x14ac:dyDescent="0.25">
      <c r="A11913">
        <v>11912</v>
      </c>
      <c r="B11913">
        <v>1739973</v>
      </c>
      <c r="C11913" s="1" t="str">
        <f>HYPERLINK("http://stackoverflow.com/users/1739973", "feiyang")</f>
        <v>feiyang</v>
      </c>
      <c r="D11913" t="s">
        <v>5</v>
      </c>
      <c r="E11913">
        <v>1</v>
      </c>
    </row>
    <row r="11914" spans="1:5" x14ac:dyDescent="0.25">
      <c r="A11914">
        <v>11913</v>
      </c>
      <c r="B11914">
        <v>1739756</v>
      </c>
      <c r="C11914" s="1" t="str">
        <f>HYPERLINK("http://stackoverflow.com/users/1739756", "rongmic")</f>
        <v>rongmic</v>
      </c>
      <c r="D11914" t="s">
        <v>3</v>
      </c>
      <c r="E11914">
        <v>1</v>
      </c>
    </row>
    <row r="11915" spans="1:5" x14ac:dyDescent="0.25">
      <c r="A11915">
        <v>11914</v>
      </c>
      <c r="B11915">
        <v>1739794</v>
      </c>
      <c r="C11915" s="1" t="str">
        <f>HYPERLINK("http://stackoverflow.com/users/1739794", "hary huang")</f>
        <v>hary huang</v>
      </c>
      <c r="D11915" t="s">
        <v>25</v>
      </c>
      <c r="E11915">
        <v>1</v>
      </c>
    </row>
    <row r="11916" spans="1:5" x14ac:dyDescent="0.25">
      <c r="A11916">
        <v>11915</v>
      </c>
      <c r="B11916">
        <v>5374664</v>
      </c>
      <c r="C11916" s="1" t="str">
        <f>HYPERLINK("http://stackoverflow.com/users/5374664", "wovski")</f>
        <v>wovski</v>
      </c>
      <c r="D11916" t="s">
        <v>22</v>
      </c>
      <c r="E11916">
        <v>1</v>
      </c>
    </row>
    <row r="11917" spans="1:5" x14ac:dyDescent="0.25">
      <c r="A11917">
        <v>11916</v>
      </c>
      <c r="B11917">
        <v>3569316</v>
      </c>
      <c r="C11917" s="1" t="str">
        <f>HYPERLINK("http://stackoverflow.com/users/3569316", "yanglu")</f>
        <v>yanglu</v>
      </c>
      <c r="D11917" t="s">
        <v>4</v>
      </c>
      <c r="E11917">
        <v>1</v>
      </c>
    </row>
    <row r="11918" spans="1:5" x14ac:dyDescent="0.25">
      <c r="A11918">
        <v>11917</v>
      </c>
      <c r="B11918">
        <v>10781037</v>
      </c>
      <c r="C11918" s="1" t="str">
        <f>HYPERLINK("http://stackoverflow.com/users/10781037", "Tom")</f>
        <v>Tom</v>
      </c>
      <c r="D11918" t="s">
        <v>7</v>
      </c>
      <c r="E11918">
        <v>1</v>
      </c>
    </row>
    <row r="11919" spans="1:5" x14ac:dyDescent="0.25">
      <c r="A11919">
        <v>11918</v>
      </c>
      <c r="B11919">
        <v>10781469</v>
      </c>
      <c r="C11919" s="1" t="str">
        <f>HYPERLINK("http://stackoverflow.com/users/10781469", "fire")</f>
        <v>fire</v>
      </c>
      <c r="D11919" t="s">
        <v>62</v>
      </c>
      <c r="E11919">
        <v>1</v>
      </c>
    </row>
    <row r="11920" spans="1:5" x14ac:dyDescent="0.25">
      <c r="A11920">
        <v>11919</v>
      </c>
      <c r="B11920">
        <v>8964901</v>
      </c>
      <c r="C11920" s="1" t="str">
        <f>HYPERLINK("http://stackoverflow.com/users/8964901", "wang Wang")</f>
        <v>wang Wang</v>
      </c>
      <c r="D11920" t="s">
        <v>114</v>
      </c>
      <c r="E11920">
        <v>1</v>
      </c>
    </row>
    <row r="11921" spans="1:5" x14ac:dyDescent="0.25">
      <c r="A11921">
        <v>11920</v>
      </c>
      <c r="B11921">
        <v>10773142</v>
      </c>
      <c r="C11921" s="1" t="str">
        <f>HYPERLINK("http://stackoverflow.com/users/10773142", "D.Guo")</f>
        <v>D.Guo</v>
      </c>
      <c r="D11921" t="s">
        <v>4</v>
      </c>
      <c r="E11921">
        <v>1</v>
      </c>
    </row>
    <row r="11922" spans="1:5" x14ac:dyDescent="0.25">
      <c r="A11922">
        <v>11921</v>
      </c>
      <c r="B11922">
        <v>5371006</v>
      </c>
      <c r="C11922" s="1" t="str">
        <f>HYPERLINK("http://stackoverflow.com/users/5371006", "Jiangxian")</f>
        <v>Jiangxian</v>
      </c>
      <c r="D11922" t="s">
        <v>5</v>
      </c>
      <c r="E11922">
        <v>1</v>
      </c>
    </row>
    <row r="11923" spans="1:5" x14ac:dyDescent="0.25">
      <c r="A11923">
        <v>11922</v>
      </c>
      <c r="B11923">
        <v>5371039</v>
      </c>
      <c r="C11923" s="1" t="str">
        <f>HYPERLINK("http://stackoverflow.com/users/5371039", "Gning")</f>
        <v>Gning</v>
      </c>
      <c r="D11923" t="s">
        <v>37</v>
      </c>
      <c r="E11923">
        <v>1</v>
      </c>
    </row>
    <row r="11924" spans="1:5" x14ac:dyDescent="0.25">
      <c r="A11924">
        <v>11923</v>
      </c>
      <c r="B11924">
        <v>5371106</v>
      </c>
      <c r="C11924" s="1" t="str">
        <f>HYPERLINK("http://stackoverflow.com/users/5371106", "ligj")</f>
        <v>ligj</v>
      </c>
      <c r="D11924" t="s">
        <v>37</v>
      </c>
      <c r="E11924">
        <v>1</v>
      </c>
    </row>
    <row r="11925" spans="1:5" x14ac:dyDescent="0.25">
      <c r="A11925">
        <v>11924</v>
      </c>
      <c r="B11925">
        <v>10793757</v>
      </c>
      <c r="C11925" s="1" t="str">
        <f>HYPERLINK("http://stackoverflow.com/users/10793757", "Artrix")</f>
        <v>Artrix</v>
      </c>
      <c r="D11925" t="s">
        <v>7</v>
      </c>
      <c r="E11925">
        <v>1</v>
      </c>
    </row>
    <row r="11926" spans="1:5" x14ac:dyDescent="0.25">
      <c r="A11926">
        <v>11925</v>
      </c>
      <c r="B11926">
        <v>10794085</v>
      </c>
      <c r="C11926" s="1" t="str">
        <f>HYPERLINK("http://stackoverflow.com/users/10794085", "LLD")</f>
        <v>LLD</v>
      </c>
      <c r="D11926" t="s">
        <v>78</v>
      </c>
      <c r="E11926">
        <v>1</v>
      </c>
    </row>
    <row r="11927" spans="1:5" x14ac:dyDescent="0.25">
      <c r="A11927">
        <v>11926</v>
      </c>
      <c r="B11927">
        <v>10790046</v>
      </c>
      <c r="C11927" s="1" t="str">
        <f>HYPERLINK("http://stackoverflow.com/users/10790046", "Xiaowei Liu")</f>
        <v>Xiaowei Liu</v>
      </c>
      <c r="D11927" t="s">
        <v>47</v>
      </c>
      <c r="E11927">
        <v>1</v>
      </c>
    </row>
    <row r="11928" spans="1:5" x14ac:dyDescent="0.25">
      <c r="A11928">
        <v>11927</v>
      </c>
      <c r="B11928">
        <v>10790417</v>
      </c>
      <c r="C11928" s="1" t="str">
        <f>HYPERLINK("http://stackoverflow.com/users/10790417", "lv xiaolong")</f>
        <v>lv xiaolong</v>
      </c>
      <c r="D11928" t="s">
        <v>4</v>
      </c>
      <c r="E11928">
        <v>1</v>
      </c>
    </row>
    <row r="11929" spans="1:5" x14ac:dyDescent="0.25">
      <c r="A11929">
        <v>11928</v>
      </c>
      <c r="B11929">
        <v>8979022</v>
      </c>
      <c r="C11929" s="1" t="str">
        <f>HYPERLINK("http://stackoverflow.com/users/8979022", "Xiang Li")</f>
        <v>Xiang Li</v>
      </c>
      <c r="D11929" t="s">
        <v>644</v>
      </c>
      <c r="E11929">
        <v>1</v>
      </c>
    </row>
    <row r="11930" spans="1:5" x14ac:dyDescent="0.25">
      <c r="A11930">
        <v>11929</v>
      </c>
      <c r="B11930">
        <v>10789495</v>
      </c>
      <c r="C11930" s="1" t="str">
        <f>HYPERLINK("http://stackoverflow.com/users/10789495", "May")</f>
        <v>May</v>
      </c>
      <c r="D11930" t="s">
        <v>17</v>
      </c>
      <c r="E11930">
        <v>1</v>
      </c>
    </row>
    <row r="11931" spans="1:5" x14ac:dyDescent="0.25">
      <c r="A11931">
        <v>11930</v>
      </c>
      <c r="B11931">
        <v>7149842</v>
      </c>
      <c r="C11931" s="1" t="str">
        <f>HYPERLINK("http://stackoverflow.com/users/7149842", "Bruce Wang")</f>
        <v>Bruce Wang</v>
      </c>
      <c r="D11931" t="s">
        <v>52</v>
      </c>
      <c r="E11931">
        <v>1</v>
      </c>
    </row>
    <row r="11932" spans="1:5" x14ac:dyDescent="0.25">
      <c r="A11932">
        <v>11931</v>
      </c>
      <c r="B11932">
        <v>10807361</v>
      </c>
      <c r="C11932" s="1" t="str">
        <f>HYPERLINK("http://stackoverflow.com/users/10807361", "Sen Chai")</f>
        <v>Sen Chai</v>
      </c>
      <c r="D11932" t="s">
        <v>28</v>
      </c>
      <c r="E11932">
        <v>1</v>
      </c>
    </row>
    <row r="11933" spans="1:5" x14ac:dyDescent="0.25">
      <c r="A11933">
        <v>11932</v>
      </c>
      <c r="B11933">
        <v>9008956</v>
      </c>
      <c r="C11933" s="1" t="str">
        <f>HYPERLINK("http://stackoverflow.com/users/9008956", "Hengsijian")</f>
        <v>Hengsijian</v>
      </c>
      <c r="D11933" t="s">
        <v>131</v>
      </c>
      <c r="E11933">
        <v>1</v>
      </c>
    </row>
    <row r="11934" spans="1:5" x14ac:dyDescent="0.25">
      <c r="A11934">
        <v>11933</v>
      </c>
      <c r="B11934">
        <v>9009170</v>
      </c>
      <c r="C11934" s="1" t="str">
        <f>HYPERLINK("http://stackoverflow.com/users/9009170", "Yao Zou")</f>
        <v>Yao Zou</v>
      </c>
      <c r="D11934" t="s">
        <v>16</v>
      </c>
      <c r="E11934">
        <v>1</v>
      </c>
    </row>
    <row r="11935" spans="1:5" x14ac:dyDescent="0.25">
      <c r="A11935">
        <v>11934</v>
      </c>
      <c r="B11935">
        <v>7155724</v>
      </c>
      <c r="C11935" s="1" t="str">
        <f>HYPERLINK("http://stackoverflow.com/users/7155724", "刘春呈")</f>
        <v>刘春呈</v>
      </c>
      <c r="D11935" t="s">
        <v>5</v>
      </c>
      <c r="E11935">
        <v>1</v>
      </c>
    </row>
    <row r="11936" spans="1:5" x14ac:dyDescent="0.25">
      <c r="A11936">
        <v>11935</v>
      </c>
      <c r="B11936">
        <v>10810928</v>
      </c>
      <c r="C11936" s="1" t="str">
        <f>HYPERLINK("http://stackoverflow.com/users/10810928", "GracefulMan")</f>
        <v>GracefulMan</v>
      </c>
      <c r="D11936" t="s">
        <v>4</v>
      </c>
      <c r="E11936">
        <v>1</v>
      </c>
    </row>
    <row r="11937" spans="1:5" x14ac:dyDescent="0.25">
      <c r="A11937">
        <v>11936</v>
      </c>
      <c r="B11937">
        <v>7161327</v>
      </c>
      <c r="C11937" s="1" t="str">
        <f>HYPERLINK("http://stackoverflow.com/users/7161327", "Tommy.Huang")</f>
        <v>Tommy.Huang</v>
      </c>
      <c r="D11937" t="s">
        <v>7</v>
      </c>
      <c r="E11937">
        <v>1</v>
      </c>
    </row>
    <row r="11938" spans="1:5" x14ac:dyDescent="0.25">
      <c r="A11938">
        <v>11937</v>
      </c>
      <c r="B11938">
        <v>7161910</v>
      </c>
      <c r="C11938" s="1" t="str">
        <f>HYPERLINK("http://stackoverflow.com/users/7161910", "李钰洁")</f>
        <v>李钰洁</v>
      </c>
      <c r="D11938" t="s">
        <v>4</v>
      </c>
      <c r="E11938">
        <v>1</v>
      </c>
    </row>
    <row r="11939" spans="1:5" x14ac:dyDescent="0.25">
      <c r="A11939">
        <v>11938</v>
      </c>
      <c r="B11939">
        <v>7198934</v>
      </c>
      <c r="C11939" s="1" t="str">
        <f>HYPERLINK("http://stackoverflow.com/users/7198934", "Richard Lee")</f>
        <v>Richard Lee</v>
      </c>
      <c r="D11939" t="s">
        <v>5</v>
      </c>
      <c r="E11939">
        <v>1</v>
      </c>
    </row>
    <row r="11940" spans="1:5" x14ac:dyDescent="0.25">
      <c r="A11940">
        <v>11939</v>
      </c>
      <c r="B11940">
        <v>7199137</v>
      </c>
      <c r="C11940" s="1" t="str">
        <f>HYPERLINK("http://stackoverflow.com/users/7199137", "Darren Li")</f>
        <v>Darren Li</v>
      </c>
      <c r="D11940" t="s">
        <v>55</v>
      </c>
      <c r="E11940">
        <v>1</v>
      </c>
    </row>
    <row r="11941" spans="1:5" x14ac:dyDescent="0.25">
      <c r="A11941">
        <v>11940</v>
      </c>
      <c r="B11941">
        <v>5443006</v>
      </c>
      <c r="C11941" s="1" t="str">
        <f>HYPERLINK("http://stackoverflow.com/users/5443006", "Joy")</f>
        <v>Joy</v>
      </c>
      <c r="D11941" t="s">
        <v>37</v>
      </c>
      <c r="E11941">
        <v>1</v>
      </c>
    </row>
    <row r="11942" spans="1:5" x14ac:dyDescent="0.25">
      <c r="A11942">
        <v>11941</v>
      </c>
      <c r="B11942">
        <v>5443015</v>
      </c>
      <c r="C11942" s="1" t="str">
        <f>HYPERLINK("http://stackoverflow.com/users/5443015", "Mohammad Z Hasan")</f>
        <v>Mohammad Z Hasan</v>
      </c>
      <c r="D11942" t="s">
        <v>16</v>
      </c>
      <c r="E11942">
        <v>1</v>
      </c>
    </row>
    <row r="11943" spans="1:5" x14ac:dyDescent="0.25">
      <c r="A11943">
        <v>11942</v>
      </c>
      <c r="B11943">
        <v>5443203</v>
      </c>
      <c r="C11943" s="1" t="str">
        <f>HYPERLINK("http://stackoverflow.com/users/5443203", "geekzph")</f>
        <v>geekzph</v>
      </c>
      <c r="D11943" t="s">
        <v>17</v>
      </c>
      <c r="E11943">
        <v>1</v>
      </c>
    </row>
    <row r="11944" spans="1:5" x14ac:dyDescent="0.25">
      <c r="A11944">
        <v>11943</v>
      </c>
      <c r="B11944">
        <v>9063153</v>
      </c>
      <c r="C11944" s="1" t="str">
        <f>HYPERLINK("http://stackoverflow.com/users/9063153", "Jl Pang")</f>
        <v>Jl Pang</v>
      </c>
      <c r="D11944" t="s">
        <v>118</v>
      </c>
      <c r="E11944">
        <v>1</v>
      </c>
    </row>
    <row r="11945" spans="1:5" x14ac:dyDescent="0.25">
      <c r="A11945">
        <v>11944</v>
      </c>
      <c r="B11945">
        <v>10862556</v>
      </c>
      <c r="C11945" s="1" t="str">
        <f>HYPERLINK("http://stackoverflow.com/users/10862556", "mad marx")</f>
        <v>mad marx</v>
      </c>
      <c r="D11945" t="s">
        <v>645</v>
      </c>
      <c r="E11945">
        <v>1</v>
      </c>
    </row>
    <row r="11946" spans="1:5" x14ac:dyDescent="0.25">
      <c r="A11946">
        <v>11945</v>
      </c>
      <c r="B11946">
        <v>7194451</v>
      </c>
      <c r="C11946" s="1" t="str">
        <f>HYPERLINK("http://stackoverflow.com/users/7194451", "nianyu")</f>
        <v>nianyu</v>
      </c>
      <c r="D11946" t="s">
        <v>4</v>
      </c>
      <c r="E11946">
        <v>1</v>
      </c>
    </row>
    <row r="11947" spans="1:5" x14ac:dyDescent="0.25">
      <c r="A11947">
        <v>11946</v>
      </c>
      <c r="B11947">
        <v>7194502</v>
      </c>
      <c r="C11947" s="1" t="str">
        <f>HYPERLINK("http://stackoverflow.com/users/7194502", "Victor Zhang")</f>
        <v>Victor Zhang</v>
      </c>
      <c r="D11947" t="s">
        <v>16</v>
      </c>
      <c r="E11947">
        <v>1</v>
      </c>
    </row>
    <row r="11948" spans="1:5" x14ac:dyDescent="0.25">
      <c r="A11948">
        <v>11947</v>
      </c>
      <c r="B11948">
        <v>7194683</v>
      </c>
      <c r="C11948" s="1" t="str">
        <f>HYPERLINK("http://stackoverflow.com/users/7194683", "master lee")</f>
        <v>master lee</v>
      </c>
      <c r="D11948" t="s">
        <v>16</v>
      </c>
      <c r="E11948">
        <v>1</v>
      </c>
    </row>
    <row r="11949" spans="1:5" x14ac:dyDescent="0.25">
      <c r="A11949">
        <v>11948</v>
      </c>
      <c r="B11949">
        <v>7194830</v>
      </c>
      <c r="C11949" s="1" t="str">
        <f>HYPERLINK("http://stackoverflow.com/users/7194830", "赵斐然")</f>
        <v>赵斐然</v>
      </c>
      <c r="D11949" t="s">
        <v>19</v>
      </c>
      <c r="E11949">
        <v>1</v>
      </c>
    </row>
    <row r="11950" spans="1:5" x14ac:dyDescent="0.25">
      <c r="A11950">
        <v>11949</v>
      </c>
      <c r="B11950">
        <v>10853698</v>
      </c>
      <c r="C11950" s="1" t="str">
        <f>HYPERLINK("http://stackoverflow.com/users/10853698", "SteinwayCaiZhuo")</f>
        <v>SteinwayCaiZhuo</v>
      </c>
      <c r="D11950" t="s">
        <v>556</v>
      </c>
      <c r="E11950">
        <v>1</v>
      </c>
    </row>
    <row r="11951" spans="1:5" x14ac:dyDescent="0.25">
      <c r="A11951">
        <v>11950</v>
      </c>
      <c r="B11951">
        <v>10858445</v>
      </c>
      <c r="C11951" s="1" t="str">
        <f>HYPERLINK("http://stackoverflow.com/users/10858445", "Lee Sheng Jin")</f>
        <v>Lee Sheng Jin</v>
      </c>
      <c r="D11951" t="s">
        <v>33</v>
      </c>
      <c r="E11951">
        <v>1</v>
      </c>
    </row>
    <row r="11952" spans="1:5" x14ac:dyDescent="0.25">
      <c r="A11952">
        <v>11951</v>
      </c>
      <c r="B11952">
        <v>7198797</v>
      </c>
      <c r="C11952" s="1" t="str">
        <f>HYPERLINK("http://stackoverflow.com/users/7198797", "ChenY")</f>
        <v>ChenY</v>
      </c>
      <c r="D11952" t="s">
        <v>28</v>
      </c>
      <c r="E11952">
        <v>1</v>
      </c>
    </row>
    <row r="11953" spans="1:5" x14ac:dyDescent="0.25">
      <c r="A11953">
        <v>11952</v>
      </c>
      <c r="B11953">
        <v>9076049</v>
      </c>
      <c r="C11953" s="1" t="str">
        <f>HYPERLINK("http://stackoverflow.com/users/9076049", "Q. Song")</f>
        <v>Q. Song</v>
      </c>
      <c r="D11953" t="s">
        <v>25</v>
      </c>
      <c r="E11953">
        <v>1</v>
      </c>
    </row>
    <row r="11954" spans="1:5" x14ac:dyDescent="0.25">
      <c r="A11954">
        <v>11953</v>
      </c>
      <c r="B11954">
        <v>9076243</v>
      </c>
      <c r="C11954" s="1" t="str">
        <f>HYPERLINK("http://stackoverflow.com/users/9076243", "Tuanyang Qiu")</f>
        <v>Tuanyang Qiu</v>
      </c>
      <c r="D11954" t="s">
        <v>25</v>
      </c>
      <c r="E11954">
        <v>1</v>
      </c>
    </row>
    <row r="11955" spans="1:5" x14ac:dyDescent="0.25">
      <c r="A11955">
        <v>11954</v>
      </c>
      <c r="B11955">
        <v>7213632</v>
      </c>
      <c r="C11955" s="1" t="str">
        <f>HYPERLINK("http://stackoverflow.com/users/7213632", "Casuarina.")</f>
        <v>Casuarina.</v>
      </c>
      <c r="D11955" t="s">
        <v>4</v>
      </c>
      <c r="E11955">
        <v>1</v>
      </c>
    </row>
    <row r="11956" spans="1:5" x14ac:dyDescent="0.25">
      <c r="A11956">
        <v>11955</v>
      </c>
      <c r="B11956">
        <v>1841236</v>
      </c>
      <c r="C11956" s="1" t="str">
        <f>HYPERLINK("http://stackoverflow.com/users/1841236", "Robert Hu")</f>
        <v>Robert Hu</v>
      </c>
      <c r="D11956" t="s">
        <v>17</v>
      </c>
      <c r="E11956">
        <v>1</v>
      </c>
    </row>
    <row r="11957" spans="1:5" x14ac:dyDescent="0.25">
      <c r="A11957">
        <v>11956</v>
      </c>
      <c r="B11957">
        <v>5447666</v>
      </c>
      <c r="C11957" s="1" t="str">
        <f>HYPERLINK("http://stackoverflow.com/users/5447666", "jeffleung")</f>
        <v>jeffleung</v>
      </c>
      <c r="D11957" t="s">
        <v>17</v>
      </c>
      <c r="E11957">
        <v>1</v>
      </c>
    </row>
    <row r="11958" spans="1:5" x14ac:dyDescent="0.25">
      <c r="A11958">
        <v>11957</v>
      </c>
      <c r="B11958">
        <v>9067756</v>
      </c>
      <c r="C11958" s="1" t="str">
        <f>HYPERLINK("http://stackoverflow.com/users/9067756", "NightElf")</f>
        <v>NightElf</v>
      </c>
      <c r="D11958" t="s">
        <v>5</v>
      </c>
      <c r="E11958">
        <v>1</v>
      </c>
    </row>
    <row r="11959" spans="1:5" x14ac:dyDescent="0.25">
      <c r="A11959">
        <v>11958</v>
      </c>
      <c r="B11959">
        <v>9071489</v>
      </c>
      <c r="C11959" s="1" t="str">
        <f>HYPERLINK("http://stackoverflow.com/users/9071489", "Cheng W")</f>
        <v>Cheng W</v>
      </c>
      <c r="D11959" t="s">
        <v>4</v>
      </c>
      <c r="E11959">
        <v>1</v>
      </c>
    </row>
    <row r="11960" spans="1:5" x14ac:dyDescent="0.25">
      <c r="A11960">
        <v>11959</v>
      </c>
      <c r="B11960">
        <v>3651074</v>
      </c>
      <c r="C11960" s="1" t="str">
        <f>HYPERLINK("http://stackoverflow.com/users/3651074", "sailfish")</f>
        <v>sailfish</v>
      </c>
      <c r="D11960" t="s">
        <v>5</v>
      </c>
      <c r="E11960">
        <v>1</v>
      </c>
    </row>
    <row r="11961" spans="1:5" x14ac:dyDescent="0.25">
      <c r="A11961">
        <v>11960</v>
      </c>
      <c r="B11961">
        <v>10871195</v>
      </c>
      <c r="C11961" s="1" t="str">
        <f>HYPERLINK("http://stackoverflow.com/users/10871195", "Xingxing Tian")</f>
        <v>Xingxing Tian</v>
      </c>
      <c r="D11961" t="s">
        <v>320</v>
      </c>
      <c r="E11961">
        <v>1</v>
      </c>
    </row>
    <row r="11962" spans="1:5" x14ac:dyDescent="0.25">
      <c r="A11962">
        <v>11961</v>
      </c>
      <c r="B11962">
        <v>1850472</v>
      </c>
      <c r="C11962" s="1" t="str">
        <f>HYPERLINK("http://stackoverflow.com/users/1850472", "Footstep")</f>
        <v>Footstep</v>
      </c>
      <c r="D11962" t="s">
        <v>3</v>
      </c>
      <c r="E11962">
        <v>1</v>
      </c>
    </row>
    <row r="11963" spans="1:5" x14ac:dyDescent="0.25">
      <c r="A11963">
        <v>11962</v>
      </c>
      <c r="B11963">
        <v>1850761</v>
      </c>
      <c r="C11963" s="1" t="str">
        <f>HYPERLINK("http://stackoverflow.com/users/1850761", "fiture")</f>
        <v>fiture</v>
      </c>
      <c r="D11963" t="s">
        <v>22</v>
      </c>
      <c r="E11963">
        <v>1</v>
      </c>
    </row>
    <row r="11964" spans="1:5" x14ac:dyDescent="0.25">
      <c r="A11964">
        <v>11963</v>
      </c>
      <c r="B11964">
        <v>1810992</v>
      </c>
      <c r="C11964" s="1" t="str">
        <f>HYPERLINK("http://stackoverflow.com/users/1810992", "matthew mao")</f>
        <v>matthew mao</v>
      </c>
      <c r="D11964" t="s">
        <v>54</v>
      </c>
      <c r="E11964">
        <v>1</v>
      </c>
    </row>
    <row r="11965" spans="1:5" x14ac:dyDescent="0.25">
      <c r="A11965">
        <v>11964</v>
      </c>
      <c r="B11965">
        <v>1810996</v>
      </c>
      <c r="C11965" s="1" t="str">
        <f>HYPERLINK("http://stackoverflow.com/users/1810996", "Bulanlily")</f>
        <v>Bulanlily</v>
      </c>
      <c r="D11965" t="s">
        <v>54</v>
      </c>
      <c r="E11965">
        <v>1</v>
      </c>
    </row>
    <row r="11966" spans="1:5" x14ac:dyDescent="0.25">
      <c r="A11966">
        <v>11965</v>
      </c>
      <c r="B11966">
        <v>1820004</v>
      </c>
      <c r="C11966" s="1" t="str">
        <f>HYPERLINK("http://stackoverflow.com/users/1820004", "weitao zhou")</f>
        <v>weitao zhou</v>
      </c>
      <c r="D11966" t="s">
        <v>5</v>
      </c>
      <c r="E11966">
        <v>1</v>
      </c>
    </row>
    <row r="11967" spans="1:5" x14ac:dyDescent="0.25">
      <c r="A11967">
        <v>11966</v>
      </c>
      <c r="B11967">
        <v>1820096</v>
      </c>
      <c r="C11967" s="1" t="str">
        <f>HYPERLINK("http://stackoverflow.com/users/1820096", "Huabing Du")</f>
        <v>Huabing Du</v>
      </c>
      <c r="D11967" t="s">
        <v>16</v>
      </c>
      <c r="E11967">
        <v>1</v>
      </c>
    </row>
    <row r="11968" spans="1:5" x14ac:dyDescent="0.25">
      <c r="A11968">
        <v>11967</v>
      </c>
      <c r="B11968">
        <v>9048790</v>
      </c>
      <c r="C11968" s="1" t="str">
        <f>HYPERLINK("http://stackoverflow.com/users/9048790", "Rachel Leo")</f>
        <v>Rachel Leo</v>
      </c>
      <c r="D11968" t="s">
        <v>4</v>
      </c>
      <c r="E11968">
        <v>1</v>
      </c>
    </row>
    <row r="11969" spans="1:5" x14ac:dyDescent="0.25">
      <c r="A11969">
        <v>11968</v>
      </c>
      <c r="B11969">
        <v>9048941</v>
      </c>
      <c r="C11969" s="1" t="str">
        <f>HYPERLINK("http://stackoverflow.com/users/9048941", "andre tang")</f>
        <v>andre tang</v>
      </c>
      <c r="D11969" t="s">
        <v>5</v>
      </c>
      <c r="E11969">
        <v>1</v>
      </c>
    </row>
    <row r="11970" spans="1:5" x14ac:dyDescent="0.25">
      <c r="A11970">
        <v>11969</v>
      </c>
      <c r="B11970">
        <v>9053753</v>
      </c>
      <c r="C11970" s="1" t="str">
        <f>HYPERLINK("http://stackoverflow.com/users/9053753", "Muhammad Adnan Laghari")</f>
        <v>Muhammad Adnan Laghari</v>
      </c>
      <c r="D11970" t="s">
        <v>5</v>
      </c>
      <c r="E11970">
        <v>1</v>
      </c>
    </row>
    <row r="11971" spans="1:5" x14ac:dyDescent="0.25">
      <c r="A11971">
        <v>11970</v>
      </c>
      <c r="B11971">
        <v>1806305</v>
      </c>
      <c r="C11971" s="1" t="str">
        <f>HYPERLINK("http://stackoverflow.com/users/1806305", "Cédric Guerrier")</f>
        <v>Cédric Guerrier</v>
      </c>
      <c r="D11971" t="s">
        <v>5</v>
      </c>
      <c r="E11971">
        <v>1</v>
      </c>
    </row>
    <row r="11972" spans="1:5" x14ac:dyDescent="0.25">
      <c r="A11972">
        <v>11971</v>
      </c>
      <c r="B11972">
        <v>5418257</v>
      </c>
      <c r="C11972" s="1" t="str">
        <f>HYPERLINK("http://stackoverflow.com/users/5418257", "Jacky Wu")</f>
        <v>Jacky Wu</v>
      </c>
      <c r="D11972" t="s">
        <v>4</v>
      </c>
      <c r="E11972">
        <v>1</v>
      </c>
    </row>
    <row r="11973" spans="1:5" x14ac:dyDescent="0.25">
      <c r="A11973">
        <v>11972</v>
      </c>
      <c r="B11973">
        <v>10831267</v>
      </c>
      <c r="C11973" s="1" t="str">
        <f>HYPERLINK("http://stackoverflow.com/users/10831267", "Keenkid")</f>
        <v>Keenkid</v>
      </c>
      <c r="D11973" t="s">
        <v>4</v>
      </c>
      <c r="E11973">
        <v>1</v>
      </c>
    </row>
    <row r="11974" spans="1:5" x14ac:dyDescent="0.25">
      <c r="A11974">
        <v>11973</v>
      </c>
      <c r="B11974">
        <v>10831474</v>
      </c>
      <c r="C11974" s="1" t="str">
        <f>HYPERLINK("http://stackoverflow.com/users/10831474", "唐怀志")</f>
        <v>唐怀志</v>
      </c>
      <c r="D11974" t="s">
        <v>5</v>
      </c>
      <c r="E11974">
        <v>1</v>
      </c>
    </row>
    <row r="11975" spans="1:5" x14ac:dyDescent="0.25">
      <c r="A11975">
        <v>11974</v>
      </c>
      <c r="B11975">
        <v>1810586</v>
      </c>
      <c r="C11975" s="1" t="str">
        <f>HYPERLINK("http://stackoverflow.com/users/1810586", "julianzhang")</f>
        <v>julianzhang</v>
      </c>
      <c r="D11975" t="s">
        <v>5</v>
      </c>
      <c r="E11975">
        <v>1</v>
      </c>
    </row>
    <row r="11976" spans="1:5" x14ac:dyDescent="0.25">
      <c r="A11976">
        <v>11975</v>
      </c>
      <c r="B11976">
        <v>1811384</v>
      </c>
      <c r="C11976" s="1" t="str">
        <f>HYPERLINK("http://stackoverflow.com/users/1811384", "lijingang")</f>
        <v>lijingang</v>
      </c>
      <c r="D11976" t="s">
        <v>5</v>
      </c>
      <c r="E11976">
        <v>1</v>
      </c>
    </row>
    <row r="11977" spans="1:5" x14ac:dyDescent="0.25">
      <c r="A11977">
        <v>11976</v>
      </c>
      <c r="B11977">
        <v>1811548</v>
      </c>
      <c r="C11977" s="1" t="str">
        <f>HYPERLINK("http://stackoverflow.com/users/1811548", "Alice")</f>
        <v>Alice</v>
      </c>
      <c r="D11977" t="s">
        <v>16</v>
      </c>
      <c r="E11977">
        <v>1</v>
      </c>
    </row>
    <row r="11978" spans="1:5" x14ac:dyDescent="0.25">
      <c r="A11978">
        <v>11977</v>
      </c>
      <c r="B11978">
        <v>5422370</v>
      </c>
      <c r="C11978" s="1" t="str">
        <f>HYPERLINK("http://stackoverflow.com/users/5422370", "陈华佳")</f>
        <v>陈华佳</v>
      </c>
      <c r="D11978" t="s">
        <v>17</v>
      </c>
      <c r="E11978">
        <v>1</v>
      </c>
    </row>
    <row r="11979" spans="1:5" x14ac:dyDescent="0.25">
      <c r="A11979">
        <v>11978</v>
      </c>
      <c r="B11979">
        <v>5422668</v>
      </c>
      <c r="C11979" s="1" t="str">
        <f>HYPERLINK("http://stackoverflow.com/users/5422668", "SsunnyDay")</f>
        <v>SsunnyDay</v>
      </c>
      <c r="D11979" t="s">
        <v>22</v>
      </c>
      <c r="E11979">
        <v>1</v>
      </c>
    </row>
    <row r="11980" spans="1:5" x14ac:dyDescent="0.25">
      <c r="A11980">
        <v>11979</v>
      </c>
      <c r="B11980">
        <v>5423151</v>
      </c>
      <c r="C11980" s="1" t="str">
        <f>HYPERLINK("http://stackoverflow.com/users/5423151", "TaoismLEE")</f>
        <v>TaoismLEE</v>
      </c>
      <c r="D11980" t="s">
        <v>62</v>
      </c>
      <c r="E11980">
        <v>1</v>
      </c>
    </row>
    <row r="11981" spans="1:5" x14ac:dyDescent="0.25">
      <c r="A11981">
        <v>11980</v>
      </c>
      <c r="B11981">
        <v>3621126</v>
      </c>
      <c r="C11981" s="1" t="str">
        <f>HYPERLINK("http://stackoverflow.com/users/3621126", "FXM5547")</f>
        <v>FXM5547</v>
      </c>
      <c r="D11981" t="s">
        <v>17</v>
      </c>
      <c r="E11981">
        <v>1</v>
      </c>
    </row>
    <row r="11982" spans="1:5" x14ac:dyDescent="0.25">
      <c r="A11982">
        <v>11981</v>
      </c>
      <c r="B11982">
        <v>10839402</v>
      </c>
      <c r="C11982" s="1" t="str">
        <f>HYPERLINK("http://stackoverflow.com/users/10839402", "Taixing Jang")</f>
        <v>Taixing Jang</v>
      </c>
      <c r="D11982" t="s">
        <v>133</v>
      </c>
      <c r="E11982">
        <v>1</v>
      </c>
    </row>
    <row r="11983" spans="1:5" x14ac:dyDescent="0.25">
      <c r="A11983">
        <v>11982</v>
      </c>
      <c r="B11983">
        <v>10839582</v>
      </c>
      <c r="C11983" s="1" t="str">
        <f>HYPERLINK("http://stackoverflow.com/users/10839582", "Anson Cheung")</f>
        <v>Anson Cheung</v>
      </c>
      <c r="D11983" t="s">
        <v>5</v>
      </c>
      <c r="E11983">
        <v>1</v>
      </c>
    </row>
    <row r="11984" spans="1:5" x14ac:dyDescent="0.25">
      <c r="A11984">
        <v>11983</v>
      </c>
      <c r="B11984">
        <v>5426944</v>
      </c>
      <c r="C11984" s="1" t="str">
        <f>HYPERLINK("http://stackoverflow.com/users/5426944", "Vanm Zhang")</f>
        <v>Vanm Zhang</v>
      </c>
      <c r="D11984" t="s">
        <v>21</v>
      </c>
      <c r="E11984">
        <v>1</v>
      </c>
    </row>
    <row r="11985" spans="1:5" x14ac:dyDescent="0.25">
      <c r="A11985">
        <v>11984</v>
      </c>
      <c r="B11985">
        <v>10840148</v>
      </c>
      <c r="C11985" s="1" t="str">
        <f>HYPERLINK("http://stackoverflow.com/users/10840148", "CMB Studio")</f>
        <v>CMB Studio</v>
      </c>
      <c r="D11985" t="s">
        <v>33</v>
      </c>
      <c r="E11985">
        <v>1</v>
      </c>
    </row>
    <row r="11986" spans="1:5" x14ac:dyDescent="0.25">
      <c r="A11986">
        <v>11985</v>
      </c>
      <c r="B11986">
        <v>3876036</v>
      </c>
      <c r="C11986" s="1" t="str">
        <f>HYPERLINK("http://stackoverflow.com/users/3876036", "feenan")</f>
        <v>feenan</v>
      </c>
      <c r="D11986" t="s">
        <v>5</v>
      </c>
      <c r="E11986">
        <v>1</v>
      </c>
    </row>
    <row r="11987" spans="1:5" x14ac:dyDescent="0.25">
      <c r="A11987">
        <v>11986</v>
      </c>
      <c r="B11987">
        <v>3883179</v>
      </c>
      <c r="C11987" s="1" t="str">
        <f>HYPERLINK("http://stackoverflow.com/users/3883179", "Toby")</f>
        <v>Toby</v>
      </c>
      <c r="D11987" t="s">
        <v>4</v>
      </c>
      <c r="E11987">
        <v>1</v>
      </c>
    </row>
    <row r="11988" spans="1:5" x14ac:dyDescent="0.25">
      <c r="A11988">
        <v>11987</v>
      </c>
      <c r="B11988">
        <v>3883466</v>
      </c>
      <c r="C11988" s="1" t="str">
        <f>HYPERLINK("http://stackoverflow.com/users/3883466", "Carroll")</f>
        <v>Carroll</v>
      </c>
      <c r="D11988" t="s">
        <v>21</v>
      </c>
      <c r="E11988">
        <v>1</v>
      </c>
    </row>
    <row r="11989" spans="1:5" x14ac:dyDescent="0.25">
      <c r="A11989">
        <v>11988</v>
      </c>
      <c r="B11989">
        <v>3883494</v>
      </c>
      <c r="C11989" s="1" t="str">
        <f>HYPERLINK("http://stackoverflow.com/users/3883494", "duolanmeng")</f>
        <v>duolanmeng</v>
      </c>
      <c r="D11989" t="s">
        <v>24</v>
      </c>
      <c r="E11989">
        <v>1</v>
      </c>
    </row>
    <row r="11990" spans="1:5" x14ac:dyDescent="0.25">
      <c r="A11990">
        <v>11989</v>
      </c>
      <c r="B11990">
        <v>3883649</v>
      </c>
      <c r="C11990" s="1" t="str">
        <f>HYPERLINK("http://stackoverflow.com/users/3883649", "Venuluo")</f>
        <v>Venuluo</v>
      </c>
      <c r="D11990" t="s">
        <v>17</v>
      </c>
      <c r="E11990">
        <v>1</v>
      </c>
    </row>
    <row r="11991" spans="1:5" x14ac:dyDescent="0.25">
      <c r="A11991">
        <v>11990</v>
      </c>
      <c r="B11991">
        <v>9316636</v>
      </c>
      <c r="C11991" s="1" t="str">
        <f>HYPERLINK("http://stackoverflow.com/users/9316636", "Roy Tao")</f>
        <v>Roy Tao</v>
      </c>
      <c r="D11991" t="s">
        <v>5</v>
      </c>
      <c r="E11991">
        <v>1</v>
      </c>
    </row>
    <row r="11992" spans="1:5" x14ac:dyDescent="0.25">
      <c r="A11992">
        <v>11991</v>
      </c>
      <c r="B11992">
        <v>5663209</v>
      </c>
      <c r="C11992" s="1" t="str">
        <f>HYPERLINK("http://stackoverflow.com/users/5663209", "J.wen")</f>
        <v>J.wen</v>
      </c>
      <c r="D11992" t="s">
        <v>27</v>
      </c>
      <c r="E11992">
        <v>1</v>
      </c>
    </row>
    <row r="11993" spans="1:5" x14ac:dyDescent="0.25">
      <c r="A11993">
        <v>11992</v>
      </c>
      <c r="B11993">
        <v>5663384</v>
      </c>
      <c r="C11993" s="1" t="str">
        <f>HYPERLINK("http://stackoverflow.com/users/5663384", "koalahb")</f>
        <v>koalahb</v>
      </c>
      <c r="D11993" t="s">
        <v>16</v>
      </c>
      <c r="E11993">
        <v>1</v>
      </c>
    </row>
    <row r="11994" spans="1:5" x14ac:dyDescent="0.25">
      <c r="A11994">
        <v>11993</v>
      </c>
      <c r="B11994">
        <v>11106221</v>
      </c>
      <c r="C11994" s="1" t="str">
        <f>HYPERLINK("http://stackoverflow.com/users/11106221", "GuoJing")</f>
        <v>GuoJing</v>
      </c>
      <c r="D11994" t="s">
        <v>91</v>
      </c>
      <c r="E11994">
        <v>1</v>
      </c>
    </row>
    <row r="11995" spans="1:5" x14ac:dyDescent="0.25">
      <c r="A11995">
        <v>11994</v>
      </c>
      <c r="B11995">
        <v>11106475</v>
      </c>
      <c r="C11995" s="1" t="str">
        <f>HYPERLINK("http://stackoverflow.com/users/11106475", "hubuBiocoder")</f>
        <v>hubuBiocoder</v>
      </c>
      <c r="D11995" t="s">
        <v>646</v>
      </c>
      <c r="E11995">
        <v>1</v>
      </c>
    </row>
    <row r="11996" spans="1:5" x14ac:dyDescent="0.25">
      <c r="A11996">
        <v>11995</v>
      </c>
      <c r="B11996">
        <v>5666846</v>
      </c>
      <c r="C11996" s="1" t="str">
        <f>HYPERLINK("http://stackoverflow.com/users/5666846", "Xudong Pang")</f>
        <v>Xudong Pang</v>
      </c>
      <c r="D11996" t="s">
        <v>5</v>
      </c>
      <c r="E11996">
        <v>1</v>
      </c>
    </row>
    <row r="11997" spans="1:5" x14ac:dyDescent="0.25">
      <c r="A11997">
        <v>11996</v>
      </c>
      <c r="B11997">
        <v>5666903</v>
      </c>
      <c r="C11997" s="1" t="str">
        <f>HYPERLINK("http://stackoverflow.com/users/5666903", "Buddy Zhang")</f>
        <v>Buddy Zhang</v>
      </c>
      <c r="D11997" t="s">
        <v>7</v>
      </c>
      <c r="E11997">
        <v>1</v>
      </c>
    </row>
    <row r="11998" spans="1:5" x14ac:dyDescent="0.25">
      <c r="A11998">
        <v>11997</v>
      </c>
      <c r="B11998">
        <v>5666921</v>
      </c>
      <c r="C11998" s="1" t="str">
        <f>HYPERLINK("http://stackoverflow.com/users/5666921", "Clarence")</f>
        <v>Clarence</v>
      </c>
      <c r="D11998" t="s">
        <v>5</v>
      </c>
      <c r="E11998">
        <v>1</v>
      </c>
    </row>
    <row r="11999" spans="1:5" x14ac:dyDescent="0.25">
      <c r="A11999">
        <v>11998</v>
      </c>
      <c r="B11999">
        <v>5678636</v>
      </c>
      <c r="C11999" s="1" t="str">
        <f>HYPERLINK("http://stackoverflow.com/users/5678636", "shajun")</f>
        <v>shajun</v>
      </c>
      <c r="D11999" t="s">
        <v>5</v>
      </c>
      <c r="E11999">
        <v>1</v>
      </c>
    </row>
    <row r="12000" spans="1:5" x14ac:dyDescent="0.25">
      <c r="A12000">
        <v>11999</v>
      </c>
      <c r="B12000">
        <v>3895481</v>
      </c>
      <c r="C12000" s="1" t="str">
        <f>HYPERLINK("http://stackoverflow.com/users/3895481", "DreamIR")</f>
        <v>DreamIR</v>
      </c>
      <c r="D12000" t="s">
        <v>5</v>
      </c>
      <c r="E12000">
        <v>1</v>
      </c>
    </row>
    <row r="12001" spans="1:5" x14ac:dyDescent="0.25">
      <c r="A12001">
        <v>12000</v>
      </c>
      <c r="B12001">
        <v>3887172</v>
      </c>
      <c r="C12001" s="1" t="str">
        <f>HYPERLINK("http://stackoverflow.com/users/3887172", "Johnova")</f>
        <v>Johnova</v>
      </c>
      <c r="D12001" t="s">
        <v>4</v>
      </c>
      <c r="E12001">
        <v>1</v>
      </c>
    </row>
    <row r="12002" spans="1:5" x14ac:dyDescent="0.25">
      <c r="A12002">
        <v>12001</v>
      </c>
      <c r="B12002">
        <v>3898546</v>
      </c>
      <c r="C12002" s="1" t="str">
        <f>HYPERLINK("http://stackoverflow.com/users/3898546", "song-buaa")</f>
        <v>song-buaa</v>
      </c>
      <c r="D12002" t="s">
        <v>5</v>
      </c>
      <c r="E12002">
        <v>1</v>
      </c>
    </row>
    <row r="12003" spans="1:5" x14ac:dyDescent="0.25">
      <c r="A12003">
        <v>12002</v>
      </c>
      <c r="B12003">
        <v>3898975</v>
      </c>
      <c r="C12003" s="1" t="str">
        <f>HYPERLINK("http://stackoverflow.com/users/3898975", "vincent4j")</f>
        <v>vincent4j</v>
      </c>
      <c r="D12003" t="s">
        <v>4</v>
      </c>
      <c r="E12003">
        <v>1</v>
      </c>
    </row>
    <row r="12004" spans="1:5" x14ac:dyDescent="0.25">
      <c r="A12004">
        <v>12003</v>
      </c>
      <c r="B12004">
        <v>5670327</v>
      </c>
      <c r="C12004" s="1" t="str">
        <f>HYPERLINK("http://stackoverflow.com/users/5670327", "Guandong Kou")</f>
        <v>Guandong Kou</v>
      </c>
      <c r="D12004" t="s">
        <v>4</v>
      </c>
      <c r="E12004">
        <v>1</v>
      </c>
    </row>
    <row r="12005" spans="1:5" x14ac:dyDescent="0.25">
      <c r="A12005">
        <v>12004</v>
      </c>
      <c r="B12005">
        <v>7425445</v>
      </c>
      <c r="C12005" s="1" t="str">
        <f>HYPERLINK("http://stackoverflow.com/users/7425445", "Chen Yun")</f>
        <v>Chen Yun</v>
      </c>
      <c r="D12005" t="s">
        <v>52</v>
      </c>
      <c r="E12005">
        <v>1</v>
      </c>
    </row>
    <row r="12006" spans="1:5" x14ac:dyDescent="0.25">
      <c r="A12006">
        <v>12005</v>
      </c>
      <c r="B12006">
        <v>11114151</v>
      </c>
      <c r="C12006" s="1" t="str">
        <f>HYPERLINK("http://stackoverflow.com/users/11114151", "Maa Lee")</f>
        <v>Maa Lee</v>
      </c>
      <c r="D12006" t="s">
        <v>16</v>
      </c>
      <c r="E12006">
        <v>1</v>
      </c>
    </row>
    <row r="12007" spans="1:5" x14ac:dyDescent="0.25">
      <c r="A12007">
        <v>12006</v>
      </c>
      <c r="B12007">
        <v>11114532</v>
      </c>
      <c r="C12007" s="1" t="str">
        <f>HYPERLINK("http://stackoverflow.com/users/11114532", "cz.ycaptain")</f>
        <v>cz.ycaptain</v>
      </c>
      <c r="D12007" t="s">
        <v>5</v>
      </c>
      <c r="E12007">
        <v>1</v>
      </c>
    </row>
    <row r="12008" spans="1:5" x14ac:dyDescent="0.25">
      <c r="A12008">
        <v>12007</v>
      </c>
      <c r="B12008">
        <v>11118033</v>
      </c>
      <c r="C12008" s="1" t="str">
        <f>HYPERLINK("http://stackoverflow.com/users/11118033", "washmouldss")</f>
        <v>washmouldss</v>
      </c>
      <c r="D12008" t="s">
        <v>16</v>
      </c>
      <c r="E12008">
        <v>1</v>
      </c>
    </row>
    <row r="12009" spans="1:5" x14ac:dyDescent="0.25">
      <c r="A12009">
        <v>12008</v>
      </c>
      <c r="B12009">
        <v>9325763</v>
      </c>
      <c r="C12009" s="1" t="str">
        <f>HYPERLINK("http://stackoverflow.com/users/9325763", "Tyler Wells")</f>
        <v>Tyler Wells</v>
      </c>
      <c r="D12009" t="s">
        <v>4</v>
      </c>
      <c r="E12009">
        <v>1</v>
      </c>
    </row>
    <row r="12010" spans="1:5" x14ac:dyDescent="0.25">
      <c r="A12010">
        <v>12009</v>
      </c>
      <c r="B12010">
        <v>9325796</v>
      </c>
      <c r="C12010" s="1" t="str">
        <f>HYPERLINK("http://stackoverflow.com/users/9325796", "Jie Lu")</f>
        <v>Jie Lu</v>
      </c>
      <c r="D12010" t="s">
        <v>4</v>
      </c>
      <c r="E12010">
        <v>1</v>
      </c>
    </row>
    <row r="12011" spans="1:5" x14ac:dyDescent="0.25">
      <c r="A12011">
        <v>12010</v>
      </c>
      <c r="B12011">
        <v>5674388</v>
      </c>
      <c r="C12011" s="1" t="str">
        <f>HYPERLINK("http://stackoverflow.com/users/5674388", "Abner Wang")</f>
        <v>Abner Wang</v>
      </c>
      <c r="D12011" t="s">
        <v>118</v>
      </c>
      <c r="E12011">
        <v>1</v>
      </c>
    </row>
    <row r="12012" spans="1:5" x14ac:dyDescent="0.25">
      <c r="A12012">
        <v>12011</v>
      </c>
      <c r="B12012">
        <v>11118662</v>
      </c>
      <c r="C12012" s="1" t="str">
        <f>HYPERLINK("http://stackoverflow.com/users/11118662", "Amamiya Yuuka")</f>
        <v>Amamiya Yuuka</v>
      </c>
      <c r="D12012" t="s">
        <v>338</v>
      </c>
      <c r="E12012">
        <v>1</v>
      </c>
    </row>
    <row r="12013" spans="1:5" x14ac:dyDescent="0.25">
      <c r="A12013">
        <v>12012</v>
      </c>
      <c r="B12013">
        <v>11118757</v>
      </c>
      <c r="C12013" s="1" t="str">
        <f>HYPERLINK("http://stackoverflow.com/users/11118757", "LoveCoding")</f>
        <v>LoveCoding</v>
      </c>
      <c r="D12013" t="s">
        <v>320</v>
      </c>
      <c r="E12013">
        <v>1</v>
      </c>
    </row>
    <row r="12014" spans="1:5" x14ac:dyDescent="0.25">
      <c r="A12014">
        <v>12013</v>
      </c>
      <c r="B12014">
        <v>11122618</v>
      </c>
      <c r="C12014" s="1" t="str">
        <f>HYPERLINK("http://stackoverflow.com/users/11122618", "Lu Sun")</f>
        <v>Lu Sun</v>
      </c>
      <c r="D12014" t="s">
        <v>647</v>
      </c>
      <c r="E12014">
        <v>1</v>
      </c>
    </row>
    <row r="12015" spans="1:5" x14ac:dyDescent="0.25">
      <c r="A12015">
        <v>12014</v>
      </c>
      <c r="B12015">
        <v>3875646</v>
      </c>
      <c r="C12015" s="1" t="str">
        <f>HYPERLINK("http://stackoverflow.com/users/3875646", "Shoshe")</f>
        <v>Shoshe</v>
      </c>
      <c r="D12015" t="s">
        <v>5</v>
      </c>
      <c r="E12015">
        <v>1</v>
      </c>
    </row>
    <row r="12016" spans="1:5" x14ac:dyDescent="0.25">
      <c r="A12016">
        <v>12015</v>
      </c>
      <c r="B12016">
        <v>3875820</v>
      </c>
      <c r="C12016" s="1" t="str">
        <f>HYPERLINK("http://stackoverflow.com/users/3875820", "Saoocjo")</f>
        <v>Saoocjo</v>
      </c>
      <c r="D12016" t="s">
        <v>35</v>
      </c>
      <c r="E12016">
        <v>1</v>
      </c>
    </row>
    <row r="12017" spans="1:5" x14ac:dyDescent="0.25">
      <c r="A12017">
        <v>12016</v>
      </c>
      <c r="B12017">
        <v>3875910</v>
      </c>
      <c r="C12017" s="1" t="str">
        <f>HYPERLINK("http://stackoverflow.com/users/3875910", "jinthreek")</f>
        <v>jinthreek</v>
      </c>
      <c r="D12017" t="s">
        <v>320</v>
      </c>
      <c r="E12017">
        <v>1</v>
      </c>
    </row>
    <row r="12018" spans="1:5" x14ac:dyDescent="0.25">
      <c r="A12018">
        <v>12017</v>
      </c>
      <c r="B12018">
        <v>9309322</v>
      </c>
      <c r="C12018" s="1" t="str">
        <f>HYPERLINK("http://stackoverflow.com/users/9309322", "YIminG")</f>
        <v>YIminG</v>
      </c>
      <c r="D12018" t="s">
        <v>43</v>
      </c>
      <c r="E12018">
        <v>1</v>
      </c>
    </row>
    <row r="12019" spans="1:5" x14ac:dyDescent="0.25">
      <c r="A12019">
        <v>12018</v>
      </c>
      <c r="B12019">
        <v>11102347</v>
      </c>
      <c r="C12019" s="1" t="str">
        <f>HYPERLINK("http://stackoverflow.com/users/11102347", "9c9a")</f>
        <v>9c9a</v>
      </c>
      <c r="D12019" t="s">
        <v>5</v>
      </c>
      <c r="E12019">
        <v>1</v>
      </c>
    </row>
    <row r="12020" spans="1:5" x14ac:dyDescent="0.25">
      <c r="A12020">
        <v>12019</v>
      </c>
      <c r="B12020">
        <v>5659614</v>
      </c>
      <c r="C12020" s="1" t="str">
        <f>HYPERLINK("http://stackoverflow.com/users/5659614", "dewafer")</f>
        <v>dewafer</v>
      </c>
      <c r="D12020" t="s">
        <v>4</v>
      </c>
      <c r="E12020">
        <v>1</v>
      </c>
    </row>
    <row r="12021" spans="1:5" x14ac:dyDescent="0.25">
      <c r="A12021">
        <v>12020</v>
      </c>
      <c r="B12021">
        <v>5660303</v>
      </c>
      <c r="C12021" s="1" t="str">
        <f>HYPERLINK("http://stackoverflow.com/users/5660303", "Annette Chao")</f>
        <v>Annette Chao</v>
      </c>
      <c r="D12021" t="s">
        <v>5</v>
      </c>
      <c r="E12021">
        <v>1</v>
      </c>
    </row>
    <row r="12022" spans="1:5" x14ac:dyDescent="0.25">
      <c r="A12022">
        <v>12021</v>
      </c>
      <c r="B12022">
        <v>9312264</v>
      </c>
      <c r="C12022" s="1" t="str">
        <f>HYPERLINK("http://stackoverflow.com/users/9312264", "Renjie Qian")</f>
        <v>Renjie Qian</v>
      </c>
      <c r="D12022" t="s">
        <v>4</v>
      </c>
      <c r="E12022">
        <v>1</v>
      </c>
    </row>
    <row r="12023" spans="1:5" x14ac:dyDescent="0.25">
      <c r="A12023">
        <v>12022</v>
      </c>
      <c r="B12023">
        <v>9312646</v>
      </c>
      <c r="C12023" s="1" t="str">
        <f>HYPERLINK("http://stackoverflow.com/users/9312646", "Huang Xiaohai")</f>
        <v>Huang Xiaohai</v>
      </c>
      <c r="D12023" t="s">
        <v>5</v>
      </c>
      <c r="E12023">
        <v>1</v>
      </c>
    </row>
    <row r="12024" spans="1:5" x14ac:dyDescent="0.25">
      <c r="A12024">
        <v>12023</v>
      </c>
      <c r="B12024">
        <v>9312661</v>
      </c>
      <c r="C12024" s="1" t="str">
        <f>HYPERLINK("http://stackoverflow.com/users/9312661", "Yr. Wu")</f>
        <v>Yr. Wu</v>
      </c>
      <c r="D12024" t="s">
        <v>4</v>
      </c>
      <c r="E12024">
        <v>1</v>
      </c>
    </row>
    <row r="12025" spans="1:5" x14ac:dyDescent="0.25">
      <c r="A12025">
        <v>12024</v>
      </c>
      <c r="B12025">
        <v>9312848</v>
      </c>
      <c r="C12025" s="1" t="str">
        <f>HYPERLINK("http://stackoverflow.com/users/9312848", "Xiaonan Cui")</f>
        <v>Xiaonan Cui</v>
      </c>
      <c r="D12025" t="s">
        <v>131</v>
      </c>
      <c r="E12025">
        <v>1</v>
      </c>
    </row>
    <row r="12026" spans="1:5" x14ac:dyDescent="0.25">
      <c r="A12026">
        <v>12025</v>
      </c>
      <c r="B12026">
        <v>9312912</v>
      </c>
      <c r="C12026" s="1" t="str">
        <f>HYPERLINK("http://stackoverflow.com/users/9312912", "Hider Wang")</f>
        <v>Hider Wang</v>
      </c>
      <c r="D12026" t="s">
        <v>32</v>
      </c>
      <c r="E12026">
        <v>1</v>
      </c>
    </row>
    <row r="12027" spans="1:5" x14ac:dyDescent="0.25">
      <c r="A12027">
        <v>12026</v>
      </c>
      <c r="B12027">
        <v>7417452</v>
      </c>
      <c r="C12027" s="1" t="str">
        <f>HYPERLINK("http://stackoverflow.com/users/7417452", "KazukiAmakawa")</f>
        <v>KazukiAmakawa</v>
      </c>
      <c r="D12027" t="s">
        <v>5</v>
      </c>
      <c r="E12027">
        <v>1</v>
      </c>
    </row>
    <row r="12028" spans="1:5" x14ac:dyDescent="0.25">
      <c r="A12028">
        <v>12027</v>
      </c>
      <c r="B12028">
        <v>7417502</v>
      </c>
      <c r="C12028" s="1" t="str">
        <f>HYPERLINK("http://stackoverflow.com/users/7417502", "xingkong")</f>
        <v>xingkong</v>
      </c>
      <c r="D12028" t="s">
        <v>648</v>
      </c>
      <c r="E12028">
        <v>1</v>
      </c>
    </row>
    <row r="12029" spans="1:5" x14ac:dyDescent="0.25">
      <c r="A12029">
        <v>12028</v>
      </c>
      <c r="B12029">
        <v>7417608</v>
      </c>
      <c r="C12029" s="1" t="str">
        <f>HYPERLINK("http://stackoverflow.com/users/7417608", "GavinYoung 91")</f>
        <v>GavinYoung 91</v>
      </c>
      <c r="D12029" t="s">
        <v>649</v>
      </c>
      <c r="E12029">
        <v>1</v>
      </c>
    </row>
    <row r="12030" spans="1:5" x14ac:dyDescent="0.25">
      <c r="A12030">
        <v>12029</v>
      </c>
      <c r="B12030">
        <v>7417887</v>
      </c>
      <c r="C12030" s="1" t="str">
        <f>HYPERLINK("http://stackoverflow.com/users/7417887", "Maher_akkadian")</f>
        <v>Maher_akkadian</v>
      </c>
      <c r="D12030" t="s">
        <v>25</v>
      </c>
      <c r="E12030">
        <v>1</v>
      </c>
    </row>
    <row r="12031" spans="1:5" x14ac:dyDescent="0.25">
      <c r="A12031">
        <v>12030</v>
      </c>
      <c r="B12031">
        <v>7418004</v>
      </c>
      <c r="C12031" s="1" t="str">
        <f>HYPERLINK("http://stackoverflow.com/users/7418004", "c.xinyao")</f>
        <v>c.xinyao</v>
      </c>
      <c r="D12031" t="s">
        <v>5</v>
      </c>
      <c r="E12031">
        <v>1</v>
      </c>
    </row>
    <row r="12032" spans="1:5" x14ac:dyDescent="0.25">
      <c r="A12032">
        <v>12031</v>
      </c>
      <c r="B12032">
        <v>9304444</v>
      </c>
      <c r="C12032" s="1" t="str">
        <f>HYPERLINK("http://stackoverflow.com/users/9304444", "user9304444")</f>
        <v>user9304444</v>
      </c>
      <c r="D12032" t="s">
        <v>28</v>
      </c>
      <c r="E12032">
        <v>1</v>
      </c>
    </row>
    <row r="12033" spans="1:5" x14ac:dyDescent="0.25">
      <c r="A12033">
        <v>12032</v>
      </c>
      <c r="B12033">
        <v>2101794</v>
      </c>
      <c r="C12033" s="1" t="str">
        <f>HYPERLINK("http://stackoverflow.com/users/2101794", "formatcc")</f>
        <v>formatcc</v>
      </c>
      <c r="D12033" t="s">
        <v>22</v>
      </c>
      <c r="E12033">
        <v>1</v>
      </c>
    </row>
    <row r="12034" spans="1:5" x14ac:dyDescent="0.25">
      <c r="A12034">
        <v>12033</v>
      </c>
      <c r="B12034">
        <v>7404164</v>
      </c>
      <c r="C12034" s="1" t="str">
        <f>HYPERLINK("http://stackoverflow.com/users/7404164", "Wong Alan")</f>
        <v>Wong Alan</v>
      </c>
      <c r="D12034" t="s">
        <v>28</v>
      </c>
      <c r="E12034">
        <v>1</v>
      </c>
    </row>
    <row r="12035" spans="1:5" x14ac:dyDescent="0.25">
      <c r="A12035">
        <v>12034</v>
      </c>
      <c r="B12035">
        <v>7406037</v>
      </c>
      <c r="C12035" s="1" t="str">
        <f>HYPERLINK("http://stackoverflow.com/users/7406037", "万强张")</f>
        <v>万强张</v>
      </c>
      <c r="D12035" t="s">
        <v>131</v>
      </c>
      <c r="E12035">
        <v>1</v>
      </c>
    </row>
    <row r="12036" spans="1:5" x14ac:dyDescent="0.25">
      <c r="A12036">
        <v>12035</v>
      </c>
      <c r="B12036">
        <v>3866827</v>
      </c>
      <c r="C12036" s="1" t="str">
        <f>HYPERLINK("http://stackoverflow.com/users/3866827", "generalzhao")</f>
        <v>generalzhao</v>
      </c>
      <c r="D12036" t="s">
        <v>34</v>
      </c>
      <c r="E12036">
        <v>1</v>
      </c>
    </row>
    <row r="12037" spans="1:5" x14ac:dyDescent="0.25">
      <c r="A12037">
        <v>12036</v>
      </c>
      <c r="B12037">
        <v>3866887</v>
      </c>
      <c r="C12037" s="1" t="str">
        <f>HYPERLINK("http://stackoverflow.com/users/3866887", "zecha")</f>
        <v>zecha</v>
      </c>
      <c r="D12037" t="s">
        <v>4</v>
      </c>
      <c r="E12037">
        <v>1</v>
      </c>
    </row>
    <row r="12038" spans="1:5" x14ac:dyDescent="0.25">
      <c r="A12038">
        <v>12037</v>
      </c>
      <c r="B12038">
        <v>2101907</v>
      </c>
      <c r="C12038" s="1" t="str">
        <f>HYPERLINK("http://stackoverflow.com/users/2101907", "刘奇男")</f>
        <v>刘奇男</v>
      </c>
      <c r="D12038" t="s">
        <v>5</v>
      </c>
      <c r="E12038">
        <v>1</v>
      </c>
    </row>
    <row r="12039" spans="1:5" x14ac:dyDescent="0.25">
      <c r="A12039">
        <v>12038</v>
      </c>
      <c r="B12039">
        <v>2102110</v>
      </c>
      <c r="C12039" s="1" t="str">
        <f>HYPERLINK("http://stackoverflow.com/users/2102110", "Ruby Tao")</f>
        <v>Ruby Tao</v>
      </c>
      <c r="D12039" t="s">
        <v>4</v>
      </c>
      <c r="E12039">
        <v>1</v>
      </c>
    </row>
    <row r="12040" spans="1:5" x14ac:dyDescent="0.25">
      <c r="A12040">
        <v>12039</v>
      </c>
      <c r="B12040">
        <v>2102197</v>
      </c>
      <c r="C12040" s="1" t="str">
        <f>HYPERLINK("http://stackoverflow.com/users/2102197", "ArexChow")</f>
        <v>ArexChow</v>
      </c>
      <c r="D12040" t="s">
        <v>21</v>
      </c>
      <c r="E12040">
        <v>1</v>
      </c>
    </row>
    <row r="12041" spans="1:5" x14ac:dyDescent="0.25">
      <c r="A12041">
        <v>12040</v>
      </c>
      <c r="B12041">
        <v>2102341</v>
      </c>
      <c r="C12041" s="1" t="str">
        <f>HYPERLINK("http://stackoverflow.com/users/2102341", "jasonllinux")</f>
        <v>jasonllinux</v>
      </c>
      <c r="D12041" t="s">
        <v>37</v>
      </c>
      <c r="E12041">
        <v>1</v>
      </c>
    </row>
    <row r="12042" spans="1:5" x14ac:dyDescent="0.25">
      <c r="A12042">
        <v>12041</v>
      </c>
      <c r="B12042">
        <v>7409994</v>
      </c>
      <c r="C12042" s="1" t="str">
        <f>HYPERLINK("http://stackoverflow.com/users/7409994", "kingiw")</f>
        <v>kingiw</v>
      </c>
      <c r="D12042" t="s">
        <v>25</v>
      </c>
      <c r="E12042">
        <v>1</v>
      </c>
    </row>
    <row r="12043" spans="1:5" x14ac:dyDescent="0.25">
      <c r="A12043">
        <v>12042</v>
      </c>
      <c r="B12043">
        <v>5654737</v>
      </c>
      <c r="C12043" s="1" t="str">
        <f>HYPERLINK("http://stackoverflow.com/users/5654737", "Aox.CL")</f>
        <v>Aox.CL</v>
      </c>
      <c r="D12043" t="s">
        <v>5</v>
      </c>
      <c r="E12043">
        <v>1</v>
      </c>
    </row>
    <row r="12044" spans="1:5" x14ac:dyDescent="0.25">
      <c r="A12044">
        <v>12043</v>
      </c>
      <c r="B12044">
        <v>5655333</v>
      </c>
      <c r="C12044" s="1" t="str">
        <f>HYPERLINK("http://stackoverflow.com/users/5655333", "ITSheng")</f>
        <v>ITSheng</v>
      </c>
      <c r="D12044" t="s">
        <v>650</v>
      </c>
      <c r="E12044">
        <v>1</v>
      </c>
    </row>
    <row r="12045" spans="1:5" x14ac:dyDescent="0.25">
      <c r="A12045">
        <v>12044</v>
      </c>
      <c r="B12045">
        <v>9304127</v>
      </c>
      <c r="C12045" s="1" t="str">
        <f>HYPERLINK("http://stackoverflow.com/users/9304127", "Stee Lin")</f>
        <v>Stee Lin</v>
      </c>
      <c r="D12045" t="s">
        <v>4</v>
      </c>
      <c r="E12045">
        <v>1</v>
      </c>
    </row>
    <row r="12046" spans="1:5" x14ac:dyDescent="0.25">
      <c r="A12046">
        <v>12045</v>
      </c>
      <c r="B12046">
        <v>9304256</v>
      </c>
      <c r="C12046" s="1" t="str">
        <f>HYPERLINK("http://stackoverflow.com/users/9304256", "Gaju")</f>
        <v>Gaju</v>
      </c>
      <c r="D12046" t="s">
        <v>131</v>
      </c>
      <c r="E12046">
        <v>1</v>
      </c>
    </row>
    <row r="12047" spans="1:5" x14ac:dyDescent="0.25">
      <c r="A12047">
        <v>12046</v>
      </c>
      <c r="B12047">
        <v>5624036</v>
      </c>
      <c r="C12047" s="1" t="str">
        <f>HYPERLINK("http://stackoverflow.com/users/5624036", "幸运Science")</f>
        <v>幸运Science</v>
      </c>
      <c r="D12047" t="s">
        <v>5</v>
      </c>
      <c r="E12047">
        <v>1</v>
      </c>
    </row>
    <row r="12048" spans="1:5" x14ac:dyDescent="0.25">
      <c r="A12048">
        <v>12047</v>
      </c>
      <c r="B12048">
        <v>5624385</v>
      </c>
      <c r="C12048" s="1" t="str">
        <f>HYPERLINK("http://stackoverflow.com/users/5624385", "YuanLiang")</f>
        <v>YuanLiang</v>
      </c>
      <c r="D12048" t="s">
        <v>5</v>
      </c>
      <c r="E12048">
        <v>1</v>
      </c>
    </row>
    <row r="12049" spans="1:5" x14ac:dyDescent="0.25">
      <c r="A12049">
        <v>12048</v>
      </c>
      <c r="B12049">
        <v>5611124</v>
      </c>
      <c r="C12049" s="1" t="str">
        <f>HYPERLINK("http://stackoverflow.com/users/5611124", "Binfeng Zhu")</f>
        <v>Binfeng Zhu</v>
      </c>
      <c r="D12049" t="s">
        <v>12</v>
      </c>
      <c r="E12049">
        <v>1</v>
      </c>
    </row>
    <row r="12050" spans="1:5" x14ac:dyDescent="0.25">
      <c r="A12050">
        <v>12049</v>
      </c>
      <c r="B12050">
        <v>5624473</v>
      </c>
      <c r="C12050" s="1" t="str">
        <f>HYPERLINK("http://stackoverflow.com/users/5624473", "Nspace")</f>
        <v>Nspace</v>
      </c>
      <c r="D12050" t="s">
        <v>651</v>
      </c>
      <c r="E12050">
        <v>1</v>
      </c>
    </row>
    <row r="12051" spans="1:5" x14ac:dyDescent="0.25">
      <c r="A12051">
        <v>12050</v>
      </c>
      <c r="B12051">
        <v>11067085</v>
      </c>
      <c r="C12051" s="1" t="str">
        <f>HYPERLINK("http://stackoverflow.com/users/11067085", "Zhang Rock")</f>
        <v>Zhang Rock</v>
      </c>
      <c r="D12051" t="s">
        <v>7</v>
      </c>
      <c r="E12051">
        <v>1</v>
      </c>
    </row>
    <row r="12052" spans="1:5" x14ac:dyDescent="0.25">
      <c r="A12052">
        <v>12051</v>
      </c>
      <c r="B12052">
        <v>11067129</v>
      </c>
      <c r="C12052" s="1" t="str">
        <f>HYPERLINK("http://stackoverflow.com/users/11067129", "Edward Chen")</f>
        <v>Edward Chen</v>
      </c>
      <c r="D12052" t="s">
        <v>11</v>
      </c>
      <c r="E12052">
        <v>1</v>
      </c>
    </row>
    <row r="12053" spans="1:5" x14ac:dyDescent="0.25">
      <c r="A12053">
        <v>12052</v>
      </c>
      <c r="B12053">
        <v>5634020</v>
      </c>
      <c r="C12053" s="1" t="str">
        <f>HYPERLINK("http://stackoverflow.com/users/5634020", "Sui Xudong")</f>
        <v>Sui Xudong</v>
      </c>
      <c r="D12053" t="s">
        <v>5</v>
      </c>
      <c r="E12053">
        <v>1</v>
      </c>
    </row>
    <row r="12054" spans="1:5" x14ac:dyDescent="0.25">
      <c r="A12054">
        <v>12053</v>
      </c>
      <c r="B12054">
        <v>9272616</v>
      </c>
      <c r="C12054" s="1" t="str">
        <f>HYPERLINK("http://stackoverflow.com/users/9272616", "Hinoon")</f>
        <v>Hinoon</v>
      </c>
      <c r="D12054" t="s">
        <v>5</v>
      </c>
      <c r="E12054">
        <v>1</v>
      </c>
    </row>
    <row r="12055" spans="1:5" x14ac:dyDescent="0.25">
      <c r="A12055">
        <v>12054</v>
      </c>
      <c r="B12055">
        <v>9272846</v>
      </c>
      <c r="C12055" s="1" t="str">
        <f>HYPERLINK("http://stackoverflow.com/users/9272846", "Kai Wang")</f>
        <v>Kai Wang</v>
      </c>
      <c r="D12055" t="s">
        <v>19</v>
      </c>
      <c r="E12055">
        <v>1</v>
      </c>
    </row>
    <row r="12056" spans="1:5" x14ac:dyDescent="0.25">
      <c r="A12056">
        <v>12055</v>
      </c>
      <c r="B12056">
        <v>9273051</v>
      </c>
      <c r="C12056" s="1" t="str">
        <f>HYPERLINK("http://stackoverflow.com/users/9273051", "Kival")</f>
        <v>Kival</v>
      </c>
      <c r="D12056" t="s">
        <v>17</v>
      </c>
      <c r="E12056">
        <v>1</v>
      </c>
    </row>
    <row r="12057" spans="1:5" x14ac:dyDescent="0.25">
      <c r="A12057">
        <v>12056</v>
      </c>
      <c r="B12057">
        <v>7382954</v>
      </c>
      <c r="C12057" s="1" t="str">
        <f>HYPERLINK("http://stackoverflow.com/users/7382954", "Robert Yao")</f>
        <v>Robert Yao</v>
      </c>
      <c r="D12057" t="s">
        <v>562</v>
      </c>
      <c r="E12057">
        <v>1</v>
      </c>
    </row>
    <row r="12058" spans="1:5" x14ac:dyDescent="0.25">
      <c r="A12058">
        <v>12057</v>
      </c>
      <c r="B12058">
        <v>7386808</v>
      </c>
      <c r="C12058" s="1" t="str">
        <f>HYPERLINK("http://stackoverflow.com/users/7386808", "Jirair He")</f>
        <v>Jirair He</v>
      </c>
      <c r="D12058" t="s">
        <v>184</v>
      </c>
      <c r="E12058">
        <v>1</v>
      </c>
    </row>
    <row r="12059" spans="1:5" x14ac:dyDescent="0.25">
      <c r="A12059">
        <v>12058</v>
      </c>
      <c r="B12059">
        <v>7386853</v>
      </c>
      <c r="C12059" s="1" t="str">
        <f>HYPERLINK("http://stackoverflow.com/users/7386853", "yang liu")</f>
        <v>yang liu</v>
      </c>
      <c r="D12059" t="s">
        <v>19</v>
      </c>
      <c r="E12059">
        <v>1</v>
      </c>
    </row>
    <row r="12060" spans="1:5" x14ac:dyDescent="0.25">
      <c r="A12060">
        <v>12059</v>
      </c>
      <c r="B12060">
        <v>5634247</v>
      </c>
      <c r="C12060" s="1" t="str">
        <f>HYPERLINK("http://stackoverflow.com/users/5634247", "MangoNiki")</f>
        <v>MangoNiki</v>
      </c>
      <c r="D12060" t="s">
        <v>652</v>
      </c>
      <c r="E12060">
        <v>1</v>
      </c>
    </row>
    <row r="12061" spans="1:5" x14ac:dyDescent="0.25">
      <c r="A12061">
        <v>12060</v>
      </c>
      <c r="B12061">
        <v>5634363</v>
      </c>
      <c r="C12061" s="1" t="str">
        <f>HYPERLINK("http://stackoverflow.com/users/5634363", "Kevin")</f>
        <v>Kevin</v>
      </c>
      <c r="D12061" t="s">
        <v>5</v>
      </c>
      <c r="E12061">
        <v>1</v>
      </c>
    </row>
    <row r="12062" spans="1:5" x14ac:dyDescent="0.25">
      <c r="A12062">
        <v>12061</v>
      </c>
      <c r="B12062">
        <v>5634393</v>
      </c>
      <c r="C12062" s="1" t="str">
        <f>HYPERLINK("http://stackoverflow.com/users/5634393", "ZhouQunying")</f>
        <v>ZhouQunying</v>
      </c>
      <c r="D12062" t="s">
        <v>5</v>
      </c>
      <c r="E12062">
        <v>1</v>
      </c>
    </row>
    <row r="12063" spans="1:5" x14ac:dyDescent="0.25">
      <c r="A12063">
        <v>12062</v>
      </c>
      <c r="B12063">
        <v>3850329</v>
      </c>
      <c r="C12063" s="1" t="str">
        <f>HYPERLINK("http://stackoverflow.com/users/3850329", "Autonomous_Truck")</f>
        <v>Autonomous_Truck</v>
      </c>
      <c r="D12063" t="s">
        <v>653</v>
      </c>
      <c r="E12063">
        <v>1</v>
      </c>
    </row>
    <row r="12064" spans="1:5" x14ac:dyDescent="0.25">
      <c r="A12064">
        <v>12063</v>
      </c>
      <c r="B12064">
        <v>7389960</v>
      </c>
      <c r="C12064" s="1" t="str">
        <f>HYPERLINK("http://stackoverflow.com/users/7389960", "Huang Fei")</f>
        <v>Huang Fei</v>
      </c>
      <c r="D12064" t="s">
        <v>5</v>
      </c>
      <c r="E12064">
        <v>1</v>
      </c>
    </row>
    <row r="12065" spans="1:5" x14ac:dyDescent="0.25">
      <c r="A12065">
        <v>12064</v>
      </c>
      <c r="B12065">
        <v>7392751</v>
      </c>
      <c r="C12065" s="1" t="str">
        <f>HYPERLINK("http://stackoverflow.com/users/7392751", "Wu YiYong")</f>
        <v>Wu YiYong</v>
      </c>
      <c r="D12065" t="s">
        <v>33</v>
      </c>
      <c r="E12065">
        <v>1</v>
      </c>
    </row>
    <row r="12066" spans="1:5" x14ac:dyDescent="0.25">
      <c r="A12066">
        <v>12065</v>
      </c>
      <c r="B12066">
        <v>7392863</v>
      </c>
      <c r="C12066" s="1" t="str">
        <f>HYPERLINK("http://stackoverflow.com/users/7392863", "hui shao")</f>
        <v>hui shao</v>
      </c>
      <c r="D12066" t="s">
        <v>4</v>
      </c>
      <c r="E12066">
        <v>1</v>
      </c>
    </row>
    <row r="12067" spans="1:5" x14ac:dyDescent="0.25">
      <c r="A12067">
        <v>12066</v>
      </c>
      <c r="B12067">
        <v>7393058</v>
      </c>
      <c r="C12067" s="1" t="str">
        <f>HYPERLINK("http://stackoverflow.com/users/7393058", "陈先敏")</f>
        <v>陈先敏</v>
      </c>
      <c r="D12067" t="s">
        <v>96</v>
      </c>
      <c r="E12067">
        <v>1</v>
      </c>
    </row>
    <row r="12068" spans="1:5" x14ac:dyDescent="0.25">
      <c r="A12068">
        <v>12067</v>
      </c>
      <c r="B12068">
        <v>7393265</v>
      </c>
      <c r="C12068" s="1" t="str">
        <f>HYPERLINK("http://stackoverflow.com/users/7393265", "Vic Theme")</f>
        <v>Vic Theme</v>
      </c>
      <c r="D12068" t="s">
        <v>4</v>
      </c>
      <c r="E12068">
        <v>1</v>
      </c>
    </row>
    <row r="12069" spans="1:5" x14ac:dyDescent="0.25">
      <c r="A12069">
        <v>12068</v>
      </c>
      <c r="B12069">
        <v>11078810</v>
      </c>
      <c r="C12069" s="1" t="str">
        <f>HYPERLINK("http://stackoverflow.com/users/11078810", "Lai")</f>
        <v>Lai</v>
      </c>
      <c r="D12069" t="s">
        <v>33</v>
      </c>
      <c r="E12069">
        <v>1</v>
      </c>
    </row>
    <row r="12070" spans="1:5" x14ac:dyDescent="0.25">
      <c r="A12070">
        <v>12069</v>
      </c>
      <c r="B12070">
        <v>9285280</v>
      </c>
      <c r="C12070" s="1" t="str">
        <f>HYPERLINK("http://stackoverflow.com/users/9285280", "Aelo Yq")</f>
        <v>Aelo Yq</v>
      </c>
      <c r="D12070" t="s">
        <v>4</v>
      </c>
      <c r="E12070">
        <v>1</v>
      </c>
    </row>
    <row r="12071" spans="1:5" x14ac:dyDescent="0.25">
      <c r="A12071">
        <v>12070</v>
      </c>
      <c r="B12071">
        <v>11082248</v>
      </c>
      <c r="C12071" s="1" t="str">
        <f>HYPERLINK("http://stackoverflow.com/users/11082248", "atextrustionblowmolds")</f>
        <v>atextrustionblowmolds</v>
      </c>
      <c r="D12071" t="s">
        <v>654</v>
      </c>
      <c r="E12071">
        <v>1</v>
      </c>
    </row>
    <row r="12072" spans="1:5" x14ac:dyDescent="0.25">
      <c r="A12072">
        <v>12071</v>
      </c>
      <c r="B12072">
        <v>11082575</v>
      </c>
      <c r="C12072" s="1" t="str">
        <f>HYPERLINK("http://stackoverflow.com/users/11082575", "Zhengyang Tong")</f>
        <v>Zhengyang Tong</v>
      </c>
      <c r="D12072" t="s">
        <v>5</v>
      </c>
      <c r="E12072">
        <v>1</v>
      </c>
    </row>
    <row r="12073" spans="1:5" x14ac:dyDescent="0.25">
      <c r="A12073">
        <v>12072</v>
      </c>
      <c r="B12073">
        <v>9288487</v>
      </c>
      <c r="C12073" s="1" t="str">
        <f>HYPERLINK("http://stackoverflow.com/users/9288487", "Lin")</f>
        <v>Lin</v>
      </c>
      <c r="D12073" t="s">
        <v>655</v>
      </c>
      <c r="E12073">
        <v>1</v>
      </c>
    </row>
    <row r="12074" spans="1:5" x14ac:dyDescent="0.25">
      <c r="A12074">
        <v>12073</v>
      </c>
      <c r="B12074">
        <v>9289134</v>
      </c>
      <c r="C12074" s="1" t="str">
        <f>HYPERLINK("http://stackoverflow.com/users/9289134", "ogre up")</f>
        <v>ogre up</v>
      </c>
      <c r="D12074" t="s">
        <v>255</v>
      </c>
      <c r="E12074">
        <v>1</v>
      </c>
    </row>
    <row r="12075" spans="1:5" x14ac:dyDescent="0.25">
      <c r="A12075">
        <v>12074</v>
      </c>
      <c r="B12075">
        <v>7397062</v>
      </c>
      <c r="C12075" s="1" t="str">
        <f>HYPERLINK("http://stackoverflow.com/users/7397062", "Hong Hui Xiao")</f>
        <v>Hong Hui Xiao</v>
      </c>
      <c r="D12075" t="s">
        <v>5</v>
      </c>
      <c r="E12075">
        <v>1</v>
      </c>
    </row>
    <row r="12076" spans="1:5" x14ac:dyDescent="0.25">
      <c r="A12076">
        <v>12075</v>
      </c>
      <c r="B12076">
        <v>3857386</v>
      </c>
      <c r="C12076" s="1" t="str">
        <f>HYPERLINK("http://stackoverflow.com/users/3857386", "imisslovelove")</f>
        <v>imisslovelove</v>
      </c>
      <c r="D12076" t="s">
        <v>12</v>
      </c>
      <c r="E12076">
        <v>1</v>
      </c>
    </row>
    <row r="12077" spans="1:5" x14ac:dyDescent="0.25">
      <c r="A12077">
        <v>12076</v>
      </c>
      <c r="B12077">
        <v>9293606</v>
      </c>
      <c r="C12077" s="1" t="str">
        <f>HYPERLINK("http://stackoverflow.com/users/9293606", "Jimmy Lu")</f>
        <v>Jimmy Lu</v>
      </c>
      <c r="D12077" t="s">
        <v>316</v>
      </c>
      <c r="E12077">
        <v>1</v>
      </c>
    </row>
    <row r="12078" spans="1:5" x14ac:dyDescent="0.25">
      <c r="A12078">
        <v>12077</v>
      </c>
      <c r="B12078">
        <v>9294309</v>
      </c>
      <c r="C12078" s="1" t="str">
        <f>HYPERLINK("http://stackoverflow.com/users/9294309", "Marvin")</f>
        <v>Marvin</v>
      </c>
      <c r="D12078" t="s">
        <v>4</v>
      </c>
      <c r="E12078">
        <v>1</v>
      </c>
    </row>
    <row r="12079" spans="1:5" x14ac:dyDescent="0.25">
      <c r="A12079">
        <v>12078</v>
      </c>
      <c r="B12079">
        <v>7400729</v>
      </c>
      <c r="C12079" s="1" t="str">
        <f>HYPERLINK("http://stackoverflow.com/users/7400729", "Javen")</f>
        <v>Javen</v>
      </c>
      <c r="D12079" t="s">
        <v>4</v>
      </c>
      <c r="E12079">
        <v>1</v>
      </c>
    </row>
    <row r="12080" spans="1:5" x14ac:dyDescent="0.25">
      <c r="A12080">
        <v>12079</v>
      </c>
      <c r="B12080">
        <v>9297682</v>
      </c>
      <c r="C12080" s="1" t="str">
        <f>HYPERLINK("http://stackoverflow.com/users/9297682", "Jing Xu")</f>
        <v>Jing Xu</v>
      </c>
      <c r="D12080" t="s">
        <v>131</v>
      </c>
      <c r="E12080">
        <v>1</v>
      </c>
    </row>
    <row r="12081" spans="1:5" x14ac:dyDescent="0.25">
      <c r="A12081">
        <v>12080</v>
      </c>
      <c r="B12081">
        <v>11091176</v>
      </c>
      <c r="C12081" s="1" t="str">
        <f>HYPERLINK("http://stackoverflow.com/users/11091176", "Chiuhum")</f>
        <v>Chiuhum</v>
      </c>
      <c r="D12081" t="s">
        <v>656</v>
      </c>
      <c r="E12081">
        <v>1</v>
      </c>
    </row>
    <row r="12082" spans="1:5" x14ac:dyDescent="0.25">
      <c r="A12082">
        <v>12081</v>
      </c>
      <c r="B12082">
        <v>5649006</v>
      </c>
      <c r="C12082" s="1" t="str">
        <f>HYPERLINK("http://stackoverflow.com/users/5649006", "FrankyGoblin")</f>
        <v>FrankyGoblin</v>
      </c>
      <c r="D12082" t="s">
        <v>5</v>
      </c>
      <c r="E12082">
        <v>1</v>
      </c>
    </row>
    <row r="12083" spans="1:5" x14ac:dyDescent="0.25">
      <c r="A12083">
        <v>12082</v>
      </c>
      <c r="B12083">
        <v>5623607</v>
      </c>
      <c r="C12083" s="1" t="str">
        <f>HYPERLINK("http://stackoverflow.com/users/5623607", "songyuncen")</f>
        <v>songyuncen</v>
      </c>
      <c r="D12083" t="s">
        <v>22</v>
      </c>
      <c r="E12083">
        <v>1</v>
      </c>
    </row>
    <row r="12084" spans="1:5" x14ac:dyDescent="0.25">
      <c r="A12084">
        <v>12083</v>
      </c>
      <c r="B12084">
        <v>5623623</v>
      </c>
      <c r="C12084" s="1" t="str">
        <f>HYPERLINK("http://stackoverflow.com/users/5623623", "Bluzioo")</f>
        <v>Bluzioo</v>
      </c>
      <c r="D12084" t="s">
        <v>21</v>
      </c>
      <c r="E12084">
        <v>1</v>
      </c>
    </row>
    <row r="12085" spans="1:5" x14ac:dyDescent="0.25">
      <c r="A12085">
        <v>12084</v>
      </c>
      <c r="B12085">
        <v>5623751</v>
      </c>
      <c r="C12085" s="1" t="str">
        <f>HYPERLINK("http://stackoverflow.com/users/5623751", "termonitor")</f>
        <v>termonitor</v>
      </c>
      <c r="D12085" t="s">
        <v>31</v>
      </c>
      <c r="E12085">
        <v>1</v>
      </c>
    </row>
    <row r="12086" spans="1:5" x14ac:dyDescent="0.25">
      <c r="A12086">
        <v>12085</v>
      </c>
      <c r="B12086">
        <v>5623796</v>
      </c>
      <c r="C12086" s="1" t="str">
        <f>HYPERLINK("http://stackoverflow.com/users/5623796", "Wan Cheng")</f>
        <v>Wan Cheng</v>
      </c>
      <c r="D12086" t="s">
        <v>16</v>
      </c>
      <c r="E12086">
        <v>1</v>
      </c>
    </row>
    <row r="12087" spans="1:5" x14ac:dyDescent="0.25">
      <c r="A12087">
        <v>12086</v>
      </c>
      <c r="B12087">
        <v>2051994</v>
      </c>
      <c r="C12087" s="1" t="str">
        <f>HYPERLINK("http://stackoverflow.com/users/2051994", "hsxie")</f>
        <v>hsxie</v>
      </c>
      <c r="D12087" t="s">
        <v>12</v>
      </c>
      <c r="E12087">
        <v>1</v>
      </c>
    </row>
    <row r="12088" spans="1:5" x14ac:dyDescent="0.25">
      <c r="A12088">
        <v>12087</v>
      </c>
      <c r="B12088">
        <v>11049775</v>
      </c>
      <c r="C12088" s="1" t="str">
        <f>HYPERLINK("http://stackoverflow.com/users/11049775", "Pu Wang")</f>
        <v>Pu Wang</v>
      </c>
      <c r="D12088" t="s">
        <v>8</v>
      </c>
      <c r="E12088">
        <v>1</v>
      </c>
    </row>
    <row r="12089" spans="1:5" x14ac:dyDescent="0.25">
      <c r="A12089">
        <v>12088</v>
      </c>
      <c r="B12089">
        <v>5615800</v>
      </c>
      <c r="C12089" s="1" t="str">
        <f>HYPERLINK("http://stackoverflow.com/users/5615800", "pritom")</f>
        <v>pritom</v>
      </c>
      <c r="D12089" t="s">
        <v>4</v>
      </c>
      <c r="E12089">
        <v>1</v>
      </c>
    </row>
    <row r="12090" spans="1:5" x14ac:dyDescent="0.25">
      <c r="A12090">
        <v>12089</v>
      </c>
      <c r="B12090">
        <v>11055045</v>
      </c>
      <c r="C12090" s="1" t="str">
        <f>HYPERLINK("http://stackoverflow.com/users/11055045", "eastmade Gotongerz")</f>
        <v>eastmade Gotongerz</v>
      </c>
      <c r="D12090" t="s">
        <v>55</v>
      </c>
      <c r="E12090">
        <v>1</v>
      </c>
    </row>
    <row r="12091" spans="1:5" x14ac:dyDescent="0.25">
      <c r="A12091">
        <v>12090</v>
      </c>
      <c r="B12091">
        <v>5608970</v>
      </c>
      <c r="C12091" s="1" t="str">
        <f>HYPERLINK("http://stackoverflow.com/users/5608970", "Banana")</f>
        <v>Banana</v>
      </c>
      <c r="D12091" t="s">
        <v>6</v>
      </c>
      <c r="E12091">
        <v>1</v>
      </c>
    </row>
    <row r="12092" spans="1:5" x14ac:dyDescent="0.25">
      <c r="A12092">
        <v>12091</v>
      </c>
      <c r="B12092">
        <v>5609214</v>
      </c>
      <c r="C12092" s="1" t="str">
        <f>HYPERLINK("http://stackoverflow.com/users/5609214", "Edwin Hu")</f>
        <v>Edwin Hu</v>
      </c>
      <c r="D12092" t="s">
        <v>131</v>
      </c>
      <c r="E12092">
        <v>1</v>
      </c>
    </row>
    <row r="12093" spans="1:5" x14ac:dyDescent="0.25">
      <c r="A12093">
        <v>12092</v>
      </c>
      <c r="B12093">
        <v>11049007</v>
      </c>
      <c r="C12093" s="1" t="str">
        <f>HYPERLINK("http://stackoverflow.com/users/11049007", "Yat-San Lee")</f>
        <v>Yat-San Lee</v>
      </c>
      <c r="D12093" t="s">
        <v>657</v>
      </c>
      <c r="E12093">
        <v>1</v>
      </c>
    </row>
    <row r="12094" spans="1:5" x14ac:dyDescent="0.25">
      <c r="A12094">
        <v>12093</v>
      </c>
      <c r="B12094">
        <v>11049345</v>
      </c>
      <c r="C12094" s="1" t="str">
        <f>HYPERLINK("http://stackoverflow.com/users/11049345", "eugenexxh")</f>
        <v>eugenexxh</v>
      </c>
      <c r="D12094" t="s">
        <v>280</v>
      </c>
      <c r="E12094">
        <v>1</v>
      </c>
    </row>
    <row r="12095" spans="1:5" x14ac:dyDescent="0.25">
      <c r="A12095">
        <v>12094</v>
      </c>
      <c r="B12095">
        <v>7367872</v>
      </c>
      <c r="C12095" s="1" t="str">
        <f>HYPERLINK("http://stackoverflow.com/users/7367872", "spywo")</f>
        <v>spywo</v>
      </c>
      <c r="D12095" t="s">
        <v>4</v>
      </c>
      <c r="E12095">
        <v>1</v>
      </c>
    </row>
    <row r="12096" spans="1:5" x14ac:dyDescent="0.25">
      <c r="A12096">
        <v>12095</v>
      </c>
      <c r="B12096">
        <v>2042589</v>
      </c>
      <c r="C12096" s="1" t="str">
        <f>HYPERLINK("http://stackoverflow.com/users/2042589", "Fred Zheng")</f>
        <v>Fred Zheng</v>
      </c>
      <c r="D12096" t="s">
        <v>5</v>
      </c>
      <c r="E12096">
        <v>1</v>
      </c>
    </row>
    <row r="12097" spans="1:5" x14ac:dyDescent="0.25">
      <c r="A12097">
        <v>12096</v>
      </c>
      <c r="B12097">
        <v>3816268</v>
      </c>
      <c r="C12097" s="1" t="str">
        <f>HYPERLINK("http://stackoverflow.com/users/3816268", "cyruschen")</f>
        <v>cyruschen</v>
      </c>
      <c r="D12097" t="s">
        <v>17</v>
      </c>
      <c r="E12097">
        <v>1</v>
      </c>
    </row>
    <row r="12098" spans="1:5" x14ac:dyDescent="0.25">
      <c r="A12098">
        <v>12097</v>
      </c>
      <c r="B12098">
        <v>9247638</v>
      </c>
      <c r="C12098" s="1" t="str">
        <f>HYPERLINK("http://stackoverflow.com/users/9247638", "Pters")</f>
        <v>Pters</v>
      </c>
      <c r="D12098" t="s">
        <v>8</v>
      </c>
      <c r="E12098">
        <v>1</v>
      </c>
    </row>
    <row r="12099" spans="1:5" x14ac:dyDescent="0.25">
      <c r="A12099">
        <v>12098</v>
      </c>
      <c r="B12099">
        <v>11037225</v>
      </c>
      <c r="C12099" s="1" t="str">
        <f>HYPERLINK("http://stackoverflow.com/users/11037225", "qingtong08")</f>
        <v>qingtong08</v>
      </c>
      <c r="D12099" t="s">
        <v>5</v>
      </c>
      <c r="E12099">
        <v>1</v>
      </c>
    </row>
    <row r="12100" spans="1:5" x14ac:dyDescent="0.25">
      <c r="A12100">
        <v>12099</v>
      </c>
      <c r="B12100">
        <v>11037353</v>
      </c>
      <c r="C12100" s="1" t="str">
        <f>HYPERLINK("http://stackoverflow.com/users/11037353", "ProgermmerChu")</f>
        <v>ProgermmerChu</v>
      </c>
      <c r="D12100" t="s">
        <v>43</v>
      </c>
      <c r="E12100">
        <v>1</v>
      </c>
    </row>
    <row r="12101" spans="1:5" x14ac:dyDescent="0.25">
      <c r="A12101">
        <v>12100</v>
      </c>
      <c r="B12101">
        <v>9242869</v>
      </c>
      <c r="C12101" s="1" t="str">
        <f>HYPERLINK("http://stackoverflow.com/users/9242869", "J. Nan")</f>
        <v>J. Nan</v>
      </c>
      <c r="D12101" t="s">
        <v>12</v>
      </c>
      <c r="E12101">
        <v>1</v>
      </c>
    </row>
    <row r="12102" spans="1:5" x14ac:dyDescent="0.25">
      <c r="A12102">
        <v>12101</v>
      </c>
      <c r="B12102">
        <v>9242892</v>
      </c>
      <c r="C12102" s="1" t="str">
        <f>HYPERLINK("http://stackoverflow.com/users/9242892", "EdmondHe")</f>
        <v>EdmondHe</v>
      </c>
      <c r="D12102" t="s">
        <v>7</v>
      </c>
      <c r="E12102">
        <v>1</v>
      </c>
    </row>
    <row r="12103" spans="1:5" x14ac:dyDescent="0.25">
      <c r="A12103">
        <v>12102</v>
      </c>
      <c r="B12103">
        <v>9242952</v>
      </c>
      <c r="C12103" s="1" t="str">
        <f>HYPERLINK("http://stackoverflow.com/users/9242952", "qinghao du")</f>
        <v>qinghao du</v>
      </c>
      <c r="D12103" t="s">
        <v>16</v>
      </c>
      <c r="E12103">
        <v>1</v>
      </c>
    </row>
    <row r="12104" spans="1:5" x14ac:dyDescent="0.25">
      <c r="A12104">
        <v>12103</v>
      </c>
      <c r="B12104">
        <v>9242961</v>
      </c>
      <c r="C12104" s="1" t="str">
        <f>HYPERLINK("http://stackoverflow.com/users/9242961", "美坎冯")</f>
        <v>美坎冯</v>
      </c>
      <c r="D12104" t="s">
        <v>52</v>
      </c>
      <c r="E12104">
        <v>1</v>
      </c>
    </row>
    <row r="12105" spans="1:5" x14ac:dyDescent="0.25">
      <c r="A12105">
        <v>12104</v>
      </c>
      <c r="B12105">
        <v>7356686</v>
      </c>
      <c r="C12105" s="1" t="str">
        <f>HYPERLINK("http://stackoverflow.com/users/7356686", "Prince Jose")</f>
        <v>Prince Jose</v>
      </c>
      <c r="D12105" t="s">
        <v>4</v>
      </c>
      <c r="E12105">
        <v>1</v>
      </c>
    </row>
    <row r="12106" spans="1:5" x14ac:dyDescent="0.25">
      <c r="A12106">
        <v>12105</v>
      </c>
      <c r="B12106">
        <v>7356709</v>
      </c>
      <c r="C12106" s="1" t="str">
        <f>HYPERLINK("http://stackoverflow.com/users/7356709", "席海傑")</f>
        <v>席海傑</v>
      </c>
      <c r="D12106" t="s">
        <v>4</v>
      </c>
      <c r="E12106">
        <v>1</v>
      </c>
    </row>
    <row r="12107" spans="1:5" x14ac:dyDescent="0.25">
      <c r="A12107">
        <v>12106</v>
      </c>
      <c r="B12107">
        <v>5535697</v>
      </c>
      <c r="C12107" s="1" t="str">
        <f>HYPERLINK("http://stackoverflow.com/users/5535697", "Allen.bestone")</f>
        <v>Allen.bestone</v>
      </c>
      <c r="D12107" t="s">
        <v>17</v>
      </c>
      <c r="E12107">
        <v>1</v>
      </c>
    </row>
    <row r="12108" spans="1:5" x14ac:dyDescent="0.25">
      <c r="A12108">
        <v>12107</v>
      </c>
      <c r="B12108">
        <v>5536103</v>
      </c>
      <c r="C12108" s="1" t="str">
        <f>HYPERLINK("http://stackoverflow.com/users/5536103", "forgeiron")</f>
        <v>forgeiron</v>
      </c>
      <c r="D12108" t="s">
        <v>37</v>
      </c>
      <c r="E12108">
        <v>1</v>
      </c>
    </row>
    <row r="12109" spans="1:5" x14ac:dyDescent="0.25">
      <c r="A12109">
        <v>12108</v>
      </c>
      <c r="B12109">
        <v>5536187</v>
      </c>
      <c r="C12109" s="1" t="str">
        <f>HYPERLINK("http://stackoverflow.com/users/5536187", "slowdiver")</f>
        <v>slowdiver</v>
      </c>
      <c r="D12109" t="s">
        <v>5</v>
      </c>
      <c r="E12109">
        <v>1</v>
      </c>
    </row>
    <row r="12110" spans="1:5" x14ac:dyDescent="0.25">
      <c r="A12110">
        <v>12109</v>
      </c>
      <c r="B12110">
        <v>9172035</v>
      </c>
      <c r="C12110" s="1" t="str">
        <f>HYPERLINK("http://stackoverflow.com/users/9172035", "Ingram鹏飞 Hu胡")</f>
        <v>Ingram鹏飞 Hu胡</v>
      </c>
      <c r="D12110" t="s">
        <v>52</v>
      </c>
      <c r="E12110">
        <v>1</v>
      </c>
    </row>
    <row r="12111" spans="1:5" x14ac:dyDescent="0.25">
      <c r="A12111">
        <v>12110</v>
      </c>
      <c r="B12111">
        <v>9172063</v>
      </c>
      <c r="C12111" s="1" t="str">
        <f>HYPERLINK("http://stackoverflow.com/users/9172063", "Jianyuan Qi")</f>
        <v>Jianyuan Qi</v>
      </c>
      <c r="D12111" t="s">
        <v>4</v>
      </c>
      <c r="E12111">
        <v>1</v>
      </c>
    </row>
    <row r="12112" spans="1:5" x14ac:dyDescent="0.25">
      <c r="A12112">
        <v>12111</v>
      </c>
      <c r="B12112">
        <v>3743743</v>
      </c>
      <c r="C12112" s="1" t="str">
        <f>HYPERLINK("http://stackoverflow.com/users/3743743", "wancheng")</f>
        <v>wancheng</v>
      </c>
      <c r="D12112" t="s">
        <v>4</v>
      </c>
      <c r="E12112">
        <v>1</v>
      </c>
    </row>
    <row r="12113" spans="1:5" x14ac:dyDescent="0.25">
      <c r="A12113">
        <v>12112</v>
      </c>
      <c r="B12113">
        <v>5538903</v>
      </c>
      <c r="C12113" s="1" t="str">
        <f>HYPERLINK("http://stackoverflow.com/users/5538903", "N Wei")</f>
        <v>N Wei</v>
      </c>
      <c r="D12113" t="s">
        <v>12</v>
      </c>
      <c r="E12113">
        <v>1</v>
      </c>
    </row>
    <row r="12114" spans="1:5" x14ac:dyDescent="0.25">
      <c r="A12114">
        <v>12113</v>
      </c>
      <c r="B12114">
        <v>5539306</v>
      </c>
      <c r="C12114" s="1" t="str">
        <f>HYPERLINK("http://stackoverflow.com/users/5539306", "王时昌")</f>
        <v>王时昌</v>
      </c>
      <c r="D12114" t="s">
        <v>168</v>
      </c>
      <c r="E12114">
        <v>1</v>
      </c>
    </row>
    <row r="12115" spans="1:5" x14ac:dyDescent="0.25">
      <c r="A12115">
        <v>12114</v>
      </c>
      <c r="B12115">
        <v>10966488</v>
      </c>
      <c r="C12115" s="1" t="str">
        <f>HYPERLINK("http://stackoverflow.com/users/10966488", "ruobing xia")</f>
        <v>ruobing xia</v>
      </c>
      <c r="D12115" t="s">
        <v>5</v>
      </c>
      <c r="E12115">
        <v>1</v>
      </c>
    </row>
    <row r="12116" spans="1:5" x14ac:dyDescent="0.25">
      <c r="A12116">
        <v>12115</v>
      </c>
      <c r="B12116">
        <v>9172133</v>
      </c>
      <c r="C12116" s="1" t="str">
        <f>HYPERLINK("http://stackoverflow.com/users/9172133", "Haoxin plastic")</f>
        <v>Haoxin plastic</v>
      </c>
      <c r="D12116" t="s">
        <v>16</v>
      </c>
      <c r="E12116">
        <v>1</v>
      </c>
    </row>
    <row r="12117" spans="1:5" x14ac:dyDescent="0.25">
      <c r="A12117">
        <v>12116</v>
      </c>
      <c r="B12117">
        <v>9172221</v>
      </c>
      <c r="C12117" s="1" t="str">
        <f>HYPERLINK("http://stackoverflow.com/users/9172221", "Christina Wei")</f>
        <v>Christina Wei</v>
      </c>
      <c r="D12117" t="s">
        <v>5</v>
      </c>
      <c r="E12117">
        <v>1</v>
      </c>
    </row>
    <row r="12118" spans="1:5" x14ac:dyDescent="0.25">
      <c r="A12118">
        <v>12117</v>
      </c>
      <c r="B12118">
        <v>9175252</v>
      </c>
      <c r="C12118" s="1" t="str">
        <f>HYPERLINK("http://stackoverflow.com/users/9175252", "Garcon233")</f>
        <v>Garcon233</v>
      </c>
      <c r="D12118" t="s">
        <v>131</v>
      </c>
      <c r="E12118">
        <v>1</v>
      </c>
    </row>
    <row r="12119" spans="1:5" x14ac:dyDescent="0.25">
      <c r="A12119">
        <v>12118</v>
      </c>
      <c r="B12119">
        <v>9175354</v>
      </c>
      <c r="C12119" s="1" t="str">
        <f>HYPERLINK("http://stackoverflow.com/users/9175354", "Dennis Wang")</f>
        <v>Dennis Wang</v>
      </c>
      <c r="D12119" t="s">
        <v>5</v>
      </c>
      <c r="E12119">
        <v>1</v>
      </c>
    </row>
    <row r="12120" spans="1:5" x14ac:dyDescent="0.25">
      <c r="A12120">
        <v>12119</v>
      </c>
      <c r="B12120">
        <v>9175583</v>
      </c>
      <c r="C12120" s="1" t="str">
        <f>HYPERLINK("http://stackoverflow.com/users/9175583", "Amy.X")</f>
        <v>Amy.X</v>
      </c>
      <c r="D12120" t="s">
        <v>4</v>
      </c>
      <c r="E12120">
        <v>1</v>
      </c>
    </row>
    <row r="12121" spans="1:5" x14ac:dyDescent="0.25">
      <c r="A12121">
        <v>12120</v>
      </c>
      <c r="B12121">
        <v>3750876</v>
      </c>
      <c r="C12121" s="1" t="str">
        <f>HYPERLINK("http://stackoverflow.com/users/3750876", "goldenhunter")</f>
        <v>goldenhunter</v>
      </c>
      <c r="D12121" t="s">
        <v>22</v>
      </c>
      <c r="E12121">
        <v>1</v>
      </c>
    </row>
    <row r="12122" spans="1:5" x14ac:dyDescent="0.25">
      <c r="A12122">
        <v>12121</v>
      </c>
      <c r="B12122">
        <v>3751050</v>
      </c>
      <c r="C12122" s="1" t="str">
        <f>HYPERLINK("http://stackoverflow.com/users/3751050", "popo4j")</f>
        <v>popo4j</v>
      </c>
      <c r="D12122" t="s">
        <v>48</v>
      </c>
      <c r="E12122">
        <v>1</v>
      </c>
    </row>
    <row r="12123" spans="1:5" x14ac:dyDescent="0.25">
      <c r="A12123">
        <v>12122</v>
      </c>
      <c r="B12123">
        <v>5544887</v>
      </c>
      <c r="C12123" s="1" t="str">
        <f>HYPERLINK("http://stackoverflow.com/users/5544887", "Clark Yu")</f>
        <v>Clark Yu</v>
      </c>
      <c r="D12123" t="s">
        <v>4</v>
      </c>
      <c r="E12123">
        <v>1</v>
      </c>
    </row>
    <row r="12124" spans="1:5" x14ac:dyDescent="0.25">
      <c r="A12124">
        <v>12123</v>
      </c>
      <c r="B12124">
        <v>5545409</v>
      </c>
      <c r="C12124" s="1" t="str">
        <f>HYPERLINK("http://stackoverflow.com/users/5545409", "BianLe")</f>
        <v>BianLe</v>
      </c>
      <c r="D12124" t="s">
        <v>5</v>
      </c>
      <c r="E12124">
        <v>1</v>
      </c>
    </row>
    <row r="12125" spans="1:5" x14ac:dyDescent="0.25">
      <c r="A12125">
        <v>12124</v>
      </c>
      <c r="B12125">
        <v>10973510</v>
      </c>
      <c r="C12125" s="1" t="str">
        <f>HYPERLINK("http://stackoverflow.com/users/10973510", "aidehuagan")</f>
        <v>aidehuagan</v>
      </c>
      <c r="D12125" t="s">
        <v>13</v>
      </c>
      <c r="E12125">
        <v>1</v>
      </c>
    </row>
    <row r="12126" spans="1:5" x14ac:dyDescent="0.25">
      <c r="A12126">
        <v>12125</v>
      </c>
      <c r="B12126">
        <v>10973557</v>
      </c>
      <c r="C12126" s="1" t="str">
        <f>HYPERLINK("http://stackoverflow.com/users/10973557", "吴俊琦")</f>
        <v>吴俊琦</v>
      </c>
      <c r="D12126" t="s">
        <v>25</v>
      </c>
      <c r="E12126">
        <v>1</v>
      </c>
    </row>
    <row r="12127" spans="1:5" x14ac:dyDescent="0.25">
      <c r="A12127">
        <v>12126</v>
      </c>
      <c r="B12127">
        <v>9183370</v>
      </c>
      <c r="C12127" s="1" t="str">
        <f>HYPERLINK("http://stackoverflow.com/users/9183370", "Guan")</f>
        <v>Guan</v>
      </c>
      <c r="D12127" t="s">
        <v>4</v>
      </c>
      <c r="E12127">
        <v>1</v>
      </c>
    </row>
    <row r="12128" spans="1:5" x14ac:dyDescent="0.25">
      <c r="A12128">
        <v>12127</v>
      </c>
      <c r="B12128">
        <v>5549020</v>
      </c>
      <c r="C12128" s="1" t="str">
        <f>HYPERLINK("http://stackoverflow.com/users/5549020", "PuYart")</f>
        <v>PuYart</v>
      </c>
      <c r="D12128" t="s">
        <v>54</v>
      </c>
      <c r="E12128">
        <v>1</v>
      </c>
    </row>
    <row r="12129" spans="1:5" x14ac:dyDescent="0.25">
      <c r="A12129">
        <v>12128</v>
      </c>
      <c r="B12129">
        <v>5549186</v>
      </c>
      <c r="C12129" s="1" t="str">
        <f>HYPERLINK("http://stackoverflow.com/users/5549186", "bluetu")</f>
        <v>bluetu</v>
      </c>
      <c r="D12129" t="s">
        <v>21</v>
      </c>
      <c r="E12129">
        <v>1</v>
      </c>
    </row>
    <row r="12130" spans="1:5" x14ac:dyDescent="0.25">
      <c r="A12130">
        <v>12129</v>
      </c>
      <c r="B12130">
        <v>7304658</v>
      </c>
      <c r="C12130" s="1" t="str">
        <f>HYPERLINK("http://stackoverflow.com/users/7304658", "xin.wei")</f>
        <v>xin.wei</v>
      </c>
      <c r="D12130" t="s">
        <v>658</v>
      </c>
      <c r="E12130">
        <v>1</v>
      </c>
    </row>
    <row r="12131" spans="1:5" x14ac:dyDescent="0.25">
      <c r="A12131">
        <v>12130</v>
      </c>
      <c r="B12131">
        <v>7304663</v>
      </c>
      <c r="C12131" s="1" t="str">
        <f>HYPERLINK("http://stackoverflow.com/users/7304663", "武江波")</f>
        <v>武江波</v>
      </c>
      <c r="D12131" t="s">
        <v>659</v>
      </c>
      <c r="E12131">
        <v>1</v>
      </c>
    </row>
    <row r="12132" spans="1:5" x14ac:dyDescent="0.25">
      <c r="A12132">
        <v>12131</v>
      </c>
      <c r="B12132">
        <v>7304680</v>
      </c>
      <c r="C12132" s="1" t="str">
        <f>HYPERLINK("http://stackoverflow.com/users/7304680", "Lionel")</f>
        <v>Lionel</v>
      </c>
      <c r="D12132" t="s">
        <v>5</v>
      </c>
      <c r="E12132">
        <v>1</v>
      </c>
    </row>
    <row r="12133" spans="1:5" x14ac:dyDescent="0.25">
      <c r="A12133">
        <v>12132</v>
      </c>
      <c r="B12133">
        <v>7304727</v>
      </c>
      <c r="C12133" s="1" t="str">
        <f>HYPERLINK("http://stackoverflow.com/users/7304727", "Lance")</f>
        <v>Lance</v>
      </c>
      <c r="D12133" t="s">
        <v>5</v>
      </c>
      <c r="E12133">
        <v>1</v>
      </c>
    </row>
    <row r="12134" spans="1:5" x14ac:dyDescent="0.25">
      <c r="A12134">
        <v>12133</v>
      </c>
      <c r="B12134">
        <v>7305059</v>
      </c>
      <c r="C12134" s="1" t="str">
        <f>HYPERLINK("http://stackoverflow.com/users/7305059", "David Yao")</f>
        <v>David Yao</v>
      </c>
      <c r="D12134" t="s">
        <v>5</v>
      </c>
      <c r="E12134">
        <v>1</v>
      </c>
    </row>
    <row r="12135" spans="1:5" x14ac:dyDescent="0.25">
      <c r="A12135">
        <v>12134</v>
      </c>
      <c r="B12135">
        <v>10981991</v>
      </c>
      <c r="C12135" s="1" t="str">
        <f>HYPERLINK("http://stackoverflow.com/users/10981991", "K.George")</f>
        <v>K.George</v>
      </c>
      <c r="D12135" t="s">
        <v>52</v>
      </c>
      <c r="E12135">
        <v>1</v>
      </c>
    </row>
    <row r="12136" spans="1:5" x14ac:dyDescent="0.25">
      <c r="A12136">
        <v>12135</v>
      </c>
      <c r="B12136">
        <v>3764098</v>
      </c>
      <c r="C12136" s="1" t="str">
        <f>HYPERLINK("http://stackoverflow.com/users/3764098", "wubin")</f>
        <v>wubin</v>
      </c>
      <c r="D12136" t="s">
        <v>4</v>
      </c>
      <c r="E12136">
        <v>1</v>
      </c>
    </row>
    <row r="12137" spans="1:5" x14ac:dyDescent="0.25">
      <c r="A12137">
        <v>12136</v>
      </c>
      <c r="B12137">
        <v>3764100</v>
      </c>
      <c r="C12137" s="1" t="str">
        <f>HYPERLINK("http://stackoverflow.com/users/3764100", "Sam Wong")</f>
        <v>Sam Wong</v>
      </c>
      <c r="D12137" t="s">
        <v>17</v>
      </c>
      <c r="E12137">
        <v>1</v>
      </c>
    </row>
    <row r="12138" spans="1:5" x14ac:dyDescent="0.25">
      <c r="A12138">
        <v>12137</v>
      </c>
      <c r="B12138">
        <v>3764115</v>
      </c>
      <c r="C12138" s="1" t="str">
        <f>HYPERLINK("http://stackoverflow.com/users/3764115", "wubin")</f>
        <v>wubin</v>
      </c>
      <c r="D12138" t="s">
        <v>4</v>
      </c>
      <c r="E12138">
        <v>1</v>
      </c>
    </row>
    <row r="12139" spans="1:5" x14ac:dyDescent="0.25">
      <c r="A12139">
        <v>12138</v>
      </c>
      <c r="B12139">
        <v>3764326</v>
      </c>
      <c r="C12139" s="1" t="str">
        <f>HYPERLINK("http://stackoverflow.com/users/3764326", "Workeramo")</f>
        <v>Workeramo</v>
      </c>
      <c r="D12139" t="s">
        <v>37</v>
      </c>
      <c r="E12139">
        <v>1</v>
      </c>
    </row>
    <row r="12140" spans="1:5" x14ac:dyDescent="0.25">
      <c r="A12140">
        <v>12139</v>
      </c>
      <c r="B12140">
        <v>5556713</v>
      </c>
      <c r="C12140" s="1" t="str">
        <f>HYPERLINK("http://stackoverflow.com/users/5556713", "KHUHRO")</f>
        <v>KHUHRO</v>
      </c>
      <c r="D12140" t="s">
        <v>130</v>
      </c>
      <c r="E12140">
        <v>1</v>
      </c>
    </row>
    <row r="12141" spans="1:5" x14ac:dyDescent="0.25">
      <c r="A12141">
        <v>12140</v>
      </c>
      <c r="B12141">
        <v>9196353</v>
      </c>
      <c r="C12141" s="1" t="str">
        <f>HYPERLINK("http://stackoverflow.com/users/9196353", "Wpy")</f>
        <v>Wpy</v>
      </c>
      <c r="D12141" t="s">
        <v>52</v>
      </c>
      <c r="E12141">
        <v>1</v>
      </c>
    </row>
    <row r="12142" spans="1:5" x14ac:dyDescent="0.25">
      <c r="A12142">
        <v>12141</v>
      </c>
      <c r="B12142">
        <v>3767727</v>
      </c>
      <c r="C12142" s="1" t="str">
        <f>HYPERLINK("http://stackoverflow.com/users/3767727", "William Yang")</f>
        <v>William Yang</v>
      </c>
      <c r="D12142" t="s">
        <v>5</v>
      </c>
      <c r="E12142">
        <v>1</v>
      </c>
    </row>
    <row r="12143" spans="1:5" x14ac:dyDescent="0.25">
      <c r="A12143">
        <v>12142</v>
      </c>
      <c r="B12143">
        <v>3767761</v>
      </c>
      <c r="C12143" s="1" t="str">
        <f>HYPERLINK("http://stackoverflow.com/users/3767761", "He Tao")</f>
        <v>He Tao</v>
      </c>
      <c r="D12143" t="s">
        <v>5</v>
      </c>
      <c r="E12143">
        <v>1</v>
      </c>
    </row>
    <row r="12144" spans="1:5" x14ac:dyDescent="0.25">
      <c r="A12144">
        <v>12143</v>
      </c>
      <c r="B12144">
        <v>1986338</v>
      </c>
      <c r="C12144" s="1" t="str">
        <f>HYPERLINK("http://stackoverflow.com/users/1986338", "differui")</f>
        <v>differui</v>
      </c>
      <c r="D12144" t="s">
        <v>169</v>
      </c>
      <c r="E12144">
        <v>1</v>
      </c>
    </row>
    <row r="12145" spans="1:5" x14ac:dyDescent="0.25">
      <c r="A12145">
        <v>12144</v>
      </c>
      <c r="B12145">
        <v>1986404</v>
      </c>
      <c r="C12145" s="1" t="str">
        <f>HYPERLINK("http://stackoverflow.com/users/1986404", "ITPuppy")</f>
        <v>ITPuppy</v>
      </c>
      <c r="D12145" t="s">
        <v>35</v>
      </c>
      <c r="E12145">
        <v>1</v>
      </c>
    </row>
    <row r="12146" spans="1:5" x14ac:dyDescent="0.25">
      <c r="A12146">
        <v>12145</v>
      </c>
      <c r="B12146">
        <v>1986689</v>
      </c>
      <c r="C12146" s="1" t="str">
        <f>HYPERLINK("http://stackoverflow.com/users/1986689", "funsunz")</f>
        <v>funsunz</v>
      </c>
      <c r="D12146" t="s">
        <v>21</v>
      </c>
      <c r="E12146">
        <v>1</v>
      </c>
    </row>
    <row r="12147" spans="1:5" x14ac:dyDescent="0.25">
      <c r="A12147">
        <v>12146</v>
      </c>
      <c r="B12147">
        <v>5528312</v>
      </c>
      <c r="C12147" s="1" t="str">
        <f>HYPERLINK("http://stackoverflow.com/users/5528312", "PanJing")</f>
        <v>PanJing</v>
      </c>
      <c r="D12147" t="s">
        <v>209</v>
      </c>
      <c r="E12147">
        <v>1</v>
      </c>
    </row>
    <row r="12148" spans="1:5" x14ac:dyDescent="0.25">
      <c r="A12148">
        <v>12147</v>
      </c>
      <c r="B12148">
        <v>5528599</v>
      </c>
      <c r="C12148" s="1" t="str">
        <f>HYPERLINK("http://stackoverflow.com/users/5528599", "FernAbby")</f>
        <v>FernAbby</v>
      </c>
      <c r="D12148" t="s">
        <v>28</v>
      </c>
      <c r="E12148">
        <v>1</v>
      </c>
    </row>
    <row r="12149" spans="1:5" x14ac:dyDescent="0.25">
      <c r="A12149">
        <v>12148</v>
      </c>
      <c r="B12149">
        <v>5531785</v>
      </c>
      <c r="C12149" s="1" t="str">
        <f>HYPERLINK("http://stackoverflow.com/users/5531785", "Jerry")</f>
        <v>Jerry</v>
      </c>
      <c r="D12149" t="s">
        <v>8</v>
      </c>
      <c r="E12149">
        <v>1</v>
      </c>
    </row>
    <row r="12150" spans="1:5" x14ac:dyDescent="0.25">
      <c r="A12150">
        <v>12149</v>
      </c>
      <c r="B12150">
        <v>5531810</v>
      </c>
      <c r="C12150" s="1" t="str">
        <f>HYPERLINK("http://stackoverflow.com/users/5531810", "Fangchao Gao")</f>
        <v>Fangchao Gao</v>
      </c>
      <c r="D12150" t="s">
        <v>7</v>
      </c>
      <c r="E12150">
        <v>1</v>
      </c>
    </row>
    <row r="12151" spans="1:5" x14ac:dyDescent="0.25">
      <c r="A12151">
        <v>12150</v>
      </c>
      <c r="B12151">
        <v>5531871</v>
      </c>
      <c r="C12151" s="1" t="str">
        <f>HYPERLINK("http://stackoverflow.com/users/5531871", "Salt.Dai")</f>
        <v>Salt.Dai</v>
      </c>
      <c r="D12151" t="s">
        <v>5</v>
      </c>
      <c r="E12151">
        <v>1</v>
      </c>
    </row>
    <row r="12152" spans="1:5" x14ac:dyDescent="0.25">
      <c r="A12152">
        <v>12151</v>
      </c>
      <c r="B12152">
        <v>5532467</v>
      </c>
      <c r="C12152" s="1" t="str">
        <f>HYPERLINK("http://stackoverflow.com/users/5532467", "dikzhang")</f>
        <v>dikzhang</v>
      </c>
      <c r="D12152" t="s">
        <v>3</v>
      </c>
      <c r="E12152">
        <v>1</v>
      </c>
    </row>
    <row r="12153" spans="1:5" x14ac:dyDescent="0.25">
      <c r="A12153">
        <v>12152</v>
      </c>
      <c r="B12153">
        <v>10959121</v>
      </c>
      <c r="C12153" s="1" t="str">
        <f>HYPERLINK("http://stackoverflow.com/users/10959121", "ZhangXiaomu")</f>
        <v>ZhangXiaomu</v>
      </c>
      <c r="D12153" t="s">
        <v>118</v>
      </c>
      <c r="E12153">
        <v>1</v>
      </c>
    </row>
    <row r="12154" spans="1:5" x14ac:dyDescent="0.25">
      <c r="A12154">
        <v>12153</v>
      </c>
      <c r="B12154">
        <v>10959163</v>
      </c>
      <c r="C12154" s="1" t="str">
        <f>HYPERLINK("http://stackoverflow.com/users/10959163", "Pei Cheng")</f>
        <v>Pei Cheng</v>
      </c>
      <c r="D12154" t="s">
        <v>33</v>
      </c>
      <c r="E12154">
        <v>1</v>
      </c>
    </row>
    <row r="12155" spans="1:5" x14ac:dyDescent="0.25">
      <c r="A12155">
        <v>12154</v>
      </c>
      <c r="B12155">
        <v>10959209</v>
      </c>
      <c r="C12155" s="1" t="str">
        <f>HYPERLINK("http://stackoverflow.com/users/10959209", "Cpt.")</f>
        <v>Cpt.</v>
      </c>
      <c r="D12155" t="s">
        <v>5</v>
      </c>
      <c r="E12155">
        <v>1</v>
      </c>
    </row>
    <row r="12156" spans="1:5" x14ac:dyDescent="0.25">
      <c r="A12156">
        <v>12155</v>
      </c>
      <c r="B12156">
        <v>10959346</v>
      </c>
      <c r="C12156" s="1" t="str">
        <f>HYPERLINK("http://stackoverflow.com/users/10959346", "Judgelight Hikari")</f>
        <v>Judgelight Hikari</v>
      </c>
      <c r="D12156" t="s">
        <v>4</v>
      </c>
      <c r="E12156">
        <v>1</v>
      </c>
    </row>
    <row r="12157" spans="1:5" x14ac:dyDescent="0.25">
      <c r="A12157">
        <v>12156</v>
      </c>
      <c r="B12157">
        <v>7289006</v>
      </c>
      <c r="C12157" s="1" t="str">
        <f>HYPERLINK("http://stackoverflow.com/users/7289006", "Daniel Walker")</f>
        <v>Daniel Walker</v>
      </c>
      <c r="D12157" t="s">
        <v>5</v>
      </c>
      <c r="E12157">
        <v>1</v>
      </c>
    </row>
    <row r="12158" spans="1:5" x14ac:dyDescent="0.25">
      <c r="A12158">
        <v>12157</v>
      </c>
      <c r="B12158">
        <v>7289172</v>
      </c>
      <c r="C12158" s="1" t="str">
        <f>HYPERLINK("http://stackoverflow.com/users/7289172", "Darcy Song")</f>
        <v>Darcy Song</v>
      </c>
      <c r="D12158" t="s">
        <v>43</v>
      </c>
      <c r="E12158">
        <v>1</v>
      </c>
    </row>
    <row r="12159" spans="1:5" x14ac:dyDescent="0.25">
      <c r="A12159">
        <v>12158</v>
      </c>
      <c r="B12159">
        <v>7289308</v>
      </c>
      <c r="C12159" s="1" t="str">
        <f>HYPERLINK("http://stackoverflow.com/users/7289308", "Wendy")</f>
        <v>Wendy</v>
      </c>
      <c r="D12159" t="s">
        <v>660</v>
      </c>
      <c r="E12159">
        <v>1</v>
      </c>
    </row>
    <row r="12160" spans="1:5" x14ac:dyDescent="0.25">
      <c r="A12160">
        <v>12159</v>
      </c>
      <c r="B12160">
        <v>7289380</v>
      </c>
      <c r="C12160" s="1" t="str">
        <f>HYPERLINK("http://stackoverflow.com/users/7289380", "sgnay")</f>
        <v>sgnay</v>
      </c>
      <c r="D12160" t="s">
        <v>87</v>
      </c>
      <c r="E12160">
        <v>1</v>
      </c>
    </row>
    <row r="12161" spans="1:5" x14ac:dyDescent="0.25">
      <c r="A12161">
        <v>12160</v>
      </c>
      <c r="B12161">
        <v>9156428</v>
      </c>
      <c r="C12161" s="1" t="str">
        <f>HYPERLINK("http://stackoverflow.com/users/9156428", "gzg1023")</f>
        <v>gzg1023</v>
      </c>
      <c r="D12161" t="s">
        <v>62</v>
      </c>
      <c r="E12161">
        <v>1</v>
      </c>
    </row>
    <row r="12162" spans="1:5" x14ac:dyDescent="0.25">
      <c r="A12162">
        <v>12161</v>
      </c>
      <c r="B12162">
        <v>9156435</v>
      </c>
      <c r="C12162" s="1" t="str">
        <f>HYPERLINK("http://stackoverflow.com/users/9156435", "Orlando Chen")</f>
        <v>Orlando Chen</v>
      </c>
      <c r="D12162" t="s">
        <v>270</v>
      </c>
      <c r="E12162">
        <v>1</v>
      </c>
    </row>
    <row r="12163" spans="1:5" x14ac:dyDescent="0.25">
      <c r="A12163">
        <v>12162</v>
      </c>
      <c r="B12163">
        <v>3730709</v>
      </c>
      <c r="C12163" s="1" t="str">
        <f>HYPERLINK("http://stackoverflow.com/users/3730709", "soloer_sabrina")</f>
        <v>soloer_sabrina</v>
      </c>
      <c r="D12163" t="s">
        <v>5</v>
      </c>
      <c r="E12163">
        <v>1</v>
      </c>
    </row>
    <row r="12164" spans="1:5" x14ac:dyDescent="0.25">
      <c r="A12164">
        <v>12163</v>
      </c>
      <c r="B12164">
        <v>3734542</v>
      </c>
      <c r="C12164" s="1" t="str">
        <f>HYPERLINK("http://stackoverflow.com/users/3734542", "Freud Kang")</f>
        <v>Freud Kang</v>
      </c>
      <c r="D12164" t="s">
        <v>35</v>
      </c>
      <c r="E12164">
        <v>1</v>
      </c>
    </row>
    <row r="12165" spans="1:5" x14ac:dyDescent="0.25">
      <c r="A12165">
        <v>12164</v>
      </c>
      <c r="B12165">
        <v>3734579</v>
      </c>
      <c r="C12165" s="1" t="str">
        <f>HYPERLINK("http://stackoverflow.com/users/3734579", "Rock Lee")</f>
        <v>Rock Lee</v>
      </c>
      <c r="D12165" t="s">
        <v>21</v>
      </c>
      <c r="E12165">
        <v>1</v>
      </c>
    </row>
    <row r="12166" spans="1:5" x14ac:dyDescent="0.25">
      <c r="A12166">
        <v>12165</v>
      </c>
      <c r="B12166">
        <v>9159600</v>
      </c>
      <c r="C12166" s="1" t="str">
        <f>HYPERLINK("http://stackoverflow.com/users/9159600", "Anita CT")</f>
        <v>Anita CT</v>
      </c>
      <c r="D12166" t="s">
        <v>4</v>
      </c>
      <c r="E12166">
        <v>1</v>
      </c>
    </row>
    <row r="12167" spans="1:5" x14ac:dyDescent="0.25">
      <c r="A12167">
        <v>12166</v>
      </c>
      <c r="B12167">
        <v>9159744</v>
      </c>
      <c r="C12167" s="1" t="str">
        <f>HYPERLINK("http://stackoverflow.com/users/9159744", "Tristan Song")</f>
        <v>Tristan Song</v>
      </c>
      <c r="D12167" t="s">
        <v>175</v>
      </c>
      <c r="E12167">
        <v>1</v>
      </c>
    </row>
    <row r="12168" spans="1:5" x14ac:dyDescent="0.25">
      <c r="A12168">
        <v>12167</v>
      </c>
      <c r="B12168">
        <v>9159762</v>
      </c>
      <c r="C12168" s="1" t="str">
        <f>HYPERLINK("http://stackoverflow.com/users/9159762", "Jun Miao")</f>
        <v>Jun Miao</v>
      </c>
      <c r="D12168" t="s">
        <v>4</v>
      </c>
      <c r="E12168">
        <v>1</v>
      </c>
    </row>
    <row r="12169" spans="1:5" x14ac:dyDescent="0.25">
      <c r="A12169">
        <v>12168</v>
      </c>
      <c r="B12169">
        <v>9159922</v>
      </c>
      <c r="C12169" s="1" t="str">
        <f>HYPERLINK("http://stackoverflow.com/users/9159922", "jerrykcode")</f>
        <v>jerrykcode</v>
      </c>
      <c r="D12169" t="s">
        <v>20</v>
      </c>
      <c r="E12169">
        <v>1</v>
      </c>
    </row>
    <row r="12170" spans="1:5" x14ac:dyDescent="0.25">
      <c r="A12170">
        <v>12169</v>
      </c>
      <c r="B12170">
        <v>9160217</v>
      </c>
      <c r="C12170" s="1" t="str">
        <f>HYPERLINK("http://stackoverflow.com/users/9160217", "langen P")</f>
        <v>langen P</v>
      </c>
      <c r="D12170" t="s">
        <v>661</v>
      </c>
      <c r="E12170">
        <v>1</v>
      </c>
    </row>
    <row r="12171" spans="1:5" x14ac:dyDescent="0.25">
      <c r="A12171">
        <v>12170</v>
      </c>
      <c r="B12171">
        <v>9160312</v>
      </c>
      <c r="C12171" s="1" t="str">
        <f>HYPERLINK("http://stackoverflow.com/users/9160312", "Wead Ye")</f>
        <v>Wead Ye</v>
      </c>
      <c r="D12171" t="s">
        <v>4</v>
      </c>
      <c r="E12171">
        <v>1</v>
      </c>
    </row>
    <row r="12172" spans="1:5" x14ac:dyDescent="0.25">
      <c r="A12172">
        <v>12171</v>
      </c>
      <c r="B12172">
        <v>10954434</v>
      </c>
      <c r="C12172" s="1" t="str">
        <f>HYPERLINK("http://stackoverflow.com/users/10954434", "Uzair Saeed")</f>
        <v>Uzair Saeed</v>
      </c>
      <c r="D12172" t="s">
        <v>5</v>
      </c>
      <c r="E12172">
        <v>1</v>
      </c>
    </row>
    <row r="12173" spans="1:5" x14ac:dyDescent="0.25">
      <c r="A12173">
        <v>12172</v>
      </c>
      <c r="B12173">
        <v>10954490</v>
      </c>
      <c r="C12173" s="1" t="str">
        <f>HYPERLINK("http://stackoverflow.com/users/10954490", "liewzheng")</f>
        <v>liewzheng</v>
      </c>
      <c r="D12173" t="s">
        <v>47</v>
      </c>
      <c r="E12173">
        <v>1</v>
      </c>
    </row>
    <row r="12174" spans="1:5" x14ac:dyDescent="0.25">
      <c r="A12174">
        <v>12173</v>
      </c>
      <c r="B12174">
        <v>10954555</v>
      </c>
      <c r="C12174" s="1" t="str">
        <f>HYPERLINK("http://stackoverflow.com/users/10954555", "麦麦庆达")</f>
        <v>麦麦庆达</v>
      </c>
      <c r="D12174" t="s">
        <v>25</v>
      </c>
      <c r="E12174">
        <v>1</v>
      </c>
    </row>
    <row r="12175" spans="1:5" x14ac:dyDescent="0.25">
      <c r="A12175">
        <v>12174</v>
      </c>
      <c r="B12175">
        <v>7283832</v>
      </c>
      <c r="C12175" s="1" t="str">
        <f>HYPERLINK("http://stackoverflow.com/users/7283832", "Leshu Lau")</f>
        <v>Leshu Lau</v>
      </c>
      <c r="D12175" t="s">
        <v>16</v>
      </c>
      <c r="E12175">
        <v>1</v>
      </c>
    </row>
    <row r="12176" spans="1:5" x14ac:dyDescent="0.25">
      <c r="A12176">
        <v>12175</v>
      </c>
      <c r="B12176">
        <v>7284017</v>
      </c>
      <c r="C12176" s="1" t="str">
        <f>HYPERLINK("http://stackoverflow.com/users/7284017", "Gerry")</f>
        <v>Gerry</v>
      </c>
      <c r="D12176" t="s">
        <v>4</v>
      </c>
      <c r="E12176">
        <v>1</v>
      </c>
    </row>
    <row r="12177" spans="1:5" x14ac:dyDescent="0.25">
      <c r="A12177">
        <v>12176</v>
      </c>
      <c r="B12177">
        <v>7284264</v>
      </c>
      <c r="C12177" s="1" t="str">
        <f>HYPERLINK("http://stackoverflow.com/users/7284264", "John Chan")</f>
        <v>John Chan</v>
      </c>
      <c r="D12177" t="s">
        <v>5</v>
      </c>
      <c r="E12177">
        <v>1</v>
      </c>
    </row>
    <row r="12178" spans="1:5" x14ac:dyDescent="0.25">
      <c r="A12178">
        <v>12177</v>
      </c>
      <c r="B12178">
        <v>7284326</v>
      </c>
      <c r="C12178" s="1" t="str">
        <f>HYPERLINK("http://stackoverflow.com/users/7284326", "F.Double")</f>
        <v>F.Double</v>
      </c>
      <c r="D12178" t="s">
        <v>16</v>
      </c>
      <c r="E12178">
        <v>1</v>
      </c>
    </row>
    <row r="12179" spans="1:5" x14ac:dyDescent="0.25">
      <c r="A12179">
        <v>12178</v>
      </c>
      <c r="B12179">
        <v>3799885</v>
      </c>
      <c r="C12179" s="1" t="str">
        <f>HYPERLINK("http://stackoverflow.com/users/3799885", "gavinwen")</f>
        <v>gavinwen</v>
      </c>
      <c r="D12179" t="s">
        <v>4</v>
      </c>
      <c r="E12179">
        <v>1</v>
      </c>
    </row>
    <row r="12180" spans="1:5" x14ac:dyDescent="0.25">
      <c r="A12180">
        <v>12179</v>
      </c>
      <c r="B12180">
        <v>3799951</v>
      </c>
      <c r="C12180" s="1" t="str">
        <f>HYPERLINK("http://stackoverflow.com/users/3799951", "Yeven")</f>
        <v>Yeven</v>
      </c>
      <c r="D12180" t="s">
        <v>17</v>
      </c>
      <c r="E12180">
        <v>1</v>
      </c>
    </row>
    <row r="12181" spans="1:5" x14ac:dyDescent="0.25">
      <c r="A12181">
        <v>12180</v>
      </c>
      <c r="B12181">
        <v>3800038</v>
      </c>
      <c r="C12181" s="1" t="str">
        <f>HYPERLINK("http://stackoverflow.com/users/3800038", "Yanlong He")</f>
        <v>Yanlong He</v>
      </c>
      <c r="D12181" t="s">
        <v>5</v>
      </c>
      <c r="E12181">
        <v>1</v>
      </c>
    </row>
    <row r="12182" spans="1:5" x14ac:dyDescent="0.25">
      <c r="A12182">
        <v>12181</v>
      </c>
      <c r="B12182">
        <v>7345949</v>
      </c>
      <c r="C12182" s="1" t="str">
        <f>HYPERLINK("http://stackoverflow.com/users/7345949", "mythtoos")</f>
        <v>mythtoos</v>
      </c>
      <c r="D12182" t="s">
        <v>5</v>
      </c>
      <c r="E12182">
        <v>1</v>
      </c>
    </row>
    <row r="12183" spans="1:5" x14ac:dyDescent="0.25">
      <c r="A12183">
        <v>12182</v>
      </c>
      <c r="B12183">
        <v>7346059</v>
      </c>
      <c r="C12183" s="1" t="str">
        <f>HYPERLINK("http://stackoverflow.com/users/7346059", "zhaozhaoaichirou")</f>
        <v>zhaozhaoaichirou</v>
      </c>
      <c r="D12183" t="s">
        <v>662</v>
      </c>
      <c r="E12183">
        <v>1</v>
      </c>
    </row>
    <row r="12184" spans="1:5" x14ac:dyDescent="0.25">
      <c r="A12184">
        <v>12183</v>
      </c>
      <c r="B12184">
        <v>3804233</v>
      </c>
      <c r="C12184" s="1" t="str">
        <f>HYPERLINK("http://stackoverflow.com/users/3804233", "Vicky")</f>
        <v>Vicky</v>
      </c>
      <c r="D12184" t="s">
        <v>22</v>
      </c>
      <c r="E12184">
        <v>1</v>
      </c>
    </row>
    <row r="12185" spans="1:5" x14ac:dyDescent="0.25">
      <c r="A12185">
        <v>12184</v>
      </c>
      <c r="B12185">
        <v>11010905</v>
      </c>
      <c r="C12185" s="1" t="str">
        <f>HYPERLINK("http://stackoverflow.com/users/11010905", "wang john")</f>
        <v>wang john</v>
      </c>
      <c r="D12185" t="s">
        <v>25</v>
      </c>
      <c r="E12185">
        <v>1</v>
      </c>
    </row>
    <row r="12186" spans="1:5" x14ac:dyDescent="0.25">
      <c r="A12186">
        <v>12185</v>
      </c>
      <c r="B12186">
        <v>2015236</v>
      </c>
      <c r="C12186" s="1" t="str">
        <f>HYPERLINK("http://stackoverflow.com/users/2015236", "SuKong")</f>
        <v>SuKong</v>
      </c>
      <c r="D12186" t="s">
        <v>8</v>
      </c>
      <c r="E12186">
        <v>1</v>
      </c>
    </row>
    <row r="12187" spans="1:5" x14ac:dyDescent="0.25">
      <c r="A12187">
        <v>12186</v>
      </c>
      <c r="B12187">
        <v>3792296</v>
      </c>
      <c r="C12187" s="1" t="str">
        <f>HYPERLINK("http://stackoverflow.com/users/3792296", "Andy Hu")</f>
        <v>Andy Hu</v>
      </c>
      <c r="D12187" t="s">
        <v>17</v>
      </c>
      <c r="E12187">
        <v>1</v>
      </c>
    </row>
    <row r="12188" spans="1:5" x14ac:dyDescent="0.25">
      <c r="A12188">
        <v>12187</v>
      </c>
      <c r="B12188">
        <v>5577648</v>
      </c>
      <c r="C12188" s="1" t="str">
        <f>HYPERLINK("http://stackoverflow.com/users/5577648", "Xiang Yuan")</f>
        <v>Xiang Yuan</v>
      </c>
      <c r="D12188" t="s">
        <v>22</v>
      </c>
      <c r="E12188">
        <v>1</v>
      </c>
    </row>
    <row r="12189" spans="1:5" x14ac:dyDescent="0.25">
      <c r="A12189">
        <v>12188</v>
      </c>
      <c r="B12189">
        <v>7333496</v>
      </c>
      <c r="C12189" s="1" t="str">
        <f>HYPERLINK("http://stackoverflow.com/users/7333496", "QiangNy")</f>
        <v>QiangNy</v>
      </c>
      <c r="D12189" t="s">
        <v>7</v>
      </c>
      <c r="E12189">
        <v>1</v>
      </c>
    </row>
    <row r="12190" spans="1:5" x14ac:dyDescent="0.25">
      <c r="A12190">
        <v>12189</v>
      </c>
      <c r="B12190">
        <v>7333706</v>
      </c>
      <c r="C12190" s="1" t="str">
        <f>HYPERLINK("http://stackoverflow.com/users/7333706", "aaron zhang")</f>
        <v>aaron zhang</v>
      </c>
      <c r="D12190" t="s">
        <v>16</v>
      </c>
      <c r="E12190">
        <v>1</v>
      </c>
    </row>
    <row r="12191" spans="1:5" x14ac:dyDescent="0.25">
      <c r="A12191">
        <v>12190</v>
      </c>
      <c r="B12191">
        <v>7334009</v>
      </c>
      <c r="C12191" s="1" t="str">
        <f>HYPERLINK("http://stackoverflow.com/users/7334009", "kane will")</f>
        <v>kane will</v>
      </c>
      <c r="D12191" t="s">
        <v>663</v>
      </c>
      <c r="E12191">
        <v>1</v>
      </c>
    </row>
    <row r="12192" spans="1:5" x14ac:dyDescent="0.25">
      <c r="A12192">
        <v>12191</v>
      </c>
      <c r="B12192">
        <v>7349994</v>
      </c>
      <c r="C12192" s="1" t="str">
        <f>HYPERLINK("http://stackoverflow.com/users/7349994", "Eeethon")</f>
        <v>Eeethon</v>
      </c>
      <c r="D12192" t="s">
        <v>162</v>
      </c>
      <c r="E12192">
        <v>1</v>
      </c>
    </row>
    <row r="12193" spans="1:5" x14ac:dyDescent="0.25">
      <c r="A12193">
        <v>12192</v>
      </c>
      <c r="B12193">
        <v>7350040</v>
      </c>
      <c r="C12193" s="1" t="str">
        <f>HYPERLINK("http://stackoverflow.com/users/7350040", "W.Chao")</f>
        <v>W.Chao</v>
      </c>
      <c r="D12193" t="s">
        <v>25</v>
      </c>
      <c r="E12193">
        <v>1</v>
      </c>
    </row>
    <row r="12194" spans="1:5" x14ac:dyDescent="0.25">
      <c r="A12194">
        <v>12193</v>
      </c>
      <c r="B12194">
        <v>7350135</v>
      </c>
      <c r="C12194" s="1" t="str">
        <f>HYPERLINK("http://stackoverflow.com/users/7350135", "4bug")</f>
        <v>4bug</v>
      </c>
      <c r="D12194" t="s">
        <v>7</v>
      </c>
      <c r="E12194">
        <v>1</v>
      </c>
    </row>
    <row r="12195" spans="1:5" x14ac:dyDescent="0.25">
      <c r="A12195">
        <v>12194</v>
      </c>
      <c r="B12195">
        <v>9238305</v>
      </c>
      <c r="C12195" s="1" t="str">
        <f>HYPERLINK("http://stackoverflow.com/users/9238305", "Arison")</f>
        <v>Arison</v>
      </c>
      <c r="D12195" t="s">
        <v>664</v>
      </c>
      <c r="E12195">
        <v>1</v>
      </c>
    </row>
    <row r="12196" spans="1:5" x14ac:dyDescent="0.25">
      <c r="A12196">
        <v>12195</v>
      </c>
      <c r="B12196">
        <v>9238535</v>
      </c>
      <c r="C12196" s="1" t="str">
        <f>HYPERLINK("http://stackoverflow.com/users/9238535", "叮噹鬧")</f>
        <v>叮噹鬧</v>
      </c>
      <c r="D12196" t="s">
        <v>4</v>
      </c>
      <c r="E12196">
        <v>1</v>
      </c>
    </row>
    <row r="12197" spans="1:5" x14ac:dyDescent="0.25">
      <c r="A12197">
        <v>12196</v>
      </c>
      <c r="B12197">
        <v>9238541</v>
      </c>
      <c r="C12197" s="1" t="str">
        <f>HYPERLINK("http://stackoverflow.com/users/9238541", "Bruce Bai")</f>
        <v>Bruce Bai</v>
      </c>
      <c r="D12197" t="s">
        <v>5</v>
      </c>
      <c r="E12197">
        <v>1</v>
      </c>
    </row>
    <row r="12198" spans="1:5" x14ac:dyDescent="0.25">
      <c r="A12198">
        <v>12197</v>
      </c>
      <c r="B12198">
        <v>9238576</v>
      </c>
      <c r="C12198" s="1" t="str">
        <f>HYPERLINK("http://stackoverflow.com/users/9238576", "毛昊庆")</f>
        <v>毛昊庆</v>
      </c>
      <c r="D12198" t="s">
        <v>131</v>
      </c>
      <c r="E12198">
        <v>1</v>
      </c>
    </row>
    <row r="12199" spans="1:5" x14ac:dyDescent="0.25">
      <c r="A12199">
        <v>12198</v>
      </c>
      <c r="B12199">
        <v>3808686</v>
      </c>
      <c r="C12199" s="1" t="str">
        <f>HYPERLINK("http://stackoverflow.com/users/3808686", "insaneguy")</f>
        <v>insaneguy</v>
      </c>
      <c r="D12199" t="s">
        <v>12</v>
      </c>
      <c r="E12199">
        <v>1</v>
      </c>
    </row>
    <row r="12200" spans="1:5" x14ac:dyDescent="0.25">
      <c r="A12200">
        <v>12199</v>
      </c>
      <c r="B12200">
        <v>3808856</v>
      </c>
      <c r="C12200" s="1" t="str">
        <f>HYPERLINK("http://stackoverflow.com/users/3808856", "assinwang")</f>
        <v>assinwang</v>
      </c>
      <c r="D12200" t="s">
        <v>5</v>
      </c>
      <c r="E12200">
        <v>1</v>
      </c>
    </row>
    <row r="12201" spans="1:5" x14ac:dyDescent="0.25">
      <c r="A12201">
        <v>12200</v>
      </c>
      <c r="B12201">
        <v>3792586</v>
      </c>
      <c r="C12201" s="1" t="str">
        <f>HYPERLINK("http://stackoverflow.com/users/3792586", "Teng")</f>
        <v>Teng</v>
      </c>
      <c r="D12201" t="s">
        <v>4</v>
      </c>
      <c r="E12201">
        <v>1</v>
      </c>
    </row>
    <row r="12202" spans="1:5" x14ac:dyDescent="0.25">
      <c r="A12202">
        <v>12201</v>
      </c>
      <c r="B12202">
        <v>3804329</v>
      </c>
      <c r="C12202" s="1" t="str">
        <f>HYPERLINK("http://stackoverflow.com/users/3804329", "Allen Wang")</f>
        <v>Allen Wang</v>
      </c>
      <c r="D12202" t="s">
        <v>5</v>
      </c>
      <c r="E12202">
        <v>1</v>
      </c>
    </row>
    <row r="12203" spans="1:5" x14ac:dyDescent="0.25">
      <c r="A12203">
        <v>12202</v>
      </c>
      <c r="B12203">
        <v>3804785</v>
      </c>
      <c r="C12203" s="1" t="str">
        <f>HYPERLINK("http://stackoverflow.com/users/3804785", "xueyufish")</f>
        <v>xueyufish</v>
      </c>
      <c r="D12203" t="s">
        <v>37</v>
      </c>
      <c r="E12203">
        <v>1</v>
      </c>
    </row>
    <row r="12204" spans="1:5" x14ac:dyDescent="0.25">
      <c r="A12204">
        <v>12203</v>
      </c>
      <c r="B12204">
        <v>3804913</v>
      </c>
      <c r="C12204" s="1" t="str">
        <f>HYPERLINK("http://stackoverflow.com/users/3804913", "changsure")</f>
        <v>changsure</v>
      </c>
      <c r="D12204" t="s">
        <v>5</v>
      </c>
      <c r="E12204">
        <v>1</v>
      </c>
    </row>
    <row r="12205" spans="1:5" x14ac:dyDescent="0.25">
      <c r="A12205">
        <v>12204</v>
      </c>
      <c r="B12205">
        <v>9234765</v>
      </c>
      <c r="C12205" s="1" t="str">
        <f>HYPERLINK("http://stackoverflow.com/users/9234765", "czas09")</f>
        <v>czas09</v>
      </c>
      <c r="D12205" t="s">
        <v>5</v>
      </c>
      <c r="E12205">
        <v>1</v>
      </c>
    </row>
    <row r="12206" spans="1:5" x14ac:dyDescent="0.25">
      <c r="A12206">
        <v>12205</v>
      </c>
      <c r="B12206">
        <v>5593888</v>
      </c>
      <c r="C12206" s="1" t="str">
        <f>HYPERLINK("http://stackoverflow.com/users/5593888", "harrison")</f>
        <v>harrison</v>
      </c>
      <c r="D12206" t="s">
        <v>37</v>
      </c>
      <c r="E12206">
        <v>1</v>
      </c>
    </row>
    <row r="12207" spans="1:5" x14ac:dyDescent="0.25">
      <c r="A12207">
        <v>12206</v>
      </c>
      <c r="B12207">
        <v>5575060</v>
      </c>
      <c r="C12207" s="1" t="str">
        <f>HYPERLINK("http://stackoverflow.com/users/5575060", "spark hu")</f>
        <v>spark hu</v>
      </c>
      <c r="D12207" t="s">
        <v>4</v>
      </c>
      <c r="E12207">
        <v>1</v>
      </c>
    </row>
    <row r="12208" spans="1:5" x14ac:dyDescent="0.25">
      <c r="A12208">
        <v>12207</v>
      </c>
      <c r="B12208">
        <v>5575092</v>
      </c>
      <c r="C12208" s="1" t="str">
        <f>HYPERLINK("http://stackoverflow.com/users/5575092", "ghosTM55")</f>
        <v>ghosTM55</v>
      </c>
      <c r="D12208" t="s">
        <v>4</v>
      </c>
      <c r="E12208">
        <v>1</v>
      </c>
    </row>
    <row r="12209" spans="1:5" x14ac:dyDescent="0.25">
      <c r="A12209">
        <v>12208</v>
      </c>
      <c r="B12209">
        <v>7330457</v>
      </c>
      <c r="C12209" s="1" t="str">
        <f>HYPERLINK("http://stackoverflow.com/users/7330457", "wangmaoxiong")</f>
        <v>wangmaoxiong</v>
      </c>
      <c r="D12209" t="s">
        <v>7</v>
      </c>
      <c r="E12209">
        <v>1</v>
      </c>
    </row>
    <row r="12210" spans="1:5" x14ac:dyDescent="0.25">
      <c r="A12210">
        <v>12209</v>
      </c>
      <c r="B12210">
        <v>5577042</v>
      </c>
      <c r="C12210" s="1" t="str">
        <f>HYPERLINK("http://stackoverflow.com/users/5577042", "Wilson Liu")</f>
        <v>Wilson Liu</v>
      </c>
      <c r="D12210" t="s">
        <v>8</v>
      </c>
      <c r="E12210">
        <v>1</v>
      </c>
    </row>
    <row r="12211" spans="1:5" x14ac:dyDescent="0.25">
      <c r="A12211">
        <v>12210</v>
      </c>
      <c r="B12211">
        <v>9212984</v>
      </c>
      <c r="C12211" s="1" t="str">
        <f>HYPERLINK("http://stackoverflow.com/users/9212984", "黄富彬")</f>
        <v>黄富彬</v>
      </c>
      <c r="D12211" t="s">
        <v>665</v>
      </c>
      <c r="E12211">
        <v>1</v>
      </c>
    </row>
    <row r="12212" spans="1:5" x14ac:dyDescent="0.25">
      <c r="A12212">
        <v>12211</v>
      </c>
      <c r="B12212">
        <v>5574552</v>
      </c>
      <c r="C12212" s="1" t="str">
        <f>HYPERLINK("http://stackoverflow.com/users/5574552", "maicss ke")</f>
        <v>maicss ke</v>
      </c>
      <c r="D12212" t="s">
        <v>4</v>
      </c>
      <c r="E12212">
        <v>1</v>
      </c>
    </row>
    <row r="12213" spans="1:5" x14ac:dyDescent="0.25">
      <c r="A12213">
        <v>12212</v>
      </c>
      <c r="B12213">
        <v>5574698</v>
      </c>
      <c r="C12213" s="1" t="str">
        <f>HYPERLINK("http://stackoverflow.com/users/5574698", "neilzmx")</f>
        <v>neilzmx</v>
      </c>
      <c r="D12213" t="s">
        <v>4</v>
      </c>
      <c r="E12213">
        <v>1</v>
      </c>
    </row>
    <row r="12214" spans="1:5" x14ac:dyDescent="0.25">
      <c r="A12214">
        <v>12213</v>
      </c>
      <c r="B12214">
        <v>5574711</v>
      </c>
      <c r="C12214" s="1" t="str">
        <f>HYPERLINK("http://stackoverflow.com/users/5574711", "StevenChen")</f>
        <v>StevenChen</v>
      </c>
      <c r="D12214" t="s">
        <v>5</v>
      </c>
      <c r="E12214">
        <v>1</v>
      </c>
    </row>
    <row r="12215" spans="1:5" x14ac:dyDescent="0.25">
      <c r="A12215">
        <v>12214</v>
      </c>
      <c r="B12215">
        <v>7323379</v>
      </c>
      <c r="C12215" s="1" t="str">
        <f>HYPERLINK("http://stackoverflow.com/users/7323379", "Leon")</f>
        <v>Leon</v>
      </c>
      <c r="D12215" t="s">
        <v>52</v>
      </c>
      <c r="E12215">
        <v>1</v>
      </c>
    </row>
    <row r="12216" spans="1:5" x14ac:dyDescent="0.25">
      <c r="A12216">
        <v>12215</v>
      </c>
      <c r="B12216">
        <v>7326287</v>
      </c>
      <c r="C12216" s="1" t="str">
        <f>HYPERLINK("http://stackoverflow.com/users/7326287", "Niko Pon")</f>
        <v>Niko Pon</v>
      </c>
      <c r="D12216" t="s">
        <v>57</v>
      </c>
      <c r="E12216">
        <v>1</v>
      </c>
    </row>
    <row r="12217" spans="1:5" x14ac:dyDescent="0.25">
      <c r="A12217">
        <v>12216</v>
      </c>
      <c r="B12217">
        <v>9208751</v>
      </c>
      <c r="C12217" s="1" t="str">
        <f>HYPERLINK("http://stackoverflow.com/users/9208751", "GuanghaoChen")</f>
        <v>GuanghaoChen</v>
      </c>
      <c r="D12217" t="s">
        <v>90</v>
      </c>
      <c r="E12217">
        <v>1</v>
      </c>
    </row>
    <row r="12218" spans="1:5" x14ac:dyDescent="0.25">
      <c r="A12218">
        <v>12217</v>
      </c>
      <c r="B12218">
        <v>9208959</v>
      </c>
      <c r="C12218" s="1" t="str">
        <f>HYPERLINK("http://stackoverflow.com/users/9208959", "Tricia0127")</f>
        <v>Tricia0127</v>
      </c>
      <c r="D12218" t="s">
        <v>55</v>
      </c>
      <c r="E12218">
        <v>1</v>
      </c>
    </row>
    <row r="12219" spans="1:5" x14ac:dyDescent="0.25">
      <c r="A12219">
        <v>12218</v>
      </c>
      <c r="B12219">
        <v>9208970</v>
      </c>
      <c r="C12219" s="1" t="str">
        <f>HYPERLINK("http://stackoverflow.com/users/9208970", "benqyang2006")</f>
        <v>benqyang2006</v>
      </c>
      <c r="D12219" t="s">
        <v>5</v>
      </c>
      <c r="E12219">
        <v>1</v>
      </c>
    </row>
    <row r="12220" spans="1:5" x14ac:dyDescent="0.25">
      <c r="A12220">
        <v>12219</v>
      </c>
      <c r="B12220">
        <v>5570702</v>
      </c>
      <c r="C12220" s="1" t="str">
        <f>HYPERLINK("http://stackoverflow.com/users/5570702", "iamsup")</f>
        <v>iamsup</v>
      </c>
      <c r="D12220" t="s">
        <v>5</v>
      </c>
      <c r="E12220">
        <v>1</v>
      </c>
    </row>
    <row r="12221" spans="1:5" x14ac:dyDescent="0.25">
      <c r="A12221">
        <v>12220</v>
      </c>
      <c r="B12221">
        <v>5571050</v>
      </c>
      <c r="C12221" s="1" t="str">
        <f>HYPERLINK("http://stackoverflow.com/users/5571050", "Alex Lee")</f>
        <v>Alex Lee</v>
      </c>
      <c r="D12221" t="s">
        <v>22</v>
      </c>
      <c r="E12221">
        <v>1</v>
      </c>
    </row>
    <row r="12222" spans="1:5" x14ac:dyDescent="0.25">
      <c r="A12222">
        <v>12221</v>
      </c>
      <c r="B12222">
        <v>5566644</v>
      </c>
      <c r="C12222" s="1" t="str">
        <f>HYPERLINK("http://stackoverflow.com/users/5566644", "Yueming Li")</f>
        <v>Yueming Li</v>
      </c>
      <c r="D12222" t="s">
        <v>55</v>
      </c>
      <c r="E12222">
        <v>1</v>
      </c>
    </row>
    <row r="12223" spans="1:5" x14ac:dyDescent="0.25">
      <c r="A12223">
        <v>12222</v>
      </c>
      <c r="B12223">
        <v>5566799</v>
      </c>
      <c r="C12223" s="1" t="str">
        <f>HYPERLINK("http://stackoverflow.com/users/5566799", "Wright")</f>
        <v>Wright</v>
      </c>
      <c r="D12223" t="s">
        <v>666</v>
      </c>
      <c r="E12223">
        <v>1</v>
      </c>
    </row>
    <row r="12224" spans="1:5" x14ac:dyDescent="0.25">
      <c r="A12224">
        <v>12223</v>
      </c>
      <c r="B12224">
        <v>5566808</v>
      </c>
      <c r="C12224" s="1" t="str">
        <f>HYPERLINK("http://stackoverflow.com/users/5566808", "DanUno")</f>
        <v>DanUno</v>
      </c>
      <c r="D12224" t="s">
        <v>12</v>
      </c>
      <c r="E12224">
        <v>1</v>
      </c>
    </row>
    <row r="12225" spans="1:5" x14ac:dyDescent="0.25">
      <c r="A12225">
        <v>12224</v>
      </c>
      <c r="B12225">
        <v>5566881</v>
      </c>
      <c r="C12225" s="1" t="str">
        <f>HYPERLINK("http://stackoverflow.com/users/5566881", "Events Wu")</f>
        <v>Events Wu</v>
      </c>
      <c r="D12225" t="s">
        <v>25</v>
      </c>
      <c r="E12225">
        <v>1</v>
      </c>
    </row>
    <row r="12226" spans="1:5" x14ac:dyDescent="0.25">
      <c r="A12226">
        <v>12225</v>
      </c>
      <c r="B12226">
        <v>10999108</v>
      </c>
      <c r="C12226" s="1" t="str">
        <f>HYPERLINK("http://stackoverflow.com/users/10999108", "Dingding Luan")</f>
        <v>Dingding Luan</v>
      </c>
      <c r="D12226" t="s">
        <v>25</v>
      </c>
      <c r="E12226">
        <v>1</v>
      </c>
    </row>
    <row r="12227" spans="1:5" x14ac:dyDescent="0.25">
      <c r="A12227">
        <v>12226</v>
      </c>
      <c r="B12227">
        <v>9187507</v>
      </c>
      <c r="C12227" s="1" t="str">
        <f>HYPERLINK("http://stackoverflow.com/users/9187507", "OluwaEmma")</f>
        <v>OluwaEmma</v>
      </c>
      <c r="D12227" t="s">
        <v>667</v>
      </c>
      <c r="E12227">
        <v>1</v>
      </c>
    </row>
    <row r="12228" spans="1:5" x14ac:dyDescent="0.25">
      <c r="A12228">
        <v>12227</v>
      </c>
      <c r="B12228">
        <v>9187527</v>
      </c>
      <c r="C12228" s="1" t="str">
        <f>HYPERLINK("http://stackoverflow.com/users/9187527", "Sean Lee")</f>
        <v>Sean Lee</v>
      </c>
      <c r="D12228" t="s">
        <v>7</v>
      </c>
      <c r="E12228">
        <v>1</v>
      </c>
    </row>
    <row r="12229" spans="1:5" x14ac:dyDescent="0.25">
      <c r="A12229">
        <v>12228</v>
      </c>
      <c r="B12229">
        <v>9192028</v>
      </c>
      <c r="C12229" s="1" t="str">
        <f>HYPERLINK("http://stackoverflow.com/users/9192028", "user9192028")</f>
        <v>user9192028</v>
      </c>
      <c r="D12229" t="s">
        <v>91</v>
      </c>
      <c r="E12229">
        <v>1</v>
      </c>
    </row>
    <row r="12230" spans="1:5" x14ac:dyDescent="0.25">
      <c r="A12230">
        <v>12229</v>
      </c>
      <c r="B12230">
        <v>7311970</v>
      </c>
      <c r="C12230" s="1" t="str">
        <f>HYPERLINK("http://stackoverflow.com/users/7311970", "Ting Liu")</f>
        <v>Ting Liu</v>
      </c>
      <c r="D12230" t="s">
        <v>4</v>
      </c>
      <c r="E12230">
        <v>1</v>
      </c>
    </row>
    <row r="12231" spans="1:5" x14ac:dyDescent="0.25">
      <c r="A12231">
        <v>12230</v>
      </c>
      <c r="B12231">
        <v>10994838</v>
      </c>
      <c r="C12231" s="1" t="str">
        <f>HYPERLINK("http://stackoverflow.com/users/10994838", "李萌萌")</f>
        <v>李萌萌</v>
      </c>
      <c r="D12231" t="s">
        <v>4</v>
      </c>
      <c r="E12231">
        <v>1</v>
      </c>
    </row>
    <row r="12232" spans="1:5" x14ac:dyDescent="0.25">
      <c r="A12232">
        <v>12231</v>
      </c>
      <c r="B12232">
        <v>7319397</v>
      </c>
      <c r="C12232" s="1" t="str">
        <f>HYPERLINK("http://stackoverflow.com/users/7319397", "g_boshu")</f>
        <v>g_boshu</v>
      </c>
      <c r="D12232" t="s">
        <v>5</v>
      </c>
      <c r="E12232">
        <v>1</v>
      </c>
    </row>
    <row r="12233" spans="1:5" x14ac:dyDescent="0.25">
      <c r="A12233">
        <v>12232</v>
      </c>
      <c r="B12233">
        <v>7319738</v>
      </c>
      <c r="C12233" s="1" t="str">
        <f>HYPERLINK("http://stackoverflow.com/users/7319738", "xiaoweli")</f>
        <v>xiaoweli</v>
      </c>
      <c r="D12233" t="s">
        <v>16</v>
      </c>
      <c r="E12233">
        <v>1</v>
      </c>
    </row>
    <row r="12234" spans="1:5" x14ac:dyDescent="0.25">
      <c r="A12234">
        <v>12233</v>
      </c>
      <c r="B12234">
        <v>5563378</v>
      </c>
      <c r="C12234" s="1" t="str">
        <f>HYPERLINK("http://stackoverflow.com/users/5563378", "WHO")</f>
        <v>WHO</v>
      </c>
      <c r="D12234" t="s">
        <v>131</v>
      </c>
      <c r="E12234">
        <v>1</v>
      </c>
    </row>
    <row r="12235" spans="1:5" x14ac:dyDescent="0.25">
      <c r="A12235">
        <v>12234</v>
      </c>
      <c r="B12235">
        <v>5563499</v>
      </c>
      <c r="C12235" s="1" t="str">
        <f>HYPERLINK("http://stackoverflow.com/users/5563499", "Yang Zhou")</f>
        <v>Yang Zhou</v>
      </c>
      <c r="D12235" t="s">
        <v>4</v>
      </c>
      <c r="E12235">
        <v>1</v>
      </c>
    </row>
    <row r="12236" spans="1:5" x14ac:dyDescent="0.25">
      <c r="A12236">
        <v>12235</v>
      </c>
      <c r="B12236">
        <v>5563588</v>
      </c>
      <c r="C12236" s="1" t="str">
        <f>HYPERLINK("http://stackoverflow.com/users/5563588", "allen")</f>
        <v>allen</v>
      </c>
      <c r="D12236" t="s">
        <v>34</v>
      </c>
      <c r="E12236">
        <v>1</v>
      </c>
    </row>
    <row r="12237" spans="1:5" x14ac:dyDescent="0.25">
      <c r="A12237">
        <v>12236</v>
      </c>
      <c r="B12237">
        <v>10995708</v>
      </c>
      <c r="C12237" s="1" t="str">
        <f>HYPERLINK("http://stackoverflow.com/users/10995708", "Rocky.Ou")</f>
        <v>Rocky.Ou</v>
      </c>
      <c r="D12237" t="s">
        <v>374</v>
      </c>
      <c r="E12237">
        <v>1</v>
      </c>
    </row>
    <row r="12238" spans="1:5" x14ac:dyDescent="0.25">
      <c r="A12238">
        <v>12237</v>
      </c>
      <c r="B12238">
        <v>5566140</v>
      </c>
      <c r="C12238" s="1" t="str">
        <f>HYPERLINK("http://stackoverflow.com/users/5566140", "T-Four")</f>
        <v>T-Four</v>
      </c>
      <c r="D12238" t="s">
        <v>5</v>
      </c>
      <c r="E12238">
        <v>1</v>
      </c>
    </row>
    <row r="12239" spans="1:5" x14ac:dyDescent="0.25">
      <c r="A12239">
        <v>12238</v>
      </c>
      <c r="B12239">
        <v>5566484</v>
      </c>
      <c r="C12239" s="1" t="str">
        <f>HYPERLINK("http://stackoverflow.com/users/5566484", "Licheng")</f>
        <v>Licheng</v>
      </c>
      <c r="D12239" t="s">
        <v>5</v>
      </c>
      <c r="E12239">
        <v>1</v>
      </c>
    </row>
    <row r="12240" spans="1:5" x14ac:dyDescent="0.25">
      <c r="A12240">
        <v>12239</v>
      </c>
      <c r="B12240">
        <v>7702384</v>
      </c>
      <c r="C12240" s="1" t="str">
        <f>HYPERLINK("http://stackoverflow.com/users/7702384", "Taylor")</f>
        <v>Taylor</v>
      </c>
      <c r="D12240" t="s">
        <v>4</v>
      </c>
      <c r="E12240">
        <v>1</v>
      </c>
    </row>
    <row r="12241" spans="1:5" x14ac:dyDescent="0.25">
      <c r="A12241">
        <v>12240</v>
      </c>
      <c r="B12241">
        <v>7702813</v>
      </c>
      <c r="C12241" s="1" t="str">
        <f>HYPERLINK("http://stackoverflow.com/users/7702813", "Tychus Lee")</f>
        <v>Tychus Lee</v>
      </c>
      <c r="D12241" t="s">
        <v>484</v>
      </c>
      <c r="E12241">
        <v>1</v>
      </c>
    </row>
    <row r="12242" spans="1:5" x14ac:dyDescent="0.25">
      <c r="A12242">
        <v>12241</v>
      </c>
      <c r="B12242">
        <v>4197422</v>
      </c>
      <c r="C12242" s="1" t="str">
        <f>HYPERLINK("http://stackoverflow.com/users/4197422", "Lee Jun")</f>
        <v>Lee Jun</v>
      </c>
      <c r="D12242" t="s">
        <v>5</v>
      </c>
      <c r="E12242">
        <v>1</v>
      </c>
    </row>
    <row r="12243" spans="1:5" x14ac:dyDescent="0.25">
      <c r="A12243">
        <v>12242</v>
      </c>
      <c r="B12243">
        <v>4197485</v>
      </c>
      <c r="C12243" s="1" t="str">
        <f>HYPERLINK("http://stackoverflow.com/users/4197485", "Jony")</f>
        <v>Jony</v>
      </c>
      <c r="D12243" t="s">
        <v>4</v>
      </c>
      <c r="E12243">
        <v>1</v>
      </c>
    </row>
    <row r="12244" spans="1:5" x14ac:dyDescent="0.25">
      <c r="A12244">
        <v>12243</v>
      </c>
      <c r="B12244">
        <v>4197861</v>
      </c>
      <c r="C12244" s="1" t="str">
        <f>HYPERLINK("http://stackoverflow.com/users/4197861", "Zhuojia Shen")</f>
        <v>Zhuojia Shen</v>
      </c>
      <c r="D12244" t="s">
        <v>5</v>
      </c>
      <c r="E12244">
        <v>1</v>
      </c>
    </row>
    <row r="12245" spans="1:5" x14ac:dyDescent="0.25">
      <c r="A12245">
        <v>12244</v>
      </c>
      <c r="B12245">
        <v>7725519</v>
      </c>
      <c r="C12245" s="1" t="str">
        <f>HYPERLINK("http://stackoverflow.com/users/7725519", "Gordan Deng")</f>
        <v>Gordan Deng</v>
      </c>
      <c r="D12245" t="s">
        <v>668</v>
      </c>
      <c r="E12245">
        <v>1</v>
      </c>
    </row>
    <row r="12246" spans="1:5" x14ac:dyDescent="0.25">
      <c r="A12246">
        <v>12245</v>
      </c>
      <c r="B12246">
        <v>7725529</v>
      </c>
      <c r="C12246" s="1" t="str">
        <f>HYPERLINK("http://stackoverflow.com/users/7725529", "xmboy")</f>
        <v>xmboy</v>
      </c>
      <c r="D12246" t="s">
        <v>5</v>
      </c>
      <c r="E12246">
        <v>1</v>
      </c>
    </row>
    <row r="12247" spans="1:5" x14ac:dyDescent="0.25">
      <c r="A12247">
        <v>12246</v>
      </c>
      <c r="B12247">
        <v>7725537</v>
      </c>
      <c r="C12247" s="1" t="str">
        <f>HYPERLINK("http://stackoverflow.com/users/7725537", "chankyo")</f>
        <v>chankyo</v>
      </c>
      <c r="D12247" t="s">
        <v>15</v>
      </c>
      <c r="E12247">
        <v>1</v>
      </c>
    </row>
    <row r="12248" spans="1:5" x14ac:dyDescent="0.25">
      <c r="A12248">
        <v>12247</v>
      </c>
      <c r="B12248">
        <v>7726026</v>
      </c>
      <c r="C12248" s="1" t="str">
        <f>HYPERLINK("http://stackoverflow.com/users/7726026", "tjonkoo")</f>
        <v>tjonkoo</v>
      </c>
      <c r="D12248" t="s">
        <v>5</v>
      </c>
      <c r="E12248">
        <v>1</v>
      </c>
    </row>
    <row r="12249" spans="1:5" x14ac:dyDescent="0.25">
      <c r="A12249">
        <v>12248</v>
      </c>
      <c r="B12249">
        <v>5983540</v>
      </c>
      <c r="C12249" s="1" t="str">
        <f>HYPERLINK("http://stackoverflow.com/users/5983540", "Rayarrow")</f>
        <v>Rayarrow</v>
      </c>
      <c r="D12249" t="s">
        <v>27</v>
      </c>
      <c r="E12249">
        <v>1</v>
      </c>
    </row>
    <row r="12250" spans="1:5" x14ac:dyDescent="0.25">
      <c r="A12250">
        <v>12249</v>
      </c>
      <c r="B12250">
        <v>7725491</v>
      </c>
      <c r="C12250" s="1" t="str">
        <f>HYPERLINK("http://stackoverflow.com/users/7725491", "Pengxiang")</f>
        <v>Pengxiang</v>
      </c>
      <c r="D12250" t="s">
        <v>4</v>
      </c>
      <c r="E12250">
        <v>1</v>
      </c>
    </row>
    <row r="12251" spans="1:5" x14ac:dyDescent="0.25">
      <c r="A12251">
        <v>12250</v>
      </c>
      <c r="B12251">
        <v>7726094</v>
      </c>
      <c r="C12251" s="1" t="str">
        <f>HYPERLINK("http://stackoverflow.com/users/7726094", "Fence")</f>
        <v>Fence</v>
      </c>
      <c r="D12251" t="s">
        <v>25</v>
      </c>
      <c r="E12251">
        <v>1</v>
      </c>
    </row>
    <row r="12252" spans="1:5" x14ac:dyDescent="0.25">
      <c r="A12252">
        <v>12251</v>
      </c>
      <c r="B12252">
        <v>7726109</v>
      </c>
      <c r="C12252" s="1" t="str">
        <f>HYPERLINK("http://stackoverflow.com/users/7726109", "Huan Yang")</f>
        <v>Huan Yang</v>
      </c>
      <c r="D12252" t="s">
        <v>92</v>
      </c>
      <c r="E12252">
        <v>1</v>
      </c>
    </row>
    <row r="12253" spans="1:5" x14ac:dyDescent="0.25">
      <c r="A12253">
        <v>12252</v>
      </c>
      <c r="B12253">
        <v>4213233</v>
      </c>
      <c r="C12253" s="1" t="str">
        <f>HYPERLINK("http://stackoverflow.com/users/4213233", "Edison.Hsu")</f>
        <v>Edison.Hsu</v>
      </c>
      <c r="D12253" t="s">
        <v>4</v>
      </c>
      <c r="E12253">
        <v>1</v>
      </c>
    </row>
    <row r="12254" spans="1:5" x14ac:dyDescent="0.25">
      <c r="A12254">
        <v>12253</v>
      </c>
      <c r="B12254">
        <v>5983915</v>
      </c>
      <c r="C12254" s="1" t="str">
        <f>HYPERLINK("http://stackoverflow.com/users/5983915", "Liyuk")</f>
        <v>Liyuk</v>
      </c>
      <c r="D12254" t="s">
        <v>12</v>
      </c>
      <c r="E12254">
        <v>1</v>
      </c>
    </row>
    <row r="12255" spans="1:5" x14ac:dyDescent="0.25">
      <c r="A12255">
        <v>12254</v>
      </c>
      <c r="B12255">
        <v>5992801</v>
      </c>
      <c r="C12255" s="1" t="str">
        <f>HYPERLINK("http://stackoverflow.com/users/5992801", "Carlos")</f>
        <v>Carlos</v>
      </c>
      <c r="D12255" t="s">
        <v>7</v>
      </c>
      <c r="E12255">
        <v>1</v>
      </c>
    </row>
    <row r="12256" spans="1:5" x14ac:dyDescent="0.25">
      <c r="A12256">
        <v>12255</v>
      </c>
      <c r="B12256">
        <v>4221434</v>
      </c>
      <c r="C12256" s="1" t="str">
        <f>HYPERLINK("http://stackoverflow.com/users/4221434", "Jemy Zhang")</f>
        <v>Jemy Zhang</v>
      </c>
      <c r="D12256" t="s">
        <v>4</v>
      </c>
      <c r="E12256">
        <v>1</v>
      </c>
    </row>
    <row r="12257" spans="1:5" x14ac:dyDescent="0.25">
      <c r="A12257">
        <v>12256</v>
      </c>
      <c r="B12257">
        <v>7737616</v>
      </c>
      <c r="C12257" s="1" t="str">
        <f>HYPERLINK("http://stackoverflow.com/users/7737616", "Dede")</f>
        <v>Dede</v>
      </c>
      <c r="D12257" t="s">
        <v>5</v>
      </c>
      <c r="E12257">
        <v>1</v>
      </c>
    </row>
    <row r="12258" spans="1:5" x14ac:dyDescent="0.25">
      <c r="A12258">
        <v>12257</v>
      </c>
      <c r="B12258">
        <v>7737699</v>
      </c>
      <c r="C12258" s="1" t="str">
        <f>HYPERLINK("http://stackoverflow.com/users/7737699", "Shawn")</f>
        <v>Shawn</v>
      </c>
      <c r="D12258" t="s">
        <v>5</v>
      </c>
      <c r="E12258">
        <v>1</v>
      </c>
    </row>
    <row r="12259" spans="1:5" x14ac:dyDescent="0.25">
      <c r="A12259">
        <v>12258</v>
      </c>
      <c r="B12259">
        <v>7738064</v>
      </c>
      <c r="C12259" s="1" t="str">
        <f>HYPERLINK("http://stackoverflow.com/users/7738064", "Jiahax")</f>
        <v>Jiahax</v>
      </c>
      <c r="D12259" t="s">
        <v>669</v>
      </c>
      <c r="E12259">
        <v>1</v>
      </c>
    </row>
    <row r="12260" spans="1:5" x14ac:dyDescent="0.25">
      <c r="A12260">
        <v>12259</v>
      </c>
      <c r="B12260">
        <v>7738295</v>
      </c>
      <c r="C12260" s="1" t="str">
        <f>HYPERLINK("http://stackoverflow.com/users/7738295", "Delly.Liu")</f>
        <v>Delly.Liu</v>
      </c>
      <c r="D12260" t="s">
        <v>10</v>
      </c>
      <c r="E12260">
        <v>1</v>
      </c>
    </row>
    <row r="12261" spans="1:5" x14ac:dyDescent="0.25">
      <c r="A12261">
        <v>12260</v>
      </c>
      <c r="B12261">
        <v>7738388</v>
      </c>
      <c r="C12261" s="1" t="str">
        <f>HYPERLINK("http://stackoverflow.com/users/7738388", "leonel.")</f>
        <v>leonel.</v>
      </c>
      <c r="D12261" t="s">
        <v>550</v>
      </c>
      <c r="E12261">
        <v>1</v>
      </c>
    </row>
    <row r="12262" spans="1:5" x14ac:dyDescent="0.25">
      <c r="A12262">
        <v>12261</v>
      </c>
      <c r="B12262">
        <v>6006406</v>
      </c>
      <c r="C12262" s="1" t="str">
        <f>HYPERLINK("http://stackoverflow.com/users/6006406", "Paulo Wang")</f>
        <v>Paulo Wang</v>
      </c>
      <c r="D12262" t="s">
        <v>5</v>
      </c>
      <c r="E12262">
        <v>1</v>
      </c>
    </row>
    <row r="12263" spans="1:5" x14ac:dyDescent="0.25">
      <c r="A12263">
        <v>12262</v>
      </c>
      <c r="B12263">
        <v>7738805</v>
      </c>
      <c r="C12263" s="1" t="str">
        <f>HYPERLINK("http://stackoverflow.com/users/7738805", "Xiluo G")</f>
        <v>Xiluo G</v>
      </c>
      <c r="D12263" t="s">
        <v>4</v>
      </c>
      <c r="E12263">
        <v>1</v>
      </c>
    </row>
    <row r="12264" spans="1:5" x14ac:dyDescent="0.25">
      <c r="A12264">
        <v>12263</v>
      </c>
      <c r="B12264">
        <v>4234110</v>
      </c>
      <c r="C12264" s="1" t="str">
        <f>HYPERLINK("http://stackoverflow.com/users/4234110", "Yang")</f>
        <v>Yang</v>
      </c>
      <c r="D12264" t="s">
        <v>5</v>
      </c>
      <c r="E12264">
        <v>1</v>
      </c>
    </row>
    <row r="12265" spans="1:5" x14ac:dyDescent="0.25">
      <c r="A12265">
        <v>12264</v>
      </c>
      <c r="B12265">
        <v>6006709</v>
      </c>
      <c r="C12265" s="1" t="str">
        <f>HYPERLINK("http://stackoverflow.com/users/6006709", "just4wt")</f>
        <v>just4wt</v>
      </c>
      <c r="D12265" t="s">
        <v>7</v>
      </c>
      <c r="E12265">
        <v>1</v>
      </c>
    </row>
    <row r="12266" spans="1:5" x14ac:dyDescent="0.25">
      <c r="A12266">
        <v>12265</v>
      </c>
      <c r="B12266">
        <v>6007074</v>
      </c>
      <c r="C12266" s="1" t="str">
        <f>HYPERLINK("http://stackoverflow.com/users/6007074", "Yee")</f>
        <v>Yee</v>
      </c>
      <c r="D12266" t="s">
        <v>28</v>
      </c>
      <c r="E12266">
        <v>1</v>
      </c>
    </row>
    <row r="12267" spans="1:5" x14ac:dyDescent="0.25">
      <c r="A12267">
        <v>12266</v>
      </c>
      <c r="B12267">
        <v>6011313</v>
      </c>
      <c r="C12267" s="1" t="str">
        <f>HYPERLINK("http://stackoverflow.com/users/6011313", "Lestat")</f>
        <v>Lestat</v>
      </c>
      <c r="D12267" t="s">
        <v>28</v>
      </c>
      <c r="E12267">
        <v>1</v>
      </c>
    </row>
    <row r="12268" spans="1:5" x14ac:dyDescent="0.25">
      <c r="A12268">
        <v>12267</v>
      </c>
      <c r="B12268">
        <v>7751413</v>
      </c>
      <c r="C12268" s="1" t="str">
        <f>HYPERLINK("http://stackoverflow.com/users/7751413", "Kun Zhang")</f>
        <v>Kun Zhang</v>
      </c>
      <c r="D12268" t="s">
        <v>22</v>
      </c>
      <c r="E12268">
        <v>1</v>
      </c>
    </row>
    <row r="12269" spans="1:5" x14ac:dyDescent="0.25">
      <c r="A12269">
        <v>12268</v>
      </c>
      <c r="B12269">
        <v>6011546</v>
      </c>
      <c r="C12269" s="1" t="str">
        <f>HYPERLINK("http://stackoverflow.com/users/6011546", "Anthony Zhou")</f>
        <v>Anthony Zhou</v>
      </c>
      <c r="D12269" t="s">
        <v>4</v>
      </c>
      <c r="E12269">
        <v>1</v>
      </c>
    </row>
    <row r="12270" spans="1:5" x14ac:dyDescent="0.25">
      <c r="A12270">
        <v>12269</v>
      </c>
      <c r="B12270">
        <v>4246953</v>
      </c>
      <c r="C12270" s="1" t="str">
        <f>HYPERLINK("http://stackoverflow.com/users/4246953", "Wonderay")</f>
        <v>Wonderay</v>
      </c>
      <c r="D12270" t="s">
        <v>28</v>
      </c>
      <c r="E12270">
        <v>1</v>
      </c>
    </row>
    <row r="12271" spans="1:5" x14ac:dyDescent="0.25">
      <c r="A12271">
        <v>12270</v>
      </c>
      <c r="B12271">
        <v>4247142</v>
      </c>
      <c r="C12271" s="1" t="str">
        <f>HYPERLINK("http://stackoverflow.com/users/4247142", "Wang Yadong")</f>
        <v>Wang Yadong</v>
      </c>
      <c r="D12271" t="s">
        <v>4</v>
      </c>
      <c r="E12271">
        <v>1</v>
      </c>
    </row>
    <row r="12272" spans="1:5" x14ac:dyDescent="0.25">
      <c r="A12272">
        <v>12271</v>
      </c>
      <c r="B12272">
        <v>7759772</v>
      </c>
      <c r="C12272" s="1" t="str">
        <f>HYPERLINK("http://stackoverflow.com/users/7759772", "Ahaoy")</f>
        <v>Ahaoy</v>
      </c>
      <c r="D12272" t="s">
        <v>5</v>
      </c>
      <c r="E12272">
        <v>1</v>
      </c>
    </row>
    <row r="12273" spans="1:5" x14ac:dyDescent="0.25">
      <c r="A12273">
        <v>12272</v>
      </c>
      <c r="B12273">
        <v>7759815</v>
      </c>
      <c r="C12273" s="1" t="str">
        <f>HYPERLINK("http://stackoverflow.com/users/7759815", "蓝色草莓味")</f>
        <v>蓝色草莓味</v>
      </c>
      <c r="D12273" t="s">
        <v>25</v>
      </c>
      <c r="E12273">
        <v>1</v>
      </c>
    </row>
    <row r="12274" spans="1:5" x14ac:dyDescent="0.25">
      <c r="A12274">
        <v>12273</v>
      </c>
      <c r="B12274">
        <v>4255746</v>
      </c>
      <c r="C12274" s="1" t="str">
        <f>HYPERLINK("http://stackoverflow.com/users/4255746", "mountainking")</f>
        <v>mountainking</v>
      </c>
      <c r="D12274" t="s">
        <v>5</v>
      </c>
      <c r="E12274">
        <v>1</v>
      </c>
    </row>
    <row r="12275" spans="1:5" x14ac:dyDescent="0.25">
      <c r="A12275">
        <v>12274</v>
      </c>
      <c r="B12275">
        <v>6027888</v>
      </c>
      <c r="C12275" s="1" t="str">
        <f>HYPERLINK("http://stackoverflow.com/users/6027888", "Mingwei Guo")</f>
        <v>Mingwei Guo</v>
      </c>
      <c r="D12275" t="s">
        <v>25</v>
      </c>
      <c r="E12275">
        <v>1</v>
      </c>
    </row>
    <row r="12276" spans="1:5" x14ac:dyDescent="0.25">
      <c r="A12276">
        <v>12275</v>
      </c>
      <c r="B12276">
        <v>6027361</v>
      </c>
      <c r="C12276" s="1" t="str">
        <f>HYPERLINK("http://stackoverflow.com/users/6027361", "王永军")</f>
        <v>王永军</v>
      </c>
      <c r="D12276" t="s">
        <v>5</v>
      </c>
      <c r="E12276">
        <v>1</v>
      </c>
    </row>
    <row r="12277" spans="1:5" x14ac:dyDescent="0.25">
      <c r="A12277">
        <v>12276</v>
      </c>
      <c r="B12277">
        <v>6006494</v>
      </c>
      <c r="C12277" s="1" t="str">
        <f>HYPERLINK("http://stackoverflow.com/users/6006494", "younazaka")</f>
        <v>younazaka</v>
      </c>
      <c r="D12277" t="s">
        <v>5</v>
      </c>
      <c r="E12277">
        <v>1</v>
      </c>
    </row>
    <row r="12278" spans="1:5" x14ac:dyDescent="0.25">
      <c r="A12278">
        <v>12277</v>
      </c>
      <c r="B12278">
        <v>6006587</v>
      </c>
      <c r="C12278" s="1" t="str">
        <f>HYPERLINK("http://stackoverflow.com/users/6006587", "pmg1989")</f>
        <v>pmg1989</v>
      </c>
      <c r="D12278" t="s">
        <v>4</v>
      </c>
      <c r="E12278">
        <v>1</v>
      </c>
    </row>
    <row r="12279" spans="1:5" x14ac:dyDescent="0.25">
      <c r="A12279">
        <v>12278</v>
      </c>
      <c r="B12279">
        <v>7772435</v>
      </c>
      <c r="C12279" s="1" t="str">
        <f>HYPERLINK("http://stackoverflow.com/users/7772435", "Tsing")</f>
        <v>Tsing</v>
      </c>
      <c r="D12279" t="s">
        <v>270</v>
      </c>
      <c r="E12279">
        <v>1</v>
      </c>
    </row>
    <row r="12280" spans="1:5" x14ac:dyDescent="0.25">
      <c r="A12280">
        <v>12279</v>
      </c>
      <c r="B12280">
        <v>7768244</v>
      </c>
      <c r="C12280" s="1" t="str">
        <f>HYPERLINK("http://stackoverflow.com/users/7768244", "Kvar_ispw17")</f>
        <v>Kvar_ispw17</v>
      </c>
      <c r="D12280" t="s">
        <v>180</v>
      </c>
      <c r="E12280">
        <v>1</v>
      </c>
    </row>
    <row r="12281" spans="1:5" x14ac:dyDescent="0.25">
      <c r="A12281">
        <v>12280</v>
      </c>
      <c r="B12281">
        <v>6028196</v>
      </c>
      <c r="C12281" s="1" t="str">
        <f>HYPERLINK("http://stackoverflow.com/users/6028196", "NaG24")</f>
        <v>NaG24</v>
      </c>
      <c r="D12281" t="s">
        <v>16</v>
      </c>
      <c r="E12281">
        <v>1</v>
      </c>
    </row>
    <row r="12282" spans="1:5" x14ac:dyDescent="0.25">
      <c r="A12282">
        <v>12281</v>
      </c>
      <c r="B12282">
        <v>6028396</v>
      </c>
      <c r="C12282" s="1" t="str">
        <f>HYPERLINK("http://stackoverflow.com/users/6028396", "ZhiyuanCui")</f>
        <v>ZhiyuanCui</v>
      </c>
      <c r="D12282" t="s">
        <v>4</v>
      </c>
      <c r="E12282">
        <v>1</v>
      </c>
    </row>
    <row r="12283" spans="1:5" x14ac:dyDescent="0.25">
      <c r="A12283">
        <v>12282</v>
      </c>
      <c r="B12283">
        <v>4260265</v>
      </c>
      <c r="C12283" s="1" t="str">
        <f>HYPERLINK("http://stackoverflow.com/users/4260265", "Joe Zhu")</f>
        <v>Joe Zhu</v>
      </c>
      <c r="D12283" t="s">
        <v>5</v>
      </c>
      <c r="E12283">
        <v>1</v>
      </c>
    </row>
    <row r="12284" spans="1:5" x14ac:dyDescent="0.25">
      <c r="A12284">
        <v>12283</v>
      </c>
      <c r="B12284">
        <v>4260323</v>
      </c>
      <c r="C12284" s="1" t="str">
        <f>HYPERLINK("http://stackoverflow.com/users/4260323", "三包可可")</f>
        <v>三包可可</v>
      </c>
      <c r="D12284" t="s">
        <v>5</v>
      </c>
      <c r="E12284">
        <v>1</v>
      </c>
    </row>
    <row r="12285" spans="1:5" x14ac:dyDescent="0.25">
      <c r="A12285">
        <v>12284</v>
      </c>
      <c r="B12285">
        <v>7782990</v>
      </c>
      <c r="C12285" s="1" t="str">
        <f>HYPERLINK("http://stackoverflow.com/users/7782990", "Michael Wu")</f>
        <v>Michael Wu</v>
      </c>
      <c r="D12285" t="s">
        <v>5</v>
      </c>
      <c r="E12285">
        <v>1</v>
      </c>
    </row>
    <row r="12286" spans="1:5" x14ac:dyDescent="0.25">
      <c r="A12286">
        <v>12285</v>
      </c>
      <c r="B12286">
        <v>7783135</v>
      </c>
      <c r="C12286" s="1" t="str">
        <f>HYPERLINK("http://stackoverflow.com/users/7783135", "Charles Trump")</f>
        <v>Charles Trump</v>
      </c>
      <c r="D12286" t="s">
        <v>670</v>
      </c>
      <c r="E12286">
        <v>1</v>
      </c>
    </row>
    <row r="12287" spans="1:5" x14ac:dyDescent="0.25">
      <c r="A12287">
        <v>12286</v>
      </c>
      <c r="B12287">
        <v>7783187</v>
      </c>
      <c r="C12287" s="1" t="str">
        <f>HYPERLINK("http://stackoverflow.com/users/7783187", "xfslove")</f>
        <v>xfslove</v>
      </c>
      <c r="D12287" t="s">
        <v>4</v>
      </c>
      <c r="E12287">
        <v>1</v>
      </c>
    </row>
    <row r="12288" spans="1:5" x14ac:dyDescent="0.25">
      <c r="A12288">
        <v>12287</v>
      </c>
      <c r="B12288">
        <v>7783198</v>
      </c>
      <c r="C12288" s="1" t="str">
        <f>HYPERLINK("http://stackoverflow.com/users/7783198", "郑剑川")</f>
        <v>郑剑川</v>
      </c>
      <c r="D12288" t="s">
        <v>7</v>
      </c>
      <c r="E12288">
        <v>1</v>
      </c>
    </row>
    <row r="12289" spans="1:5" x14ac:dyDescent="0.25">
      <c r="A12289">
        <v>12288</v>
      </c>
      <c r="B12289">
        <v>7783201</v>
      </c>
      <c r="C12289" s="1" t="str">
        <f>HYPERLINK("http://stackoverflow.com/users/7783201", "xuqing chen")</f>
        <v>xuqing chen</v>
      </c>
      <c r="D12289" t="s">
        <v>5</v>
      </c>
      <c r="E12289">
        <v>1</v>
      </c>
    </row>
    <row r="12290" spans="1:5" x14ac:dyDescent="0.25">
      <c r="A12290">
        <v>12289</v>
      </c>
      <c r="B12290">
        <v>7783241</v>
      </c>
      <c r="C12290" s="1" t="str">
        <f>HYPERLINK("http://stackoverflow.com/users/7783241", "HooHooE")</f>
        <v>HooHooE</v>
      </c>
      <c r="D12290" t="s">
        <v>7</v>
      </c>
      <c r="E12290">
        <v>1</v>
      </c>
    </row>
    <row r="12291" spans="1:5" x14ac:dyDescent="0.25">
      <c r="A12291">
        <v>12290</v>
      </c>
      <c r="B12291">
        <v>7783262</v>
      </c>
      <c r="C12291" s="1" t="str">
        <f>HYPERLINK("http://stackoverflow.com/users/7783262", "bigqiang")</f>
        <v>bigqiang</v>
      </c>
      <c r="D12291" t="s">
        <v>5</v>
      </c>
      <c r="E12291">
        <v>1</v>
      </c>
    </row>
    <row r="12292" spans="1:5" x14ac:dyDescent="0.25">
      <c r="A12292">
        <v>12291</v>
      </c>
      <c r="B12292">
        <v>4272401</v>
      </c>
      <c r="C12292" s="1" t="str">
        <f>HYPERLINK("http://stackoverflow.com/users/4272401", "py100")</f>
        <v>py100</v>
      </c>
      <c r="D12292" t="s">
        <v>19</v>
      </c>
      <c r="E12292">
        <v>1</v>
      </c>
    </row>
    <row r="12293" spans="1:5" x14ac:dyDescent="0.25">
      <c r="A12293">
        <v>12292</v>
      </c>
      <c r="B12293">
        <v>4285710</v>
      </c>
      <c r="C12293" s="1" t="str">
        <f>HYPERLINK("http://stackoverflow.com/users/4285710", "zqzhang")</f>
        <v>zqzhang</v>
      </c>
      <c r="D12293" t="s">
        <v>4</v>
      </c>
      <c r="E12293">
        <v>1</v>
      </c>
    </row>
    <row r="12294" spans="1:5" x14ac:dyDescent="0.25">
      <c r="A12294">
        <v>12293</v>
      </c>
      <c r="B12294">
        <v>4286005</v>
      </c>
      <c r="C12294" s="1" t="str">
        <f>HYPERLINK("http://stackoverflow.com/users/4286005", "gudaojuanma")</f>
        <v>gudaojuanma</v>
      </c>
      <c r="D12294" t="s">
        <v>7</v>
      </c>
      <c r="E12294">
        <v>1</v>
      </c>
    </row>
    <row r="12295" spans="1:5" x14ac:dyDescent="0.25">
      <c r="A12295">
        <v>12294</v>
      </c>
      <c r="B12295">
        <v>4302402</v>
      </c>
      <c r="C12295" s="1" t="str">
        <f>HYPERLINK("http://stackoverflow.com/users/4302402", "Moni Zapata")</f>
        <v>Moni Zapata</v>
      </c>
      <c r="D12295" t="s">
        <v>671</v>
      </c>
      <c r="E12295">
        <v>1</v>
      </c>
    </row>
    <row r="12296" spans="1:5" x14ac:dyDescent="0.25">
      <c r="A12296">
        <v>12295</v>
      </c>
      <c r="B12296">
        <v>7772511</v>
      </c>
      <c r="C12296" s="1" t="str">
        <f>HYPERLINK("http://stackoverflow.com/users/7772511", "Yuz")</f>
        <v>Yuz</v>
      </c>
      <c r="D12296" t="s">
        <v>214</v>
      </c>
      <c r="E12296">
        <v>1</v>
      </c>
    </row>
    <row r="12297" spans="1:5" x14ac:dyDescent="0.25">
      <c r="A12297">
        <v>12296</v>
      </c>
      <c r="B12297">
        <v>4287998</v>
      </c>
      <c r="C12297" s="1" t="str">
        <f>HYPERLINK("http://stackoverflow.com/users/4287998", "tocausan")</f>
        <v>tocausan</v>
      </c>
      <c r="D12297" t="s">
        <v>4</v>
      </c>
      <c r="E12297">
        <v>1</v>
      </c>
    </row>
    <row r="12298" spans="1:5" x14ac:dyDescent="0.25">
      <c r="A12298">
        <v>12297</v>
      </c>
      <c r="B12298">
        <v>4300639</v>
      </c>
      <c r="C12298" s="1" t="str">
        <f>HYPERLINK("http://stackoverflow.com/users/4300639", "lu6399121")</f>
        <v>lu6399121</v>
      </c>
      <c r="D12298" t="s">
        <v>17</v>
      </c>
      <c r="E12298">
        <v>1</v>
      </c>
    </row>
    <row r="12299" spans="1:5" x14ac:dyDescent="0.25">
      <c r="A12299">
        <v>12298</v>
      </c>
      <c r="B12299">
        <v>5949628</v>
      </c>
      <c r="C12299" s="1" t="str">
        <f>HYPERLINK("http://stackoverflow.com/users/5949628", "Liang Tian")</f>
        <v>Liang Tian</v>
      </c>
      <c r="D12299" t="s">
        <v>5</v>
      </c>
      <c r="E12299">
        <v>1</v>
      </c>
    </row>
    <row r="12300" spans="1:5" x14ac:dyDescent="0.25">
      <c r="A12300">
        <v>12299</v>
      </c>
      <c r="B12300">
        <v>5949826</v>
      </c>
      <c r="C12300" s="1" t="str">
        <f>HYPERLINK("http://stackoverflow.com/users/5949826", "calmly")</f>
        <v>calmly</v>
      </c>
      <c r="D12300" t="s">
        <v>62</v>
      </c>
      <c r="E12300">
        <v>1</v>
      </c>
    </row>
    <row r="12301" spans="1:5" x14ac:dyDescent="0.25">
      <c r="A12301">
        <v>12300</v>
      </c>
      <c r="B12301">
        <v>4188458</v>
      </c>
      <c r="C12301" s="1" t="str">
        <f>HYPERLINK("http://stackoverflow.com/users/4188458", "Yanhui Xie")</f>
        <v>Yanhui Xie</v>
      </c>
      <c r="D12301" t="s">
        <v>672</v>
      </c>
      <c r="E12301">
        <v>1</v>
      </c>
    </row>
    <row r="12302" spans="1:5" x14ac:dyDescent="0.25">
      <c r="A12302">
        <v>12301</v>
      </c>
      <c r="B12302">
        <v>4188555</v>
      </c>
      <c r="C12302" s="1" t="str">
        <f>HYPERLINK("http://stackoverflow.com/users/4188555", "Wukai")</f>
        <v>Wukai</v>
      </c>
      <c r="D12302" t="s">
        <v>3</v>
      </c>
      <c r="E12302">
        <v>1</v>
      </c>
    </row>
    <row r="12303" spans="1:5" x14ac:dyDescent="0.25">
      <c r="A12303">
        <v>12302</v>
      </c>
      <c r="B12303">
        <v>7701741</v>
      </c>
      <c r="C12303" s="1" t="str">
        <f>HYPERLINK("http://stackoverflow.com/users/7701741", "Denis  Pluzhnikov")</f>
        <v>Denis  Pluzhnikov</v>
      </c>
      <c r="D12303" t="s">
        <v>62</v>
      </c>
      <c r="E12303">
        <v>1</v>
      </c>
    </row>
    <row r="12304" spans="1:5" x14ac:dyDescent="0.25">
      <c r="A12304">
        <v>12303</v>
      </c>
      <c r="B12304">
        <v>7701790</v>
      </c>
      <c r="C12304" s="1" t="str">
        <f>HYPERLINK("http://stackoverflow.com/users/7701790", "Turing")</f>
        <v>Turing</v>
      </c>
      <c r="D12304" t="s">
        <v>5</v>
      </c>
      <c r="E12304">
        <v>1</v>
      </c>
    </row>
    <row r="12305" spans="1:5" x14ac:dyDescent="0.25">
      <c r="A12305">
        <v>12304</v>
      </c>
      <c r="B12305">
        <v>7701948</v>
      </c>
      <c r="C12305" s="1" t="str">
        <f>HYPERLINK("http://stackoverflow.com/users/7701948", "Yves Tsai")</f>
        <v>Yves Tsai</v>
      </c>
      <c r="D12305" t="s">
        <v>5</v>
      </c>
      <c r="E12305">
        <v>1</v>
      </c>
    </row>
    <row r="12306" spans="1:5" x14ac:dyDescent="0.25">
      <c r="A12306">
        <v>12305</v>
      </c>
      <c r="B12306">
        <v>7701968</v>
      </c>
      <c r="C12306" s="1" t="str">
        <f>HYPERLINK("http://stackoverflow.com/users/7701968", "Tao")</f>
        <v>Tao</v>
      </c>
      <c r="D12306" t="s">
        <v>28</v>
      </c>
      <c r="E12306">
        <v>1</v>
      </c>
    </row>
    <row r="12307" spans="1:5" x14ac:dyDescent="0.25">
      <c r="A12307">
        <v>12306</v>
      </c>
      <c r="B12307">
        <v>7702031</v>
      </c>
      <c r="C12307" s="1" t="str">
        <f>HYPERLINK("http://stackoverflow.com/users/7702031", "Rickie_Lambert")</f>
        <v>Rickie_Lambert</v>
      </c>
      <c r="D12307" t="s">
        <v>673</v>
      </c>
      <c r="E12307">
        <v>1</v>
      </c>
    </row>
    <row r="12308" spans="1:5" x14ac:dyDescent="0.25">
      <c r="A12308">
        <v>12307</v>
      </c>
      <c r="B12308">
        <v>5955309</v>
      </c>
      <c r="C12308" s="1" t="str">
        <f>HYPERLINK("http://stackoverflow.com/users/5955309", "DuChaoJun")</f>
        <v>DuChaoJun</v>
      </c>
      <c r="D12308" t="s">
        <v>4</v>
      </c>
      <c r="E12308">
        <v>1</v>
      </c>
    </row>
    <row r="12309" spans="1:5" x14ac:dyDescent="0.25">
      <c r="A12309">
        <v>12308</v>
      </c>
      <c r="B12309">
        <v>5955751</v>
      </c>
      <c r="C12309" s="1" t="str">
        <f>HYPERLINK("http://stackoverflow.com/users/5955751", "Zaven Z.")</f>
        <v>Zaven Z.</v>
      </c>
      <c r="D12309" t="s">
        <v>25</v>
      </c>
      <c r="E12309">
        <v>1</v>
      </c>
    </row>
    <row r="12310" spans="1:5" x14ac:dyDescent="0.25">
      <c r="A12310">
        <v>12309</v>
      </c>
      <c r="B12310">
        <v>5972490</v>
      </c>
      <c r="C12310" s="1" t="str">
        <f>HYPERLINK("http://stackoverflow.com/users/5972490", "hunter")</f>
        <v>hunter</v>
      </c>
      <c r="D12310" t="s">
        <v>5</v>
      </c>
      <c r="E12310">
        <v>1</v>
      </c>
    </row>
    <row r="12311" spans="1:5" x14ac:dyDescent="0.25">
      <c r="A12311">
        <v>12310</v>
      </c>
      <c r="B12311">
        <v>5972524</v>
      </c>
      <c r="C12311" s="1" t="str">
        <f>HYPERLINK("http://stackoverflow.com/users/5972524", "张忠旺")</f>
        <v>张忠旺</v>
      </c>
      <c r="D12311" t="s">
        <v>118</v>
      </c>
      <c r="E12311">
        <v>1</v>
      </c>
    </row>
    <row r="12312" spans="1:5" x14ac:dyDescent="0.25">
      <c r="A12312">
        <v>12311</v>
      </c>
      <c r="B12312">
        <v>5972593</v>
      </c>
      <c r="C12312" s="1" t="str">
        <f>HYPERLINK("http://stackoverflow.com/users/5972593", "interson")</f>
        <v>interson</v>
      </c>
      <c r="D12312" t="s">
        <v>5</v>
      </c>
      <c r="E12312">
        <v>1</v>
      </c>
    </row>
    <row r="12313" spans="1:5" x14ac:dyDescent="0.25">
      <c r="A12313">
        <v>12312</v>
      </c>
      <c r="B12313">
        <v>5972686</v>
      </c>
      <c r="C12313" s="1" t="str">
        <f>HYPERLINK("http://stackoverflow.com/users/5972686", "fefeko")</f>
        <v>fefeko</v>
      </c>
      <c r="D12313" t="s">
        <v>4</v>
      </c>
      <c r="E12313">
        <v>1</v>
      </c>
    </row>
    <row r="12314" spans="1:5" x14ac:dyDescent="0.25">
      <c r="A12314">
        <v>12313</v>
      </c>
      <c r="B12314">
        <v>5972691</v>
      </c>
      <c r="C12314" s="1" t="str">
        <f>HYPERLINK("http://stackoverflow.com/users/5972691", "Chris.Liu")</f>
        <v>Chris.Liu</v>
      </c>
      <c r="D12314" t="s">
        <v>5</v>
      </c>
      <c r="E12314">
        <v>1</v>
      </c>
    </row>
    <row r="12315" spans="1:5" x14ac:dyDescent="0.25">
      <c r="A12315">
        <v>12314</v>
      </c>
      <c r="B12315">
        <v>5972815</v>
      </c>
      <c r="C12315" s="1" t="str">
        <f>HYPERLINK("http://stackoverflow.com/users/5972815", "Tom")</f>
        <v>Tom</v>
      </c>
      <c r="D12315" t="s">
        <v>120</v>
      </c>
      <c r="E12315">
        <v>1</v>
      </c>
    </row>
    <row r="12316" spans="1:5" x14ac:dyDescent="0.25">
      <c r="A12316">
        <v>12315</v>
      </c>
      <c r="B12316">
        <v>5973416</v>
      </c>
      <c r="C12316" s="1" t="str">
        <f>HYPERLINK("http://stackoverflow.com/users/5973416", "Leethine")</f>
        <v>Leethine</v>
      </c>
      <c r="D12316" t="s">
        <v>6</v>
      </c>
      <c r="E12316">
        <v>1</v>
      </c>
    </row>
    <row r="12317" spans="1:5" x14ac:dyDescent="0.25">
      <c r="A12317">
        <v>12316</v>
      </c>
      <c r="B12317">
        <v>4204489</v>
      </c>
      <c r="C12317" s="1" t="str">
        <f>HYPERLINK("http://stackoverflow.com/users/4204489", "Chaos Tom")</f>
        <v>Chaos Tom</v>
      </c>
      <c r="D12317" t="s">
        <v>496</v>
      </c>
      <c r="E12317">
        <v>1</v>
      </c>
    </row>
    <row r="12318" spans="1:5" x14ac:dyDescent="0.25">
      <c r="A12318">
        <v>12317</v>
      </c>
      <c r="B12318">
        <v>4148025</v>
      </c>
      <c r="C12318" s="1" t="str">
        <f>HYPERLINK("http://stackoverflow.com/users/4148025", "Wesley Sun")</f>
        <v>Wesley Sun</v>
      </c>
      <c r="D12318" t="s">
        <v>47</v>
      </c>
      <c r="E12318">
        <v>1</v>
      </c>
    </row>
    <row r="12319" spans="1:5" x14ac:dyDescent="0.25">
      <c r="A12319">
        <v>12318</v>
      </c>
      <c r="B12319">
        <v>7665558</v>
      </c>
      <c r="C12319" s="1" t="str">
        <f>HYPERLINK("http://stackoverflow.com/users/7665558", "Vicky Zhou")</f>
        <v>Vicky Zhou</v>
      </c>
      <c r="D12319" t="s">
        <v>4</v>
      </c>
      <c r="E12319">
        <v>1</v>
      </c>
    </row>
    <row r="12320" spans="1:5" x14ac:dyDescent="0.25">
      <c r="A12320">
        <v>12319</v>
      </c>
      <c r="B12320">
        <v>5932990</v>
      </c>
      <c r="C12320" s="1" t="str">
        <f>HYPERLINK("http://stackoverflow.com/users/5932990", "Yuxiao Zhang")</f>
        <v>Yuxiao Zhang</v>
      </c>
      <c r="D12320" t="s">
        <v>5</v>
      </c>
      <c r="E12320">
        <v>1</v>
      </c>
    </row>
    <row r="12321" spans="1:5" x14ac:dyDescent="0.25">
      <c r="A12321">
        <v>12320</v>
      </c>
      <c r="B12321">
        <v>5933422</v>
      </c>
      <c r="C12321" s="1" t="str">
        <f>HYPERLINK("http://stackoverflow.com/users/5933422", "YouKe")</f>
        <v>YouKe</v>
      </c>
      <c r="D12321" t="s">
        <v>4</v>
      </c>
      <c r="E12321">
        <v>1</v>
      </c>
    </row>
    <row r="12322" spans="1:5" x14ac:dyDescent="0.25">
      <c r="A12322">
        <v>12321</v>
      </c>
      <c r="B12322">
        <v>5933651</v>
      </c>
      <c r="C12322" s="1" t="str">
        <f>HYPERLINK("http://stackoverflow.com/users/5933651", "sallyone")</f>
        <v>sallyone</v>
      </c>
      <c r="D12322" t="s">
        <v>16</v>
      </c>
      <c r="E12322">
        <v>1</v>
      </c>
    </row>
    <row r="12323" spans="1:5" x14ac:dyDescent="0.25">
      <c r="A12323">
        <v>12322</v>
      </c>
      <c r="B12323">
        <v>5933798</v>
      </c>
      <c r="C12323" s="1" t="str">
        <f>HYPERLINK("http://stackoverflow.com/users/5933798", "Yiphy")</f>
        <v>Yiphy</v>
      </c>
      <c r="D12323" t="s">
        <v>5</v>
      </c>
      <c r="E12323">
        <v>1</v>
      </c>
    </row>
    <row r="12324" spans="1:5" x14ac:dyDescent="0.25">
      <c r="A12324">
        <v>12323</v>
      </c>
      <c r="B12324">
        <v>5933909</v>
      </c>
      <c r="C12324" s="1" t="str">
        <f>HYPERLINK("http://stackoverflow.com/users/5933909", "chpengzh")</f>
        <v>chpengzh</v>
      </c>
      <c r="D12324" t="s">
        <v>25</v>
      </c>
      <c r="E12324">
        <v>1</v>
      </c>
    </row>
    <row r="12325" spans="1:5" x14ac:dyDescent="0.25">
      <c r="A12325">
        <v>12324</v>
      </c>
      <c r="B12325">
        <v>4172936</v>
      </c>
      <c r="C12325" s="1" t="str">
        <f>HYPERLINK("http://stackoverflow.com/users/4172936", "Simon")</f>
        <v>Simon</v>
      </c>
      <c r="D12325" t="s">
        <v>4</v>
      </c>
      <c r="E12325">
        <v>1</v>
      </c>
    </row>
    <row r="12326" spans="1:5" x14ac:dyDescent="0.25">
      <c r="A12326">
        <v>12325</v>
      </c>
      <c r="B12326">
        <v>5948702</v>
      </c>
      <c r="C12326" s="1" t="str">
        <f>HYPERLINK("http://stackoverflow.com/users/5948702", "zhao zhao")</f>
        <v>zhao zhao</v>
      </c>
      <c r="D12326" t="s">
        <v>87</v>
      </c>
      <c r="E12326">
        <v>1</v>
      </c>
    </row>
    <row r="12327" spans="1:5" x14ac:dyDescent="0.25">
      <c r="A12327">
        <v>12326</v>
      </c>
      <c r="B12327">
        <v>7695175</v>
      </c>
      <c r="C12327" s="1" t="str">
        <f>HYPERLINK("http://stackoverflow.com/users/7695175", "wongxinjie")</f>
        <v>wongxinjie</v>
      </c>
      <c r="D12327" t="s">
        <v>25</v>
      </c>
      <c r="E12327">
        <v>1</v>
      </c>
    </row>
    <row r="12328" spans="1:5" x14ac:dyDescent="0.25">
      <c r="A12328">
        <v>12327</v>
      </c>
      <c r="B12328">
        <v>7695247</v>
      </c>
      <c r="C12328" s="1" t="str">
        <f>HYPERLINK("http://stackoverflow.com/users/7695247", "Jayce")</f>
        <v>Jayce</v>
      </c>
      <c r="D12328" t="s">
        <v>114</v>
      </c>
      <c r="E12328">
        <v>1</v>
      </c>
    </row>
    <row r="12329" spans="1:5" x14ac:dyDescent="0.25">
      <c r="A12329">
        <v>12328</v>
      </c>
      <c r="B12329">
        <v>7695351</v>
      </c>
      <c r="C12329" s="1" t="str">
        <f>HYPERLINK("http://stackoverflow.com/users/7695351", "iotmi")</f>
        <v>iotmi</v>
      </c>
      <c r="D12329" t="s">
        <v>4</v>
      </c>
      <c r="E12329">
        <v>1</v>
      </c>
    </row>
    <row r="12330" spans="1:5" x14ac:dyDescent="0.25">
      <c r="A12330">
        <v>12329</v>
      </c>
      <c r="B12330">
        <v>7695579</v>
      </c>
      <c r="C12330" s="1" t="str">
        <f>HYPERLINK("http://stackoverflow.com/users/7695579", "Zorroluo")</f>
        <v>Zorroluo</v>
      </c>
      <c r="D12330" t="s">
        <v>7</v>
      </c>
      <c r="E12330">
        <v>1</v>
      </c>
    </row>
    <row r="12331" spans="1:5" x14ac:dyDescent="0.25">
      <c r="A12331">
        <v>12330</v>
      </c>
      <c r="B12331">
        <v>5949125</v>
      </c>
      <c r="C12331" s="1" t="str">
        <f>HYPERLINK("http://stackoverflow.com/users/5949125", "ZombieTech")</f>
        <v>ZombieTech</v>
      </c>
      <c r="D12331" t="s">
        <v>674</v>
      </c>
      <c r="E12331">
        <v>1</v>
      </c>
    </row>
    <row r="12332" spans="1:5" x14ac:dyDescent="0.25">
      <c r="A12332">
        <v>12331</v>
      </c>
      <c r="B12332">
        <v>5949165</v>
      </c>
      <c r="C12332" s="1" t="str">
        <f>HYPERLINK("http://stackoverflow.com/users/5949165", "Black Jia")</f>
        <v>Black Jia</v>
      </c>
      <c r="D12332" t="s">
        <v>5</v>
      </c>
      <c r="E12332">
        <v>1</v>
      </c>
    </row>
    <row r="12333" spans="1:5" x14ac:dyDescent="0.25">
      <c r="A12333">
        <v>12332</v>
      </c>
      <c r="B12333">
        <v>5949356</v>
      </c>
      <c r="C12333" s="1" t="str">
        <f>HYPERLINK("http://stackoverflow.com/users/5949356", "Hang.Yin")</f>
        <v>Hang.Yin</v>
      </c>
      <c r="D12333" t="s">
        <v>74</v>
      </c>
      <c r="E12333">
        <v>1</v>
      </c>
    </row>
    <row r="12334" spans="1:5" x14ac:dyDescent="0.25">
      <c r="A12334">
        <v>12333</v>
      </c>
      <c r="B12334">
        <v>4136190</v>
      </c>
      <c r="C12334" s="1" t="str">
        <f>HYPERLINK("http://stackoverflow.com/users/4136190", "allenright")</f>
        <v>allenright</v>
      </c>
      <c r="D12334" t="s">
        <v>8</v>
      </c>
      <c r="E12334">
        <v>1</v>
      </c>
    </row>
    <row r="12335" spans="1:5" x14ac:dyDescent="0.25">
      <c r="A12335">
        <v>12334</v>
      </c>
      <c r="B12335">
        <v>4136828</v>
      </c>
      <c r="C12335" s="1" t="str">
        <f>HYPERLINK("http://stackoverflow.com/users/4136828", "fulltimefarmer")</f>
        <v>fulltimefarmer</v>
      </c>
      <c r="D12335" t="s">
        <v>4</v>
      </c>
      <c r="E12335">
        <v>1</v>
      </c>
    </row>
    <row r="12336" spans="1:5" x14ac:dyDescent="0.25">
      <c r="A12336">
        <v>12335</v>
      </c>
      <c r="B12336">
        <v>7653907</v>
      </c>
      <c r="C12336" s="1" t="str">
        <f>HYPERLINK("http://stackoverflow.com/users/7653907", "YaBiaoWu")</f>
        <v>YaBiaoWu</v>
      </c>
      <c r="D12336" t="s">
        <v>7</v>
      </c>
      <c r="E12336">
        <v>1</v>
      </c>
    </row>
    <row r="12337" spans="1:5" x14ac:dyDescent="0.25">
      <c r="A12337">
        <v>12336</v>
      </c>
      <c r="B12337">
        <v>9593033</v>
      </c>
      <c r="C12337" s="1" t="str">
        <f>HYPERLINK("http://stackoverflow.com/users/9593033", "HaiChen Song")</f>
        <v>HaiChen Song</v>
      </c>
      <c r="D12337" t="s">
        <v>33</v>
      </c>
      <c r="E12337">
        <v>1</v>
      </c>
    </row>
    <row r="12338" spans="1:5" x14ac:dyDescent="0.25">
      <c r="A12338">
        <v>12337</v>
      </c>
      <c r="B12338">
        <v>5917107</v>
      </c>
      <c r="C12338" s="1" t="str">
        <f>HYPERLINK("http://stackoverflow.com/users/5917107", "Greek Alice")</f>
        <v>Greek Alice</v>
      </c>
      <c r="D12338" t="s">
        <v>6</v>
      </c>
      <c r="E12338">
        <v>1</v>
      </c>
    </row>
    <row r="12339" spans="1:5" x14ac:dyDescent="0.25">
      <c r="A12339">
        <v>12338</v>
      </c>
      <c r="B12339">
        <v>7664527</v>
      </c>
      <c r="C12339" s="1" t="str">
        <f>HYPERLINK("http://stackoverflow.com/users/7664527", "Bill Chen")</f>
        <v>Bill Chen</v>
      </c>
      <c r="D12339" t="s">
        <v>16</v>
      </c>
      <c r="E12339">
        <v>1</v>
      </c>
    </row>
    <row r="12340" spans="1:5" x14ac:dyDescent="0.25">
      <c r="A12340">
        <v>12339</v>
      </c>
      <c r="B12340">
        <v>7664825</v>
      </c>
      <c r="C12340" s="1" t="str">
        <f>HYPERLINK("http://stackoverflow.com/users/7664825", "Finley.Cheng")</f>
        <v>Finley.Cheng</v>
      </c>
      <c r="D12340" t="s">
        <v>4</v>
      </c>
      <c r="E12340">
        <v>1</v>
      </c>
    </row>
    <row r="12341" spans="1:5" x14ac:dyDescent="0.25">
      <c r="A12341">
        <v>12340</v>
      </c>
      <c r="B12341">
        <v>7640060</v>
      </c>
      <c r="C12341" s="1" t="str">
        <f>HYPERLINK("http://stackoverflow.com/users/7640060", "Srinivasa Chamarthy")</f>
        <v>Srinivasa Chamarthy</v>
      </c>
      <c r="D12341" t="s">
        <v>28</v>
      </c>
      <c r="E12341">
        <v>1</v>
      </c>
    </row>
    <row r="12342" spans="1:5" x14ac:dyDescent="0.25">
      <c r="A12342">
        <v>12341</v>
      </c>
      <c r="B12342">
        <v>7640222</v>
      </c>
      <c r="C12342" s="1" t="str">
        <f>HYPERLINK("http://stackoverflow.com/users/7640222", "Jinyu Liu")</f>
        <v>Jinyu Liu</v>
      </c>
      <c r="D12342" t="s">
        <v>4</v>
      </c>
      <c r="E12342">
        <v>1</v>
      </c>
    </row>
    <row r="12343" spans="1:5" x14ac:dyDescent="0.25">
      <c r="A12343">
        <v>12342</v>
      </c>
      <c r="B12343">
        <v>7640405</v>
      </c>
      <c r="C12343" s="1" t="str">
        <f>HYPERLINK("http://stackoverflow.com/users/7640405", "Zachary Guernsey")</f>
        <v>Zachary Guernsey</v>
      </c>
      <c r="D12343" t="s">
        <v>7</v>
      </c>
      <c r="E12343">
        <v>1</v>
      </c>
    </row>
    <row r="12344" spans="1:5" x14ac:dyDescent="0.25">
      <c r="A12344">
        <v>12343</v>
      </c>
      <c r="B12344">
        <v>5891208</v>
      </c>
      <c r="C12344" s="1" t="str">
        <f>HYPERLINK("http://stackoverflow.com/users/5891208", "PointerFLY")</f>
        <v>PointerFLY</v>
      </c>
      <c r="D12344" t="s">
        <v>12</v>
      </c>
      <c r="E12344">
        <v>1</v>
      </c>
    </row>
    <row r="12345" spans="1:5" x14ac:dyDescent="0.25">
      <c r="A12345">
        <v>12344</v>
      </c>
      <c r="B12345">
        <v>5891459</v>
      </c>
      <c r="C12345" s="1" t="str">
        <f>HYPERLINK("http://stackoverflow.com/users/5891459", "Maples")</f>
        <v>Maples</v>
      </c>
      <c r="D12345" t="s">
        <v>22</v>
      </c>
      <c r="E12345">
        <v>1</v>
      </c>
    </row>
    <row r="12346" spans="1:5" x14ac:dyDescent="0.25">
      <c r="A12346">
        <v>12345</v>
      </c>
      <c r="B12346">
        <v>9581118</v>
      </c>
      <c r="C12346" s="1" t="str">
        <f>HYPERLINK("http://stackoverflow.com/users/9581118", "金逸伦")</f>
        <v>金逸伦</v>
      </c>
      <c r="D12346" t="s">
        <v>5</v>
      </c>
      <c r="E12346">
        <v>1</v>
      </c>
    </row>
    <row r="12347" spans="1:5" x14ac:dyDescent="0.25">
      <c r="A12347">
        <v>12346</v>
      </c>
      <c r="B12347">
        <v>9586529</v>
      </c>
      <c r="C12347" s="1" t="str">
        <f>HYPERLINK("http://stackoverflow.com/users/9586529", "yuanhong")</f>
        <v>yuanhong</v>
      </c>
      <c r="D12347" t="s">
        <v>55</v>
      </c>
      <c r="E12347">
        <v>1</v>
      </c>
    </row>
    <row r="12348" spans="1:5" x14ac:dyDescent="0.25">
      <c r="A12348">
        <v>12347</v>
      </c>
      <c r="B12348">
        <v>2412685</v>
      </c>
      <c r="C12348" s="1" t="str">
        <f>HYPERLINK("http://stackoverflow.com/users/2412685", "EvItSelf")</f>
        <v>EvItSelf</v>
      </c>
      <c r="D12348" t="s">
        <v>5</v>
      </c>
      <c r="E12348">
        <v>1</v>
      </c>
    </row>
    <row r="12349" spans="1:5" x14ac:dyDescent="0.25">
      <c r="A12349">
        <v>12348</v>
      </c>
      <c r="B12349">
        <v>2396163</v>
      </c>
      <c r="C12349" s="1" t="str">
        <f>HYPERLINK("http://stackoverflow.com/users/2396163", "Alan Li")</f>
        <v>Alan Li</v>
      </c>
      <c r="D12349" t="s">
        <v>4</v>
      </c>
      <c r="E12349">
        <v>1</v>
      </c>
    </row>
    <row r="12350" spans="1:5" x14ac:dyDescent="0.25">
      <c r="A12350">
        <v>12349</v>
      </c>
      <c r="B12350">
        <v>2412855</v>
      </c>
      <c r="C12350" s="1" t="str">
        <f>HYPERLINK("http://stackoverflow.com/users/2412855", "Yolanda-Zhong Yuan")</f>
        <v>Yolanda-Zhong Yuan</v>
      </c>
      <c r="D12350" t="s">
        <v>5</v>
      </c>
      <c r="E12350">
        <v>1</v>
      </c>
    </row>
    <row r="12351" spans="1:5" x14ac:dyDescent="0.25">
      <c r="A12351">
        <v>12350</v>
      </c>
      <c r="B12351">
        <v>2419545</v>
      </c>
      <c r="C12351" s="1" t="str">
        <f>HYPERLINK("http://stackoverflow.com/users/2419545", "wangkai")</f>
        <v>wangkai</v>
      </c>
      <c r="D12351" t="s">
        <v>17</v>
      </c>
      <c r="E12351">
        <v>1</v>
      </c>
    </row>
    <row r="12352" spans="1:5" x14ac:dyDescent="0.25">
      <c r="A12352">
        <v>12351</v>
      </c>
      <c r="B12352">
        <v>2419744</v>
      </c>
      <c r="C12352" s="1" t="str">
        <f>HYPERLINK("http://stackoverflow.com/users/2419744", "auding")</f>
        <v>auding</v>
      </c>
      <c r="D12352" t="s">
        <v>4</v>
      </c>
      <c r="E12352">
        <v>1</v>
      </c>
    </row>
    <row r="12353" spans="1:5" x14ac:dyDescent="0.25">
      <c r="A12353">
        <v>12352</v>
      </c>
      <c r="B12353">
        <v>2419861</v>
      </c>
      <c r="C12353" s="1" t="str">
        <f>HYPERLINK("http://stackoverflow.com/users/2419861", "user2419861")</f>
        <v>user2419861</v>
      </c>
      <c r="D12353" t="s">
        <v>25</v>
      </c>
      <c r="E12353">
        <v>1</v>
      </c>
    </row>
    <row r="12354" spans="1:5" x14ac:dyDescent="0.25">
      <c r="A12354">
        <v>12353</v>
      </c>
      <c r="B12354">
        <v>5924374</v>
      </c>
      <c r="C12354" s="1" t="str">
        <f>HYPERLINK("http://stackoverflow.com/users/5924374", "liuchuang")</f>
        <v>liuchuang</v>
      </c>
      <c r="D12354" t="s">
        <v>52</v>
      </c>
      <c r="E12354">
        <v>1</v>
      </c>
    </row>
    <row r="12355" spans="1:5" x14ac:dyDescent="0.25">
      <c r="A12355">
        <v>12354</v>
      </c>
      <c r="B12355">
        <v>5924426</v>
      </c>
      <c r="C12355" s="1" t="str">
        <f>HYPERLINK("http://stackoverflow.com/users/5924426", "Ramon")</f>
        <v>Ramon</v>
      </c>
      <c r="D12355" t="s">
        <v>25</v>
      </c>
      <c r="E12355">
        <v>1</v>
      </c>
    </row>
    <row r="12356" spans="1:5" x14ac:dyDescent="0.25">
      <c r="A12356">
        <v>12355</v>
      </c>
      <c r="B12356">
        <v>5924529</v>
      </c>
      <c r="C12356" s="1" t="str">
        <f>HYPERLINK("http://stackoverflow.com/users/5924529", "W. Su")</f>
        <v>W. Su</v>
      </c>
      <c r="D12356" t="s">
        <v>5</v>
      </c>
      <c r="E12356">
        <v>1</v>
      </c>
    </row>
    <row r="12357" spans="1:5" x14ac:dyDescent="0.25">
      <c r="A12357">
        <v>12356</v>
      </c>
      <c r="B12357">
        <v>5924696</v>
      </c>
      <c r="C12357" s="1" t="str">
        <f>HYPERLINK("http://stackoverflow.com/users/5924696", "zhanglw")</f>
        <v>zhanglw</v>
      </c>
      <c r="D12357" t="s">
        <v>5</v>
      </c>
      <c r="E12357">
        <v>1</v>
      </c>
    </row>
    <row r="12358" spans="1:5" x14ac:dyDescent="0.25">
      <c r="A12358">
        <v>12357</v>
      </c>
      <c r="B12358">
        <v>5925256</v>
      </c>
      <c r="C12358" s="1" t="str">
        <f>HYPERLINK("http://stackoverflow.com/users/5925256", "Wang Yasha")</f>
        <v>Wang Yasha</v>
      </c>
      <c r="D12358" t="s">
        <v>5</v>
      </c>
      <c r="E12358">
        <v>1</v>
      </c>
    </row>
    <row r="12359" spans="1:5" x14ac:dyDescent="0.25">
      <c r="A12359">
        <v>12358</v>
      </c>
      <c r="B12359">
        <v>7673106</v>
      </c>
      <c r="C12359" s="1" t="str">
        <f>HYPERLINK("http://stackoverflow.com/users/7673106", "lyl.Stone")</f>
        <v>lyl.Stone</v>
      </c>
      <c r="D12359" t="s">
        <v>675</v>
      </c>
      <c r="E12359">
        <v>1</v>
      </c>
    </row>
    <row r="12360" spans="1:5" x14ac:dyDescent="0.25">
      <c r="A12360">
        <v>12359</v>
      </c>
      <c r="B12360">
        <v>7673368</v>
      </c>
      <c r="C12360" s="1" t="str">
        <f>HYPERLINK("http://stackoverflow.com/users/7673368", "Kiendrich Manstein")</f>
        <v>Kiendrich Manstein</v>
      </c>
      <c r="D12360" t="s">
        <v>91</v>
      </c>
      <c r="E12360">
        <v>1</v>
      </c>
    </row>
    <row r="12361" spans="1:5" x14ac:dyDescent="0.25">
      <c r="A12361">
        <v>12360</v>
      </c>
      <c r="B12361">
        <v>4166227</v>
      </c>
      <c r="C12361" s="1" t="str">
        <f>HYPERLINK("http://stackoverflow.com/users/4166227", "caixingke")</f>
        <v>caixingke</v>
      </c>
      <c r="D12361" t="s">
        <v>17</v>
      </c>
      <c r="E12361">
        <v>1</v>
      </c>
    </row>
    <row r="12362" spans="1:5" x14ac:dyDescent="0.25">
      <c r="A12362">
        <v>12361</v>
      </c>
      <c r="B12362">
        <v>7634856</v>
      </c>
      <c r="C12362" s="1" t="str">
        <f>HYPERLINK("http://stackoverflow.com/users/7634856", "wildimagine")</f>
        <v>wildimagine</v>
      </c>
      <c r="D12362" t="s">
        <v>5</v>
      </c>
      <c r="E12362">
        <v>1</v>
      </c>
    </row>
    <row r="12363" spans="1:5" x14ac:dyDescent="0.25">
      <c r="A12363">
        <v>12362</v>
      </c>
      <c r="B12363">
        <v>7634868</v>
      </c>
      <c r="C12363" s="1" t="str">
        <f>HYPERLINK("http://stackoverflow.com/users/7634868", "sikaco")</f>
        <v>sikaco</v>
      </c>
      <c r="D12363" t="s">
        <v>4</v>
      </c>
      <c r="E12363">
        <v>1</v>
      </c>
    </row>
    <row r="12364" spans="1:5" x14ac:dyDescent="0.25">
      <c r="A12364">
        <v>12363</v>
      </c>
      <c r="B12364">
        <v>7635019</v>
      </c>
      <c r="C12364" s="1" t="str">
        <f>HYPERLINK("http://stackoverflow.com/users/7635019", "刘冬冬")</f>
        <v>刘冬冬</v>
      </c>
      <c r="D12364" t="s">
        <v>5</v>
      </c>
      <c r="E12364">
        <v>1</v>
      </c>
    </row>
    <row r="12365" spans="1:5" x14ac:dyDescent="0.25">
      <c r="A12365">
        <v>12364</v>
      </c>
      <c r="B12365">
        <v>9569845</v>
      </c>
      <c r="C12365" s="1" t="str">
        <f>HYPERLINK("http://stackoverflow.com/users/9569845", "Teddy")</f>
        <v>Teddy</v>
      </c>
      <c r="D12365" t="s">
        <v>168</v>
      </c>
      <c r="E12365">
        <v>1</v>
      </c>
    </row>
    <row r="12366" spans="1:5" x14ac:dyDescent="0.25">
      <c r="A12366">
        <v>12365</v>
      </c>
      <c r="B12366">
        <v>2384100</v>
      </c>
      <c r="C12366" s="1" t="str">
        <f>HYPERLINK("http://stackoverflow.com/users/2384100", "Gao Haiying")</f>
        <v>Gao Haiying</v>
      </c>
      <c r="D12366" t="s">
        <v>34</v>
      </c>
      <c r="E12366">
        <v>1</v>
      </c>
    </row>
    <row r="12367" spans="1:5" x14ac:dyDescent="0.25">
      <c r="A12367">
        <v>12366</v>
      </c>
      <c r="B12367">
        <v>4106113</v>
      </c>
      <c r="C12367" s="1" t="str">
        <f>HYPERLINK("http://stackoverflow.com/users/4106113", "kangmingxuan")</f>
        <v>kangmingxuan</v>
      </c>
      <c r="D12367" t="s">
        <v>5</v>
      </c>
      <c r="E12367">
        <v>1</v>
      </c>
    </row>
    <row r="12368" spans="1:5" x14ac:dyDescent="0.25">
      <c r="A12368">
        <v>12367</v>
      </c>
      <c r="B12368">
        <v>2383972</v>
      </c>
      <c r="C12368" s="1" t="str">
        <f>HYPERLINK("http://stackoverflow.com/users/2383972", "Victor He")</f>
        <v>Victor He</v>
      </c>
      <c r="D12368" t="s">
        <v>21</v>
      </c>
      <c r="E12368">
        <v>1</v>
      </c>
    </row>
    <row r="12369" spans="1:5" x14ac:dyDescent="0.25">
      <c r="A12369">
        <v>12368</v>
      </c>
      <c r="B12369">
        <v>2384728</v>
      </c>
      <c r="C12369" s="1" t="str">
        <f>HYPERLINK("http://stackoverflow.com/users/2384728", "lightman")</f>
        <v>lightman</v>
      </c>
      <c r="D12369" t="s">
        <v>5</v>
      </c>
      <c r="E12369">
        <v>1</v>
      </c>
    </row>
    <row r="12370" spans="1:5" x14ac:dyDescent="0.25">
      <c r="A12370">
        <v>12369</v>
      </c>
      <c r="B12370">
        <v>2385066</v>
      </c>
      <c r="C12370" s="1" t="str">
        <f>HYPERLINK("http://stackoverflow.com/users/2385066", "sharonwu")</f>
        <v>sharonwu</v>
      </c>
      <c r="D12370" t="s">
        <v>5</v>
      </c>
      <c r="E12370">
        <v>1</v>
      </c>
    </row>
    <row r="12371" spans="1:5" x14ac:dyDescent="0.25">
      <c r="A12371">
        <v>12370</v>
      </c>
      <c r="B12371">
        <v>5881571</v>
      </c>
      <c r="C12371" s="1" t="str">
        <f>HYPERLINK("http://stackoverflow.com/users/5881571", "Antony  Bonn")</f>
        <v>Antony  Bonn</v>
      </c>
      <c r="D12371" t="s">
        <v>4</v>
      </c>
      <c r="E12371">
        <v>1</v>
      </c>
    </row>
    <row r="12372" spans="1:5" x14ac:dyDescent="0.25">
      <c r="A12372">
        <v>12371</v>
      </c>
      <c r="B12372">
        <v>5881812</v>
      </c>
      <c r="C12372" s="1" t="str">
        <f>HYPERLINK("http://stackoverflow.com/users/5881812", "Guangzhe Huang")</f>
        <v>Guangzhe Huang</v>
      </c>
      <c r="D12372" t="s">
        <v>52</v>
      </c>
      <c r="E12372">
        <v>1</v>
      </c>
    </row>
    <row r="12373" spans="1:5" x14ac:dyDescent="0.25">
      <c r="A12373">
        <v>12372</v>
      </c>
      <c r="B12373">
        <v>5882134</v>
      </c>
      <c r="C12373" s="1" t="str">
        <f>HYPERLINK("http://stackoverflow.com/users/5882134", "Ray L")</f>
        <v>Ray L</v>
      </c>
      <c r="D12373" t="s">
        <v>4</v>
      </c>
      <c r="E12373">
        <v>1</v>
      </c>
    </row>
    <row r="12374" spans="1:5" x14ac:dyDescent="0.25">
      <c r="A12374">
        <v>12373</v>
      </c>
      <c r="B12374">
        <v>5882192</v>
      </c>
      <c r="C12374" s="1" t="str">
        <f>HYPERLINK("http://stackoverflow.com/users/5882192", "Yufan Fang")</f>
        <v>Yufan Fang</v>
      </c>
      <c r="D12374" t="s">
        <v>17</v>
      </c>
      <c r="E12374">
        <v>1</v>
      </c>
    </row>
    <row r="12375" spans="1:5" x14ac:dyDescent="0.25">
      <c r="A12375">
        <v>12374</v>
      </c>
      <c r="B12375">
        <v>7615084</v>
      </c>
      <c r="C12375" s="1" t="str">
        <f>HYPERLINK("http://stackoverflow.com/users/7615084", "dapicester")</f>
        <v>dapicester</v>
      </c>
      <c r="D12375" t="s">
        <v>4</v>
      </c>
      <c r="E12375">
        <v>1</v>
      </c>
    </row>
    <row r="12376" spans="1:5" x14ac:dyDescent="0.25">
      <c r="A12376">
        <v>12375</v>
      </c>
      <c r="B12376">
        <v>9544777</v>
      </c>
      <c r="C12376" s="1" t="str">
        <f>HYPERLINK("http://stackoverflow.com/users/9544777", "Jiaqi Wang")</f>
        <v>Jiaqi Wang</v>
      </c>
      <c r="D12376" t="s">
        <v>4</v>
      </c>
      <c r="E12376">
        <v>1</v>
      </c>
    </row>
    <row r="12377" spans="1:5" x14ac:dyDescent="0.25">
      <c r="A12377">
        <v>12376</v>
      </c>
      <c r="B12377">
        <v>9550223</v>
      </c>
      <c r="C12377" s="1" t="str">
        <f>HYPERLINK("http://stackoverflow.com/users/9550223", "Elsa")</f>
        <v>Elsa</v>
      </c>
      <c r="D12377" t="s">
        <v>91</v>
      </c>
      <c r="E12377">
        <v>1</v>
      </c>
    </row>
    <row r="12378" spans="1:5" x14ac:dyDescent="0.25">
      <c r="A12378">
        <v>12377</v>
      </c>
      <c r="B12378">
        <v>9550372</v>
      </c>
      <c r="C12378" s="1" t="str">
        <f>HYPERLINK("http://stackoverflow.com/users/9550372", "Secone")</f>
        <v>Secone</v>
      </c>
      <c r="D12378" t="s">
        <v>5</v>
      </c>
      <c r="E12378">
        <v>1</v>
      </c>
    </row>
    <row r="12379" spans="1:5" x14ac:dyDescent="0.25">
      <c r="A12379">
        <v>12378</v>
      </c>
      <c r="B12379">
        <v>7622602</v>
      </c>
      <c r="C12379" s="1" t="str">
        <f>HYPERLINK("http://stackoverflow.com/users/7622602", "kevin Meng")</f>
        <v>kevin Meng</v>
      </c>
      <c r="D12379" t="s">
        <v>231</v>
      </c>
      <c r="E12379">
        <v>1</v>
      </c>
    </row>
    <row r="12380" spans="1:5" x14ac:dyDescent="0.25">
      <c r="A12380">
        <v>12379</v>
      </c>
      <c r="B12380">
        <v>7614398</v>
      </c>
      <c r="C12380" s="1" t="str">
        <f>HYPERLINK("http://stackoverflow.com/users/7614398", "flumer")</f>
        <v>flumer</v>
      </c>
      <c r="D12380" t="s">
        <v>12</v>
      </c>
      <c r="E12380">
        <v>1</v>
      </c>
    </row>
    <row r="12381" spans="1:5" x14ac:dyDescent="0.25">
      <c r="A12381">
        <v>12380</v>
      </c>
      <c r="B12381">
        <v>7614609</v>
      </c>
      <c r="C12381" s="1" t="str">
        <f>HYPERLINK("http://stackoverflow.com/users/7614609", "J.ly")</f>
        <v>J.ly</v>
      </c>
      <c r="D12381" t="s">
        <v>550</v>
      </c>
      <c r="E12381">
        <v>1</v>
      </c>
    </row>
    <row r="12382" spans="1:5" x14ac:dyDescent="0.25">
      <c r="A12382">
        <v>12381</v>
      </c>
      <c r="B12382">
        <v>7614679</v>
      </c>
      <c r="C12382" s="1" t="str">
        <f>HYPERLINK("http://stackoverflow.com/users/7614679", "blackdusts")</f>
        <v>blackdusts</v>
      </c>
      <c r="D12382" t="s">
        <v>52</v>
      </c>
      <c r="E12382">
        <v>1</v>
      </c>
    </row>
    <row r="12383" spans="1:5" x14ac:dyDescent="0.25">
      <c r="A12383">
        <v>12382</v>
      </c>
      <c r="B12383">
        <v>7614787</v>
      </c>
      <c r="C12383" s="1" t="str">
        <f>HYPERLINK("http://stackoverflow.com/users/7614787", "MegaShow")</f>
        <v>MegaShow</v>
      </c>
      <c r="D12383" t="s">
        <v>25</v>
      </c>
      <c r="E12383">
        <v>1</v>
      </c>
    </row>
    <row r="12384" spans="1:5" x14ac:dyDescent="0.25">
      <c r="A12384">
        <v>12383</v>
      </c>
      <c r="B12384">
        <v>2361337</v>
      </c>
      <c r="C12384" s="1" t="str">
        <f>HYPERLINK("http://stackoverflow.com/users/2361337", "Andrew")</f>
        <v>Andrew</v>
      </c>
      <c r="D12384" t="s">
        <v>4</v>
      </c>
      <c r="E12384">
        <v>1</v>
      </c>
    </row>
    <row r="12385" spans="1:5" x14ac:dyDescent="0.25">
      <c r="A12385">
        <v>12384</v>
      </c>
      <c r="B12385">
        <v>5859900</v>
      </c>
      <c r="C12385" s="1" t="str">
        <f>HYPERLINK("http://stackoverflow.com/users/5859900", "Aubrey.t")</f>
        <v>Aubrey.t</v>
      </c>
      <c r="D12385" t="s">
        <v>5</v>
      </c>
      <c r="E12385">
        <v>1</v>
      </c>
    </row>
    <row r="12386" spans="1:5" x14ac:dyDescent="0.25">
      <c r="A12386">
        <v>12385</v>
      </c>
      <c r="B12386">
        <v>5860468</v>
      </c>
      <c r="C12386" s="1" t="str">
        <f>HYPERLINK("http://stackoverflow.com/users/5860468", "zhuxiang")</f>
        <v>zhuxiang</v>
      </c>
      <c r="D12386" t="s">
        <v>4</v>
      </c>
      <c r="E12386">
        <v>1</v>
      </c>
    </row>
    <row r="12387" spans="1:5" x14ac:dyDescent="0.25">
      <c r="A12387">
        <v>12386</v>
      </c>
      <c r="B12387">
        <v>9539460</v>
      </c>
      <c r="C12387" s="1" t="str">
        <f>HYPERLINK("http://stackoverflow.com/users/9539460", "Jin Bront ")</f>
        <v xml:space="preserve">Jin Bront </v>
      </c>
      <c r="D12387" t="s">
        <v>55</v>
      </c>
      <c r="E12387">
        <v>1</v>
      </c>
    </row>
    <row r="12388" spans="1:5" x14ac:dyDescent="0.25">
      <c r="A12388">
        <v>12387</v>
      </c>
      <c r="B12388">
        <v>9539481</v>
      </c>
      <c r="C12388" s="1" t="str">
        <f>HYPERLINK("http://stackoverflow.com/users/9539481", "Tovi Zhong")</f>
        <v>Tovi Zhong</v>
      </c>
      <c r="D12388" t="s">
        <v>7</v>
      </c>
      <c r="E12388">
        <v>1</v>
      </c>
    </row>
    <row r="12389" spans="1:5" x14ac:dyDescent="0.25">
      <c r="A12389">
        <v>12388</v>
      </c>
      <c r="B12389">
        <v>2361239</v>
      </c>
      <c r="C12389" s="1" t="str">
        <f>HYPERLINK("http://stackoverflow.com/users/2361239", "SSSuperD")</f>
        <v>SSSuperD</v>
      </c>
      <c r="D12389" t="s">
        <v>240</v>
      </c>
      <c r="E12389">
        <v>1</v>
      </c>
    </row>
    <row r="12390" spans="1:5" x14ac:dyDescent="0.25">
      <c r="A12390">
        <v>12389</v>
      </c>
      <c r="B12390">
        <v>2361269</v>
      </c>
      <c r="C12390" s="1" t="str">
        <f>HYPERLINK("http://stackoverflow.com/users/2361269", "Json")</f>
        <v>Json</v>
      </c>
      <c r="D12390" t="s">
        <v>17</v>
      </c>
      <c r="E12390">
        <v>1</v>
      </c>
    </row>
    <row r="12391" spans="1:5" x14ac:dyDescent="0.25">
      <c r="A12391">
        <v>12390</v>
      </c>
      <c r="B12391">
        <v>2360452</v>
      </c>
      <c r="C12391" s="1" t="str">
        <f>HYPERLINK("http://stackoverflow.com/users/2360452", "Rainman")</f>
        <v>Rainman</v>
      </c>
      <c r="D12391" t="s">
        <v>5</v>
      </c>
      <c r="E12391">
        <v>1</v>
      </c>
    </row>
    <row r="12392" spans="1:5" x14ac:dyDescent="0.25">
      <c r="A12392">
        <v>12391</v>
      </c>
      <c r="B12392">
        <v>2360668</v>
      </c>
      <c r="C12392" s="1" t="str">
        <f>HYPERLINK("http://stackoverflow.com/users/2360668", "Max")</f>
        <v>Max</v>
      </c>
      <c r="D12392" t="s">
        <v>57</v>
      </c>
      <c r="E12392">
        <v>1</v>
      </c>
    </row>
    <row r="12393" spans="1:5" x14ac:dyDescent="0.25">
      <c r="A12393">
        <v>12392</v>
      </c>
      <c r="B12393">
        <v>5855579</v>
      </c>
      <c r="C12393" s="1" t="str">
        <f>HYPERLINK("http://stackoverflow.com/users/5855579", "JJ.Tang")</f>
        <v>JJ.Tang</v>
      </c>
      <c r="D12393" t="s">
        <v>12</v>
      </c>
      <c r="E12393">
        <v>1</v>
      </c>
    </row>
    <row r="12394" spans="1:5" x14ac:dyDescent="0.25">
      <c r="A12394">
        <v>12393</v>
      </c>
      <c r="B12394">
        <v>4082439</v>
      </c>
      <c r="C12394" s="1" t="str">
        <f>HYPERLINK("http://stackoverflow.com/users/4082439", "Bruce Yee")</f>
        <v>Bruce Yee</v>
      </c>
      <c r="D12394" t="s">
        <v>5</v>
      </c>
      <c r="E12394">
        <v>1</v>
      </c>
    </row>
    <row r="12395" spans="1:5" x14ac:dyDescent="0.25">
      <c r="A12395">
        <v>12394</v>
      </c>
      <c r="B12395">
        <v>7595928</v>
      </c>
      <c r="C12395" s="1" t="str">
        <f>HYPERLINK("http://stackoverflow.com/users/7595928", "Ivan.Yang")</f>
        <v>Ivan.Yang</v>
      </c>
      <c r="D12395" t="s">
        <v>4</v>
      </c>
      <c r="E12395">
        <v>1</v>
      </c>
    </row>
    <row r="12396" spans="1:5" x14ac:dyDescent="0.25">
      <c r="A12396">
        <v>12395</v>
      </c>
      <c r="B12396">
        <v>7596232</v>
      </c>
      <c r="C12396" s="1" t="str">
        <f>HYPERLINK("http://stackoverflow.com/users/7596232", "Noah Zerkin")</f>
        <v>Noah Zerkin</v>
      </c>
      <c r="D12396" t="s">
        <v>7</v>
      </c>
      <c r="E12396">
        <v>1</v>
      </c>
    </row>
    <row r="12397" spans="1:5" x14ac:dyDescent="0.25">
      <c r="A12397">
        <v>12396</v>
      </c>
      <c r="B12397">
        <v>9523904</v>
      </c>
      <c r="C12397" s="1" t="str">
        <f>HYPERLINK("http://stackoverflow.com/users/9523904", "Xu Kaihao")</f>
        <v>Xu Kaihao</v>
      </c>
      <c r="D12397" t="s">
        <v>5</v>
      </c>
      <c r="E12397">
        <v>1</v>
      </c>
    </row>
    <row r="12398" spans="1:5" x14ac:dyDescent="0.25">
      <c r="A12398">
        <v>12397</v>
      </c>
      <c r="B12398">
        <v>2350200</v>
      </c>
      <c r="C12398" s="1" t="str">
        <f>HYPERLINK("http://stackoverflow.com/users/2350200", "patiencezhao")</f>
        <v>patiencezhao</v>
      </c>
      <c r="D12398" t="s">
        <v>5</v>
      </c>
      <c r="E12398">
        <v>1</v>
      </c>
    </row>
    <row r="12399" spans="1:5" x14ac:dyDescent="0.25">
      <c r="A12399">
        <v>12398</v>
      </c>
      <c r="B12399">
        <v>2350957</v>
      </c>
      <c r="C12399" s="1" t="str">
        <f>HYPERLINK("http://stackoverflow.com/users/2350957", "Lizhiyong")</f>
        <v>Lizhiyong</v>
      </c>
      <c r="D12399" t="s">
        <v>63</v>
      </c>
      <c r="E12399">
        <v>1</v>
      </c>
    </row>
    <row r="12400" spans="1:5" x14ac:dyDescent="0.25">
      <c r="A12400">
        <v>12399</v>
      </c>
      <c r="B12400">
        <v>7578935</v>
      </c>
      <c r="C12400" s="1" t="str">
        <f>HYPERLINK("http://stackoverflow.com/users/7578935", "Tralight")</f>
        <v>Tralight</v>
      </c>
      <c r="D12400" t="s">
        <v>16</v>
      </c>
      <c r="E12400">
        <v>1</v>
      </c>
    </row>
    <row r="12401" spans="1:5" x14ac:dyDescent="0.25">
      <c r="A12401">
        <v>12400</v>
      </c>
      <c r="B12401">
        <v>4052766</v>
      </c>
      <c r="C12401" s="1" t="str">
        <f>HYPERLINK("http://stackoverflow.com/users/4052766", "yihe gu")</f>
        <v>yihe gu</v>
      </c>
      <c r="D12401" t="s">
        <v>35</v>
      </c>
      <c r="E12401">
        <v>1</v>
      </c>
    </row>
    <row r="12402" spans="1:5" x14ac:dyDescent="0.25">
      <c r="A12402">
        <v>12401</v>
      </c>
      <c r="B12402">
        <v>2345352</v>
      </c>
      <c r="C12402" s="1" t="str">
        <f>HYPERLINK("http://stackoverflow.com/users/2345352", "wiwinds")</f>
        <v>wiwinds</v>
      </c>
      <c r="D12402" t="s">
        <v>57</v>
      </c>
      <c r="E12402">
        <v>1</v>
      </c>
    </row>
    <row r="12403" spans="1:5" x14ac:dyDescent="0.25">
      <c r="A12403">
        <v>12402</v>
      </c>
      <c r="B12403">
        <v>2345375</v>
      </c>
      <c r="C12403" s="1" t="str">
        <f>HYPERLINK("http://stackoverflow.com/users/2345375", "devin wang")</f>
        <v>devin wang</v>
      </c>
      <c r="D12403" t="s">
        <v>5</v>
      </c>
      <c r="E12403">
        <v>1</v>
      </c>
    </row>
    <row r="12404" spans="1:5" x14ac:dyDescent="0.25">
      <c r="A12404">
        <v>12403</v>
      </c>
      <c r="B12404">
        <v>2351571</v>
      </c>
      <c r="C12404" s="1" t="str">
        <f>HYPERLINK("http://stackoverflow.com/users/2351571", "Boolean")</f>
        <v>Boolean</v>
      </c>
      <c r="D12404" t="s">
        <v>24</v>
      </c>
      <c r="E12404">
        <v>1</v>
      </c>
    </row>
    <row r="12405" spans="1:5" x14ac:dyDescent="0.25">
      <c r="A12405">
        <v>12404</v>
      </c>
      <c r="B12405">
        <v>2351745</v>
      </c>
      <c r="C12405" s="1" t="str">
        <f>HYPERLINK("http://stackoverflow.com/users/2351745", "小蝎莫慌-Scorpio")</f>
        <v>小蝎莫慌-Scorpio</v>
      </c>
      <c r="D12405" t="s">
        <v>12</v>
      </c>
      <c r="E12405">
        <v>1</v>
      </c>
    </row>
    <row r="12406" spans="1:5" x14ac:dyDescent="0.25">
      <c r="A12406">
        <v>12405</v>
      </c>
      <c r="B12406">
        <v>9529206</v>
      </c>
      <c r="C12406" s="1" t="str">
        <f>HYPERLINK("http://stackoverflow.com/users/9529206", "Walter Mitty")</f>
        <v>Walter Mitty</v>
      </c>
      <c r="D12406" t="s">
        <v>28</v>
      </c>
      <c r="E12406">
        <v>1</v>
      </c>
    </row>
    <row r="12407" spans="1:5" x14ac:dyDescent="0.25">
      <c r="A12407">
        <v>12406</v>
      </c>
      <c r="B12407">
        <v>9529276</v>
      </c>
      <c r="C12407" s="1" t="str">
        <f>HYPERLINK("http://stackoverflow.com/users/9529276", "Thomas Amissah")</f>
        <v>Thomas Amissah</v>
      </c>
      <c r="D12407" t="s">
        <v>455</v>
      </c>
      <c r="E12407">
        <v>1</v>
      </c>
    </row>
    <row r="12408" spans="1:5" x14ac:dyDescent="0.25">
      <c r="A12408">
        <v>12407</v>
      </c>
      <c r="B12408">
        <v>5854860</v>
      </c>
      <c r="C12408" s="1" t="str">
        <f>HYPERLINK("http://stackoverflow.com/users/5854860", "MichaelJiang")</f>
        <v>MichaelJiang</v>
      </c>
      <c r="D12408" t="s">
        <v>16</v>
      </c>
      <c r="E12408">
        <v>1</v>
      </c>
    </row>
    <row r="12409" spans="1:5" x14ac:dyDescent="0.25">
      <c r="A12409">
        <v>12408</v>
      </c>
      <c r="B12409">
        <v>5855148</v>
      </c>
      <c r="C12409" s="1" t="str">
        <f>HYPERLINK("http://stackoverflow.com/users/5855148", "Allen Wong")</f>
        <v>Allen Wong</v>
      </c>
      <c r="D12409" t="s">
        <v>8</v>
      </c>
      <c r="E12409">
        <v>1</v>
      </c>
    </row>
    <row r="12410" spans="1:5" x14ac:dyDescent="0.25">
      <c r="A12410">
        <v>12409</v>
      </c>
      <c r="B12410">
        <v>9534224</v>
      </c>
      <c r="C12410" s="1" t="str">
        <f>HYPERLINK("http://stackoverflow.com/users/9534224", "Roman Nazarov")</f>
        <v>Roman Nazarov</v>
      </c>
      <c r="D12410" t="s">
        <v>74</v>
      </c>
      <c r="E12410">
        <v>1</v>
      </c>
    </row>
    <row r="12411" spans="1:5" x14ac:dyDescent="0.25">
      <c r="A12411">
        <v>12410</v>
      </c>
      <c r="B12411">
        <v>7604714</v>
      </c>
      <c r="C12411" s="1" t="str">
        <f>HYPERLINK("http://stackoverflow.com/users/7604714", "Jianxing.Wang")</f>
        <v>Jianxing.Wang</v>
      </c>
      <c r="D12411" t="s">
        <v>5</v>
      </c>
      <c r="E12411">
        <v>1</v>
      </c>
    </row>
    <row r="12412" spans="1:5" x14ac:dyDescent="0.25">
      <c r="A12412">
        <v>12411</v>
      </c>
      <c r="B12412">
        <v>11288297</v>
      </c>
      <c r="C12412" s="1" t="str">
        <f>HYPERLINK("http://stackoverflow.com/users/11288297", "zhang wei")</f>
        <v>zhang wei</v>
      </c>
      <c r="D12412" t="s">
        <v>7</v>
      </c>
      <c r="E12412">
        <v>1</v>
      </c>
    </row>
    <row r="12413" spans="1:5" x14ac:dyDescent="0.25">
      <c r="A12413">
        <v>12412</v>
      </c>
      <c r="B12413">
        <v>11288453</v>
      </c>
      <c r="C12413" s="1" t="str">
        <f>HYPERLINK("http://stackoverflow.com/users/11288453", "Peter Pan")</f>
        <v>Peter Pan</v>
      </c>
      <c r="D12413" t="s">
        <v>4</v>
      </c>
      <c r="E12413">
        <v>1</v>
      </c>
    </row>
    <row r="12414" spans="1:5" x14ac:dyDescent="0.25">
      <c r="A12414">
        <v>12413</v>
      </c>
      <c r="B12414">
        <v>11288665</v>
      </c>
      <c r="C12414" s="1" t="str">
        <f>HYPERLINK("http://stackoverflow.com/users/11288665", "feng wang")</f>
        <v>feng wang</v>
      </c>
      <c r="D12414" t="s">
        <v>7</v>
      </c>
      <c r="E12414">
        <v>1</v>
      </c>
    </row>
    <row r="12415" spans="1:5" x14ac:dyDescent="0.25">
      <c r="A12415">
        <v>12414</v>
      </c>
      <c r="B12415">
        <v>4049053</v>
      </c>
      <c r="C12415" s="1" t="str">
        <f>HYPERLINK("http://stackoverflow.com/users/4049053", "cshmm")</f>
        <v>cshmm</v>
      </c>
      <c r="D12415" t="s">
        <v>31</v>
      </c>
      <c r="E12415">
        <v>1</v>
      </c>
    </row>
    <row r="12416" spans="1:5" x14ac:dyDescent="0.25">
      <c r="A12416">
        <v>12415</v>
      </c>
      <c r="B12416">
        <v>4049468</v>
      </c>
      <c r="C12416" s="1" t="str">
        <f>HYPERLINK("http://stackoverflow.com/users/4049468", "kaka")</f>
        <v>kaka</v>
      </c>
      <c r="D12416" t="s">
        <v>4</v>
      </c>
      <c r="E12416">
        <v>1</v>
      </c>
    </row>
    <row r="12417" spans="1:5" x14ac:dyDescent="0.25">
      <c r="A12417">
        <v>12416</v>
      </c>
      <c r="B12417">
        <v>4049921</v>
      </c>
      <c r="C12417" s="1" t="str">
        <f>HYPERLINK("http://stackoverflow.com/users/4049921", "Water")</f>
        <v>Water</v>
      </c>
      <c r="D12417" t="s">
        <v>47</v>
      </c>
      <c r="E12417">
        <v>1</v>
      </c>
    </row>
    <row r="12418" spans="1:5" x14ac:dyDescent="0.25">
      <c r="A12418">
        <v>12417</v>
      </c>
      <c r="B12418">
        <v>9497807</v>
      </c>
      <c r="C12418" s="1" t="str">
        <f>HYPERLINK("http://stackoverflow.com/users/9497807", "Xiang")</f>
        <v>Xiang</v>
      </c>
      <c r="D12418" t="s">
        <v>55</v>
      </c>
      <c r="E12418">
        <v>1</v>
      </c>
    </row>
    <row r="12419" spans="1:5" x14ac:dyDescent="0.25">
      <c r="A12419">
        <v>12418</v>
      </c>
      <c r="B12419">
        <v>11292399</v>
      </c>
      <c r="C12419" s="1" t="str">
        <f>HYPERLINK("http://stackoverflow.com/users/11292399", "ZhangWenbin")</f>
        <v>ZhangWenbin</v>
      </c>
      <c r="D12419" t="s">
        <v>676</v>
      </c>
      <c r="E12419">
        <v>1</v>
      </c>
    </row>
    <row r="12420" spans="1:5" x14ac:dyDescent="0.25">
      <c r="A12420">
        <v>12419</v>
      </c>
      <c r="B12420">
        <v>11292632</v>
      </c>
      <c r="C12420" s="1" t="str">
        <f>HYPERLINK("http://stackoverflow.com/users/11292632", "姬云飞")</f>
        <v>姬云飞</v>
      </c>
      <c r="D12420" t="s">
        <v>22</v>
      </c>
      <c r="E12420">
        <v>1</v>
      </c>
    </row>
    <row r="12421" spans="1:5" x14ac:dyDescent="0.25">
      <c r="A12421">
        <v>12420</v>
      </c>
      <c r="B12421">
        <v>5825150</v>
      </c>
      <c r="C12421" s="1" t="str">
        <f>HYPERLINK("http://stackoverflow.com/users/5825150", "Doyle Liu")</f>
        <v>Doyle Liu</v>
      </c>
      <c r="D12421" t="s">
        <v>4</v>
      </c>
      <c r="E12421">
        <v>1</v>
      </c>
    </row>
    <row r="12422" spans="1:5" x14ac:dyDescent="0.25">
      <c r="A12422">
        <v>12421</v>
      </c>
      <c r="B12422">
        <v>5832132</v>
      </c>
      <c r="C12422" s="1" t="str">
        <f>HYPERLINK("http://stackoverflow.com/users/5832132", "ByRookie")</f>
        <v>ByRookie</v>
      </c>
      <c r="D12422" t="s">
        <v>5</v>
      </c>
      <c r="E12422">
        <v>1</v>
      </c>
    </row>
    <row r="12423" spans="1:5" x14ac:dyDescent="0.25">
      <c r="A12423">
        <v>12422</v>
      </c>
      <c r="B12423">
        <v>5832424</v>
      </c>
      <c r="C12423" s="1" t="str">
        <f>HYPERLINK("http://stackoverflow.com/users/5832424", "lusipad")</f>
        <v>lusipad</v>
      </c>
      <c r="D12423" t="s">
        <v>4</v>
      </c>
      <c r="E12423">
        <v>1</v>
      </c>
    </row>
    <row r="12424" spans="1:5" x14ac:dyDescent="0.25">
      <c r="A12424">
        <v>12423</v>
      </c>
      <c r="B12424">
        <v>2324172</v>
      </c>
      <c r="C12424" s="1" t="str">
        <f>HYPERLINK("http://stackoverflow.com/users/2324172", "Alben Zhang")</f>
        <v>Alben Zhang</v>
      </c>
      <c r="D12424" t="s">
        <v>78</v>
      </c>
      <c r="E12424">
        <v>1</v>
      </c>
    </row>
    <row r="12425" spans="1:5" x14ac:dyDescent="0.25">
      <c r="A12425">
        <v>12424</v>
      </c>
      <c r="B12425">
        <v>2324437</v>
      </c>
      <c r="C12425" s="1" t="str">
        <f>HYPERLINK("http://stackoverflow.com/users/2324437", "smith")</f>
        <v>smith</v>
      </c>
      <c r="D12425" t="s">
        <v>17</v>
      </c>
      <c r="E12425">
        <v>1</v>
      </c>
    </row>
    <row r="12426" spans="1:5" x14ac:dyDescent="0.25">
      <c r="A12426">
        <v>12425</v>
      </c>
      <c r="B12426">
        <v>4056685</v>
      </c>
      <c r="C12426" s="1" t="str">
        <f>HYPERLINK("http://stackoverflow.com/users/4056685", "M.J")</f>
        <v>M.J</v>
      </c>
      <c r="D12426" t="s">
        <v>31</v>
      </c>
      <c r="E12426">
        <v>1</v>
      </c>
    </row>
    <row r="12427" spans="1:5" x14ac:dyDescent="0.25">
      <c r="A12427">
        <v>12426</v>
      </c>
      <c r="B12427">
        <v>4056711</v>
      </c>
      <c r="C12427" s="1" t="str">
        <f>HYPERLINK("http://stackoverflow.com/users/4056711", "Leo")</f>
        <v>Leo</v>
      </c>
      <c r="D12427" t="s">
        <v>35</v>
      </c>
      <c r="E12427">
        <v>1</v>
      </c>
    </row>
    <row r="12428" spans="1:5" x14ac:dyDescent="0.25">
      <c r="A12428">
        <v>12427</v>
      </c>
      <c r="B12428">
        <v>9505954</v>
      </c>
      <c r="C12428" s="1" t="str">
        <f>HYPERLINK("http://stackoverflow.com/users/9505954", "林贻民")</f>
        <v>林贻民</v>
      </c>
      <c r="D12428" t="s">
        <v>5</v>
      </c>
      <c r="E12428">
        <v>1</v>
      </c>
    </row>
    <row r="12429" spans="1:5" x14ac:dyDescent="0.25">
      <c r="A12429">
        <v>12428</v>
      </c>
      <c r="B12429">
        <v>9506215</v>
      </c>
      <c r="C12429" s="1" t="str">
        <f>HYPERLINK("http://stackoverflow.com/users/9506215", "Temple Chan")</f>
        <v>Temple Chan</v>
      </c>
      <c r="D12429" t="s">
        <v>180</v>
      </c>
      <c r="E12429">
        <v>1</v>
      </c>
    </row>
    <row r="12430" spans="1:5" x14ac:dyDescent="0.25">
      <c r="A12430">
        <v>12429</v>
      </c>
      <c r="B12430">
        <v>4060653</v>
      </c>
      <c r="C12430" s="1" t="str">
        <f>HYPERLINK("http://stackoverflow.com/users/4060653", "Kethylar")</f>
        <v>Kethylar</v>
      </c>
      <c r="D12430" t="s">
        <v>5</v>
      </c>
      <c r="E12430">
        <v>1</v>
      </c>
    </row>
    <row r="12431" spans="1:5" x14ac:dyDescent="0.25">
      <c r="A12431">
        <v>12430</v>
      </c>
      <c r="B12431">
        <v>4061143</v>
      </c>
      <c r="C12431" s="1" t="str">
        <f>HYPERLINK("http://stackoverflow.com/users/4061143", "nevsayno")</f>
        <v>nevsayno</v>
      </c>
      <c r="D12431" t="s">
        <v>17</v>
      </c>
      <c r="E12431">
        <v>1</v>
      </c>
    </row>
    <row r="12432" spans="1:5" x14ac:dyDescent="0.25">
      <c r="A12432">
        <v>12431</v>
      </c>
      <c r="B12432">
        <v>7588790</v>
      </c>
      <c r="C12432" s="1" t="str">
        <f>HYPERLINK("http://stackoverflow.com/users/7588790", "Anonty Zhang")</f>
        <v>Anonty Zhang</v>
      </c>
      <c r="D12432" t="s">
        <v>42</v>
      </c>
      <c r="E12432">
        <v>1</v>
      </c>
    </row>
    <row r="12433" spans="1:5" x14ac:dyDescent="0.25">
      <c r="A12433">
        <v>12432</v>
      </c>
      <c r="B12433">
        <v>11309563</v>
      </c>
      <c r="C12433" s="1" t="str">
        <f>HYPERLINK("http://stackoverflow.com/users/11309563", "Navy Zhang")</f>
        <v>Navy Zhang</v>
      </c>
      <c r="D12433" t="s">
        <v>57</v>
      </c>
      <c r="E12433">
        <v>1</v>
      </c>
    </row>
    <row r="12434" spans="1:5" x14ac:dyDescent="0.25">
      <c r="A12434">
        <v>12433</v>
      </c>
      <c r="B12434">
        <v>11309575</v>
      </c>
      <c r="C12434" s="1" t="str">
        <f>HYPERLINK("http://stackoverflow.com/users/11309575", "Kevin Yuan")</f>
        <v>Kevin Yuan</v>
      </c>
      <c r="D12434" t="s">
        <v>7</v>
      </c>
      <c r="E12434">
        <v>1</v>
      </c>
    </row>
    <row r="12435" spans="1:5" x14ac:dyDescent="0.25">
      <c r="A12435">
        <v>12434</v>
      </c>
      <c r="B12435">
        <v>9515689</v>
      </c>
      <c r="C12435" s="1" t="str">
        <f>HYPERLINK("http://stackoverflow.com/users/9515689", "Da Long")</f>
        <v>Da Long</v>
      </c>
      <c r="D12435" t="s">
        <v>4</v>
      </c>
      <c r="E12435">
        <v>1</v>
      </c>
    </row>
    <row r="12436" spans="1:5" x14ac:dyDescent="0.25">
      <c r="A12436">
        <v>12435</v>
      </c>
      <c r="B12436">
        <v>9520189</v>
      </c>
      <c r="C12436" s="1" t="str">
        <f>HYPERLINK("http://stackoverflow.com/users/9520189", "CC.yang")</f>
        <v>CC.yang</v>
      </c>
      <c r="D12436" t="s">
        <v>19</v>
      </c>
      <c r="E12436">
        <v>1</v>
      </c>
    </row>
    <row r="12437" spans="1:5" x14ac:dyDescent="0.25">
      <c r="A12437">
        <v>12436</v>
      </c>
      <c r="B12437">
        <v>9520202</v>
      </c>
      <c r="C12437" s="1" t="str">
        <f>HYPERLINK("http://stackoverflow.com/users/9520202", "Kelvin Liang")</f>
        <v>Kelvin Liang</v>
      </c>
      <c r="D12437" t="s">
        <v>677</v>
      </c>
      <c r="E12437">
        <v>1</v>
      </c>
    </row>
    <row r="12438" spans="1:5" x14ac:dyDescent="0.25">
      <c r="A12438">
        <v>12437</v>
      </c>
      <c r="B12438">
        <v>7592128</v>
      </c>
      <c r="C12438" s="1" t="str">
        <f>HYPERLINK("http://stackoverflow.com/users/7592128", "Liao Xiaoqiang")</f>
        <v>Liao Xiaoqiang</v>
      </c>
      <c r="D12438" t="s">
        <v>91</v>
      </c>
      <c r="E12438">
        <v>1</v>
      </c>
    </row>
    <row r="12439" spans="1:5" x14ac:dyDescent="0.25">
      <c r="A12439">
        <v>12438</v>
      </c>
      <c r="B12439">
        <v>7592179</v>
      </c>
      <c r="C12439" s="1" t="str">
        <f>HYPERLINK("http://stackoverflow.com/users/7592179", "carl wanggq")</f>
        <v>carl wanggq</v>
      </c>
      <c r="D12439" t="s">
        <v>678</v>
      </c>
      <c r="E12439">
        <v>1</v>
      </c>
    </row>
    <row r="12440" spans="1:5" x14ac:dyDescent="0.25">
      <c r="A12440">
        <v>12439</v>
      </c>
      <c r="B12440">
        <v>9501434</v>
      </c>
      <c r="C12440" s="1" t="str">
        <f>HYPERLINK("http://stackoverflow.com/users/9501434", "prabhu")</f>
        <v>prabhu</v>
      </c>
      <c r="D12440" t="s">
        <v>4</v>
      </c>
      <c r="E12440">
        <v>1</v>
      </c>
    </row>
    <row r="12441" spans="1:5" x14ac:dyDescent="0.25">
      <c r="A12441">
        <v>12440</v>
      </c>
      <c r="B12441">
        <v>11296219</v>
      </c>
      <c r="C12441" s="1" t="str">
        <f>HYPERLINK("http://stackoverflow.com/users/11296219", "shiroh")</f>
        <v>shiroh</v>
      </c>
      <c r="D12441" t="s">
        <v>4</v>
      </c>
      <c r="E12441">
        <v>1</v>
      </c>
    </row>
    <row r="12442" spans="1:5" x14ac:dyDescent="0.25">
      <c r="A12442">
        <v>12441</v>
      </c>
      <c r="B12442">
        <v>5835615</v>
      </c>
      <c r="C12442" s="1" t="str">
        <f>HYPERLINK("http://stackoverflow.com/users/5835615", "Ricahrd Luo")</f>
        <v>Ricahrd Luo</v>
      </c>
      <c r="D12442" t="s">
        <v>4</v>
      </c>
      <c r="E12442">
        <v>1</v>
      </c>
    </row>
    <row r="12443" spans="1:5" x14ac:dyDescent="0.25">
      <c r="A12443">
        <v>12442</v>
      </c>
      <c r="B12443">
        <v>5835962</v>
      </c>
      <c r="C12443" s="1" t="str">
        <f>HYPERLINK("http://stackoverflow.com/users/5835962", "ling lin")</f>
        <v>ling lin</v>
      </c>
      <c r="D12443" t="s">
        <v>7</v>
      </c>
      <c r="E12443">
        <v>1</v>
      </c>
    </row>
    <row r="12444" spans="1:5" x14ac:dyDescent="0.25">
      <c r="A12444">
        <v>12443</v>
      </c>
      <c r="B12444">
        <v>5836266</v>
      </c>
      <c r="C12444" s="1" t="str">
        <f>HYPERLINK("http://stackoverflow.com/users/5836266", "Aaron.Jie")</f>
        <v>Aaron.Jie</v>
      </c>
      <c r="D12444" t="s">
        <v>31</v>
      </c>
      <c r="E12444">
        <v>1</v>
      </c>
    </row>
    <row r="12445" spans="1:5" x14ac:dyDescent="0.25">
      <c r="A12445">
        <v>12444</v>
      </c>
      <c r="B12445">
        <v>11308778</v>
      </c>
      <c r="C12445" s="1" t="str">
        <f>HYPERLINK("http://stackoverflow.com/users/11308778", "MrTeo")</f>
        <v>MrTeo</v>
      </c>
      <c r="D12445" t="s">
        <v>7</v>
      </c>
      <c r="E12445">
        <v>1</v>
      </c>
    </row>
    <row r="12446" spans="1:5" x14ac:dyDescent="0.25">
      <c r="A12446">
        <v>12445</v>
      </c>
      <c r="B12446">
        <v>11308882</v>
      </c>
      <c r="C12446" s="1" t="str">
        <f>HYPERLINK("http://stackoverflow.com/users/11308882", "yinfuyuan")</f>
        <v>yinfuyuan</v>
      </c>
      <c r="D12446" t="s">
        <v>5</v>
      </c>
      <c r="E12446">
        <v>1</v>
      </c>
    </row>
    <row r="12447" spans="1:5" x14ac:dyDescent="0.25">
      <c r="A12447">
        <v>12446</v>
      </c>
      <c r="B12447">
        <v>11308889</v>
      </c>
      <c r="C12447" s="1" t="str">
        <f>HYPERLINK("http://stackoverflow.com/users/11308889", "张乾元")</f>
        <v>张乾元</v>
      </c>
      <c r="D12447" t="s">
        <v>62</v>
      </c>
      <c r="E12447">
        <v>1</v>
      </c>
    </row>
    <row r="12448" spans="1:5" x14ac:dyDescent="0.25">
      <c r="A12448">
        <v>12447</v>
      </c>
      <c r="B12448">
        <v>2306736</v>
      </c>
      <c r="C12448" s="1" t="str">
        <f>HYPERLINK("http://stackoverflow.com/users/2306736", "wov")</f>
        <v>wov</v>
      </c>
      <c r="D12448" t="s">
        <v>4</v>
      </c>
      <c r="E12448">
        <v>1</v>
      </c>
    </row>
    <row r="12449" spans="1:5" x14ac:dyDescent="0.25">
      <c r="A12449">
        <v>12448</v>
      </c>
      <c r="B12449">
        <v>2307247</v>
      </c>
      <c r="C12449" s="1" t="str">
        <f>HYPERLINK("http://stackoverflow.com/users/2307247", "saberma")</f>
        <v>saberma</v>
      </c>
      <c r="D12449" t="s">
        <v>17</v>
      </c>
      <c r="E12449">
        <v>1</v>
      </c>
    </row>
    <row r="12450" spans="1:5" x14ac:dyDescent="0.25">
      <c r="A12450">
        <v>12449</v>
      </c>
      <c r="B12450">
        <v>2300118</v>
      </c>
      <c r="C12450" s="1" t="str">
        <f>HYPERLINK("http://stackoverflow.com/users/2300118", "Laker")</f>
        <v>Laker</v>
      </c>
      <c r="D12450" t="s">
        <v>12</v>
      </c>
      <c r="E12450">
        <v>1</v>
      </c>
    </row>
    <row r="12451" spans="1:5" x14ac:dyDescent="0.25">
      <c r="A12451">
        <v>12450</v>
      </c>
      <c r="B12451">
        <v>2306221</v>
      </c>
      <c r="C12451" s="1" t="str">
        <f>HYPERLINK("http://stackoverflow.com/users/2306221", "CasterKwok")</f>
        <v>CasterKwok</v>
      </c>
      <c r="D12451" t="s">
        <v>22</v>
      </c>
      <c r="E12451">
        <v>1</v>
      </c>
    </row>
    <row r="12452" spans="1:5" x14ac:dyDescent="0.25">
      <c r="A12452">
        <v>12451</v>
      </c>
      <c r="B12452">
        <v>2306366</v>
      </c>
      <c r="C12452" s="1" t="str">
        <f>HYPERLINK("http://stackoverflow.com/users/2306366", "9u9e")</f>
        <v>9u9e</v>
      </c>
      <c r="D12452" t="s">
        <v>4</v>
      </c>
      <c r="E12452">
        <v>1</v>
      </c>
    </row>
    <row r="12453" spans="1:5" x14ac:dyDescent="0.25">
      <c r="A12453">
        <v>12452</v>
      </c>
      <c r="B12453">
        <v>7572126</v>
      </c>
      <c r="C12453" s="1" t="str">
        <f>HYPERLINK("http://stackoverflow.com/users/7572126", "peng xu")</f>
        <v>peng xu</v>
      </c>
      <c r="D12453" t="s">
        <v>55</v>
      </c>
      <c r="E12453">
        <v>1</v>
      </c>
    </row>
    <row r="12454" spans="1:5" x14ac:dyDescent="0.25">
      <c r="A12454">
        <v>12453</v>
      </c>
      <c r="B12454">
        <v>7572175</v>
      </c>
      <c r="C12454" s="1" t="str">
        <f>HYPERLINK("http://stackoverflow.com/users/7572175", "Carl")</f>
        <v>Carl</v>
      </c>
      <c r="D12454" t="s">
        <v>3</v>
      </c>
      <c r="E12454">
        <v>1</v>
      </c>
    </row>
    <row r="12455" spans="1:5" x14ac:dyDescent="0.25">
      <c r="A12455">
        <v>12454</v>
      </c>
      <c r="B12455">
        <v>7572309</v>
      </c>
      <c r="C12455" s="1" t="str">
        <f>HYPERLINK("http://stackoverflow.com/users/7572309", "Tivrron Kwan")</f>
        <v>Tivrron Kwan</v>
      </c>
      <c r="D12455" t="s">
        <v>328</v>
      </c>
      <c r="E12455">
        <v>1</v>
      </c>
    </row>
    <row r="12456" spans="1:5" x14ac:dyDescent="0.25">
      <c r="A12456">
        <v>12455</v>
      </c>
      <c r="B12456">
        <v>2307563</v>
      </c>
      <c r="C12456" s="1" t="str">
        <f>HYPERLINK("http://stackoverflow.com/users/2307563", "Steven")</f>
        <v>Steven</v>
      </c>
      <c r="D12456" t="s">
        <v>4</v>
      </c>
      <c r="E12456">
        <v>1</v>
      </c>
    </row>
    <row r="12457" spans="1:5" x14ac:dyDescent="0.25">
      <c r="A12457">
        <v>12456</v>
      </c>
      <c r="B12457">
        <v>9490252</v>
      </c>
      <c r="C12457" s="1" t="str">
        <f>HYPERLINK("http://stackoverflow.com/users/9490252", "Yang Lin")</f>
        <v>Yang Lin</v>
      </c>
      <c r="D12457" t="s">
        <v>47</v>
      </c>
      <c r="E12457">
        <v>1</v>
      </c>
    </row>
    <row r="12458" spans="1:5" x14ac:dyDescent="0.25">
      <c r="A12458">
        <v>12457</v>
      </c>
      <c r="B12458">
        <v>4045588</v>
      </c>
      <c r="C12458" s="1" t="str">
        <f>HYPERLINK("http://stackoverflow.com/users/4045588", "斯洛筏客")</f>
        <v>斯洛筏客</v>
      </c>
      <c r="D12458" t="s">
        <v>5</v>
      </c>
      <c r="E12458">
        <v>1</v>
      </c>
    </row>
    <row r="12459" spans="1:5" x14ac:dyDescent="0.25">
      <c r="A12459">
        <v>12458</v>
      </c>
      <c r="B12459">
        <v>2301145</v>
      </c>
      <c r="C12459" s="1" t="str">
        <f>HYPERLINK("http://stackoverflow.com/users/2301145", "Bing")</f>
        <v>Bing</v>
      </c>
      <c r="D12459" t="s">
        <v>5</v>
      </c>
      <c r="E12459">
        <v>1</v>
      </c>
    </row>
    <row r="12460" spans="1:5" x14ac:dyDescent="0.25">
      <c r="A12460">
        <v>12459</v>
      </c>
      <c r="B12460">
        <v>4037853</v>
      </c>
      <c r="C12460" s="1" t="str">
        <f>HYPERLINK("http://stackoverflow.com/users/4037853", "Qingfu Wen")</f>
        <v>Qingfu Wen</v>
      </c>
      <c r="D12460" t="s">
        <v>5</v>
      </c>
      <c r="E12460">
        <v>1</v>
      </c>
    </row>
    <row r="12461" spans="1:5" x14ac:dyDescent="0.25">
      <c r="A12461">
        <v>12460</v>
      </c>
      <c r="B12461">
        <v>11279621</v>
      </c>
      <c r="C12461" s="1" t="str">
        <f>HYPERLINK("http://stackoverflow.com/users/11279621", "Chenglu")</f>
        <v>Chenglu</v>
      </c>
      <c r="D12461" t="s">
        <v>217</v>
      </c>
      <c r="E12461">
        <v>1</v>
      </c>
    </row>
    <row r="12462" spans="1:5" x14ac:dyDescent="0.25">
      <c r="A12462">
        <v>12461</v>
      </c>
      <c r="B12462">
        <v>9489529</v>
      </c>
      <c r="C12462" s="1" t="str">
        <f>HYPERLINK("http://stackoverflow.com/users/9489529", "jackLi")</f>
        <v>jackLi</v>
      </c>
      <c r="D12462" t="s">
        <v>15</v>
      </c>
      <c r="E12462">
        <v>1</v>
      </c>
    </row>
    <row r="12463" spans="1:5" x14ac:dyDescent="0.25">
      <c r="A12463">
        <v>12462</v>
      </c>
      <c r="B12463">
        <v>5817285</v>
      </c>
      <c r="C12463" s="1" t="str">
        <f>HYPERLINK("http://stackoverflow.com/users/5817285", "ShiYangNan")</f>
        <v>ShiYangNan</v>
      </c>
      <c r="D12463" t="s">
        <v>61</v>
      </c>
      <c r="E12463">
        <v>1</v>
      </c>
    </row>
    <row r="12464" spans="1:5" x14ac:dyDescent="0.25">
      <c r="A12464">
        <v>12463</v>
      </c>
      <c r="B12464">
        <v>7561804</v>
      </c>
      <c r="C12464" s="1" t="str">
        <f>HYPERLINK("http://stackoverflow.com/users/7561804", "stackjolin")</f>
        <v>stackjolin</v>
      </c>
      <c r="D12464" t="s">
        <v>5</v>
      </c>
      <c r="E12464">
        <v>1</v>
      </c>
    </row>
    <row r="12465" spans="1:5" x14ac:dyDescent="0.25">
      <c r="A12465">
        <v>12464</v>
      </c>
      <c r="B12465">
        <v>7561870</v>
      </c>
      <c r="C12465" s="1" t="str">
        <f>HYPERLINK("http://stackoverflow.com/users/7561870", "Qiangyi Chen")</f>
        <v>Qiangyi Chen</v>
      </c>
      <c r="D12465" t="s">
        <v>4</v>
      </c>
      <c r="E12465">
        <v>1</v>
      </c>
    </row>
    <row r="12466" spans="1:5" x14ac:dyDescent="0.25">
      <c r="A12466">
        <v>12465</v>
      </c>
      <c r="B12466">
        <v>7561874</v>
      </c>
      <c r="C12466" s="1" t="str">
        <f>HYPERLINK("http://stackoverflow.com/users/7561874", "Hongfei Wu")</f>
        <v>Hongfei Wu</v>
      </c>
      <c r="D12466" t="s">
        <v>37</v>
      </c>
      <c r="E12466">
        <v>1</v>
      </c>
    </row>
    <row r="12467" spans="1:5" x14ac:dyDescent="0.25">
      <c r="A12467">
        <v>12466</v>
      </c>
      <c r="B12467">
        <v>4030932</v>
      </c>
      <c r="C12467" s="1" t="str">
        <f>HYPERLINK("http://stackoverflow.com/users/4030932", "Frank")</f>
        <v>Frank</v>
      </c>
      <c r="D12467" t="s">
        <v>17</v>
      </c>
      <c r="E12467">
        <v>1</v>
      </c>
    </row>
    <row r="12468" spans="1:5" x14ac:dyDescent="0.25">
      <c r="A12468">
        <v>12467</v>
      </c>
      <c r="B12468">
        <v>9476730</v>
      </c>
      <c r="C12468" s="1" t="str">
        <f>HYPERLINK("http://stackoverflow.com/users/9476730", "Misnoyh")</f>
        <v>Misnoyh</v>
      </c>
      <c r="D12468" t="s">
        <v>33</v>
      </c>
      <c r="E12468">
        <v>1</v>
      </c>
    </row>
    <row r="12469" spans="1:5" x14ac:dyDescent="0.25">
      <c r="A12469">
        <v>12468</v>
      </c>
      <c r="B12469">
        <v>9477304</v>
      </c>
      <c r="C12469" s="1" t="str">
        <f>HYPERLINK("http://stackoverflow.com/users/9477304", "user9477304")</f>
        <v>user9477304</v>
      </c>
      <c r="D12469" t="s">
        <v>5</v>
      </c>
      <c r="E12469">
        <v>1</v>
      </c>
    </row>
    <row r="12470" spans="1:5" x14ac:dyDescent="0.25">
      <c r="A12470">
        <v>12469</v>
      </c>
      <c r="B12470">
        <v>9477317</v>
      </c>
      <c r="C12470" s="1" t="str">
        <f>HYPERLINK("http://stackoverflow.com/users/9477317", "XQQ8765")</f>
        <v>XQQ8765</v>
      </c>
      <c r="D12470" t="s">
        <v>42</v>
      </c>
      <c r="E12470">
        <v>1</v>
      </c>
    </row>
    <row r="12471" spans="1:5" x14ac:dyDescent="0.25">
      <c r="A12471">
        <v>12470</v>
      </c>
      <c r="B12471">
        <v>9477481</v>
      </c>
      <c r="C12471" s="1" t="str">
        <f>HYPERLINK("http://stackoverflow.com/users/9477481", "Jerry Zhou")</f>
        <v>Jerry Zhou</v>
      </c>
      <c r="D12471" t="s">
        <v>4</v>
      </c>
      <c r="E12471">
        <v>1</v>
      </c>
    </row>
    <row r="12472" spans="1:5" x14ac:dyDescent="0.25">
      <c r="A12472">
        <v>12471</v>
      </c>
      <c r="B12472">
        <v>11271235</v>
      </c>
      <c r="C12472" s="1" t="str">
        <f>HYPERLINK("http://stackoverflow.com/users/11271235", "Y W")</f>
        <v>Y W</v>
      </c>
      <c r="D12472" t="s">
        <v>13</v>
      </c>
      <c r="E12472">
        <v>1</v>
      </c>
    </row>
    <row r="12473" spans="1:5" x14ac:dyDescent="0.25">
      <c r="A12473">
        <v>12472</v>
      </c>
      <c r="B12473">
        <v>5810739</v>
      </c>
      <c r="C12473" s="1" t="str">
        <f>HYPERLINK("http://stackoverflow.com/users/5810739", "hx_hxl")</f>
        <v>hx_hxl</v>
      </c>
      <c r="D12473" t="s">
        <v>52</v>
      </c>
      <c r="E12473">
        <v>1</v>
      </c>
    </row>
    <row r="12474" spans="1:5" x14ac:dyDescent="0.25">
      <c r="A12474">
        <v>12473</v>
      </c>
      <c r="B12474">
        <v>5810943</v>
      </c>
      <c r="C12474" s="1" t="str">
        <f>HYPERLINK("http://stackoverflow.com/users/5810943", "Lebron")</f>
        <v>Lebron</v>
      </c>
      <c r="D12474" t="s">
        <v>91</v>
      </c>
      <c r="E12474">
        <v>1</v>
      </c>
    </row>
    <row r="12475" spans="1:5" x14ac:dyDescent="0.25">
      <c r="A12475">
        <v>12474</v>
      </c>
      <c r="B12475">
        <v>9480843</v>
      </c>
      <c r="C12475" s="1" t="str">
        <f>HYPERLINK("http://stackoverflow.com/users/9480843", "zhizhi Zhou")</f>
        <v>zhizhi Zhou</v>
      </c>
      <c r="D12475" t="s">
        <v>7</v>
      </c>
      <c r="E12475">
        <v>1</v>
      </c>
    </row>
    <row r="12476" spans="1:5" x14ac:dyDescent="0.25">
      <c r="A12476">
        <v>12475</v>
      </c>
      <c r="B12476">
        <v>11275443</v>
      </c>
      <c r="C12476" s="1" t="str">
        <f>HYPERLINK("http://stackoverflow.com/users/11275443", "吴宏途")</f>
        <v>吴宏途</v>
      </c>
      <c r="D12476" t="s">
        <v>5</v>
      </c>
      <c r="E12476">
        <v>1</v>
      </c>
    </row>
    <row r="12477" spans="1:5" x14ac:dyDescent="0.25">
      <c r="A12477">
        <v>12476</v>
      </c>
      <c r="B12477">
        <v>11275473</v>
      </c>
      <c r="C12477" s="1" t="str">
        <f>HYPERLINK("http://stackoverflow.com/users/11275473", "muggle_quant")</f>
        <v>muggle_quant</v>
      </c>
      <c r="D12477" t="s">
        <v>4</v>
      </c>
      <c r="E12477">
        <v>1</v>
      </c>
    </row>
    <row r="12478" spans="1:5" x14ac:dyDescent="0.25">
      <c r="A12478">
        <v>12477</v>
      </c>
      <c r="B12478">
        <v>7561724</v>
      </c>
      <c r="C12478" s="1" t="str">
        <f>HYPERLINK("http://stackoverflow.com/users/7561724", "jiang jiang")</f>
        <v>jiang jiang</v>
      </c>
      <c r="D12478" t="s">
        <v>5</v>
      </c>
      <c r="E12478">
        <v>1</v>
      </c>
    </row>
    <row r="12479" spans="1:5" x14ac:dyDescent="0.25">
      <c r="A12479">
        <v>12478</v>
      </c>
      <c r="B12479">
        <v>2231181</v>
      </c>
      <c r="C12479" s="1" t="str">
        <f>HYPERLINK("http://stackoverflow.com/users/2231181", "Virginia Wei")</f>
        <v>Virginia Wei</v>
      </c>
      <c r="D12479" t="s">
        <v>5</v>
      </c>
      <c r="E12479">
        <v>1</v>
      </c>
    </row>
    <row r="12480" spans="1:5" x14ac:dyDescent="0.25">
      <c r="A12480">
        <v>12479</v>
      </c>
      <c r="B12480">
        <v>2231340</v>
      </c>
      <c r="C12480" s="1" t="str">
        <f>HYPERLINK("http://stackoverflow.com/users/2231340", "MR.Dai")</f>
        <v>MR.Dai</v>
      </c>
      <c r="D12480" t="s">
        <v>5</v>
      </c>
      <c r="E12480">
        <v>1</v>
      </c>
    </row>
    <row r="12481" spans="1:5" x14ac:dyDescent="0.25">
      <c r="A12481">
        <v>12480</v>
      </c>
      <c r="B12481">
        <v>2231341</v>
      </c>
      <c r="C12481" s="1" t="str">
        <f>HYPERLINK("http://stackoverflow.com/users/2231341", "zhengwenhui")</f>
        <v>zhengwenhui</v>
      </c>
      <c r="D12481" t="s">
        <v>7</v>
      </c>
      <c r="E12481">
        <v>1</v>
      </c>
    </row>
    <row r="12482" spans="1:5" x14ac:dyDescent="0.25">
      <c r="A12482">
        <v>12481</v>
      </c>
      <c r="B12482">
        <v>11215488</v>
      </c>
      <c r="C12482" s="1" t="str">
        <f>HYPERLINK("http://stackoverflow.com/users/11215488", "jing tang")</f>
        <v>jing tang</v>
      </c>
      <c r="D12482" t="s">
        <v>25</v>
      </c>
      <c r="E12482">
        <v>1</v>
      </c>
    </row>
    <row r="12483" spans="1:5" x14ac:dyDescent="0.25">
      <c r="A12483">
        <v>12482</v>
      </c>
      <c r="B12483">
        <v>5760964</v>
      </c>
      <c r="C12483" s="1" t="str">
        <f>HYPERLINK("http://stackoverflow.com/users/5760964", "MIDAN CHAN")</f>
        <v>MIDAN CHAN</v>
      </c>
      <c r="D12483" t="s">
        <v>7</v>
      </c>
      <c r="E12483">
        <v>1</v>
      </c>
    </row>
    <row r="12484" spans="1:5" x14ac:dyDescent="0.25">
      <c r="A12484">
        <v>12483</v>
      </c>
      <c r="B12484">
        <v>5761165</v>
      </c>
      <c r="C12484" s="1" t="str">
        <f>HYPERLINK("http://stackoverflow.com/users/5761165", "LiuPeng")</f>
        <v>LiuPeng</v>
      </c>
      <c r="D12484" t="s">
        <v>4</v>
      </c>
      <c r="E12484">
        <v>1</v>
      </c>
    </row>
    <row r="12485" spans="1:5" x14ac:dyDescent="0.25">
      <c r="A12485">
        <v>12484</v>
      </c>
      <c r="B12485">
        <v>5761526</v>
      </c>
      <c r="C12485" s="1" t="str">
        <f>HYPERLINK("http://stackoverflow.com/users/5761526", "Wang Jinli")</f>
        <v>Wang Jinli</v>
      </c>
      <c r="D12485" t="s">
        <v>5</v>
      </c>
      <c r="E12485">
        <v>1</v>
      </c>
    </row>
    <row r="12486" spans="1:5" x14ac:dyDescent="0.25">
      <c r="A12486">
        <v>12485</v>
      </c>
      <c r="B12486">
        <v>5761630</v>
      </c>
      <c r="C12486" s="1" t="str">
        <f>HYPERLINK("http://stackoverflow.com/users/5761630", "ivanmao")</f>
        <v>ivanmao</v>
      </c>
      <c r="D12486" t="s">
        <v>4</v>
      </c>
      <c r="E12486">
        <v>1</v>
      </c>
    </row>
    <row r="12487" spans="1:5" x14ac:dyDescent="0.25">
      <c r="A12487">
        <v>12486</v>
      </c>
      <c r="B12487">
        <v>11223844</v>
      </c>
      <c r="C12487" s="1" t="str">
        <f>HYPERLINK("http://stackoverflow.com/users/11223844", "佟小萌")</f>
        <v>佟小萌</v>
      </c>
      <c r="D12487" t="s">
        <v>5</v>
      </c>
      <c r="E12487">
        <v>1</v>
      </c>
    </row>
    <row r="12488" spans="1:5" x14ac:dyDescent="0.25">
      <c r="A12488">
        <v>12487</v>
      </c>
      <c r="B12488">
        <v>11223914</v>
      </c>
      <c r="C12488" s="1" t="str">
        <f>HYPERLINK("http://stackoverflow.com/users/11223914", "NM666")</f>
        <v>NM666</v>
      </c>
      <c r="D12488" t="s">
        <v>5</v>
      </c>
      <c r="E12488">
        <v>1</v>
      </c>
    </row>
    <row r="12489" spans="1:5" x14ac:dyDescent="0.25">
      <c r="A12489">
        <v>12488</v>
      </c>
      <c r="B12489">
        <v>11224170</v>
      </c>
      <c r="C12489" s="1" t="str">
        <f>HYPERLINK("http://stackoverflow.com/users/11224170", "Phoveran")</f>
        <v>Phoveran</v>
      </c>
      <c r="D12489" t="s">
        <v>5</v>
      </c>
      <c r="E12489">
        <v>1</v>
      </c>
    </row>
    <row r="12490" spans="1:5" x14ac:dyDescent="0.25">
      <c r="A12490">
        <v>12489</v>
      </c>
      <c r="B12490">
        <v>11224343</v>
      </c>
      <c r="C12490" s="1" t="str">
        <f>HYPERLINK("http://stackoverflow.com/users/11224343", "宋林鑫")</f>
        <v>宋林鑫</v>
      </c>
      <c r="D12490" t="s">
        <v>4</v>
      </c>
      <c r="E12490">
        <v>1</v>
      </c>
    </row>
    <row r="12491" spans="1:5" x14ac:dyDescent="0.25">
      <c r="A12491">
        <v>12490</v>
      </c>
      <c r="B12491">
        <v>11224378</v>
      </c>
      <c r="C12491" s="1" t="str">
        <f>HYPERLINK("http://stackoverflow.com/users/11224378", "NIAZ MUHAMMAD")</f>
        <v>NIAZ MUHAMMAD</v>
      </c>
      <c r="D12491" t="s">
        <v>635</v>
      </c>
      <c r="E12491">
        <v>1</v>
      </c>
    </row>
    <row r="12492" spans="1:5" x14ac:dyDescent="0.25">
      <c r="A12492">
        <v>12491</v>
      </c>
      <c r="B12492">
        <v>9429798</v>
      </c>
      <c r="C12492" s="1" t="str">
        <f>HYPERLINK("http://stackoverflow.com/users/9429798", "Noah Tung")</f>
        <v>Noah Tung</v>
      </c>
      <c r="D12492" t="s">
        <v>11</v>
      </c>
      <c r="E12492">
        <v>1</v>
      </c>
    </row>
    <row r="12493" spans="1:5" x14ac:dyDescent="0.25">
      <c r="A12493">
        <v>12492</v>
      </c>
      <c r="B12493">
        <v>9430029</v>
      </c>
      <c r="C12493" s="1" t="str">
        <f>HYPERLINK("http://stackoverflow.com/users/9430029", "Daniel TAN")</f>
        <v>Daniel TAN</v>
      </c>
      <c r="D12493" t="s">
        <v>4</v>
      </c>
      <c r="E12493">
        <v>1</v>
      </c>
    </row>
    <row r="12494" spans="1:5" x14ac:dyDescent="0.25">
      <c r="A12494">
        <v>12493</v>
      </c>
      <c r="B12494">
        <v>9434419</v>
      </c>
      <c r="C12494" s="1" t="str">
        <f>HYPERLINK("http://stackoverflow.com/users/9434419", "mccc")</f>
        <v>mccc</v>
      </c>
      <c r="D12494" t="s">
        <v>266</v>
      </c>
      <c r="E12494">
        <v>1</v>
      </c>
    </row>
    <row r="12495" spans="1:5" x14ac:dyDescent="0.25">
      <c r="A12495">
        <v>12494</v>
      </c>
      <c r="B12495">
        <v>7521502</v>
      </c>
      <c r="C12495" s="1" t="str">
        <f>HYPERLINK("http://stackoverflow.com/users/7521502", "Jason")</f>
        <v>Jason</v>
      </c>
      <c r="D12495" t="s">
        <v>7</v>
      </c>
      <c r="E12495">
        <v>1</v>
      </c>
    </row>
    <row r="12496" spans="1:5" x14ac:dyDescent="0.25">
      <c r="A12496">
        <v>12495</v>
      </c>
      <c r="B12496">
        <v>7521776</v>
      </c>
      <c r="C12496" s="1" t="str">
        <f>HYPERLINK("http://stackoverflow.com/users/7521776", "邓策超")</f>
        <v>邓策超</v>
      </c>
      <c r="D12496" t="s">
        <v>7</v>
      </c>
      <c r="E12496">
        <v>1</v>
      </c>
    </row>
    <row r="12497" spans="1:5" x14ac:dyDescent="0.25">
      <c r="A12497">
        <v>12496</v>
      </c>
      <c r="B12497">
        <v>7521873</v>
      </c>
      <c r="C12497" s="1" t="str">
        <f>HYPERLINK("http://stackoverflow.com/users/7521873", "TonyChan")</f>
        <v>TonyChan</v>
      </c>
      <c r="D12497" t="s">
        <v>5</v>
      </c>
      <c r="E12497">
        <v>1</v>
      </c>
    </row>
    <row r="12498" spans="1:5" x14ac:dyDescent="0.25">
      <c r="A12498">
        <v>12497</v>
      </c>
      <c r="B12498">
        <v>7521968</v>
      </c>
      <c r="C12498" s="1" t="str">
        <f>HYPERLINK("http://stackoverflow.com/users/7521968", "王华键")</f>
        <v>王华键</v>
      </c>
      <c r="D12498" t="s">
        <v>55</v>
      </c>
      <c r="E12498">
        <v>1</v>
      </c>
    </row>
    <row r="12499" spans="1:5" x14ac:dyDescent="0.25">
      <c r="A12499">
        <v>12498</v>
      </c>
      <c r="B12499">
        <v>5769843</v>
      </c>
      <c r="C12499" s="1" t="str">
        <f>HYPERLINK("http://stackoverflow.com/users/5769843", "wyfSunflower")</f>
        <v>wyfSunflower</v>
      </c>
      <c r="D12499" t="s">
        <v>679</v>
      </c>
      <c r="E12499">
        <v>1</v>
      </c>
    </row>
    <row r="12500" spans="1:5" x14ac:dyDescent="0.25">
      <c r="A12500">
        <v>12499</v>
      </c>
      <c r="B12500">
        <v>5769967</v>
      </c>
      <c r="C12500" s="1" t="str">
        <f>HYPERLINK("http://stackoverflow.com/users/5769967", "kderer")</f>
        <v>kderer</v>
      </c>
      <c r="D12500" t="s">
        <v>270</v>
      </c>
      <c r="E12500">
        <v>1</v>
      </c>
    </row>
    <row r="12501" spans="1:5" x14ac:dyDescent="0.25">
      <c r="A12501">
        <v>12500</v>
      </c>
      <c r="B12501">
        <v>5770016</v>
      </c>
      <c r="C12501" s="1" t="str">
        <f>HYPERLINK("http://stackoverflow.com/users/5770016", "whilefor")</f>
        <v>whilefor</v>
      </c>
      <c r="D12501" t="s">
        <v>4</v>
      </c>
      <c r="E12501">
        <v>1</v>
      </c>
    </row>
    <row r="12502" spans="1:5" x14ac:dyDescent="0.25">
      <c r="A12502">
        <v>12501</v>
      </c>
      <c r="B12502">
        <v>11233465</v>
      </c>
      <c r="C12502" s="1" t="str">
        <f>HYPERLINK("http://stackoverflow.com/users/11233465", "Wang Dan")</f>
        <v>Wang Dan</v>
      </c>
      <c r="D12502" t="s">
        <v>33</v>
      </c>
      <c r="E12502">
        <v>1</v>
      </c>
    </row>
    <row r="12503" spans="1:5" x14ac:dyDescent="0.25">
      <c r="A12503">
        <v>12502</v>
      </c>
      <c r="B12503">
        <v>5773632</v>
      </c>
      <c r="C12503" s="1" t="str">
        <f>HYPERLINK("http://stackoverflow.com/users/5773632", "XieYuan")</f>
        <v>XieYuan</v>
      </c>
      <c r="D12503" t="s">
        <v>17</v>
      </c>
      <c r="E12503">
        <v>1</v>
      </c>
    </row>
    <row r="12504" spans="1:5" x14ac:dyDescent="0.25">
      <c r="A12504">
        <v>12503</v>
      </c>
      <c r="B12504">
        <v>5773717</v>
      </c>
      <c r="C12504" s="1" t="str">
        <f>HYPERLINK("http://stackoverflow.com/users/5773717", "Tim Sean")</f>
        <v>Tim Sean</v>
      </c>
      <c r="D12504" t="s">
        <v>37</v>
      </c>
      <c r="E12504">
        <v>1</v>
      </c>
    </row>
    <row r="12505" spans="1:5" x14ac:dyDescent="0.25">
      <c r="A12505">
        <v>12504</v>
      </c>
      <c r="B12505">
        <v>3977159</v>
      </c>
      <c r="C12505" s="1" t="str">
        <f>HYPERLINK("http://stackoverflow.com/users/3977159", "xzturn")</f>
        <v>xzturn</v>
      </c>
      <c r="D12505" t="s">
        <v>5</v>
      </c>
      <c r="E12505">
        <v>1</v>
      </c>
    </row>
    <row r="12506" spans="1:5" x14ac:dyDescent="0.25">
      <c r="A12506">
        <v>12505</v>
      </c>
      <c r="B12506">
        <v>3977445</v>
      </c>
      <c r="C12506" s="1" t="str">
        <f>HYPERLINK("http://stackoverflow.com/users/3977445", "陈鹏宇")</f>
        <v>陈鹏宇</v>
      </c>
      <c r="D12506" t="s">
        <v>5</v>
      </c>
      <c r="E12506">
        <v>1</v>
      </c>
    </row>
    <row r="12507" spans="1:5" x14ac:dyDescent="0.25">
      <c r="A12507">
        <v>12506</v>
      </c>
      <c r="B12507">
        <v>2230950</v>
      </c>
      <c r="C12507" s="1" t="str">
        <f>HYPERLINK("http://stackoverflow.com/users/2230950", "foxhlchen")</f>
        <v>foxhlchen</v>
      </c>
      <c r="D12507" t="s">
        <v>96</v>
      </c>
      <c r="E12507">
        <v>1</v>
      </c>
    </row>
    <row r="12508" spans="1:5" x14ac:dyDescent="0.25">
      <c r="A12508">
        <v>12507</v>
      </c>
      <c r="B12508">
        <v>3977694</v>
      </c>
      <c r="C12508" s="1" t="str">
        <f>HYPERLINK("http://stackoverflow.com/users/3977694", "Yuqiang Zheng")</f>
        <v>Yuqiang Zheng</v>
      </c>
      <c r="D12508" t="s">
        <v>266</v>
      </c>
      <c r="E12508">
        <v>1</v>
      </c>
    </row>
    <row r="12509" spans="1:5" x14ac:dyDescent="0.25">
      <c r="A12509">
        <v>12508</v>
      </c>
      <c r="B12509">
        <v>11211213</v>
      </c>
      <c r="C12509" s="1" t="str">
        <f>HYPERLINK("http://stackoverflow.com/users/11211213", "Vivian Finn")</f>
        <v>Vivian Finn</v>
      </c>
      <c r="D12509" t="s">
        <v>5</v>
      </c>
      <c r="E12509">
        <v>1</v>
      </c>
    </row>
    <row r="12510" spans="1:5" x14ac:dyDescent="0.25">
      <c r="A12510">
        <v>12509</v>
      </c>
      <c r="B12510">
        <v>3981238</v>
      </c>
      <c r="C12510" s="1" t="str">
        <f>HYPERLINK("http://stackoverflow.com/users/3981238", "ChinaCoder")</f>
        <v>ChinaCoder</v>
      </c>
      <c r="D12510" t="s">
        <v>643</v>
      </c>
      <c r="E12510">
        <v>1</v>
      </c>
    </row>
    <row r="12511" spans="1:5" x14ac:dyDescent="0.25">
      <c r="A12511">
        <v>12510</v>
      </c>
      <c r="B12511">
        <v>5748720</v>
      </c>
      <c r="C12511" s="1" t="str">
        <f>HYPERLINK("http://stackoverflow.com/users/5748720", "Ace_freeman")</f>
        <v>Ace_freeman</v>
      </c>
      <c r="D12511" t="s">
        <v>17</v>
      </c>
      <c r="E12511">
        <v>1</v>
      </c>
    </row>
    <row r="12512" spans="1:5" x14ac:dyDescent="0.25">
      <c r="A12512">
        <v>12511</v>
      </c>
      <c r="B12512">
        <v>9416202</v>
      </c>
      <c r="C12512" s="1" t="str">
        <f>HYPERLINK("http://stackoverflow.com/users/9416202", "Yao Jeffrey")</f>
        <v>Yao Jeffrey</v>
      </c>
      <c r="D12512" t="s">
        <v>95</v>
      </c>
      <c r="E12512">
        <v>1</v>
      </c>
    </row>
    <row r="12513" spans="1:5" x14ac:dyDescent="0.25">
      <c r="A12513">
        <v>12512</v>
      </c>
      <c r="B12513">
        <v>7504275</v>
      </c>
      <c r="C12513" s="1" t="str">
        <f>HYPERLINK("http://stackoverflow.com/users/7504275", "advantiss")</f>
        <v>advantiss</v>
      </c>
      <c r="D12513" t="s">
        <v>33</v>
      </c>
      <c r="E12513">
        <v>1</v>
      </c>
    </row>
    <row r="12514" spans="1:5" x14ac:dyDescent="0.25">
      <c r="A12514">
        <v>12513</v>
      </c>
      <c r="B12514">
        <v>7504828</v>
      </c>
      <c r="C12514" s="1" t="str">
        <f>HYPERLINK("http://stackoverflow.com/users/7504828", "user140713")</f>
        <v>user140713</v>
      </c>
      <c r="D12514" t="s">
        <v>19</v>
      </c>
      <c r="E12514">
        <v>1</v>
      </c>
    </row>
    <row r="12515" spans="1:5" x14ac:dyDescent="0.25">
      <c r="A12515">
        <v>12514</v>
      </c>
      <c r="B12515">
        <v>5781871</v>
      </c>
      <c r="C12515" s="1" t="str">
        <f>HYPERLINK("http://stackoverflow.com/users/5781871", "sunxingguo")</f>
        <v>sunxingguo</v>
      </c>
      <c r="D12515" t="s">
        <v>5</v>
      </c>
      <c r="E12515">
        <v>1</v>
      </c>
    </row>
    <row r="12516" spans="1:5" x14ac:dyDescent="0.25">
      <c r="A12516">
        <v>12515</v>
      </c>
      <c r="B12516">
        <v>5781942</v>
      </c>
      <c r="C12516" s="1" t="str">
        <f>HYPERLINK("http://stackoverflow.com/users/5781942", "Charles Hu")</f>
        <v>Charles Hu</v>
      </c>
      <c r="D12516" t="s">
        <v>4</v>
      </c>
      <c r="E12516">
        <v>1</v>
      </c>
    </row>
    <row r="12517" spans="1:5" x14ac:dyDescent="0.25">
      <c r="A12517">
        <v>12516</v>
      </c>
      <c r="B12517">
        <v>5781955</v>
      </c>
      <c r="C12517" s="1" t="str">
        <f>HYPERLINK("http://stackoverflow.com/users/5781955", "xiaodid")</f>
        <v>xiaodid</v>
      </c>
      <c r="D12517" t="s">
        <v>5</v>
      </c>
      <c r="E12517">
        <v>1</v>
      </c>
    </row>
    <row r="12518" spans="1:5" x14ac:dyDescent="0.25">
      <c r="A12518">
        <v>12517</v>
      </c>
      <c r="B12518">
        <v>7533019</v>
      </c>
      <c r="C12518" s="1" t="str">
        <f>HYPERLINK("http://stackoverflow.com/users/7533019", "user7533019")</f>
        <v>user7533019</v>
      </c>
      <c r="D12518" t="s">
        <v>242</v>
      </c>
      <c r="E12518">
        <v>1</v>
      </c>
    </row>
    <row r="12519" spans="1:5" x14ac:dyDescent="0.25">
      <c r="A12519">
        <v>12518</v>
      </c>
      <c r="B12519">
        <v>2273388</v>
      </c>
      <c r="C12519" s="1" t="str">
        <f>HYPERLINK("http://stackoverflow.com/users/2273388", "Ming Chen")</f>
        <v>Ming Chen</v>
      </c>
      <c r="D12519" t="s">
        <v>4</v>
      </c>
      <c r="E12519">
        <v>1</v>
      </c>
    </row>
    <row r="12520" spans="1:5" x14ac:dyDescent="0.25">
      <c r="A12520">
        <v>12519</v>
      </c>
      <c r="B12520">
        <v>2273420</v>
      </c>
      <c r="C12520" s="1" t="str">
        <f>HYPERLINK("http://stackoverflow.com/users/2273420", "SoYoHu")</f>
        <v>SoYoHu</v>
      </c>
      <c r="D12520" t="s">
        <v>4</v>
      </c>
      <c r="E12520">
        <v>1</v>
      </c>
    </row>
    <row r="12521" spans="1:5" x14ac:dyDescent="0.25">
      <c r="A12521">
        <v>12520</v>
      </c>
      <c r="B12521">
        <v>2274592</v>
      </c>
      <c r="C12521" s="1" t="str">
        <f>HYPERLINK("http://stackoverflow.com/users/2274592", "Ke Wang")</f>
        <v>Ke Wang</v>
      </c>
      <c r="D12521" t="s">
        <v>5</v>
      </c>
      <c r="E12521">
        <v>1</v>
      </c>
    </row>
    <row r="12522" spans="1:5" x14ac:dyDescent="0.25">
      <c r="A12522">
        <v>12521</v>
      </c>
      <c r="B12522">
        <v>7543528</v>
      </c>
      <c r="C12522" s="1" t="str">
        <f>HYPERLINK("http://stackoverflow.com/users/7543528", "syessn")</f>
        <v>syessn</v>
      </c>
      <c r="D12522" t="s">
        <v>13</v>
      </c>
      <c r="E12522">
        <v>1</v>
      </c>
    </row>
    <row r="12523" spans="1:5" x14ac:dyDescent="0.25">
      <c r="A12523">
        <v>12522</v>
      </c>
      <c r="B12523">
        <v>7543877</v>
      </c>
      <c r="C12523" s="1" t="str">
        <f>HYPERLINK("http://stackoverflow.com/users/7543877", "Long Li")</f>
        <v>Long Li</v>
      </c>
      <c r="D12523" t="s">
        <v>5</v>
      </c>
      <c r="E12523">
        <v>1</v>
      </c>
    </row>
    <row r="12524" spans="1:5" x14ac:dyDescent="0.25">
      <c r="A12524">
        <v>12523</v>
      </c>
      <c r="B12524">
        <v>7543980</v>
      </c>
      <c r="C12524" s="1" t="str">
        <f>HYPERLINK("http://stackoverflow.com/users/7543980", "Mrooze Zeng")</f>
        <v>Mrooze Zeng</v>
      </c>
      <c r="D12524" t="s">
        <v>25</v>
      </c>
      <c r="E12524">
        <v>1</v>
      </c>
    </row>
    <row r="12525" spans="1:5" x14ac:dyDescent="0.25">
      <c r="A12525">
        <v>12524</v>
      </c>
      <c r="B12525">
        <v>11258979</v>
      </c>
      <c r="C12525" s="1" t="str">
        <f>HYPERLINK("http://stackoverflow.com/users/11258979", "Vincent.Suantou")</f>
        <v>Vincent.Suantou</v>
      </c>
      <c r="D12525" t="s">
        <v>7</v>
      </c>
      <c r="E12525">
        <v>1</v>
      </c>
    </row>
    <row r="12526" spans="1:5" x14ac:dyDescent="0.25">
      <c r="A12526">
        <v>12525</v>
      </c>
      <c r="B12526">
        <v>9465099</v>
      </c>
      <c r="C12526" s="1" t="str">
        <f>HYPERLINK("http://stackoverflow.com/users/9465099", "周炜平")</f>
        <v>周炜平</v>
      </c>
      <c r="D12526" t="s">
        <v>4</v>
      </c>
      <c r="E12526">
        <v>1</v>
      </c>
    </row>
    <row r="12527" spans="1:5" x14ac:dyDescent="0.25">
      <c r="A12527">
        <v>12526</v>
      </c>
      <c r="B12527">
        <v>11263649</v>
      </c>
      <c r="C12527" s="1" t="str">
        <f>HYPERLINK("http://stackoverflow.com/users/11263649", "jerry")</f>
        <v>jerry</v>
      </c>
      <c r="D12527" t="s">
        <v>55</v>
      </c>
      <c r="E12527">
        <v>1</v>
      </c>
    </row>
    <row r="12528" spans="1:5" x14ac:dyDescent="0.25">
      <c r="A12528">
        <v>12527</v>
      </c>
      <c r="B12528">
        <v>11263696</v>
      </c>
      <c r="C12528" s="1" t="str">
        <f>HYPERLINK("http://stackoverflow.com/users/11263696", "user11263696")</f>
        <v>user11263696</v>
      </c>
      <c r="D12528" t="s">
        <v>5</v>
      </c>
      <c r="E12528">
        <v>1</v>
      </c>
    </row>
    <row r="12529" spans="1:5" x14ac:dyDescent="0.25">
      <c r="A12529">
        <v>12528</v>
      </c>
      <c r="B12529">
        <v>5800196</v>
      </c>
      <c r="C12529" s="1" t="str">
        <f>HYPERLINK("http://stackoverflow.com/users/5800196", "lidecong")</f>
        <v>lidecong</v>
      </c>
      <c r="D12529" t="s">
        <v>17</v>
      </c>
      <c r="E12529">
        <v>1</v>
      </c>
    </row>
    <row r="12530" spans="1:5" x14ac:dyDescent="0.25">
      <c r="A12530">
        <v>12529</v>
      </c>
      <c r="B12530">
        <v>5803310</v>
      </c>
      <c r="C12530" s="1" t="str">
        <f>HYPERLINK("http://stackoverflow.com/users/5803310", "丁颖杰")</f>
        <v>丁颖杰</v>
      </c>
      <c r="D12530" t="s">
        <v>7</v>
      </c>
      <c r="E12530">
        <v>1</v>
      </c>
    </row>
    <row r="12531" spans="1:5" x14ac:dyDescent="0.25">
      <c r="A12531">
        <v>12530</v>
      </c>
      <c r="B12531">
        <v>5781961</v>
      </c>
      <c r="C12531" s="1" t="str">
        <f>HYPERLINK("http://stackoverflow.com/users/5781961", "mazekkkk")</f>
        <v>mazekkkk</v>
      </c>
      <c r="D12531" t="s">
        <v>5</v>
      </c>
      <c r="E12531">
        <v>1</v>
      </c>
    </row>
    <row r="12532" spans="1:5" x14ac:dyDescent="0.25">
      <c r="A12532">
        <v>12531</v>
      </c>
      <c r="B12532">
        <v>5781989</v>
      </c>
      <c r="C12532" s="1" t="str">
        <f>HYPERLINK("http://stackoverflow.com/users/5781989", "Rex")</f>
        <v>Rex</v>
      </c>
      <c r="D12532" t="s">
        <v>17</v>
      </c>
      <c r="E12532">
        <v>1</v>
      </c>
    </row>
    <row r="12533" spans="1:5" x14ac:dyDescent="0.25">
      <c r="A12533">
        <v>12532</v>
      </c>
      <c r="B12533">
        <v>5782162</v>
      </c>
      <c r="C12533" s="1" t="str">
        <f>HYPERLINK("http://stackoverflow.com/users/5782162", "Qian Du")</f>
        <v>Qian Du</v>
      </c>
      <c r="D12533" t="s">
        <v>5</v>
      </c>
      <c r="E12533">
        <v>1</v>
      </c>
    </row>
    <row r="12534" spans="1:5" x14ac:dyDescent="0.25">
      <c r="A12534">
        <v>12533</v>
      </c>
      <c r="B12534">
        <v>5785669</v>
      </c>
      <c r="C12534" s="1" t="str">
        <f>HYPERLINK("http://stackoverflow.com/users/5785669", "Pengweb")</f>
        <v>Pengweb</v>
      </c>
      <c r="D12534" t="s">
        <v>5</v>
      </c>
      <c r="E12534">
        <v>1</v>
      </c>
    </row>
    <row r="12535" spans="1:5" x14ac:dyDescent="0.25">
      <c r="A12535">
        <v>12534</v>
      </c>
      <c r="B12535">
        <v>11245983</v>
      </c>
      <c r="C12535" s="1" t="str">
        <f>HYPERLINK("http://stackoverflow.com/users/11245983", "Yu Young")</f>
        <v>Yu Young</v>
      </c>
      <c r="D12535" t="s">
        <v>5</v>
      </c>
      <c r="E12535">
        <v>1</v>
      </c>
    </row>
    <row r="12536" spans="1:5" x14ac:dyDescent="0.25">
      <c r="A12536">
        <v>12535</v>
      </c>
      <c r="B12536">
        <v>11246067</v>
      </c>
      <c r="C12536" s="1" t="str">
        <f>HYPERLINK("http://stackoverflow.com/users/11246067", "hello world")</f>
        <v>hello world</v>
      </c>
      <c r="D12536" t="s">
        <v>28</v>
      </c>
      <c r="E12536">
        <v>1</v>
      </c>
    </row>
    <row r="12537" spans="1:5" x14ac:dyDescent="0.25">
      <c r="A12537">
        <v>12536</v>
      </c>
      <c r="B12537">
        <v>9451769</v>
      </c>
      <c r="C12537" s="1" t="str">
        <f>HYPERLINK("http://stackoverflow.com/users/9451769", "wjsay")</f>
        <v>wjsay</v>
      </c>
      <c r="D12537" t="s">
        <v>184</v>
      </c>
      <c r="E12537">
        <v>1</v>
      </c>
    </row>
    <row r="12538" spans="1:5" x14ac:dyDescent="0.25">
      <c r="A12538">
        <v>12537</v>
      </c>
      <c r="B12538">
        <v>2262131</v>
      </c>
      <c r="C12538" s="1" t="str">
        <f>HYPERLINK("http://stackoverflow.com/users/2262131", "Wind Zhang")</f>
        <v>Wind Zhang</v>
      </c>
      <c r="D12538" t="s">
        <v>5</v>
      </c>
      <c r="E12538">
        <v>1</v>
      </c>
    </row>
    <row r="12539" spans="1:5" x14ac:dyDescent="0.25">
      <c r="A12539">
        <v>12538</v>
      </c>
      <c r="B12539">
        <v>11250481</v>
      </c>
      <c r="C12539" s="1" t="str">
        <f>HYPERLINK("http://stackoverflow.com/users/11250481", "willzhao")</f>
        <v>willzhao</v>
      </c>
      <c r="D12539" t="s">
        <v>4</v>
      </c>
      <c r="E12539">
        <v>1</v>
      </c>
    </row>
    <row r="12540" spans="1:5" x14ac:dyDescent="0.25">
      <c r="A12540">
        <v>12539</v>
      </c>
      <c r="B12540">
        <v>11250600</v>
      </c>
      <c r="C12540" s="1" t="str">
        <f>HYPERLINK("http://stackoverflow.com/users/11250600", "Zenan")</f>
        <v>Zenan</v>
      </c>
      <c r="D12540" t="s">
        <v>4</v>
      </c>
      <c r="E12540">
        <v>1</v>
      </c>
    </row>
    <row r="12541" spans="1:5" x14ac:dyDescent="0.25">
      <c r="A12541">
        <v>12540</v>
      </c>
      <c r="B12541">
        <v>4012491</v>
      </c>
      <c r="C12541" s="1" t="str">
        <f>HYPERLINK("http://stackoverflow.com/users/4012491", "Jia Yuan")</f>
        <v>Jia Yuan</v>
      </c>
      <c r="D12541" t="s">
        <v>28</v>
      </c>
      <c r="E12541">
        <v>1</v>
      </c>
    </row>
    <row r="12542" spans="1:5" x14ac:dyDescent="0.25">
      <c r="A12542">
        <v>12541</v>
      </c>
      <c r="B12542">
        <v>5788980</v>
      </c>
      <c r="C12542" s="1" t="str">
        <f>HYPERLINK("http://stackoverflow.com/users/5788980", "hellovoidworld")</f>
        <v>hellovoidworld</v>
      </c>
      <c r="D12542" t="s">
        <v>21</v>
      </c>
      <c r="E12542">
        <v>1</v>
      </c>
    </row>
    <row r="12543" spans="1:5" x14ac:dyDescent="0.25">
      <c r="A12543">
        <v>12542</v>
      </c>
      <c r="B12543">
        <v>5789150</v>
      </c>
      <c r="C12543" s="1" t="str">
        <f>HYPERLINK("http://stackoverflow.com/users/5789150", "jack")</f>
        <v>jack</v>
      </c>
      <c r="D12543" t="s">
        <v>5</v>
      </c>
      <c r="E12543">
        <v>1</v>
      </c>
    </row>
    <row r="12544" spans="1:5" x14ac:dyDescent="0.25">
      <c r="A12544">
        <v>12543</v>
      </c>
      <c r="B12544">
        <v>4016390</v>
      </c>
      <c r="C12544" s="1" t="str">
        <f>HYPERLINK("http://stackoverflow.com/users/4016390", "Cheung Kevin")</f>
        <v>Cheung Kevin</v>
      </c>
      <c r="D12544" t="s">
        <v>4</v>
      </c>
      <c r="E12544">
        <v>1</v>
      </c>
    </row>
    <row r="12545" spans="1:5" x14ac:dyDescent="0.25">
      <c r="A12545">
        <v>12544</v>
      </c>
      <c r="B12545">
        <v>11241573</v>
      </c>
      <c r="C12545" s="1" t="str">
        <f>HYPERLINK("http://stackoverflow.com/users/11241573", "zhangjihu")</f>
        <v>zhangjihu</v>
      </c>
      <c r="D12545" t="s">
        <v>680</v>
      </c>
      <c r="E12545">
        <v>1</v>
      </c>
    </row>
    <row r="12546" spans="1:5" x14ac:dyDescent="0.25">
      <c r="A12546">
        <v>12545</v>
      </c>
      <c r="B12546">
        <v>11241592</v>
      </c>
      <c r="C12546" s="1" t="str">
        <f>HYPERLINK("http://stackoverflow.com/users/11241592", "ZHANG Fuzhao")</f>
        <v>ZHANG Fuzhao</v>
      </c>
      <c r="D12546" t="s">
        <v>4</v>
      </c>
      <c r="E12546">
        <v>1</v>
      </c>
    </row>
    <row r="12547" spans="1:5" x14ac:dyDescent="0.25">
      <c r="A12547">
        <v>12546</v>
      </c>
      <c r="B12547">
        <v>11241748</v>
      </c>
      <c r="C12547" s="1" t="str">
        <f>HYPERLINK("http://stackoverflow.com/users/11241748", "Rebecca_Cynic")</f>
        <v>Rebecca_Cynic</v>
      </c>
      <c r="D12547" t="s">
        <v>29</v>
      </c>
      <c r="E12547">
        <v>1</v>
      </c>
    </row>
    <row r="12548" spans="1:5" x14ac:dyDescent="0.25">
      <c r="A12548">
        <v>12547</v>
      </c>
      <c r="B12548">
        <v>11241906</v>
      </c>
      <c r="C12548" s="1" t="str">
        <f>HYPERLINK("http://stackoverflow.com/users/11241906", "yuhuizhang")</f>
        <v>yuhuizhang</v>
      </c>
      <c r="D12548" t="s">
        <v>75</v>
      </c>
      <c r="E12548">
        <v>1</v>
      </c>
    </row>
    <row r="12549" spans="1:5" x14ac:dyDescent="0.25">
      <c r="A12549">
        <v>12548</v>
      </c>
      <c r="B12549">
        <v>7529086</v>
      </c>
      <c r="C12549" s="1" t="str">
        <f>HYPERLINK("http://stackoverflow.com/users/7529086", "Naveen Nice")</f>
        <v>Naveen Nice</v>
      </c>
      <c r="D12549" t="s">
        <v>681</v>
      </c>
      <c r="E12549">
        <v>1</v>
      </c>
    </row>
    <row r="12550" spans="1:5" x14ac:dyDescent="0.25">
      <c r="A12550">
        <v>12549</v>
      </c>
      <c r="B12550">
        <v>7529412</v>
      </c>
      <c r="C12550" s="1" t="str">
        <f>HYPERLINK("http://stackoverflow.com/users/7529412", "overflow949")</f>
        <v>overflow949</v>
      </c>
      <c r="D12550" t="s">
        <v>4</v>
      </c>
      <c r="E12550">
        <v>1</v>
      </c>
    </row>
    <row r="12551" spans="1:5" x14ac:dyDescent="0.25">
      <c r="A12551">
        <v>12550</v>
      </c>
      <c r="B12551">
        <v>2248889</v>
      </c>
      <c r="C12551" s="1" t="str">
        <f>HYPERLINK("http://stackoverflow.com/users/2248889", "walker31")</f>
        <v>walker31</v>
      </c>
      <c r="D12551" t="s">
        <v>21</v>
      </c>
      <c r="E12551">
        <v>1</v>
      </c>
    </row>
    <row r="12552" spans="1:5" x14ac:dyDescent="0.25">
      <c r="A12552">
        <v>12551</v>
      </c>
      <c r="B12552">
        <v>7483067</v>
      </c>
      <c r="C12552" s="1" t="str">
        <f>HYPERLINK("http://stackoverflow.com/users/7483067", "Brocade Soar Zhu")</f>
        <v>Brocade Soar Zhu</v>
      </c>
      <c r="D12552" t="s">
        <v>11</v>
      </c>
      <c r="E12552">
        <v>1</v>
      </c>
    </row>
    <row r="12553" spans="1:5" x14ac:dyDescent="0.25">
      <c r="A12553">
        <v>12552</v>
      </c>
      <c r="B12553">
        <v>11184509</v>
      </c>
      <c r="C12553" s="1" t="str">
        <f>HYPERLINK("http://stackoverflow.com/users/11184509", "Luo_xiao")</f>
        <v>Luo_xiao</v>
      </c>
      <c r="D12553" t="s">
        <v>4</v>
      </c>
      <c r="E12553">
        <v>1</v>
      </c>
    </row>
    <row r="12554" spans="1:5" x14ac:dyDescent="0.25">
      <c r="A12554">
        <v>12553</v>
      </c>
      <c r="B12554">
        <v>11185337</v>
      </c>
      <c r="C12554" s="1" t="str">
        <f>HYPERLINK("http://stackoverflow.com/users/11185337", "浩然丁")</f>
        <v>浩然丁</v>
      </c>
      <c r="D12554" t="s">
        <v>146</v>
      </c>
      <c r="E12554">
        <v>1</v>
      </c>
    </row>
    <row r="12555" spans="1:5" x14ac:dyDescent="0.25">
      <c r="A12555">
        <v>12554</v>
      </c>
      <c r="B12555">
        <v>5730212</v>
      </c>
      <c r="C12555" s="1" t="str">
        <f>HYPERLINK("http://stackoverflow.com/users/5730212", "gao yi")</f>
        <v>gao yi</v>
      </c>
      <c r="D12555" t="s">
        <v>4</v>
      </c>
      <c r="E12555">
        <v>1</v>
      </c>
    </row>
    <row r="12556" spans="1:5" x14ac:dyDescent="0.25">
      <c r="A12556">
        <v>12555</v>
      </c>
      <c r="B12556">
        <v>5730256</v>
      </c>
      <c r="C12556" s="1" t="str">
        <f>HYPERLINK("http://stackoverflow.com/users/5730256", "pcSong")</f>
        <v>pcSong</v>
      </c>
      <c r="D12556" t="s">
        <v>5</v>
      </c>
      <c r="E12556">
        <v>1</v>
      </c>
    </row>
    <row r="12557" spans="1:5" x14ac:dyDescent="0.25">
      <c r="A12557">
        <v>12556</v>
      </c>
      <c r="B12557">
        <v>5730411</v>
      </c>
      <c r="C12557" s="1" t="str">
        <f>HYPERLINK("http://stackoverflow.com/users/5730411", "Thomas Xu")</f>
        <v>Thomas Xu</v>
      </c>
      <c r="D12557" t="s">
        <v>37</v>
      </c>
      <c r="E12557">
        <v>1</v>
      </c>
    </row>
    <row r="12558" spans="1:5" x14ac:dyDescent="0.25">
      <c r="A12558">
        <v>12557</v>
      </c>
      <c r="B12558">
        <v>5730569</v>
      </c>
      <c r="C12558" s="1" t="str">
        <f>HYPERLINK("http://stackoverflow.com/users/5730569", "黄晓鹏")</f>
        <v>黄晓鹏</v>
      </c>
      <c r="D12558" t="s">
        <v>7</v>
      </c>
      <c r="E12558">
        <v>1</v>
      </c>
    </row>
    <row r="12559" spans="1:5" x14ac:dyDescent="0.25">
      <c r="A12559">
        <v>12558</v>
      </c>
      <c r="B12559">
        <v>7486398</v>
      </c>
      <c r="C12559" s="1" t="str">
        <f>HYPERLINK("http://stackoverflow.com/users/7486398", "yc x")</f>
        <v>yc x</v>
      </c>
      <c r="D12559" t="s">
        <v>240</v>
      </c>
      <c r="E12559">
        <v>1</v>
      </c>
    </row>
    <row r="12560" spans="1:5" x14ac:dyDescent="0.25">
      <c r="A12560">
        <v>12559</v>
      </c>
      <c r="B12560">
        <v>9399272</v>
      </c>
      <c r="C12560" s="1" t="str">
        <f>HYPERLINK("http://stackoverflow.com/users/9399272", "Junjie Bao")</f>
        <v>Junjie Bao</v>
      </c>
      <c r="D12560" t="s">
        <v>5</v>
      </c>
      <c r="E12560">
        <v>1</v>
      </c>
    </row>
    <row r="12561" spans="1:5" x14ac:dyDescent="0.25">
      <c r="A12561">
        <v>12560</v>
      </c>
      <c r="B12561">
        <v>9399291</v>
      </c>
      <c r="C12561" s="1" t="str">
        <f>HYPERLINK("http://stackoverflow.com/users/9399291", "Kai Wang")</f>
        <v>Kai Wang</v>
      </c>
      <c r="D12561" t="s">
        <v>91</v>
      </c>
      <c r="E12561">
        <v>1</v>
      </c>
    </row>
    <row r="12562" spans="1:5" x14ac:dyDescent="0.25">
      <c r="A12562">
        <v>12561</v>
      </c>
      <c r="B12562">
        <v>7483282</v>
      </c>
      <c r="C12562" s="1" t="str">
        <f>HYPERLINK("http://stackoverflow.com/users/7483282", "K. Zhu")</f>
        <v>K. Zhu</v>
      </c>
      <c r="D12562" t="s">
        <v>5</v>
      </c>
      <c r="E12562">
        <v>1</v>
      </c>
    </row>
    <row r="12563" spans="1:5" x14ac:dyDescent="0.25">
      <c r="A12563">
        <v>12562</v>
      </c>
      <c r="B12563">
        <v>7483334</v>
      </c>
      <c r="C12563" s="1" t="str">
        <f>HYPERLINK("http://stackoverflow.com/users/7483334", "Sardor Mamarasulov")</f>
        <v>Sardor Mamarasulov</v>
      </c>
      <c r="D12563" t="s">
        <v>5</v>
      </c>
      <c r="E12563">
        <v>1</v>
      </c>
    </row>
    <row r="12564" spans="1:5" x14ac:dyDescent="0.25">
      <c r="A12564">
        <v>12563</v>
      </c>
      <c r="B12564">
        <v>7483485</v>
      </c>
      <c r="C12564" s="1" t="str">
        <f>HYPERLINK("http://stackoverflow.com/users/7483485", "keitht")</f>
        <v>keitht</v>
      </c>
      <c r="D12564" t="s">
        <v>4</v>
      </c>
      <c r="E12564">
        <v>1</v>
      </c>
    </row>
    <row r="12565" spans="1:5" x14ac:dyDescent="0.25">
      <c r="A12565">
        <v>12564</v>
      </c>
      <c r="B12565">
        <v>9395083</v>
      </c>
      <c r="C12565" s="1" t="str">
        <f>HYPERLINK("http://stackoverflow.com/users/9395083", "Sharon Wang")</f>
        <v>Sharon Wang</v>
      </c>
      <c r="D12565" t="s">
        <v>91</v>
      </c>
      <c r="E12565">
        <v>1</v>
      </c>
    </row>
    <row r="12566" spans="1:5" x14ac:dyDescent="0.25">
      <c r="A12566">
        <v>12565</v>
      </c>
      <c r="B12566">
        <v>5734204</v>
      </c>
      <c r="C12566" s="1" t="str">
        <f>HYPERLINK("http://stackoverflow.com/users/5734204", "redblackbst")</f>
        <v>redblackbst</v>
      </c>
      <c r="D12566" t="s">
        <v>37</v>
      </c>
      <c r="E12566">
        <v>1</v>
      </c>
    </row>
    <row r="12567" spans="1:5" x14ac:dyDescent="0.25">
      <c r="A12567">
        <v>12566</v>
      </c>
      <c r="B12567">
        <v>5726855</v>
      </c>
      <c r="C12567" s="1" t="str">
        <f>HYPERLINK("http://stackoverflow.com/users/5726855", "VillageMud")</f>
        <v>VillageMud</v>
      </c>
      <c r="D12567" t="s">
        <v>12</v>
      </c>
      <c r="E12567">
        <v>1</v>
      </c>
    </row>
    <row r="12568" spans="1:5" x14ac:dyDescent="0.25">
      <c r="A12568">
        <v>12567</v>
      </c>
      <c r="B12568">
        <v>11179569</v>
      </c>
      <c r="C12568" s="1" t="str">
        <f>HYPERLINK("http://stackoverflow.com/users/11179569", "dipankar sarkar")</f>
        <v>dipankar sarkar</v>
      </c>
      <c r="D12568" t="s">
        <v>682</v>
      </c>
      <c r="E12568">
        <v>1</v>
      </c>
    </row>
    <row r="12569" spans="1:5" x14ac:dyDescent="0.25">
      <c r="A12569">
        <v>12568</v>
      </c>
      <c r="B12569">
        <v>11179592</v>
      </c>
      <c r="C12569" s="1" t="str">
        <f>HYPERLINK("http://stackoverflow.com/users/11179592", "Gloria Zhang")</f>
        <v>Gloria Zhang</v>
      </c>
      <c r="D12569" t="s">
        <v>214</v>
      </c>
      <c r="E12569">
        <v>1</v>
      </c>
    </row>
    <row r="12570" spans="1:5" x14ac:dyDescent="0.25">
      <c r="A12570">
        <v>12569</v>
      </c>
      <c r="B12570">
        <v>11179596</v>
      </c>
      <c r="C12570" s="1" t="str">
        <f>HYPERLINK("http://stackoverflow.com/users/11179596", "Tony Gao")</f>
        <v>Tony Gao</v>
      </c>
      <c r="D12570" t="s">
        <v>7</v>
      </c>
      <c r="E12570">
        <v>1</v>
      </c>
    </row>
    <row r="12571" spans="1:5" x14ac:dyDescent="0.25">
      <c r="A12571">
        <v>12570</v>
      </c>
      <c r="B12571">
        <v>11180069</v>
      </c>
      <c r="C12571" s="1" t="str">
        <f>HYPERLINK("http://stackoverflow.com/users/11180069", "Barney Chen")</f>
        <v>Barney Chen</v>
      </c>
      <c r="D12571" t="s">
        <v>15</v>
      </c>
      <c r="E12571">
        <v>1</v>
      </c>
    </row>
    <row r="12572" spans="1:5" x14ac:dyDescent="0.25">
      <c r="A12572">
        <v>12571</v>
      </c>
      <c r="B12572">
        <v>5723194</v>
      </c>
      <c r="C12572" s="1" t="str">
        <f>HYPERLINK("http://stackoverflow.com/users/5723194", "Lonersun")</f>
        <v>Lonersun</v>
      </c>
      <c r="D12572" t="s">
        <v>5</v>
      </c>
      <c r="E12572">
        <v>1</v>
      </c>
    </row>
    <row r="12573" spans="1:5" x14ac:dyDescent="0.25">
      <c r="A12573">
        <v>12572</v>
      </c>
      <c r="B12573">
        <v>5722613</v>
      </c>
      <c r="C12573" s="1" t="str">
        <f>HYPERLINK("http://stackoverflow.com/users/5722613", "Hounan")</f>
        <v>Hounan</v>
      </c>
      <c r="D12573" t="s">
        <v>5</v>
      </c>
      <c r="E12573">
        <v>1</v>
      </c>
    </row>
    <row r="12574" spans="1:5" x14ac:dyDescent="0.25">
      <c r="A12574">
        <v>12573</v>
      </c>
      <c r="B12574">
        <v>3944222</v>
      </c>
      <c r="C12574" s="1" t="str">
        <f>HYPERLINK("http://stackoverflow.com/users/3944222", "Un_9")</f>
        <v>Un_9</v>
      </c>
      <c r="D12574" t="s">
        <v>5</v>
      </c>
      <c r="E12574">
        <v>1</v>
      </c>
    </row>
    <row r="12575" spans="1:5" x14ac:dyDescent="0.25">
      <c r="A12575">
        <v>12574</v>
      </c>
      <c r="B12575">
        <v>11174261</v>
      </c>
      <c r="C12575" s="1" t="str">
        <f>HYPERLINK("http://stackoverflow.com/users/11174261", "Cynthia Bao")</f>
        <v>Cynthia Bao</v>
      </c>
      <c r="D12575" t="s">
        <v>5</v>
      </c>
      <c r="E12575">
        <v>1</v>
      </c>
    </row>
    <row r="12576" spans="1:5" x14ac:dyDescent="0.25">
      <c r="A12576">
        <v>12575</v>
      </c>
      <c r="B12576">
        <v>11174879</v>
      </c>
      <c r="C12576" s="1" t="str">
        <f>HYPERLINK("http://stackoverflow.com/users/11174879", "keymistress")</f>
        <v>keymistress</v>
      </c>
      <c r="D12576" t="s">
        <v>5</v>
      </c>
      <c r="E12576">
        <v>1</v>
      </c>
    </row>
    <row r="12577" spans="1:5" x14ac:dyDescent="0.25">
      <c r="A12577">
        <v>12576</v>
      </c>
      <c r="B12577">
        <v>9382067</v>
      </c>
      <c r="C12577" s="1" t="str">
        <f>HYPERLINK("http://stackoverflow.com/users/9382067", "Chauncy Yao")</f>
        <v>Chauncy Yao</v>
      </c>
      <c r="D12577" t="s">
        <v>25</v>
      </c>
      <c r="E12577">
        <v>1</v>
      </c>
    </row>
    <row r="12578" spans="1:5" x14ac:dyDescent="0.25">
      <c r="A12578">
        <v>12577</v>
      </c>
      <c r="B12578">
        <v>2218862</v>
      </c>
      <c r="C12578" s="1" t="str">
        <f>HYPERLINK("http://stackoverflow.com/users/2218862", "cainiao2hao")</f>
        <v>cainiao2hao</v>
      </c>
      <c r="D12578" t="s">
        <v>56</v>
      </c>
      <c r="E12578">
        <v>1</v>
      </c>
    </row>
    <row r="12579" spans="1:5" x14ac:dyDescent="0.25">
      <c r="A12579">
        <v>12578</v>
      </c>
      <c r="B12579">
        <v>9411575</v>
      </c>
      <c r="C12579" s="1" t="str">
        <f>HYPERLINK("http://stackoverflow.com/users/9411575", "Vinny")</f>
        <v>Vinny</v>
      </c>
      <c r="D12579" t="s">
        <v>5</v>
      </c>
      <c r="E12579">
        <v>1</v>
      </c>
    </row>
    <row r="12580" spans="1:5" x14ac:dyDescent="0.25">
      <c r="A12580">
        <v>12579</v>
      </c>
      <c r="B12580">
        <v>9411595</v>
      </c>
      <c r="C12580" s="1" t="str">
        <f>HYPERLINK("http://stackoverflow.com/users/9411595", "Cyrus Liu")</f>
        <v>Cyrus Liu</v>
      </c>
      <c r="D12580" t="s">
        <v>28</v>
      </c>
      <c r="E12580">
        <v>1</v>
      </c>
    </row>
    <row r="12581" spans="1:5" x14ac:dyDescent="0.25">
      <c r="A12581">
        <v>12580</v>
      </c>
      <c r="B12581">
        <v>9411842</v>
      </c>
      <c r="C12581" s="1" t="str">
        <f>HYPERLINK("http://stackoverflow.com/users/9411842", "Dongxing.Wang")</f>
        <v>Dongxing.Wang</v>
      </c>
      <c r="D12581" t="s">
        <v>683</v>
      </c>
      <c r="E12581">
        <v>1</v>
      </c>
    </row>
    <row r="12582" spans="1:5" x14ac:dyDescent="0.25">
      <c r="A12582">
        <v>12581</v>
      </c>
      <c r="B12582">
        <v>5745842</v>
      </c>
      <c r="C12582" s="1" t="str">
        <f>HYPERLINK("http://stackoverflow.com/users/5745842", "helloworld")</f>
        <v>helloworld</v>
      </c>
      <c r="D12582" t="s">
        <v>5</v>
      </c>
      <c r="E12582">
        <v>1</v>
      </c>
    </row>
    <row r="12583" spans="1:5" x14ac:dyDescent="0.25">
      <c r="A12583">
        <v>12582</v>
      </c>
      <c r="B12583">
        <v>5745910</v>
      </c>
      <c r="C12583" s="1" t="str">
        <f>HYPERLINK("http://stackoverflow.com/users/5745910", "Wayen")</f>
        <v>Wayen</v>
      </c>
      <c r="D12583" t="s">
        <v>684</v>
      </c>
      <c r="E12583">
        <v>1</v>
      </c>
    </row>
    <row r="12584" spans="1:5" x14ac:dyDescent="0.25">
      <c r="A12584">
        <v>12583</v>
      </c>
      <c r="B12584">
        <v>2213999</v>
      </c>
      <c r="C12584" s="1" t="str">
        <f>HYPERLINK("http://stackoverflow.com/users/2213999", "hzhou")</f>
        <v>hzhou</v>
      </c>
      <c r="D12584" t="s">
        <v>4</v>
      </c>
      <c r="E12584">
        <v>1</v>
      </c>
    </row>
    <row r="12585" spans="1:5" x14ac:dyDescent="0.25">
      <c r="A12585">
        <v>12584</v>
      </c>
      <c r="B12585">
        <v>2214245</v>
      </c>
      <c r="C12585" s="1" t="str">
        <f>HYPERLINK("http://stackoverflow.com/users/2214245", "Femi Lawal")</f>
        <v>Femi Lawal</v>
      </c>
      <c r="D12585" t="s">
        <v>57</v>
      </c>
      <c r="E12585">
        <v>1</v>
      </c>
    </row>
    <row r="12586" spans="1:5" x14ac:dyDescent="0.25">
      <c r="A12586">
        <v>12585</v>
      </c>
      <c r="B12586">
        <v>2215770</v>
      </c>
      <c r="C12586" s="1" t="str">
        <f>HYPERLINK("http://stackoverflow.com/users/2215770", "Nie Yong")</f>
        <v>Nie Yong</v>
      </c>
      <c r="D12586" t="s">
        <v>21</v>
      </c>
      <c r="E12586">
        <v>1</v>
      </c>
    </row>
    <row r="12587" spans="1:5" x14ac:dyDescent="0.25">
      <c r="A12587">
        <v>12586</v>
      </c>
      <c r="B12587">
        <v>2218166</v>
      </c>
      <c r="C12587" s="1" t="str">
        <f>HYPERLINK("http://stackoverflow.com/users/2218166", "shmilyxbq")</f>
        <v>shmilyxbq</v>
      </c>
      <c r="D12587" t="s">
        <v>5</v>
      </c>
      <c r="E12587">
        <v>1</v>
      </c>
    </row>
    <row r="12588" spans="1:5" x14ac:dyDescent="0.25">
      <c r="A12588">
        <v>12587</v>
      </c>
      <c r="B12588">
        <v>2218173</v>
      </c>
      <c r="C12588" s="1" t="str">
        <f>HYPERLINK("http://stackoverflow.com/users/2218173", "chenchuangfeng")</f>
        <v>chenchuangfeng</v>
      </c>
      <c r="D12588" t="s">
        <v>21</v>
      </c>
      <c r="E12588">
        <v>1</v>
      </c>
    </row>
    <row r="12589" spans="1:5" x14ac:dyDescent="0.25">
      <c r="A12589">
        <v>12588</v>
      </c>
      <c r="B12589">
        <v>2218257</v>
      </c>
      <c r="C12589" s="1" t="str">
        <f>HYPERLINK("http://stackoverflow.com/users/2218257", "peter")</f>
        <v>peter</v>
      </c>
      <c r="D12589" t="s">
        <v>17</v>
      </c>
      <c r="E12589">
        <v>1</v>
      </c>
    </row>
    <row r="12590" spans="1:5" x14ac:dyDescent="0.25">
      <c r="A12590">
        <v>12589</v>
      </c>
      <c r="B12590">
        <v>2218738</v>
      </c>
      <c r="C12590" s="1" t="str">
        <f>HYPERLINK("http://stackoverflow.com/users/2218738", "huaguichun")</f>
        <v>huaguichun</v>
      </c>
      <c r="D12590" t="s">
        <v>5</v>
      </c>
      <c r="E12590">
        <v>1</v>
      </c>
    </row>
    <row r="12591" spans="1:5" x14ac:dyDescent="0.25">
      <c r="A12591">
        <v>12590</v>
      </c>
      <c r="B12591">
        <v>2210994</v>
      </c>
      <c r="C12591" s="1" t="str">
        <f>HYPERLINK("http://stackoverflow.com/users/2210994", "mevtho")</f>
        <v>mevtho</v>
      </c>
      <c r="D12591" t="s">
        <v>4</v>
      </c>
      <c r="E12591">
        <v>1</v>
      </c>
    </row>
    <row r="12592" spans="1:5" x14ac:dyDescent="0.25">
      <c r="A12592">
        <v>12591</v>
      </c>
      <c r="B12592">
        <v>2210684</v>
      </c>
      <c r="C12592" s="1" t="str">
        <f>HYPERLINK("http://stackoverflow.com/users/2210684", "jbourne")</f>
        <v>jbourne</v>
      </c>
      <c r="D12592" t="s">
        <v>5</v>
      </c>
      <c r="E12592">
        <v>1</v>
      </c>
    </row>
    <row r="12593" spans="1:5" x14ac:dyDescent="0.25">
      <c r="A12593">
        <v>12592</v>
      </c>
      <c r="B12593">
        <v>9399877</v>
      </c>
      <c r="C12593" s="1" t="str">
        <f>HYPERLINK("http://stackoverflow.com/users/9399877", "liuhuaiyu")</f>
        <v>liuhuaiyu</v>
      </c>
      <c r="D12593" t="s">
        <v>685</v>
      </c>
      <c r="E12593">
        <v>1</v>
      </c>
    </row>
    <row r="12594" spans="1:5" x14ac:dyDescent="0.25">
      <c r="A12594">
        <v>12593</v>
      </c>
      <c r="B12594">
        <v>9400008</v>
      </c>
      <c r="C12594" s="1" t="str">
        <f>HYPERLINK("http://stackoverflow.com/users/9400008", "KenLeung")</f>
        <v>KenLeung</v>
      </c>
      <c r="D12594" t="s">
        <v>25</v>
      </c>
      <c r="E12594">
        <v>1</v>
      </c>
    </row>
    <row r="12595" spans="1:5" x14ac:dyDescent="0.25">
      <c r="A12595">
        <v>12594</v>
      </c>
      <c r="B12595">
        <v>2205759</v>
      </c>
      <c r="C12595" s="1" t="str">
        <f>HYPERLINK("http://stackoverflow.com/users/2205759", "Grant zhu")</f>
        <v>Grant zhu</v>
      </c>
      <c r="D12595" t="s">
        <v>7</v>
      </c>
      <c r="E12595">
        <v>1</v>
      </c>
    </row>
    <row r="12596" spans="1:5" x14ac:dyDescent="0.25">
      <c r="A12596">
        <v>12595</v>
      </c>
      <c r="B12596">
        <v>11194290</v>
      </c>
      <c r="C12596" s="1" t="str">
        <f>HYPERLINK("http://stackoverflow.com/users/11194290", "ShenJet")</f>
        <v>ShenJet</v>
      </c>
      <c r="D12596" t="s">
        <v>3</v>
      </c>
      <c r="E12596">
        <v>1</v>
      </c>
    </row>
    <row r="12597" spans="1:5" x14ac:dyDescent="0.25">
      <c r="A12597">
        <v>12596</v>
      </c>
      <c r="B12597">
        <v>11194375</v>
      </c>
      <c r="C12597" s="1" t="str">
        <f>HYPERLINK("http://stackoverflow.com/users/11194375", "gcheng.L")</f>
        <v>gcheng.L</v>
      </c>
      <c r="D12597" t="s">
        <v>5</v>
      </c>
      <c r="E12597">
        <v>1</v>
      </c>
    </row>
    <row r="12598" spans="1:5" x14ac:dyDescent="0.25">
      <c r="A12598">
        <v>12597</v>
      </c>
      <c r="B12598">
        <v>5707942</v>
      </c>
      <c r="C12598" s="1" t="str">
        <f>HYPERLINK("http://stackoverflow.com/users/5707942", "Xie GM")</f>
        <v>Xie GM</v>
      </c>
      <c r="D12598" t="s">
        <v>21</v>
      </c>
      <c r="E12598">
        <v>1</v>
      </c>
    </row>
    <row r="12599" spans="1:5" x14ac:dyDescent="0.25">
      <c r="A12599">
        <v>12598</v>
      </c>
      <c r="B12599">
        <v>11156885</v>
      </c>
      <c r="C12599" s="1" t="str">
        <f>HYPERLINK("http://stackoverflow.com/users/11156885", "A K M ALI HASAN")</f>
        <v>A K M ALI HASAN</v>
      </c>
      <c r="D12599" t="s">
        <v>135</v>
      </c>
      <c r="E12599">
        <v>1</v>
      </c>
    </row>
    <row r="12600" spans="1:5" x14ac:dyDescent="0.25">
      <c r="A12600">
        <v>12599</v>
      </c>
      <c r="B12600">
        <v>3928254</v>
      </c>
      <c r="C12600" s="1" t="str">
        <f>HYPERLINK("http://stackoverflow.com/users/3928254", "Keep Moving")</f>
        <v>Keep Moving</v>
      </c>
      <c r="D12600" t="s">
        <v>4</v>
      </c>
      <c r="E12600">
        <v>1</v>
      </c>
    </row>
    <row r="12601" spans="1:5" x14ac:dyDescent="0.25">
      <c r="A12601">
        <v>12600</v>
      </c>
      <c r="B12601">
        <v>7461000</v>
      </c>
      <c r="C12601" s="1" t="str">
        <f>HYPERLINK("http://stackoverflow.com/users/7461000", "Mat007")</f>
        <v>Mat007</v>
      </c>
      <c r="D12601" t="s">
        <v>52</v>
      </c>
      <c r="E12601">
        <v>1</v>
      </c>
    </row>
    <row r="12602" spans="1:5" x14ac:dyDescent="0.25">
      <c r="A12602">
        <v>12601</v>
      </c>
      <c r="B12602">
        <v>7461037</v>
      </c>
      <c r="C12602" s="1" t="str">
        <f>HYPERLINK("http://stackoverflow.com/users/7461037", "Zhang Lu")</f>
        <v>Zhang Lu</v>
      </c>
      <c r="D12602" t="s">
        <v>25</v>
      </c>
      <c r="E12602">
        <v>1</v>
      </c>
    </row>
    <row r="12603" spans="1:5" x14ac:dyDescent="0.25">
      <c r="A12603">
        <v>12602</v>
      </c>
      <c r="B12603">
        <v>7461383</v>
      </c>
      <c r="C12603" s="1" t="str">
        <f>HYPERLINK("http://stackoverflow.com/users/7461383", "yuan cao")</f>
        <v>yuan cao</v>
      </c>
      <c r="D12603" t="s">
        <v>7</v>
      </c>
      <c r="E12603">
        <v>1</v>
      </c>
    </row>
    <row r="12604" spans="1:5" x14ac:dyDescent="0.25">
      <c r="A12604">
        <v>12603</v>
      </c>
      <c r="B12604">
        <v>11157425</v>
      </c>
      <c r="C12604" s="1" t="str">
        <f>HYPERLINK("http://stackoverflow.com/users/11157425", "Jeffer liu")</f>
        <v>Jeffer liu</v>
      </c>
      <c r="D12604" t="s">
        <v>8</v>
      </c>
      <c r="E12604">
        <v>1</v>
      </c>
    </row>
    <row r="12605" spans="1:5" x14ac:dyDescent="0.25">
      <c r="A12605">
        <v>12604</v>
      </c>
      <c r="B12605">
        <v>3924397</v>
      </c>
      <c r="C12605" s="1" t="str">
        <f>HYPERLINK("http://stackoverflow.com/users/3924397", "asdasdtt3")</f>
        <v>asdasdtt3</v>
      </c>
      <c r="D12605" t="s">
        <v>38</v>
      </c>
      <c r="E12605">
        <v>1</v>
      </c>
    </row>
    <row r="12606" spans="1:5" x14ac:dyDescent="0.25">
      <c r="A12606">
        <v>12605</v>
      </c>
      <c r="B12606">
        <v>3924627</v>
      </c>
      <c r="C12606" s="1" t="str">
        <f>HYPERLINK("http://stackoverflow.com/users/3924627", "buaaxhm")</f>
        <v>buaaxhm</v>
      </c>
      <c r="D12606" t="s">
        <v>5</v>
      </c>
      <c r="E12606">
        <v>1</v>
      </c>
    </row>
    <row r="12607" spans="1:5" x14ac:dyDescent="0.25">
      <c r="A12607">
        <v>12606</v>
      </c>
      <c r="B12607">
        <v>7453558</v>
      </c>
      <c r="C12607" s="1" t="str">
        <f>HYPERLINK("http://stackoverflow.com/users/7453558", "Zhan Choe")</f>
        <v>Zhan Choe</v>
      </c>
      <c r="D12607" t="s">
        <v>217</v>
      </c>
      <c r="E12607">
        <v>1</v>
      </c>
    </row>
    <row r="12608" spans="1:5" x14ac:dyDescent="0.25">
      <c r="A12608">
        <v>12607</v>
      </c>
      <c r="B12608">
        <v>5700580</v>
      </c>
      <c r="C12608" s="1" t="str">
        <f>HYPERLINK("http://stackoverflow.com/users/5700580", "kaifz")</f>
        <v>kaifz</v>
      </c>
      <c r="D12608" t="s">
        <v>4</v>
      </c>
      <c r="E12608">
        <v>1</v>
      </c>
    </row>
    <row r="12609" spans="1:5" x14ac:dyDescent="0.25">
      <c r="A12609">
        <v>12608</v>
      </c>
      <c r="B12609">
        <v>7457227</v>
      </c>
      <c r="C12609" s="1" t="str">
        <f>HYPERLINK("http://stackoverflow.com/users/7457227", "klkyang")</f>
        <v>klkyang</v>
      </c>
      <c r="D12609" t="s">
        <v>5</v>
      </c>
      <c r="E12609">
        <v>1</v>
      </c>
    </row>
    <row r="12610" spans="1:5" x14ac:dyDescent="0.25">
      <c r="A12610">
        <v>12609</v>
      </c>
      <c r="B12610">
        <v>7457911</v>
      </c>
      <c r="C12610" s="1" t="str">
        <f>HYPERLINK("http://stackoverflow.com/users/7457911", "David")</f>
        <v>David</v>
      </c>
      <c r="D12610" t="s">
        <v>16</v>
      </c>
      <c r="E12610">
        <v>1</v>
      </c>
    </row>
    <row r="12611" spans="1:5" x14ac:dyDescent="0.25">
      <c r="A12611">
        <v>12610</v>
      </c>
      <c r="B12611">
        <v>9360811</v>
      </c>
      <c r="C12611" s="1" t="str">
        <f>HYPERLINK("http://stackoverflow.com/users/9360811", "Samuel")</f>
        <v>Samuel</v>
      </c>
      <c r="D12611" t="s">
        <v>7</v>
      </c>
      <c r="E12611">
        <v>1</v>
      </c>
    </row>
    <row r="12612" spans="1:5" x14ac:dyDescent="0.25">
      <c r="A12612">
        <v>12611</v>
      </c>
      <c r="B12612">
        <v>5715763</v>
      </c>
      <c r="C12612" s="1" t="str">
        <f>HYPERLINK("http://stackoverflow.com/users/5715763", "GT.Ma")</f>
        <v>GT.Ma</v>
      </c>
      <c r="D12612" t="s">
        <v>5</v>
      </c>
      <c r="E12612">
        <v>1</v>
      </c>
    </row>
    <row r="12613" spans="1:5" x14ac:dyDescent="0.25">
      <c r="A12613">
        <v>12612</v>
      </c>
      <c r="B12613">
        <v>5715997</v>
      </c>
      <c r="C12613" s="1" t="str">
        <f>HYPERLINK("http://stackoverflow.com/users/5715997", "J.wj")</f>
        <v>J.wj</v>
      </c>
      <c r="D12613" t="s">
        <v>5</v>
      </c>
      <c r="E12613">
        <v>1</v>
      </c>
    </row>
    <row r="12614" spans="1:5" x14ac:dyDescent="0.25">
      <c r="A12614">
        <v>12613</v>
      </c>
      <c r="B12614">
        <v>5716058</v>
      </c>
      <c r="C12614" s="1" t="str">
        <f>HYPERLINK("http://stackoverflow.com/users/5716058", "Xinng")</f>
        <v>Xinng</v>
      </c>
      <c r="D12614" t="s">
        <v>4</v>
      </c>
      <c r="E12614">
        <v>1</v>
      </c>
    </row>
    <row r="12615" spans="1:5" x14ac:dyDescent="0.25">
      <c r="A12615">
        <v>12614</v>
      </c>
      <c r="B12615">
        <v>5716065</v>
      </c>
      <c r="C12615" s="1" t="str">
        <f>HYPERLINK("http://stackoverflow.com/users/5716065", "cs.Burt")</f>
        <v>cs.Burt</v>
      </c>
      <c r="D12615" t="s">
        <v>37</v>
      </c>
      <c r="E12615">
        <v>1</v>
      </c>
    </row>
    <row r="12616" spans="1:5" x14ac:dyDescent="0.25">
      <c r="A12616">
        <v>12615</v>
      </c>
      <c r="B12616">
        <v>5716074</v>
      </c>
      <c r="C12616" s="1" t="str">
        <f>HYPERLINK("http://stackoverflow.com/users/5716074", "wangbingwf")</f>
        <v>wangbingwf</v>
      </c>
      <c r="D12616" t="s">
        <v>5</v>
      </c>
      <c r="E12616">
        <v>1</v>
      </c>
    </row>
    <row r="12617" spans="1:5" x14ac:dyDescent="0.25">
      <c r="A12617">
        <v>12616</v>
      </c>
      <c r="B12617">
        <v>5716194</v>
      </c>
      <c r="C12617" s="1" t="str">
        <f>HYPERLINK("http://stackoverflow.com/users/5716194", "郭君剑")</f>
        <v>郭君剑</v>
      </c>
      <c r="D12617" t="s">
        <v>5</v>
      </c>
      <c r="E12617">
        <v>1</v>
      </c>
    </row>
    <row r="12618" spans="1:5" x14ac:dyDescent="0.25">
      <c r="A12618">
        <v>12617</v>
      </c>
      <c r="B12618">
        <v>9373673</v>
      </c>
      <c r="C12618" s="1" t="str">
        <f>HYPERLINK("http://stackoverflow.com/users/9373673", "congee")</f>
        <v>congee</v>
      </c>
      <c r="D12618" t="s">
        <v>686</v>
      </c>
      <c r="E12618">
        <v>1</v>
      </c>
    </row>
    <row r="12619" spans="1:5" x14ac:dyDescent="0.25">
      <c r="A12619">
        <v>12618</v>
      </c>
      <c r="B12619">
        <v>9373758</v>
      </c>
      <c r="C12619" s="1" t="str">
        <f>HYPERLINK("http://stackoverflow.com/users/9373758", "Alan Qin")</f>
        <v>Alan Qin</v>
      </c>
      <c r="D12619" t="s">
        <v>4</v>
      </c>
      <c r="E12619">
        <v>1</v>
      </c>
    </row>
    <row r="12620" spans="1:5" x14ac:dyDescent="0.25">
      <c r="A12620">
        <v>12619</v>
      </c>
      <c r="B12620">
        <v>11165923</v>
      </c>
      <c r="C12620" s="1" t="str">
        <f>HYPERLINK("http://stackoverflow.com/users/11165923", "Wahyu Rusdiansyah")</f>
        <v>Wahyu Rusdiansyah</v>
      </c>
      <c r="D12620" t="s">
        <v>36</v>
      </c>
      <c r="E12620">
        <v>1</v>
      </c>
    </row>
    <row r="12621" spans="1:5" x14ac:dyDescent="0.25">
      <c r="A12621">
        <v>12620</v>
      </c>
      <c r="B12621">
        <v>5718900</v>
      </c>
      <c r="C12621" s="1" t="str">
        <f>HYPERLINK("http://stackoverflow.com/users/5718900", "GuiminChu")</f>
        <v>GuiminChu</v>
      </c>
      <c r="D12621" t="s">
        <v>34</v>
      </c>
      <c r="E12621">
        <v>1</v>
      </c>
    </row>
    <row r="12622" spans="1:5" x14ac:dyDescent="0.25">
      <c r="A12622">
        <v>12621</v>
      </c>
      <c r="B12622">
        <v>3940787</v>
      </c>
      <c r="C12622" s="1" t="str">
        <f>HYPERLINK("http://stackoverflow.com/users/3940787", "Stuart Hua")</f>
        <v>Stuart Hua</v>
      </c>
      <c r="D12622" t="s">
        <v>4</v>
      </c>
      <c r="E12622">
        <v>1</v>
      </c>
    </row>
    <row r="12623" spans="1:5" x14ac:dyDescent="0.25">
      <c r="A12623">
        <v>12622</v>
      </c>
      <c r="B12623">
        <v>3941348</v>
      </c>
      <c r="C12623" s="1" t="str">
        <f>HYPERLINK("http://stackoverflow.com/users/3941348", "junwenchen")</f>
        <v>junwenchen</v>
      </c>
      <c r="D12623" t="s">
        <v>5</v>
      </c>
      <c r="E12623">
        <v>1</v>
      </c>
    </row>
    <row r="12624" spans="1:5" x14ac:dyDescent="0.25">
      <c r="A12624">
        <v>12623</v>
      </c>
      <c r="B12624">
        <v>3941636</v>
      </c>
      <c r="C12624" s="1" t="str">
        <f>HYPERLINK("http://stackoverflow.com/users/3941636", "Wilson Wan")</f>
        <v>Wilson Wan</v>
      </c>
      <c r="D12624" t="s">
        <v>28</v>
      </c>
      <c r="E12624">
        <v>1</v>
      </c>
    </row>
    <row r="12625" spans="1:5" x14ac:dyDescent="0.25">
      <c r="A12625">
        <v>12624</v>
      </c>
      <c r="B12625">
        <v>2172927</v>
      </c>
      <c r="C12625" s="1" t="str">
        <f>HYPERLINK("http://stackoverflow.com/users/2172927", "Alisha Bano")</f>
        <v>Alisha Bano</v>
      </c>
      <c r="D12625" t="s">
        <v>5</v>
      </c>
      <c r="E12625">
        <v>1</v>
      </c>
    </row>
    <row r="12626" spans="1:5" x14ac:dyDescent="0.25">
      <c r="A12626">
        <v>12625</v>
      </c>
      <c r="B12626">
        <v>2178483</v>
      </c>
      <c r="C12626" s="1" t="str">
        <f>HYPERLINK("http://stackoverflow.com/users/2178483", "chester_rowe")</f>
        <v>chester_rowe</v>
      </c>
      <c r="D12626" t="s">
        <v>22</v>
      </c>
      <c r="E12626">
        <v>1</v>
      </c>
    </row>
    <row r="12627" spans="1:5" x14ac:dyDescent="0.25">
      <c r="A12627">
        <v>12626</v>
      </c>
      <c r="B12627">
        <v>2178840</v>
      </c>
      <c r="C12627" s="1" t="str">
        <f>HYPERLINK("http://stackoverflow.com/users/2178840", "Boomer")</f>
        <v>Boomer</v>
      </c>
      <c r="D12627" t="s">
        <v>43</v>
      </c>
      <c r="E12627">
        <v>1</v>
      </c>
    </row>
    <row r="12628" spans="1:5" x14ac:dyDescent="0.25">
      <c r="A12628">
        <v>12627</v>
      </c>
      <c r="B12628">
        <v>2144795</v>
      </c>
      <c r="C12628" s="1" t="str">
        <f>HYPERLINK("http://stackoverflow.com/users/2144795", "SongJin Ri")</f>
        <v>SongJin Ri</v>
      </c>
      <c r="D12628" t="s">
        <v>4</v>
      </c>
      <c r="E12628">
        <v>1</v>
      </c>
    </row>
    <row r="12629" spans="1:5" x14ac:dyDescent="0.25">
      <c r="A12629">
        <v>12628</v>
      </c>
      <c r="B12629">
        <v>11136289</v>
      </c>
      <c r="C12629" s="1" t="str">
        <f>HYPERLINK("http://stackoverflow.com/users/11136289", "Somnus")</f>
        <v>Somnus</v>
      </c>
      <c r="D12629" t="s">
        <v>29</v>
      </c>
      <c r="E12629">
        <v>1</v>
      </c>
    </row>
    <row r="12630" spans="1:5" x14ac:dyDescent="0.25">
      <c r="A12630">
        <v>12629</v>
      </c>
      <c r="B12630">
        <v>2159731</v>
      </c>
      <c r="C12630" s="1" t="str">
        <f>HYPERLINK("http://stackoverflow.com/users/2159731", "dream_bao")</f>
        <v>dream_bao</v>
      </c>
      <c r="D12630" t="s">
        <v>4</v>
      </c>
      <c r="E12630">
        <v>1</v>
      </c>
    </row>
    <row r="12631" spans="1:5" x14ac:dyDescent="0.25">
      <c r="A12631">
        <v>12630</v>
      </c>
      <c r="B12631">
        <v>7449420</v>
      </c>
      <c r="C12631" s="1" t="str">
        <f>HYPERLINK("http://stackoverflow.com/users/7449420", "CharmingOh")</f>
        <v>CharmingOh</v>
      </c>
      <c r="D12631" t="s">
        <v>5</v>
      </c>
      <c r="E12631">
        <v>1</v>
      </c>
    </row>
    <row r="12632" spans="1:5" x14ac:dyDescent="0.25">
      <c r="A12632">
        <v>12631</v>
      </c>
      <c r="B12632">
        <v>11144388</v>
      </c>
      <c r="C12632" s="1" t="str">
        <f>HYPERLINK("http://stackoverflow.com/users/11144388", "Arno Franklin")</f>
        <v>Arno Franklin</v>
      </c>
      <c r="D12632" t="s">
        <v>38</v>
      </c>
      <c r="E12632">
        <v>1</v>
      </c>
    </row>
    <row r="12633" spans="1:5" x14ac:dyDescent="0.25">
      <c r="A12633">
        <v>12632</v>
      </c>
      <c r="B12633">
        <v>7450409</v>
      </c>
      <c r="C12633" s="1" t="str">
        <f>HYPERLINK("http://stackoverflow.com/users/7450409", "Boris")</f>
        <v>Boris</v>
      </c>
      <c r="D12633" t="s">
        <v>687</v>
      </c>
      <c r="E12633">
        <v>1</v>
      </c>
    </row>
    <row r="12634" spans="1:5" x14ac:dyDescent="0.25">
      <c r="A12634">
        <v>12633</v>
      </c>
      <c r="B12634">
        <v>7450452</v>
      </c>
      <c r="C12634" s="1" t="str">
        <f>HYPERLINK("http://stackoverflow.com/users/7450452", "Zhifang Ye")</f>
        <v>Zhifang Ye</v>
      </c>
      <c r="D12634" t="s">
        <v>5</v>
      </c>
      <c r="E12634">
        <v>1</v>
      </c>
    </row>
    <row r="12635" spans="1:5" x14ac:dyDescent="0.25">
      <c r="A12635">
        <v>12634</v>
      </c>
      <c r="B12635">
        <v>7450572</v>
      </c>
      <c r="C12635" s="1" t="str">
        <f>HYPERLINK("http://stackoverflow.com/users/7450572", "zephyr")</f>
        <v>zephyr</v>
      </c>
      <c r="D12635" t="s">
        <v>5</v>
      </c>
      <c r="E12635">
        <v>1</v>
      </c>
    </row>
    <row r="12636" spans="1:5" x14ac:dyDescent="0.25">
      <c r="A12636">
        <v>12635</v>
      </c>
      <c r="B12636">
        <v>7450595</v>
      </c>
      <c r="C12636" s="1" t="str">
        <f>HYPERLINK("http://stackoverflow.com/users/7450595", "wenguang huang")</f>
        <v>wenguang huang</v>
      </c>
      <c r="D12636" t="s">
        <v>47</v>
      </c>
      <c r="E12636">
        <v>1</v>
      </c>
    </row>
    <row r="12637" spans="1:5" x14ac:dyDescent="0.25">
      <c r="A12637">
        <v>12636</v>
      </c>
      <c r="B12637">
        <v>7450597</v>
      </c>
      <c r="C12637" s="1" t="str">
        <f>HYPERLINK("http://stackoverflow.com/users/7450597", "riqiyoutian")</f>
        <v>riqiyoutian</v>
      </c>
      <c r="D12637" t="s">
        <v>86</v>
      </c>
      <c r="E12637">
        <v>1</v>
      </c>
    </row>
    <row r="12638" spans="1:5" x14ac:dyDescent="0.25">
      <c r="A12638">
        <v>12637</v>
      </c>
      <c r="B12638">
        <v>3907550</v>
      </c>
      <c r="C12638" s="1" t="str">
        <f>HYPERLINK("http://stackoverflow.com/users/3907550", "ShijinWeng")</f>
        <v>ShijinWeng</v>
      </c>
      <c r="D12638" t="s">
        <v>5</v>
      </c>
      <c r="E12638">
        <v>1</v>
      </c>
    </row>
    <row r="12639" spans="1:5" x14ac:dyDescent="0.25">
      <c r="A12639">
        <v>12638</v>
      </c>
      <c r="B12639">
        <v>5693297</v>
      </c>
      <c r="C12639" s="1" t="str">
        <f>HYPERLINK("http://stackoverflow.com/users/5693297", "JellyWang")</f>
        <v>JellyWang</v>
      </c>
      <c r="D12639" t="s">
        <v>5</v>
      </c>
      <c r="E12639">
        <v>1</v>
      </c>
    </row>
    <row r="12640" spans="1:5" x14ac:dyDescent="0.25">
      <c r="A12640">
        <v>12639</v>
      </c>
      <c r="B12640">
        <v>5693509</v>
      </c>
      <c r="C12640" s="1" t="str">
        <f>HYPERLINK("http://stackoverflow.com/users/5693509", "chuang xie")</f>
        <v>chuang xie</v>
      </c>
      <c r="D12640" t="s">
        <v>21</v>
      </c>
      <c r="E12640">
        <v>1</v>
      </c>
    </row>
    <row r="12641" spans="1:5" x14ac:dyDescent="0.25">
      <c r="A12641">
        <v>12640</v>
      </c>
      <c r="B12641">
        <v>7446279</v>
      </c>
      <c r="C12641" s="1" t="str">
        <f>HYPERLINK("http://stackoverflow.com/users/7446279", "tedyli")</f>
        <v>tedyli</v>
      </c>
      <c r="D12641" t="s">
        <v>55</v>
      </c>
      <c r="E12641">
        <v>1</v>
      </c>
    </row>
    <row r="12642" spans="1:5" x14ac:dyDescent="0.25">
      <c r="A12642">
        <v>12641</v>
      </c>
      <c r="B12642">
        <v>7446292</v>
      </c>
      <c r="C12642" s="1" t="str">
        <f>HYPERLINK("http://stackoverflow.com/users/7446292", "shery")</f>
        <v>shery</v>
      </c>
      <c r="D12642" t="s">
        <v>22</v>
      </c>
      <c r="E12642">
        <v>1</v>
      </c>
    </row>
    <row r="12643" spans="1:5" x14ac:dyDescent="0.25">
      <c r="A12643">
        <v>12642</v>
      </c>
      <c r="B12643">
        <v>7446663</v>
      </c>
      <c r="C12643" s="1" t="str">
        <f>HYPERLINK("http://stackoverflow.com/users/7446663", "Jason Sui")</f>
        <v>Jason Sui</v>
      </c>
      <c r="D12643" t="s">
        <v>52</v>
      </c>
      <c r="E12643">
        <v>1</v>
      </c>
    </row>
    <row r="12644" spans="1:5" x14ac:dyDescent="0.25">
      <c r="A12644">
        <v>12643</v>
      </c>
      <c r="B12644">
        <v>7436421</v>
      </c>
      <c r="C12644" s="1" t="str">
        <f>HYPERLINK("http://stackoverflow.com/users/7436421", "Jingnan Zhang")</f>
        <v>Jingnan Zhang</v>
      </c>
      <c r="D12644" t="s">
        <v>688</v>
      </c>
      <c r="E12644">
        <v>1</v>
      </c>
    </row>
    <row r="12645" spans="1:5" x14ac:dyDescent="0.25">
      <c r="A12645">
        <v>12644</v>
      </c>
      <c r="B12645">
        <v>7439499</v>
      </c>
      <c r="C12645" s="1" t="str">
        <f>HYPERLINK("http://stackoverflow.com/users/7439499", "Oscar Hsu")</f>
        <v>Oscar Hsu</v>
      </c>
      <c r="D12645" t="s">
        <v>16</v>
      </c>
      <c r="E12645">
        <v>1</v>
      </c>
    </row>
    <row r="12646" spans="1:5" x14ac:dyDescent="0.25">
      <c r="A12646">
        <v>12645</v>
      </c>
      <c r="B12646">
        <v>9338696</v>
      </c>
      <c r="C12646" s="1" t="str">
        <f>HYPERLINK("http://stackoverflow.com/users/9338696", "Stephan Zhu")</f>
        <v>Stephan Zhu</v>
      </c>
      <c r="D12646" t="s">
        <v>52</v>
      </c>
      <c r="E12646">
        <v>1</v>
      </c>
    </row>
    <row r="12647" spans="1:5" x14ac:dyDescent="0.25">
      <c r="A12647">
        <v>12646</v>
      </c>
      <c r="B12647">
        <v>3903136</v>
      </c>
      <c r="C12647" s="1" t="str">
        <f>HYPERLINK("http://stackoverflow.com/users/3903136", "Keven")</f>
        <v>Keven</v>
      </c>
      <c r="D12647" t="s">
        <v>7</v>
      </c>
      <c r="E12647">
        <v>1</v>
      </c>
    </row>
    <row r="12648" spans="1:5" x14ac:dyDescent="0.25">
      <c r="A12648">
        <v>12647</v>
      </c>
      <c r="B12648">
        <v>3903308</v>
      </c>
      <c r="C12648" s="1" t="str">
        <f>HYPERLINK("http://stackoverflow.com/users/3903308", "Weiwei SUN")</f>
        <v>Weiwei SUN</v>
      </c>
      <c r="D12648" t="s">
        <v>37</v>
      </c>
      <c r="E12648">
        <v>1</v>
      </c>
    </row>
    <row r="12649" spans="1:5" x14ac:dyDescent="0.25">
      <c r="A12649">
        <v>12648</v>
      </c>
      <c r="B12649">
        <v>2144386</v>
      </c>
      <c r="C12649" s="1" t="str">
        <f>HYPERLINK("http://stackoverflow.com/users/2144386", "wang yinqing")</f>
        <v>wang yinqing</v>
      </c>
      <c r="D12649" t="s">
        <v>4</v>
      </c>
      <c r="E12649">
        <v>1</v>
      </c>
    </row>
    <row r="12650" spans="1:5" x14ac:dyDescent="0.25">
      <c r="A12650">
        <v>12649</v>
      </c>
      <c r="B12650">
        <v>4015126</v>
      </c>
      <c r="C12650" s="1" t="str">
        <f>HYPERLINK("http://stackoverflow.com/users/4015126", "Jason")</f>
        <v>Jason</v>
      </c>
      <c r="D12650" t="s">
        <v>4</v>
      </c>
      <c r="E12650">
        <v>1</v>
      </c>
    </row>
    <row r="12651" spans="1:5" x14ac:dyDescent="0.25">
      <c r="A12651">
        <v>12650</v>
      </c>
      <c r="B12651">
        <v>2293049</v>
      </c>
      <c r="C12651" s="1" t="str">
        <f>HYPERLINK("http://stackoverflow.com/users/2293049", "gywtzh0889")</f>
        <v>gywtzh0889</v>
      </c>
      <c r="D12651" t="s">
        <v>4</v>
      </c>
      <c r="E12651">
        <v>1</v>
      </c>
    </row>
    <row r="12652" spans="1:5" x14ac:dyDescent="0.25">
      <c r="A12652">
        <v>12651</v>
      </c>
      <c r="B12652">
        <v>2277380</v>
      </c>
      <c r="C12652" s="1" t="str">
        <f>HYPERLINK("http://stackoverflow.com/users/2277380", "AbandonZHANG")</f>
        <v>AbandonZHANG</v>
      </c>
      <c r="D12652" t="s">
        <v>5</v>
      </c>
      <c r="E12652">
        <v>1</v>
      </c>
    </row>
    <row r="12653" spans="1:5" x14ac:dyDescent="0.25">
      <c r="A12653">
        <v>12652</v>
      </c>
      <c r="B12653">
        <v>2277766</v>
      </c>
      <c r="C12653" s="1" t="str">
        <f>HYPERLINK("http://stackoverflow.com/users/2277766", "Jim Wu")</f>
        <v>Jim Wu</v>
      </c>
      <c r="D12653" t="s">
        <v>21</v>
      </c>
      <c r="E12653">
        <v>1</v>
      </c>
    </row>
    <row r="12654" spans="1:5" x14ac:dyDescent="0.25">
      <c r="A12654">
        <v>12653</v>
      </c>
      <c r="B12654">
        <v>2278665</v>
      </c>
      <c r="C12654" s="1" t="str">
        <f>HYPERLINK("http://stackoverflow.com/users/2278665", "Zepeng Zheng")</f>
        <v>Zepeng Zheng</v>
      </c>
      <c r="D12654" t="s">
        <v>21</v>
      </c>
      <c r="E12654">
        <v>1</v>
      </c>
    </row>
    <row r="12655" spans="1:5" x14ac:dyDescent="0.25">
      <c r="A12655">
        <v>12654</v>
      </c>
      <c r="B12655">
        <v>7546602</v>
      </c>
      <c r="C12655" s="1" t="str">
        <f>HYPERLINK("http://stackoverflow.com/users/7546602", "Isaac Zhao")</f>
        <v>Isaac Zhao</v>
      </c>
      <c r="D12655" t="s">
        <v>16</v>
      </c>
      <c r="E12655">
        <v>1</v>
      </c>
    </row>
    <row r="12656" spans="1:5" x14ac:dyDescent="0.25">
      <c r="A12656">
        <v>12655</v>
      </c>
      <c r="B12656">
        <v>4027445</v>
      </c>
      <c r="C12656" s="1" t="str">
        <f>HYPERLINK("http://stackoverflow.com/users/4027445", "lujun")</f>
        <v>lujun</v>
      </c>
      <c r="D12656" t="s">
        <v>17</v>
      </c>
      <c r="E12656">
        <v>1</v>
      </c>
    </row>
    <row r="12657" spans="1:5" x14ac:dyDescent="0.25">
      <c r="A12657">
        <v>12656</v>
      </c>
      <c r="B12657">
        <v>7553860</v>
      </c>
      <c r="C12657" s="1" t="str">
        <f>HYPERLINK("http://stackoverflow.com/users/7553860", "Famewell")</f>
        <v>Famewell</v>
      </c>
      <c r="D12657" t="s">
        <v>4</v>
      </c>
      <c r="E12657">
        <v>1</v>
      </c>
    </row>
    <row r="12658" spans="1:5" x14ac:dyDescent="0.25">
      <c r="A12658">
        <v>12657</v>
      </c>
      <c r="B12658">
        <v>5803325</v>
      </c>
      <c r="C12658" s="1" t="str">
        <f>HYPERLINK("http://stackoverflow.com/users/5803325", "sycdesign")</f>
        <v>sycdesign</v>
      </c>
      <c r="D12658" t="s">
        <v>330</v>
      </c>
      <c r="E12658">
        <v>1</v>
      </c>
    </row>
    <row r="12659" spans="1:5" x14ac:dyDescent="0.25">
      <c r="A12659">
        <v>12658</v>
      </c>
      <c r="B12659">
        <v>5803349</v>
      </c>
      <c r="C12659" s="1" t="str">
        <f>HYPERLINK("http://stackoverflow.com/users/5803349", "z.l")</f>
        <v>z.l</v>
      </c>
      <c r="D12659" t="s">
        <v>5</v>
      </c>
      <c r="E12659">
        <v>1</v>
      </c>
    </row>
    <row r="12660" spans="1:5" x14ac:dyDescent="0.25">
      <c r="A12660">
        <v>12659</v>
      </c>
      <c r="B12660">
        <v>5803777</v>
      </c>
      <c r="C12660" s="1" t="str">
        <f>HYPERLINK("http://stackoverflow.com/users/5803777", "Thomas Lau")</f>
        <v>Thomas Lau</v>
      </c>
      <c r="D12660" t="s">
        <v>4</v>
      </c>
      <c r="E12660">
        <v>1</v>
      </c>
    </row>
    <row r="12661" spans="1:5" x14ac:dyDescent="0.25">
      <c r="A12661">
        <v>12660</v>
      </c>
      <c r="B12661">
        <v>5803784</v>
      </c>
      <c r="C12661" s="1" t="str">
        <f>HYPERLINK("http://stackoverflow.com/users/5803784", "DrupalHunter")</f>
        <v>DrupalHunter</v>
      </c>
      <c r="D12661" t="s">
        <v>22</v>
      </c>
      <c r="E12661">
        <v>1</v>
      </c>
    </row>
    <row r="12662" spans="1:5" x14ac:dyDescent="0.25">
      <c r="A12662">
        <v>12661</v>
      </c>
      <c r="B12662">
        <v>11212557</v>
      </c>
      <c r="C12662" s="1" t="str">
        <f>HYPERLINK("http://stackoverflow.com/users/11212557", "J.harden")</f>
        <v>J.harden</v>
      </c>
      <c r="D12662" t="s">
        <v>91</v>
      </c>
      <c r="E12662">
        <v>1</v>
      </c>
    </row>
    <row r="12663" spans="1:5" x14ac:dyDescent="0.25">
      <c r="A12663">
        <v>12662</v>
      </c>
      <c r="B12663">
        <v>7538466</v>
      </c>
      <c r="C12663" s="1" t="str">
        <f>HYPERLINK("http://stackoverflow.com/users/7538466", "Medivh")</f>
        <v>Medivh</v>
      </c>
      <c r="D12663" t="s">
        <v>79</v>
      </c>
      <c r="E12663">
        <v>1</v>
      </c>
    </row>
    <row r="12664" spans="1:5" x14ac:dyDescent="0.25">
      <c r="A12664">
        <v>12663</v>
      </c>
      <c r="B12664">
        <v>7538759</v>
      </c>
      <c r="C12664" s="1" t="str">
        <f>HYPERLINK("http://stackoverflow.com/users/7538759", "River")</f>
        <v>River</v>
      </c>
      <c r="D12664" t="s">
        <v>54</v>
      </c>
      <c r="E12664">
        <v>1</v>
      </c>
    </row>
    <row r="12665" spans="1:5" x14ac:dyDescent="0.25">
      <c r="A12665">
        <v>12664</v>
      </c>
      <c r="B12665">
        <v>7538785</v>
      </c>
      <c r="C12665" s="1" t="str">
        <f>HYPERLINK("http://stackoverflow.com/users/7538785", "Derek.Liu")</f>
        <v>Derek.Liu</v>
      </c>
      <c r="D12665" t="s">
        <v>4</v>
      </c>
      <c r="E12665">
        <v>1</v>
      </c>
    </row>
    <row r="12666" spans="1:5" x14ac:dyDescent="0.25">
      <c r="A12666">
        <v>12665</v>
      </c>
      <c r="B12666">
        <v>2266168</v>
      </c>
      <c r="C12666" s="1" t="str">
        <f>HYPERLINK("http://stackoverflow.com/users/2266168", "AlisterTT")</f>
        <v>AlisterTT</v>
      </c>
      <c r="D12666" t="s">
        <v>5</v>
      </c>
      <c r="E12666">
        <v>1</v>
      </c>
    </row>
    <row r="12667" spans="1:5" x14ac:dyDescent="0.25">
      <c r="A12667">
        <v>12666</v>
      </c>
      <c r="B12667">
        <v>9459802</v>
      </c>
      <c r="C12667" s="1" t="str">
        <f>HYPERLINK("http://stackoverflow.com/users/9459802", "Huang")</f>
        <v>Huang</v>
      </c>
      <c r="D12667" t="s">
        <v>95</v>
      </c>
      <c r="E12667">
        <v>1</v>
      </c>
    </row>
    <row r="12668" spans="1:5" x14ac:dyDescent="0.25">
      <c r="A12668">
        <v>12667</v>
      </c>
      <c r="B12668">
        <v>9459983</v>
      </c>
      <c r="C12668" s="1" t="str">
        <f>HYPERLINK("http://stackoverflow.com/users/9459983", "WU wo")</f>
        <v>WU wo</v>
      </c>
      <c r="D12668" t="s">
        <v>4</v>
      </c>
      <c r="E12668">
        <v>1</v>
      </c>
    </row>
    <row r="12669" spans="1:5" x14ac:dyDescent="0.25">
      <c r="A12669">
        <v>12668</v>
      </c>
      <c r="B12669">
        <v>11257875</v>
      </c>
      <c r="C12669" s="1" t="str">
        <f>HYPERLINK("http://stackoverflow.com/users/11257875", "Fan Wenlin")</f>
        <v>Fan Wenlin</v>
      </c>
      <c r="D12669" t="s">
        <v>5</v>
      </c>
      <c r="E12669">
        <v>1</v>
      </c>
    </row>
    <row r="12670" spans="1:5" x14ac:dyDescent="0.25">
      <c r="A12670">
        <v>12669</v>
      </c>
      <c r="B12670">
        <v>11258097</v>
      </c>
      <c r="C12670" s="1" t="str">
        <f>HYPERLINK("http://stackoverflow.com/users/11258097", "paulrbarnard")</f>
        <v>paulrbarnard</v>
      </c>
      <c r="D12670" t="s">
        <v>689</v>
      </c>
      <c r="E12670">
        <v>1</v>
      </c>
    </row>
    <row r="12671" spans="1:5" x14ac:dyDescent="0.25">
      <c r="A12671">
        <v>12670</v>
      </c>
      <c r="B12671">
        <v>11258117</v>
      </c>
      <c r="C12671" s="1" t="str">
        <f>HYPERLINK("http://stackoverflow.com/users/11258117", "Shin and Shirley")</f>
        <v>Shin and Shirley</v>
      </c>
      <c r="D12671" t="s">
        <v>43</v>
      </c>
      <c r="E12671">
        <v>1</v>
      </c>
    </row>
    <row r="12672" spans="1:5" x14ac:dyDescent="0.25">
      <c r="A12672">
        <v>12671</v>
      </c>
      <c r="B12672">
        <v>11275852</v>
      </c>
      <c r="C12672" s="1" t="str">
        <f>HYPERLINK("http://stackoverflow.com/users/11275852", "shennan")</f>
        <v>shennan</v>
      </c>
      <c r="D12672" t="s">
        <v>5</v>
      </c>
      <c r="E12672">
        <v>1</v>
      </c>
    </row>
    <row r="12673" spans="1:5" x14ac:dyDescent="0.25">
      <c r="A12673">
        <v>12672</v>
      </c>
      <c r="B12673">
        <v>11275913</v>
      </c>
      <c r="C12673" s="1" t="str">
        <f>HYPERLINK("http://stackoverflow.com/users/11275913", "Jason He")</f>
        <v>Jason He</v>
      </c>
      <c r="D12673" t="s">
        <v>74</v>
      </c>
      <c r="E12673">
        <v>1</v>
      </c>
    </row>
    <row r="12674" spans="1:5" x14ac:dyDescent="0.25">
      <c r="A12674">
        <v>12673</v>
      </c>
      <c r="B12674">
        <v>11275961</v>
      </c>
      <c r="C12674" s="1" t="str">
        <f>HYPERLINK("http://stackoverflow.com/users/11275961", "John He")</f>
        <v>John He</v>
      </c>
      <c r="D12674" t="s">
        <v>690</v>
      </c>
      <c r="E12674">
        <v>1</v>
      </c>
    </row>
    <row r="12675" spans="1:5" x14ac:dyDescent="0.25">
      <c r="A12675">
        <v>12674</v>
      </c>
      <c r="B12675">
        <v>2297075</v>
      </c>
      <c r="C12675" s="1" t="str">
        <f>HYPERLINK("http://stackoverflow.com/users/2297075", "Liu Yongtai")</f>
        <v>Liu Yongtai</v>
      </c>
      <c r="D12675" t="s">
        <v>56</v>
      </c>
      <c r="E12675">
        <v>1</v>
      </c>
    </row>
    <row r="12676" spans="1:5" x14ac:dyDescent="0.25">
      <c r="A12676">
        <v>12675</v>
      </c>
      <c r="B12676">
        <v>2297370</v>
      </c>
      <c r="C12676" s="1" t="str">
        <f>HYPERLINK("http://stackoverflow.com/users/2297370", "Sean")</f>
        <v>Sean</v>
      </c>
      <c r="D12676" t="s">
        <v>4</v>
      </c>
      <c r="E12676">
        <v>1</v>
      </c>
    </row>
    <row r="12677" spans="1:5" x14ac:dyDescent="0.25">
      <c r="A12677">
        <v>12676</v>
      </c>
      <c r="B12677">
        <v>2297546</v>
      </c>
      <c r="C12677" s="1" t="str">
        <f>HYPERLINK("http://stackoverflow.com/users/2297546", "dongtao")</f>
        <v>dongtao</v>
      </c>
      <c r="D12677" t="s">
        <v>37</v>
      </c>
      <c r="E12677">
        <v>1</v>
      </c>
    </row>
    <row r="12678" spans="1:5" x14ac:dyDescent="0.25">
      <c r="A12678">
        <v>12677</v>
      </c>
      <c r="B12678">
        <v>2297628</v>
      </c>
      <c r="C12678" s="1" t="str">
        <f>HYPERLINK("http://stackoverflow.com/users/2297628", "JJ Ying")</f>
        <v>JJ Ying</v>
      </c>
      <c r="D12678" t="s">
        <v>4</v>
      </c>
      <c r="E12678">
        <v>1</v>
      </c>
    </row>
    <row r="12679" spans="1:5" x14ac:dyDescent="0.25">
      <c r="A12679">
        <v>12678</v>
      </c>
      <c r="B12679">
        <v>2297856</v>
      </c>
      <c r="C12679" s="1" t="str">
        <f>HYPERLINK("http://stackoverflow.com/users/2297856", "dscl")</f>
        <v>dscl</v>
      </c>
      <c r="D12679" t="s">
        <v>48</v>
      </c>
      <c r="E12679">
        <v>1</v>
      </c>
    </row>
    <row r="12680" spans="1:5" x14ac:dyDescent="0.25">
      <c r="A12680">
        <v>12679</v>
      </c>
      <c r="B12680">
        <v>2297939</v>
      </c>
      <c r="C12680" s="1" t="str">
        <f>HYPERLINK("http://stackoverflow.com/users/2297939", "yl201206")</f>
        <v>yl201206</v>
      </c>
      <c r="D12680" t="s">
        <v>17</v>
      </c>
      <c r="E12680">
        <v>1</v>
      </c>
    </row>
    <row r="12681" spans="1:5" x14ac:dyDescent="0.25">
      <c r="A12681">
        <v>12680</v>
      </c>
      <c r="B12681">
        <v>2298048</v>
      </c>
      <c r="C12681" s="1" t="str">
        <f>HYPERLINK("http://stackoverflow.com/users/2298048", "longfloat")</f>
        <v>longfloat</v>
      </c>
      <c r="D12681" t="s">
        <v>5</v>
      </c>
      <c r="E12681">
        <v>1</v>
      </c>
    </row>
    <row r="12682" spans="1:5" x14ac:dyDescent="0.25">
      <c r="A12682">
        <v>12681</v>
      </c>
      <c r="B12682">
        <v>5814712</v>
      </c>
      <c r="C12682" s="1" t="str">
        <f>HYPERLINK("http://stackoverflow.com/users/5814712", "Jamin")</f>
        <v>Jamin</v>
      </c>
      <c r="D12682" t="s">
        <v>21</v>
      </c>
      <c r="E12682">
        <v>1</v>
      </c>
    </row>
    <row r="12683" spans="1:5" x14ac:dyDescent="0.25">
      <c r="A12683">
        <v>12682</v>
      </c>
      <c r="B12683">
        <v>5815248</v>
      </c>
      <c r="C12683" s="1" t="str">
        <f>HYPERLINK("http://stackoverflow.com/users/5815248", "chaofeis")</f>
        <v>chaofeis</v>
      </c>
      <c r="D12683" t="s">
        <v>5</v>
      </c>
      <c r="E12683">
        <v>1</v>
      </c>
    </row>
    <row r="12684" spans="1:5" x14ac:dyDescent="0.25">
      <c r="A12684">
        <v>12683</v>
      </c>
      <c r="B12684">
        <v>11280454</v>
      </c>
      <c r="C12684" s="1" t="str">
        <f>HYPERLINK("http://stackoverflow.com/users/11280454", "mohammed elkomy")</f>
        <v>mohammed elkomy</v>
      </c>
      <c r="D12684" t="s">
        <v>66</v>
      </c>
      <c r="E12684">
        <v>1</v>
      </c>
    </row>
    <row r="12685" spans="1:5" x14ac:dyDescent="0.25">
      <c r="A12685">
        <v>12684</v>
      </c>
      <c r="B12685">
        <v>11280536</v>
      </c>
      <c r="C12685" s="1" t="str">
        <f>HYPERLINK("http://stackoverflow.com/users/11280536", "Frank Jin")</f>
        <v>Frank Jin</v>
      </c>
      <c r="D12685" t="s">
        <v>4</v>
      </c>
      <c r="E12685">
        <v>1</v>
      </c>
    </row>
    <row r="12686" spans="1:5" x14ac:dyDescent="0.25">
      <c r="A12686">
        <v>12685</v>
      </c>
      <c r="B12686">
        <v>9490366</v>
      </c>
      <c r="C12686" s="1" t="str">
        <f>HYPERLINK("http://stackoverflow.com/users/9490366", "Dawn")</f>
        <v>Dawn</v>
      </c>
      <c r="D12686" t="s">
        <v>28</v>
      </c>
      <c r="E12686">
        <v>1</v>
      </c>
    </row>
    <row r="12687" spans="1:5" x14ac:dyDescent="0.25">
      <c r="A12687">
        <v>12686</v>
      </c>
      <c r="B12687">
        <v>11284160</v>
      </c>
      <c r="C12687" s="1" t="str">
        <f>HYPERLINK("http://stackoverflow.com/users/11284160", "alongzuimei")</f>
        <v>alongzuimei</v>
      </c>
      <c r="D12687" t="s">
        <v>17</v>
      </c>
      <c r="E12687">
        <v>1</v>
      </c>
    </row>
    <row r="12688" spans="1:5" x14ac:dyDescent="0.25">
      <c r="A12688">
        <v>12687</v>
      </c>
      <c r="B12688">
        <v>5822066</v>
      </c>
      <c r="C12688" s="1" t="str">
        <f>HYPERLINK("http://stackoverflow.com/users/5822066", "Shangshu Guo")</f>
        <v>Shangshu Guo</v>
      </c>
      <c r="D12688" t="s">
        <v>4</v>
      </c>
      <c r="E12688">
        <v>1</v>
      </c>
    </row>
    <row r="12689" spans="1:5" x14ac:dyDescent="0.25">
      <c r="A12689">
        <v>12688</v>
      </c>
      <c r="B12689">
        <v>2310820</v>
      </c>
      <c r="C12689" s="1" t="str">
        <f>HYPERLINK("http://stackoverflow.com/users/2310820", "Allen.M")</f>
        <v>Allen.M</v>
      </c>
      <c r="D12689" t="s">
        <v>4</v>
      </c>
      <c r="E12689">
        <v>1</v>
      </c>
    </row>
    <row r="12690" spans="1:5" x14ac:dyDescent="0.25">
      <c r="A12690">
        <v>12689</v>
      </c>
      <c r="B12690">
        <v>2311475</v>
      </c>
      <c r="C12690" s="1" t="str">
        <f>HYPERLINK("http://stackoverflow.com/users/2311475", "charles")</f>
        <v>charles</v>
      </c>
      <c r="D12690" t="s">
        <v>12</v>
      </c>
      <c r="E12690">
        <v>1</v>
      </c>
    </row>
    <row r="12691" spans="1:5" x14ac:dyDescent="0.25">
      <c r="A12691">
        <v>12690</v>
      </c>
      <c r="B12691">
        <v>2311800</v>
      </c>
      <c r="C12691" s="1" t="str">
        <f>HYPERLINK("http://stackoverflow.com/users/2311800", "Ernie")</f>
        <v>Ernie</v>
      </c>
      <c r="D12691" t="s">
        <v>209</v>
      </c>
      <c r="E12691">
        <v>1</v>
      </c>
    </row>
    <row r="12692" spans="1:5" x14ac:dyDescent="0.25">
      <c r="A12692">
        <v>12691</v>
      </c>
      <c r="B12692">
        <v>11288975</v>
      </c>
      <c r="C12692" s="1" t="str">
        <f>HYPERLINK("http://stackoverflow.com/users/11288975", "Lys")</f>
        <v>Lys</v>
      </c>
      <c r="D12692" t="s">
        <v>5</v>
      </c>
      <c r="E12692">
        <v>1</v>
      </c>
    </row>
    <row r="12693" spans="1:5" x14ac:dyDescent="0.25">
      <c r="A12693">
        <v>12692</v>
      </c>
      <c r="B12693">
        <v>11289298</v>
      </c>
      <c r="C12693" s="1" t="str">
        <f>HYPERLINK("http://stackoverflow.com/users/11289298", "Huajian Jiang")</f>
        <v>Huajian Jiang</v>
      </c>
      <c r="D12693" t="s">
        <v>4</v>
      </c>
      <c r="E12693">
        <v>1</v>
      </c>
    </row>
    <row r="12694" spans="1:5" x14ac:dyDescent="0.25">
      <c r="A12694">
        <v>12693</v>
      </c>
      <c r="B12694">
        <v>11289376</v>
      </c>
      <c r="C12694" s="1" t="str">
        <f>HYPERLINK("http://stackoverflow.com/users/11289376", "Yuncheng")</f>
        <v>Yuncheng</v>
      </c>
      <c r="D12694" t="s">
        <v>5</v>
      </c>
      <c r="E12694">
        <v>1</v>
      </c>
    </row>
    <row r="12695" spans="1:5" x14ac:dyDescent="0.25">
      <c r="A12695">
        <v>12694</v>
      </c>
      <c r="B12695">
        <v>7576031</v>
      </c>
      <c r="C12695" s="1" t="str">
        <f>HYPERLINK("http://stackoverflow.com/users/7576031", "Ernest")</f>
        <v>Ernest</v>
      </c>
      <c r="D12695" t="s">
        <v>4</v>
      </c>
      <c r="E12695">
        <v>1</v>
      </c>
    </row>
    <row r="12696" spans="1:5" x14ac:dyDescent="0.25">
      <c r="A12696">
        <v>12695</v>
      </c>
      <c r="B12696">
        <v>9498729</v>
      </c>
      <c r="C12696" s="1" t="str">
        <f>HYPERLINK("http://stackoverflow.com/users/9498729", "Zewei Mai")</f>
        <v>Zewei Mai</v>
      </c>
      <c r="D12696" t="s">
        <v>25</v>
      </c>
      <c r="E12696">
        <v>1</v>
      </c>
    </row>
    <row r="12697" spans="1:5" x14ac:dyDescent="0.25">
      <c r="A12697">
        <v>12696</v>
      </c>
      <c r="B12697">
        <v>11293312</v>
      </c>
      <c r="C12697" s="1" t="str">
        <f>HYPERLINK("http://stackoverflow.com/users/11293312", "asmdhabibullah")</f>
        <v>asmdhabibullah</v>
      </c>
      <c r="D12697" t="s">
        <v>691</v>
      </c>
      <c r="E12697">
        <v>1</v>
      </c>
    </row>
    <row r="12698" spans="1:5" x14ac:dyDescent="0.25">
      <c r="A12698">
        <v>12697</v>
      </c>
      <c r="B12698">
        <v>4031713</v>
      </c>
      <c r="C12698" s="1" t="str">
        <f>HYPERLINK("http://stackoverflow.com/users/4031713", "Zhang Ping")</f>
        <v>Zhang Ping</v>
      </c>
      <c r="D12698" t="s">
        <v>5</v>
      </c>
      <c r="E12698">
        <v>1</v>
      </c>
    </row>
    <row r="12699" spans="1:5" x14ac:dyDescent="0.25">
      <c r="A12699">
        <v>12698</v>
      </c>
      <c r="B12699">
        <v>9477602</v>
      </c>
      <c r="C12699" s="1" t="str">
        <f>HYPERLINK("http://stackoverflow.com/users/9477602", "Alvabill")</f>
        <v>Alvabill</v>
      </c>
      <c r="D12699" t="s">
        <v>25</v>
      </c>
      <c r="E12699">
        <v>1</v>
      </c>
    </row>
    <row r="12700" spans="1:5" x14ac:dyDescent="0.25">
      <c r="A12700">
        <v>12699</v>
      </c>
      <c r="B12700">
        <v>9477784</v>
      </c>
      <c r="C12700" s="1" t="str">
        <f>HYPERLINK("http://stackoverflow.com/users/9477784", "Guo Frank")</f>
        <v>Guo Frank</v>
      </c>
      <c r="D12700" t="s">
        <v>78</v>
      </c>
      <c r="E12700">
        <v>1</v>
      </c>
    </row>
    <row r="12701" spans="1:5" x14ac:dyDescent="0.25">
      <c r="A12701">
        <v>12700</v>
      </c>
      <c r="B12701">
        <v>9477885</v>
      </c>
      <c r="C12701" s="1" t="str">
        <f>HYPERLINK("http://stackoverflow.com/users/9477885", "Charles")</f>
        <v>Charles</v>
      </c>
      <c r="D12701" t="s">
        <v>692</v>
      </c>
      <c r="E12701">
        <v>1</v>
      </c>
    </row>
    <row r="12702" spans="1:5" x14ac:dyDescent="0.25">
      <c r="A12702">
        <v>12701</v>
      </c>
      <c r="B12702">
        <v>11310080</v>
      </c>
      <c r="C12702" s="1" t="str">
        <f>HYPERLINK("http://stackoverflow.com/users/11310080", "songliang")</f>
        <v>songliang</v>
      </c>
      <c r="D12702" t="s">
        <v>4</v>
      </c>
      <c r="E12702">
        <v>1</v>
      </c>
    </row>
    <row r="12703" spans="1:5" x14ac:dyDescent="0.25">
      <c r="A12703">
        <v>12702</v>
      </c>
      <c r="B12703">
        <v>11310181</v>
      </c>
      <c r="C12703" s="1" t="str">
        <f>HYPERLINK("http://stackoverflow.com/users/11310181", "Wenyi Yang")</f>
        <v>Wenyi Yang</v>
      </c>
      <c r="D12703" t="s">
        <v>5</v>
      </c>
      <c r="E12703">
        <v>1</v>
      </c>
    </row>
    <row r="12704" spans="1:5" x14ac:dyDescent="0.25">
      <c r="A12704">
        <v>12703</v>
      </c>
      <c r="B12704">
        <v>9516361</v>
      </c>
      <c r="C12704" s="1" t="str">
        <f>HYPERLINK("http://stackoverflow.com/users/9516361", "薛路辉")</f>
        <v>薛路辉</v>
      </c>
      <c r="D12704" t="s">
        <v>5</v>
      </c>
      <c r="E12704">
        <v>1</v>
      </c>
    </row>
    <row r="12705" spans="1:5" x14ac:dyDescent="0.25">
      <c r="A12705">
        <v>12704</v>
      </c>
      <c r="B12705">
        <v>9516529</v>
      </c>
      <c r="C12705" s="1" t="str">
        <f>HYPERLINK("http://stackoverflow.com/users/9516529", "Hitrel Li")</f>
        <v>Hitrel Li</v>
      </c>
      <c r="D12705" t="s">
        <v>131</v>
      </c>
      <c r="E12705">
        <v>1</v>
      </c>
    </row>
    <row r="12706" spans="1:5" x14ac:dyDescent="0.25">
      <c r="A12706">
        <v>12705</v>
      </c>
      <c r="B12706">
        <v>9516707</v>
      </c>
      <c r="C12706" s="1" t="str">
        <f>HYPERLINK("http://stackoverflow.com/users/9516707", "Mario")</f>
        <v>Mario</v>
      </c>
      <c r="D12706" t="s">
        <v>5</v>
      </c>
      <c r="E12706">
        <v>1</v>
      </c>
    </row>
    <row r="12707" spans="1:5" x14ac:dyDescent="0.25">
      <c r="A12707">
        <v>12706</v>
      </c>
      <c r="B12707">
        <v>11297372</v>
      </c>
      <c r="C12707" s="1" t="str">
        <f>HYPERLINK("http://stackoverflow.com/users/11297372", "Tom Chan")</f>
        <v>Tom Chan</v>
      </c>
      <c r="D12707" t="s">
        <v>5</v>
      </c>
      <c r="E12707">
        <v>1</v>
      </c>
    </row>
    <row r="12708" spans="1:5" x14ac:dyDescent="0.25">
      <c r="A12708">
        <v>12707</v>
      </c>
      <c r="B12708">
        <v>9503466</v>
      </c>
      <c r="C12708" s="1" t="str">
        <f>HYPERLINK("http://stackoverflow.com/users/9503466", "woodPeck")</f>
        <v>woodPeck</v>
      </c>
      <c r="D12708" t="s">
        <v>4</v>
      </c>
      <c r="E12708">
        <v>1</v>
      </c>
    </row>
    <row r="12709" spans="1:5" x14ac:dyDescent="0.25">
      <c r="A12709">
        <v>12708</v>
      </c>
      <c r="B12709">
        <v>5829325</v>
      </c>
      <c r="C12709" s="1" t="str">
        <f>HYPERLINK("http://stackoverflow.com/users/5829325", "bo.zhang")</f>
        <v>bo.zhang</v>
      </c>
      <c r="D12709" t="s">
        <v>5</v>
      </c>
      <c r="E12709">
        <v>1</v>
      </c>
    </row>
    <row r="12710" spans="1:5" x14ac:dyDescent="0.25">
      <c r="A12710">
        <v>12709</v>
      </c>
      <c r="B12710">
        <v>7580033</v>
      </c>
      <c r="C12710" s="1" t="str">
        <f>HYPERLINK("http://stackoverflow.com/users/7580033", "Yuanfeng Zheng")</f>
        <v>Yuanfeng Zheng</v>
      </c>
      <c r="D12710" t="s">
        <v>5</v>
      </c>
      <c r="E12710">
        <v>1</v>
      </c>
    </row>
    <row r="12711" spans="1:5" x14ac:dyDescent="0.25">
      <c r="A12711">
        <v>12710</v>
      </c>
      <c r="B12711">
        <v>7580260</v>
      </c>
      <c r="C12711" s="1" t="str">
        <f>HYPERLINK("http://stackoverflow.com/users/7580260", "Fang Jin Xian")</f>
        <v>Fang Jin Xian</v>
      </c>
      <c r="D12711" t="s">
        <v>33</v>
      </c>
      <c r="E12711">
        <v>1</v>
      </c>
    </row>
    <row r="12712" spans="1:5" x14ac:dyDescent="0.25">
      <c r="A12712">
        <v>12711</v>
      </c>
      <c r="B12712">
        <v>11302950</v>
      </c>
      <c r="C12712" s="1" t="str">
        <f>HYPERLINK("http://stackoverflow.com/users/11302950", "Gavin Zhou")</f>
        <v>Gavin Zhou</v>
      </c>
      <c r="D12712" t="s">
        <v>4</v>
      </c>
      <c r="E12712">
        <v>1</v>
      </c>
    </row>
    <row r="12713" spans="1:5" x14ac:dyDescent="0.25">
      <c r="A12713">
        <v>12712</v>
      </c>
      <c r="B12713">
        <v>7584117</v>
      </c>
      <c r="C12713" s="1" t="str">
        <f>HYPERLINK("http://stackoverflow.com/users/7584117", "王梦麟")</f>
        <v>王梦麟</v>
      </c>
      <c r="D12713" t="s">
        <v>55</v>
      </c>
      <c r="E12713">
        <v>1</v>
      </c>
    </row>
    <row r="12714" spans="1:5" x14ac:dyDescent="0.25">
      <c r="A12714">
        <v>12713</v>
      </c>
      <c r="B12714">
        <v>11305645</v>
      </c>
      <c r="C12714" s="1" t="str">
        <f>HYPERLINK("http://stackoverflow.com/users/11305645", "Nikita Shevchenko")</f>
        <v>Nikita Shevchenko</v>
      </c>
      <c r="D12714" t="s">
        <v>17</v>
      </c>
      <c r="E12714">
        <v>1</v>
      </c>
    </row>
    <row r="12715" spans="1:5" x14ac:dyDescent="0.25">
      <c r="A12715">
        <v>12714</v>
      </c>
      <c r="B12715">
        <v>11305983</v>
      </c>
      <c r="C12715" s="1" t="str">
        <f>HYPERLINK("http://stackoverflow.com/users/11305983", "Ainevsia")</f>
        <v>Ainevsia</v>
      </c>
      <c r="D12715" t="s">
        <v>4</v>
      </c>
      <c r="E12715">
        <v>1</v>
      </c>
    </row>
    <row r="12716" spans="1:5" x14ac:dyDescent="0.25">
      <c r="A12716">
        <v>12715</v>
      </c>
      <c r="B12716">
        <v>4062436</v>
      </c>
      <c r="C12716" s="1" t="str">
        <f>HYPERLINK("http://stackoverflow.com/users/4062436", "Shiwei Weng")</f>
        <v>Shiwei Weng</v>
      </c>
      <c r="D12716" t="s">
        <v>4</v>
      </c>
      <c r="E12716">
        <v>1</v>
      </c>
    </row>
    <row r="12717" spans="1:5" x14ac:dyDescent="0.25">
      <c r="A12717">
        <v>12716</v>
      </c>
      <c r="B12717">
        <v>5836466</v>
      </c>
      <c r="C12717" s="1" t="str">
        <f>HYPERLINK("http://stackoverflow.com/users/5836466", "黄伯驹")</f>
        <v>黄伯驹</v>
      </c>
      <c r="D12717" t="s">
        <v>4</v>
      </c>
      <c r="E12717">
        <v>1</v>
      </c>
    </row>
    <row r="12718" spans="1:5" x14ac:dyDescent="0.25">
      <c r="A12718">
        <v>12717</v>
      </c>
      <c r="B12718">
        <v>9556817</v>
      </c>
      <c r="C12718" s="1" t="str">
        <f>HYPERLINK("http://stackoverflow.com/users/9556817", "Shuang")</f>
        <v>Shuang</v>
      </c>
      <c r="D12718" t="s">
        <v>5</v>
      </c>
      <c r="E12718">
        <v>1</v>
      </c>
    </row>
    <row r="12719" spans="1:5" x14ac:dyDescent="0.25">
      <c r="A12719">
        <v>12718</v>
      </c>
      <c r="B12719">
        <v>9561511</v>
      </c>
      <c r="C12719" s="1" t="str">
        <f>HYPERLINK("http://stackoverflow.com/users/9561511", "PENG")</f>
        <v>PENG</v>
      </c>
      <c r="D12719" t="s">
        <v>4</v>
      </c>
      <c r="E12719">
        <v>1</v>
      </c>
    </row>
    <row r="12720" spans="1:5" x14ac:dyDescent="0.25">
      <c r="A12720">
        <v>12719</v>
      </c>
      <c r="B12720">
        <v>9561671</v>
      </c>
      <c r="C12720" s="1" t="str">
        <f>HYPERLINK("http://stackoverflow.com/users/9561671", "Roger Chen")</f>
        <v>Roger Chen</v>
      </c>
      <c r="D12720" t="s">
        <v>4</v>
      </c>
      <c r="E12720">
        <v>1</v>
      </c>
    </row>
    <row r="12721" spans="1:5" x14ac:dyDescent="0.25">
      <c r="A12721">
        <v>12720</v>
      </c>
      <c r="B12721">
        <v>9562462</v>
      </c>
      <c r="C12721" s="1" t="str">
        <f>HYPERLINK("http://stackoverflow.com/users/9562462", "user9562462")</f>
        <v>user9562462</v>
      </c>
      <c r="D12721" t="s">
        <v>5</v>
      </c>
      <c r="E12721">
        <v>1</v>
      </c>
    </row>
    <row r="12722" spans="1:5" x14ac:dyDescent="0.25">
      <c r="A12722">
        <v>12721</v>
      </c>
      <c r="B12722">
        <v>9562494</v>
      </c>
      <c r="C12722" s="1" t="str">
        <f>HYPERLINK("http://stackoverflow.com/users/9562494", "vv zhong")</f>
        <v>vv zhong</v>
      </c>
      <c r="D12722" t="s">
        <v>78</v>
      </c>
      <c r="E12722">
        <v>1</v>
      </c>
    </row>
    <row r="12723" spans="1:5" x14ac:dyDescent="0.25">
      <c r="A12723">
        <v>12722</v>
      </c>
      <c r="B12723">
        <v>2374292</v>
      </c>
      <c r="C12723" s="1" t="str">
        <f>HYPERLINK("http://stackoverflow.com/users/2374292", "Allen Zhang")</f>
        <v>Allen Zhang</v>
      </c>
      <c r="D12723" t="s">
        <v>4</v>
      </c>
      <c r="E12723">
        <v>1</v>
      </c>
    </row>
    <row r="12724" spans="1:5" x14ac:dyDescent="0.25">
      <c r="A12724">
        <v>12723</v>
      </c>
      <c r="B12724">
        <v>2374185</v>
      </c>
      <c r="C12724" s="1" t="str">
        <f>HYPERLINK("http://stackoverflow.com/users/2374185", "NSSimacer")</f>
        <v>NSSimacer</v>
      </c>
      <c r="D12724" t="s">
        <v>5</v>
      </c>
      <c r="E12724">
        <v>1</v>
      </c>
    </row>
    <row r="12725" spans="1:5" x14ac:dyDescent="0.25">
      <c r="A12725">
        <v>12724</v>
      </c>
      <c r="B12725">
        <v>9551118</v>
      </c>
      <c r="C12725" s="1" t="str">
        <f>HYPERLINK("http://stackoverflow.com/users/9551118", "zhengtao")</f>
        <v>zhengtao</v>
      </c>
      <c r="D12725" t="s">
        <v>146</v>
      </c>
      <c r="E12725">
        <v>1</v>
      </c>
    </row>
    <row r="12726" spans="1:5" x14ac:dyDescent="0.25">
      <c r="A12726">
        <v>12725</v>
      </c>
      <c r="B12726">
        <v>9551173</v>
      </c>
      <c r="C12726" s="1" t="str">
        <f>HYPERLINK("http://stackoverflow.com/users/9551173", "st qian")</f>
        <v>st qian</v>
      </c>
      <c r="D12726" t="s">
        <v>27</v>
      </c>
      <c r="E12726">
        <v>1</v>
      </c>
    </row>
    <row r="12727" spans="1:5" x14ac:dyDescent="0.25">
      <c r="A12727">
        <v>12726</v>
      </c>
      <c r="B12727">
        <v>9551292</v>
      </c>
      <c r="C12727" s="1" t="str">
        <f>HYPERLINK("http://stackoverflow.com/users/9551292", "Steven Qi")</f>
        <v>Steven Qi</v>
      </c>
      <c r="D12727" t="s">
        <v>4</v>
      </c>
      <c r="E12727">
        <v>1</v>
      </c>
    </row>
    <row r="12728" spans="1:5" x14ac:dyDescent="0.25">
      <c r="A12728">
        <v>12727</v>
      </c>
      <c r="B12728">
        <v>9551460</v>
      </c>
      <c r="C12728" s="1" t="str">
        <f>HYPERLINK("http://stackoverflow.com/users/9551460", "runtao wang")</f>
        <v>runtao wang</v>
      </c>
      <c r="D12728" t="s">
        <v>91</v>
      </c>
      <c r="E12728">
        <v>1</v>
      </c>
    </row>
    <row r="12729" spans="1:5" x14ac:dyDescent="0.25">
      <c r="A12729">
        <v>12728</v>
      </c>
      <c r="B12729">
        <v>9551582</v>
      </c>
      <c r="C12729" s="1" t="str">
        <f>HYPERLINK("http://stackoverflow.com/users/9551582", "Zhang GuiMei")</f>
        <v>Zhang GuiMei</v>
      </c>
      <c r="D12729" t="s">
        <v>133</v>
      </c>
      <c r="E12729">
        <v>1</v>
      </c>
    </row>
    <row r="12730" spans="1:5" x14ac:dyDescent="0.25">
      <c r="A12730">
        <v>12729</v>
      </c>
      <c r="B12730">
        <v>5866709</v>
      </c>
      <c r="C12730" s="1" t="str">
        <f>HYPERLINK("http://stackoverflow.com/users/5866709", "CatBig")</f>
        <v>CatBig</v>
      </c>
      <c r="D12730" t="s">
        <v>693</v>
      </c>
      <c r="E12730">
        <v>1</v>
      </c>
    </row>
    <row r="12731" spans="1:5" x14ac:dyDescent="0.25">
      <c r="A12731">
        <v>12730</v>
      </c>
      <c r="B12731">
        <v>5866815</v>
      </c>
      <c r="C12731" s="1" t="str">
        <f>HYPERLINK("http://stackoverflow.com/users/5866815", "Jie. Luo")</f>
        <v>Jie. Luo</v>
      </c>
      <c r="D12731" t="s">
        <v>22</v>
      </c>
      <c r="E12731">
        <v>1</v>
      </c>
    </row>
    <row r="12732" spans="1:5" x14ac:dyDescent="0.25">
      <c r="A12732">
        <v>12731</v>
      </c>
      <c r="B12732">
        <v>7616028</v>
      </c>
      <c r="C12732" s="1" t="str">
        <f>HYPERLINK("http://stackoverflow.com/users/7616028", "ning.sun")</f>
        <v>ning.sun</v>
      </c>
      <c r="D12732" t="s">
        <v>28</v>
      </c>
      <c r="E12732">
        <v>1</v>
      </c>
    </row>
    <row r="12733" spans="1:5" x14ac:dyDescent="0.25">
      <c r="A12733">
        <v>12732</v>
      </c>
      <c r="B12733">
        <v>5861232</v>
      </c>
      <c r="C12733" s="1" t="str">
        <f>HYPERLINK("http://stackoverflow.com/users/5861232", "Wei Feng")</f>
        <v>Wei Feng</v>
      </c>
      <c r="D12733" t="s">
        <v>5</v>
      </c>
      <c r="E12733">
        <v>1</v>
      </c>
    </row>
    <row r="12734" spans="1:5" x14ac:dyDescent="0.25">
      <c r="A12734">
        <v>12733</v>
      </c>
      <c r="B12734">
        <v>9540701</v>
      </c>
      <c r="C12734" s="1" t="str">
        <f>HYPERLINK("http://stackoverflow.com/users/9540701", "GuangHe Quan")</f>
        <v>GuangHe Quan</v>
      </c>
      <c r="D12734" t="s">
        <v>217</v>
      </c>
      <c r="E12734">
        <v>1</v>
      </c>
    </row>
    <row r="12735" spans="1:5" x14ac:dyDescent="0.25">
      <c r="A12735">
        <v>12734</v>
      </c>
      <c r="B12735">
        <v>7610801</v>
      </c>
      <c r="C12735" s="1" t="str">
        <f>HYPERLINK("http://stackoverflow.com/users/7610801", "Simon.Zh")</f>
        <v>Simon.Zh</v>
      </c>
      <c r="D12735" t="s">
        <v>4</v>
      </c>
      <c r="E12735">
        <v>1</v>
      </c>
    </row>
    <row r="12736" spans="1:5" x14ac:dyDescent="0.25">
      <c r="A12736">
        <v>12735</v>
      </c>
      <c r="B12736">
        <v>7611680</v>
      </c>
      <c r="C12736" s="1" t="str">
        <f>HYPERLINK("http://stackoverflow.com/users/7611680", "Cent Chan")</f>
        <v>Cent Chan</v>
      </c>
      <c r="D12736" t="s">
        <v>232</v>
      </c>
      <c r="E12736">
        <v>1</v>
      </c>
    </row>
    <row r="12737" spans="1:5" x14ac:dyDescent="0.25">
      <c r="A12737">
        <v>12736</v>
      </c>
      <c r="B12737">
        <v>7615821</v>
      </c>
      <c r="C12737" s="1" t="str">
        <f>HYPERLINK("http://stackoverflow.com/users/7615821", "GrandSong")</f>
        <v>GrandSong</v>
      </c>
      <c r="D12737" t="s">
        <v>135</v>
      </c>
      <c r="E12737">
        <v>1</v>
      </c>
    </row>
    <row r="12738" spans="1:5" x14ac:dyDescent="0.25">
      <c r="A12738">
        <v>12737</v>
      </c>
      <c r="B12738">
        <v>9546806</v>
      </c>
      <c r="C12738" s="1" t="str">
        <f>HYPERLINK("http://stackoverflow.com/users/9546806", "Avril5916")</f>
        <v>Avril5916</v>
      </c>
      <c r="D12738" t="s">
        <v>27</v>
      </c>
      <c r="E12738">
        <v>1</v>
      </c>
    </row>
    <row r="12739" spans="1:5" x14ac:dyDescent="0.25">
      <c r="A12739">
        <v>12738</v>
      </c>
      <c r="B12739">
        <v>9546855</v>
      </c>
      <c r="C12739" s="1" t="str">
        <f>HYPERLINK("http://stackoverflow.com/users/9546855", "Yandong Ji")</f>
        <v>Yandong Ji</v>
      </c>
      <c r="D12739" t="s">
        <v>694</v>
      </c>
      <c r="E12739">
        <v>1</v>
      </c>
    </row>
    <row r="12740" spans="1:5" x14ac:dyDescent="0.25">
      <c r="A12740">
        <v>12739</v>
      </c>
      <c r="B12740">
        <v>7592955</v>
      </c>
      <c r="C12740" s="1" t="str">
        <f>HYPERLINK("http://stackoverflow.com/users/7592955", "Regardo")</f>
        <v>Regardo</v>
      </c>
      <c r="D12740" t="s">
        <v>27</v>
      </c>
      <c r="E12740">
        <v>1</v>
      </c>
    </row>
    <row r="12741" spans="1:5" x14ac:dyDescent="0.25">
      <c r="A12741">
        <v>12740</v>
      </c>
      <c r="B12741">
        <v>5839892</v>
      </c>
      <c r="C12741" s="1" t="str">
        <f>HYPERLINK("http://stackoverflow.com/users/5839892", "Yuanhang Liu")</f>
        <v>Yuanhang Liu</v>
      </c>
      <c r="D12741" t="s">
        <v>4</v>
      </c>
      <c r="E12741">
        <v>1</v>
      </c>
    </row>
    <row r="12742" spans="1:5" x14ac:dyDescent="0.25">
      <c r="A12742">
        <v>12741</v>
      </c>
      <c r="B12742">
        <v>5839943</v>
      </c>
      <c r="C12742" s="1" t="str">
        <f>HYPERLINK("http://stackoverflow.com/users/5839943", "junfeng Li")</f>
        <v>junfeng Li</v>
      </c>
      <c r="D12742" t="s">
        <v>5</v>
      </c>
      <c r="E12742">
        <v>1</v>
      </c>
    </row>
    <row r="12743" spans="1:5" x14ac:dyDescent="0.25">
      <c r="A12743">
        <v>12742</v>
      </c>
      <c r="B12743">
        <v>7593103</v>
      </c>
      <c r="C12743" s="1" t="str">
        <f>HYPERLINK("http://stackoverflow.com/users/7593103", "Wentao Huang")</f>
        <v>Wentao Huang</v>
      </c>
      <c r="D12743" t="s">
        <v>5</v>
      </c>
      <c r="E12743">
        <v>1</v>
      </c>
    </row>
    <row r="12744" spans="1:5" x14ac:dyDescent="0.25">
      <c r="A12744">
        <v>12743</v>
      </c>
      <c r="B12744">
        <v>7593203</v>
      </c>
      <c r="C12744" s="1" t="str">
        <f>HYPERLINK("http://stackoverflow.com/users/7593203", "dleam")</f>
        <v>dleam</v>
      </c>
      <c r="D12744" t="s">
        <v>4</v>
      </c>
      <c r="E12744">
        <v>1</v>
      </c>
    </row>
    <row r="12745" spans="1:5" x14ac:dyDescent="0.25">
      <c r="A12745">
        <v>12744</v>
      </c>
      <c r="B12745">
        <v>7593277</v>
      </c>
      <c r="C12745" s="1" t="str">
        <f>HYPERLINK("http://stackoverflow.com/users/7593277", "陈龙赞")</f>
        <v>陈龙赞</v>
      </c>
      <c r="D12745" t="s">
        <v>55</v>
      </c>
      <c r="E12745">
        <v>1</v>
      </c>
    </row>
    <row r="12746" spans="1:5" x14ac:dyDescent="0.25">
      <c r="A12746">
        <v>12745</v>
      </c>
      <c r="B12746">
        <v>9521119</v>
      </c>
      <c r="C12746" s="1" t="str">
        <f>HYPERLINK("http://stackoverflow.com/users/9521119", "way deng")</f>
        <v>way deng</v>
      </c>
      <c r="D12746" t="s">
        <v>695</v>
      </c>
      <c r="E12746">
        <v>1</v>
      </c>
    </row>
    <row r="12747" spans="1:5" x14ac:dyDescent="0.25">
      <c r="A12747">
        <v>12746</v>
      </c>
      <c r="B12747">
        <v>2346521</v>
      </c>
      <c r="C12747" s="1" t="str">
        <f>HYPERLINK("http://stackoverflow.com/users/2346521", "UndefinedCoder")</f>
        <v>UndefinedCoder</v>
      </c>
      <c r="D12747" t="s">
        <v>5</v>
      </c>
      <c r="E12747">
        <v>1</v>
      </c>
    </row>
    <row r="12748" spans="1:5" x14ac:dyDescent="0.25">
      <c r="A12748">
        <v>12747</v>
      </c>
      <c r="B12748">
        <v>2346864</v>
      </c>
      <c r="C12748" s="1" t="str">
        <f>HYPERLINK("http://stackoverflow.com/users/2346864", "Dannyfly")</f>
        <v>Dannyfly</v>
      </c>
      <c r="D12748" t="s">
        <v>696</v>
      </c>
      <c r="E12748">
        <v>1</v>
      </c>
    </row>
    <row r="12749" spans="1:5" x14ac:dyDescent="0.25">
      <c r="A12749">
        <v>12748</v>
      </c>
      <c r="B12749">
        <v>7596365</v>
      </c>
      <c r="C12749" s="1" t="str">
        <f>HYPERLINK("http://stackoverflow.com/users/7596365", "Li Zheng")</f>
        <v>Li Zheng</v>
      </c>
      <c r="D12749" t="s">
        <v>4</v>
      </c>
      <c r="E12749">
        <v>1</v>
      </c>
    </row>
    <row r="12750" spans="1:5" x14ac:dyDescent="0.25">
      <c r="A12750">
        <v>12749</v>
      </c>
      <c r="B12750">
        <v>7596384</v>
      </c>
      <c r="C12750" s="1" t="str">
        <f>HYPERLINK("http://stackoverflow.com/users/7596384", "BingqiChen")</f>
        <v>BingqiChen</v>
      </c>
      <c r="D12750" t="s">
        <v>16</v>
      </c>
      <c r="E12750">
        <v>1</v>
      </c>
    </row>
    <row r="12751" spans="1:5" x14ac:dyDescent="0.25">
      <c r="A12751">
        <v>12750</v>
      </c>
      <c r="B12751">
        <v>7596525</v>
      </c>
      <c r="C12751" s="1" t="str">
        <f>HYPERLINK("http://stackoverflow.com/users/7596525", "Tingcan Cai")</f>
        <v>Tingcan Cai</v>
      </c>
      <c r="D12751" t="s">
        <v>7</v>
      </c>
      <c r="E12751">
        <v>1</v>
      </c>
    </row>
    <row r="12752" spans="1:5" x14ac:dyDescent="0.25">
      <c r="A12752">
        <v>12751</v>
      </c>
      <c r="B12752">
        <v>7597239</v>
      </c>
      <c r="C12752" s="1" t="str">
        <f>HYPERLINK("http://stackoverflow.com/users/7597239", "Lihi Avimor")</f>
        <v>Lihi Avimor</v>
      </c>
      <c r="D12752" t="s">
        <v>697</v>
      </c>
      <c r="E12752">
        <v>1</v>
      </c>
    </row>
    <row r="12753" spans="1:5" x14ac:dyDescent="0.25">
      <c r="A12753">
        <v>12752</v>
      </c>
      <c r="B12753">
        <v>2346264</v>
      </c>
      <c r="C12753" s="1" t="str">
        <f>HYPERLINK("http://stackoverflow.com/users/2346264", "elvn")</f>
        <v>elvn</v>
      </c>
      <c r="D12753" t="s">
        <v>17</v>
      </c>
      <c r="E12753">
        <v>1</v>
      </c>
    </row>
    <row r="12754" spans="1:5" x14ac:dyDescent="0.25">
      <c r="A12754">
        <v>12753</v>
      </c>
      <c r="B12754">
        <v>5850817</v>
      </c>
      <c r="C12754" s="1" t="str">
        <f>HYPERLINK("http://stackoverflow.com/users/5850817", "outofmemoryerror")</f>
        <v>outofmemoryerror</v>
      </c>
      <c r="D12754" t="s">
        <v>12</v>
      </c>
      <c r="E12754">
        <v>1</v>
      </c>
    </row>
    <row r="12755" spans="1:5" x14ac:dyDescent="0.25">
      <c r="A12755">
        <v>12754</v>
      </c>
      <c r="B12755">
        <v>9529787</v>
      </c>
      <c r="C12755" s="1" t="str">
        <f>HYPERLINK("http://stackoverflow.com/users/9529787", "user9529787")</f>
        <v>user9529787</v>
      </c>
      <c r="D12755" t="s">
        <v>4</v>
      </c>
      <c r="E12755">
        <v>1</v>
      </c>
    </row>
    <row r="12756" spans="1:5" x14ac:dyDescent="0.25">
      <c r="A12756">
        <v>12755</v>
      </c>
      <c r="B12756">
        <v>5856037</v>
      </c>
      <c r="C12756" s="1" t="str">
        <f>HYPERLINK("http://stackoverflow.com/users/5856037", "mtry")</f>
        <v>mtry</v>
      </c>
      <c r="D12756" t="s">
        <v>145</v>
      </c>
      <c r="E12756">
        <v>1</v>
      </c>
    </row>
    <row r="12757" spans="1:5" x14ac:dyDescent="0.25">
      <c r="A12757">
        <v>12756</v>
      </c>
      <c r="B12757">
        <v>5856230</v>
      </c>
      <c r="C12757" s="1" t="str">
        <f>HYPERLINK("http://stackoverflow.com/users/5856230", "洪春华")</f>
        <v>洪春华</v>
      </c>
      <c r="D12757" t="s">
        <v>42</v>
      </c>
      <c r="E12757">
        <v>1</v>
      </c>
    </row>
    <row r="12758" spans="1:5" x14ac:dyDescent="0.25">
      <c r="A12758">
        <v>12757</v>
      </c>
      <c r="B12758">
        <v>5850437</v>
      </c>
      <c r="C12758" s="1" t="str">
        <f>HYPERLINK("http://stackoverflow.com/users/5850437", "Max")</f>
        <v>Max</v>
      </c>
      <c r="D12758" t="s">
        <v>4</v>
      </c>
      <c r="E12758">
        <v>1</v>
      </c>
    </row>
    <row r="12759" spans="1:5" x14ac:dyDescent="0.25">
      <c r="A12759">
        <v>12758</v>
      </c>
      <c r="B12759">
        <v>5850453</v>
      </c>
      <c r="C12759" s="1" t="str">
        <f>HYPERLINK("http://stackoverflow.com/users/5850453", "Nemo")</f>
        <v>Nemo</v>
      </c>
      <c r="D12759" t="s">
        <v>5</v>
      </c>
      <c r="E12759">
        <v>1</v>
      </c>
    </row>
    <row r="12760" spans="1:5" x14ac:dyDescent="0.25">
      <c r="A12760">
        <v>12759</v>
      </c>
      <c r="B12760">
        <v>5850518</v>
      </c>
      <c r="C12760" s="1" t="str">
        <f>HYPERLINK("http://stackoverflow.com/users/5850518", "qiupeng")</f>
        <v>qiupeng</v>
      </c>
      <c r="D12760" t="s">
        <v>37</v>
      </c>
      <c r="E12760">
        <v>1</v>
      </c>
    </row>
    <row r="12761" spans="1:5" x14ac:dyDescent="0.25">
      <c r="A12761">
        <v>12760</v>
      </c>
      <c r="B12761">
        <v>5850551</v>
      </c>
      <c r="C12761" s="1" t="str">
        <f>HYPERLINK("http://stackoverflow.com/users/5850551", "hoikin-yiu")</f>
        <v>hoikin-yiu</v>
      </c>
      <c r="D12761" t="s">
        <v>21</v>
      </c>
      <c r="E12761">
        <v>1</v>
      </c>
    </row>
    <row r="12762" spans="1:5" x14ac:dyDescent="0.25">
      <c r="A12762">
        <v>12761</v>
      </c>
      <c r="B12762">
        <v>9535001</v>
      </c>
      <c r="C12762" s="1" t="str">
        <f>HYPERLINK("http://stackoverflow.com/users/9535001", "Kenneth Liu")</f>
        <v>Kenneth Liu</v>
      </c>
      <c r="D12762" t="s">
        <v>5</v>
      </c>
      <c r="E12762">
        <v>1</v>
      </c>
    </row>
    <row r="12763" spans="1:5" x14ac:dyDescent="0.25">
      <c r="A12763">
        <v>12762</v>
      </c>
      <c r="B12763">
        <v>7605820</v>
      </c>
      <c r="C12763" s="1" t="str">
        <f>HYPERLINK("http://stackoverflow.com/users/7605820", "yuxuan huang")</f>
        <v>yuxuan huang</v>
      </c>
      <c r="D12763" t="s">
        <v>7</v>
      </c>
      <c r="E12763">
        <v>1</v>
      </c>
    </row>
    <row r="12764" spans="1:5" x14ac:dyDescent="0.25">
      <c r="A12764">
        <v>12763</v>
      </c>
      <c r="B12764">
        <v>2356637</v>
      </c>
      <c r="C12764" s="1" t="str">
        <f>HYPERLINK("http://stackoverflow.com/users/2356637", "dolphin_luck")</f>
        <v>dolphin_luck</v>
      </c>
      <c r="D12764" t="s">
        <v>37</v>
      </c>
      <c r="E12764">
        <v>1</v>
      </c>
    </row>
    <row r="12765" spans="1:5" x14ac:dyDescent="0.25">
      <c r="A12765">
        <v>12764</v>
      </c>
      <c r="B12765">
        <v>2356693</v>
      </c>
      <c r="C12765" s="1" t="str">
        <f>HYPERLINK("http://stackoverflow.com/users/2356693", "SamZhang")</f>
        <v>SamZhang</v>
      </c>
      <c r="D12765" t="s">
        <v>96</v>
      </c>
      <c r="E12765">
        <v>1</v>
      </c>
    </row>
    <row r="12766" spans="1:5" x14ac:dyDescent="0.25">
      <c r="A12766">
        <v>12765</v>
      </c>
      <c r="B12766">
        <v>9567275</v>
      </c>
      <c r="C12766" s="1" t="str">
        <f>HYPERLINK("http://stackoverflow.com/users/9567275", "Gilbert.W")</f>
        <v>Gilbert.W</v>
      </c>
      <c r="D12766" t="s">
        <v>5</v>
      </c>
      <c r="E12766">
        <v>1</v>
      </c>
    </row>
    <row r="12767" spans="1:5" x14ac:dyDescent="0.25">
      <c r="A12767">
        <v>12766</v>
      </c>
      <c r="B12767">
        <v>9567431</v>
      </c>
      <c r="C12767" s="1" t="str">
        <f>HYPERLINK("http://stackoverflow.com/users/9567431", "Markis Gardner")</f>
        <v>Markis Gardner</v>
      </c>
      <c r="D12767" t="s">
        <v>7</v>
      </c>
      <c r="E12767">
        <v>1</v>
      </c>
    </row>
    <row r="12768" spans="1:5" x14ac:dyDescent="0.25">
      <c r="A12768">
        <v>12767</v>
      </c>
      <c r="B12768">
        <v>9567434</v>
      </c>
      <c r="C12768" s="1" t="str">
        <f>HYPERLINK("http://stackoverflow.com/users/9567434", "zhicong Liu")</f>
        <v>zhicong Liu</v>
      </c>
      <c r="D12768" t="s">
        <v>25</v>
      </c>
      <c r="E12768">
        <v>1</v>
      </c>
    </row>
    <row r="12769" spans="1:5" x14ac:dyDescent="0.25">
      <c r="A12769">
        <v>12768</v>
      </c>
      <c r="B12769">
        <v>9567676</v>
      </c>
      <c r="C12769" s="1" t="str">
        <f>HYPERLINK("http://stackoverflow.com/users/9567676", "Wanin Qu")</f>
        <v>Wanin Qu</v>
      </c>
      <c r="D12769" t="s">
        <v>4</v>
      </c>
      <c r="E12769">
        <v>1</v>
      </c>
    </row>
    <row r="12770" spans="1:5" x14ac:dyDescent="0.25">
      <c r="A12770">
        <v>12769</v>
      </c>
      <c r="B12770">
        <v>9567776</v>
      </c>
      <c r="C12770" s="1" t="str">
        <f>HYPERLINK("http://stackoverflow.com/users/9567776", "Tommy")</f>
        <v>Tommy</v>
      </c>
      <c r="D12770" t="s">
        <v>4</v>
      </c>
      <c r="E12770">
        <v>1</v>
      </c>
    </row>
    <row r="12771" spans="1:5" x14ac:dyDescent="0.25">
      <c r="A12771">
        <v>12770</v>
      </c>
      <c r="B12771">
        <v>2393022</v>
      </c>
      <c r="C12771" s="1" t="str">
        <f>HYPERLINK("http://stackoverflow.com/users/2393022", "Ravi")</f>
        <v>Ravi</v>
      </c>
      <c r="D12771" t="s">
        <v>17</v>
      </c>
      <c r="E12771">
        <v>1</v>
      </c>
    </row>
    <row r="12772" spans="1:5" x14ac:dyDescent="0.25">
      <c r="A12772">
        <v>12771</v>
      </c>
      <c r="B12772">
        <v>2393053</v>
      </c>
      <c r="C12772" s="1" t="str">
        <f>HYPERLINK("http://stackoverflow.com/users/2393053", "Rudy")</f>
        <v>Rudy</v>
      </c>
      <c r="D12772" t="s">
        <v>5</v>
      </c>
      <c r="E12772">
        <v>1</v>
      </c>
    </row>
    <row r="12773" spans="1:5" x14ac:dyDescent="0.25">
      <c r="A12773">
        <v>12772</v>
      </c>
      <c r="B12773">
        <v>2393170</v>
      </c>
      <c r="C12773" s="1" t="str">
        <f>HYPERLINK("http://stackoverflow.com/users/2393170", "neverstop")</f>
        <v>neverstop</v>
      </c>
      <c r="D12773" t="s">
        <v>5</v>
      </c>
      <c r="E12773">
        <v>1</v>
      </c>
    </row>
    <row r="12774" spans="1:5" x14ac:dyDescent="0.25">
      <c r="A12774">
        <v>12773</v>
      </c>
      <c r="B12774">
        <v>2393380</v>
      </c>
      <c r="C12774" s="1" t="str">
        <f>HYPERLINK("http://stackoverflow.com/users/2393380", "zhrln")</f>
        <v>zhrln</v>
      </c>
      <c r="D12774" t="s">
        <v>262</v>
      </c>
      <c r="E12774">
        <v>1</v>
      </c>
    </row>
    <row r="12775" spans="1:5" x14ac:dyDescent="0.25">
      <c r="A12775">
        <v>12774</v>
      </c>
      <c r="B12775">
        <v>7628645</v>
      </c>
      <c r="C12775" s="1" t="str">
        <f>HYPERLINK("http://stackoverflow.com/users/7628645", "ChinLong")</f>
        <v>ChinLong</v>
      </c>
      <c r="D12775" t="s">
        <v>55</v>
      </c>
      <c r="E12775">
        <v>1</v>
      </c>
    </row>
    <row r="12776" spans="1:5" x14ac:dyDescent="0.25">
      <c r="A12776">
        <v>12775</v>
      </c>
      <c r="B12776">
        <v>7632643</v>
      </c>
      <c r="C12776" s="1" t="str">
        <f>HYPERLINK("http://stackoverflow.com/users/7632643", "Yiping")</f>
        <v>Yiping</v>
      </c>
      <c r="D12776" t="s">
        <v>7</v>
      </c>
      <c r="E12776">
        <v>1</v>
      </c>
    </row>
    <row r="12777" spans="1:5" x14ac:dyDescent="0.25">
      <c r="A12777">
        <v>12776</v>
      </c>
      <c r="B12777">
        <v>7632808</v>
      </c>
      <c r="C12777" s="1" t="str">
        <f>HYPERLINK("http://stackoverflow.com/users/7632808", "Yongcheng Yang")</f>
        <v>Yongcheng Yang</v>
      </c>
      <c r="D12777" t="s">
        <v>7</v>
      </c>
      <c r="E12777">
        <v>1</v>
      </c>
    </row>
    <row r="12778" spans="1:5" x14ac:dyDescent="0.25">
      <c r="A12778">
        <v>12777</v>
      </c>
      <c r="B12778">
        <v>9573579</v>
      </c>
      <c r="C12778" s="1" t="str">
        <f>HYPERLINK("http://stackoverflow.com/users/9573579", "Lina.L")</f>
        <v>Lina.L</v>
      </c>
      <c r="D12778" t="s">
        <v>4</v>
      </c>
      <c r="E12778">
        <v>1</v>
      </c>
    </row>
    <row r="12779" spans="1:5" x14ac:dyDescent="0.25">
      <c r="A12779">
        <v>12778</v>
      </c>
      <c r="B12779">
        <v>9573690</v>
      </c>
      <c r="C12779" s="1" t="str">
        <f>HYPERLINK("http://stackoverflow.com/users/9573690", "xlxlyl")</f>
        <v>xlxlyl</v>
      </c>
      <c r="D12779" t="s">
        <v>7</v>
      </c>
      <c r="E12779">
        <v>1</v>
      </c>
    </row>
    <row r="12780" spans="1:5" x14ac:dyDescent="0.25">
      <c r="A12780">
        <v>12779</v>
      </c>
      <c r="B12780">
        <v>9574023</v>
      </c>
      <c r="C12780" s="1" t="str">
        <f>HYPERLINK("http://stackoverflow.com/users/9574023", "Robert Wang")</f>
        <v>Robert Wang</v>
      </c>
      <c r="D12780" t="s">
        <v>4</v>
      </c>
      <c r="E12780">
        <v>1</v>
      </c>
    </row>
    <row r="12781" spans="1:5" x14ac:dyDescent="0.25">
      <c r="A12781">
        <v>12780</v>
      </c>
      <c r="B12781">
        <v>7638411</v>
      </c>
      <c r="C12781" s="1" t="str">
        <f>HYPERLINK("http://stackoverflow.com/users/7638411", "刘赵鑫")</f>
        <v>刘赵鑫</v>
      </c>
      <c r="D12781" t="s">
        <v>57</v>
      </c>
      <c r="E12781">
        <v>1</v>
      </c>
    </row>
    <row r="12782" spans="1:5" x14ac:dyDescent="0.25">
      <c r="A12782">
        <v>12781</v>
      </c>
      <c r="B12782">
        <v>7644404</v>
      </c>
      <c r="C12782" s="1" t="str">
        <f>HYPERLINK("http://stackoverflow.com/users/7644404", "Xena Zhang")</f>
        <v>Xena Zhang</v>
      </c>
      <c r="D12782" t="s">
        <v>5</v>
      </c>
      <c r="E12782">
        <v>1</v>
      </c>
    </row>
    <row r="12783" spans="1:5" x14ac:dyDescent="0.25">
      <c r="A12783">
        <v>12782</v>
      </c>
      <c r="B12783">
        <v>2399009</v>
      </c>
      <c r="C12783" s="1" t="str">
        <f>HYPERLINK("http://stackoverflow.com/users/2399009", "Ares")</f>
        <v>Ares</v>
      </c>
      <c r="D12783" t="s">
        <v>5</v>
      </c>
      <c r="E12783">
        <v>1</v>
      </c>
    </row>
    <row r="12784" spans="1:5" x14ac:dyDescent="0.25">
      <c r="A12784">
        <v>12783</v>
      </c>
      <c r="B12784">
        <v>4125472</v>
      </c>
      <c r="C12784" s="1" t="str">
        <f>HYPERLINK("http://stackoverflow.com/users/4125472", "zhoufan")</f>
        <v>zhoufan</v>
      </c>
      <c r="D12784" t="s">
        <v>21</v>
      </c>
      <c r="E12784">
        <v>1</v>
      </c>
    </row>
    <row r="12785" spans="1:5" x14ac:dyDescent="0.25">
      <c r="A12785">
        <v>12784</v>
      </c>
      <c r="B12785">
        <v>9581330</v>
      </c>
      <c r="C12785" s="1" t="str">
        <f>HYPERLINK("http://stackoverflow.com/users/9581330", "Jian Lin")</f>
        <v>Jian Lin</v>
      </c>
      <c r="D12785" t="s">
        <v>108</v>
      </c>
      <c r="E12785">
        <v>1</v>
      </c>
    </row>
    <row r="12786" spans="1:5" x14ac:dyDescent="0.25">
      <c r="A12786">
        <v>12785</v>
      </c>
      <c r="B12786">
        <v>9581343</v>
      </c>
      <c r="C12786" s="1" t="str">
        <f>HYPERLINK("http://stackoverflow.com/users/9581343", "mobidev")</f>
        <v>mobidev</v>
      </c>
      <c r="D12786" t="s">
        <v>74</v>
      </c>
      <c r="E12786">
        <v>1</v>
      </c>
    </row>
    <row r="12787" spans="1:5" x14ac:dyDescent="0.25">
      <c r="A12787">
        <v>12786</v>
      </c>
      <c r="B12787">
        <v>9581413</v>
      </c>
      <c r="C12787" s="1" t="str">
        <f>HYPERLINK("http://stackoverflow.com/users/9581413", "王志邦")</f>
        <v>王志邦</v>
      </c>
      <c r="D12787" t="s">
        <v>37</v>
      </c>
      <c r="E12787">
        <v>1</v>
      </c>
    </row>
    <row r="12788" spans="1:5" x14ac:dyDescent="0.25">
      <c r="A12788">
        <v>12787</v>
      </c>
      <c r="B12788">
        <v>5901085</v>
      </c>
      <c r="C12788" s="1" t="str">
        <f>HYPERLINK("http://stackoverflow.com/users/5901085", "Junjie Li")</f>
        <v>Junjie Li</v>
      </c>
      <c r="D12788" t="s">
        <v>4</v>
      </c>
      <c r="E12788">
        <v>1</v>
      </c>
    </row>
    <row r="12789" spans="1:5" x14ac:dyDescent="0.25">
      <c r="A12789">
        <v>12788</v>
      </c>
      <c r="B12789">
        <v>5901246</v>
      </c>
      <c r="C12789" s="1" t="str">
        <f>HYPERLINK("http://stackoverflow.com/users/5901246", "Lichurec")</f>
        <v>Lichurec</v>
      </c>
      <c r="D12789" t="s">
        <v>4</v>
      </c>
      <c r="E12789">
        <v>1</v>
      </c>
    </row>
    <row r="12790" spans="1:5" x14ac:dyDescent="0.25">
      <c r="A12790">
        <v>12789</v>
      </c>
      <c r="B12790">
        <v>5901806</v>
      </c>
      <c r="C12790" s="1" t="str">
        <f>HYPERLINK("http://stackoverflow.com/users/5901806", "Bernard Kuo")</f>
        <v>Bernard Kuo</v>
      </c>
      <c r="D12790" t="s">
        <v>100</v>
      </c>
      <c r="E12790">
        <v>1</v>
      </c>
    </row>
    <row r="12791" spans="1:5" x14ac:dyDescent="0.25">
      <c r="A12791">
        <v>12790</v>
      </c>
      <c r="B12791">
        <v>4131917</v>
      </c>
      <c r="C12791" s="1" t="str">
        <f>HYPERLINK("http://stackoverflow.com/users/4131917", "kriskiller")</f>
        <v>kriskiller</v>
      </c>
      <c r="D12791" t="s">
        <v>5</v>
      </c>
      <c r="E12791">
        <v>1</v>
      </c>
    </row>
    <row r="12792" spans="1:5" x14ac:dyDescent="0.25">
      <c r="A12792">
        <v>12791</v>
      </c>
      <c r="B12792">
        <v>5904717</v>
      </c>
      <c r="C12792" s="1" t="str">
        <f>HYPERLINK("http://stackoverflow.com/users/5904717", "ShiHang Wu")</f>
        <v>ShiHang Wu</v>
      </c>
      <c r="D12792" t="s">
        <v>59</v>
      </c>
      <c r="E12792">
        <v>1</v>
      </c>
    </row>
    <row r="12793" spans="1:5" x14ac:dyDescent="0.25">
      <c r="A12793">
        <v>12792</v>
      </c>
      <c r="B12793">
        <v>7652153</v>
      </c>
      <c r="C12793" s="1" t="str">
        <f>HYPERLINK("http://stackoverflow.com/users/7652153", "Xin-Wei")</f>
        <v>Xin-Wei</v>
      </c>
      <c r="D12793" t="s">
        <v>16</v>
      </c>
      <c r="E12793">
        <v>1</v>
      </c>
    </row>
    <row r="12794" spans="1:5" x14ac:dyDescent="0.25">
      <c r="A12794">
        <v>12793</v>
      </c>
      <c r="B12794">
        <v>5934685</v>
      </c>
      <c r="C12794" s="1" t="str">
        <f>HYPERLINK("http://stackoverflow.com/users/5934685", "kenibeno")</f>
        <v>kenibeno</v>
      </c>
      <c r="D12794" t="s">
        <v>16</v>
      </c>
      <c r="E12794">
        <v>1</v>
      </c>
    </row>
    <row r="12795" spans="1:5" x14ac:dyDescent="0.25">
      <c r="A12795">
        <v>12794</v>
      </c>
      <c r="B12795">
        <v>7681525</v>
      </c>
      <c r="C12795" s="1" t="str">
        <f>HYPERLINK("http://stackoverflow.com/users/7681525", "Ziheng booker Wang")</f>
        <v>Ziheng booker Wang</v>
      </c>
      <c r="D12795" t="s">
        <v>7</v>
      </c>
      <c r="E12795">
        <v>1</v>
      </c>
    </row>
    <row r="12796" spans="1:5" x14ac:dyDescent="0.25">
      <c r="A12796">
        <v>12795</v>
      </c>
      <c r="B12796">
        <v>7681664</v>
      </c>
      <c r="C12796" s="1" t="str">
        <f>HYPERLINK("http://stackoverflow.com/users/7681664", "pokercc")</f>
        <v>pokercc</v>
      </c>
      <c r="D12796" t="s">
        <v>5</v>
      </c>
      <c r="E12796">
        <v>1</v>
      </c>
    </row>
    <row r="12797" spans="1:5" x14ac:dyDescent="0.25">
      <c r="A12797">
        <v>12796</v>
      </c>
      <c r="B12797">
        <v>7681844</v>
      </c>
      <c r="C12797" s="1" t="str">
        <f>HYPERLINK("http://stackoverflow.com/users/7681844", "Xia.Tingfei")</f>
        <v>Xia.Tingfei</v>
      </c>
      <c r="D12797" t="s">
        <v>16</v>
      </c>
      <c r="E12797">
        <v>1</v>
      </c>
    </row>
    <row r="12798" spans="1:5" x14ac:dyDescent="0.25">
      <c r="A12798">
        <v>12797</v>
      </c>
      <c r="B12798">
        <v>7681926</v>
      </c>
      <c r="C12798" s="1" t="str">
        <f>HYPERLINK("http://stackoverflow.com/users/7681926", "lihume")</f>
        <v>lihume</v>
      </c>
      <c r="D12798" t="s">
        <v>7</v>
      </c>
      <c r="E12798">
        <v>1</v>
      </c>
    </row>
    <row r="12799" spans="1:5" x14ac:dyDescent="0.25">
      <c r="A12799">
        <v>12798</v>
      </c>
      <c r="B12799">
        <v>7667315</v>
      </c>
      <c r="C12799" s="1" t="str">
        <f>HYPERLINK("http://stackoverflow.com/users/7667315", "Ryu Bohr")</f>
        <v>Ryu Bohr</v>
      </c>
      <c r="D12799" t="s">
        <v>5</v>
      </c>
      <c r="E12799">
        <v>1</v>
      </c>
    </row>
    <row r="12800" spans="1:5" x14ac:dyDescent="0.25">
      <c r="A12800">
        <v>12799</v>
      </c>
      <c r="B12800">
        <v>7667453</v>
      </c>
      <c r="C12800" s="1" t="str">
        <f>HYPERLINK("http://stackoverflow.com/users/7667453", "P Kaiey")</f>
        <v>P Kaiey</v>
      </c>
      <c r="D12800" t="s">
        <v>5</v>
      </c>
      <c r="E12800">
        <v>1</v>
      </c>
    </row>
    <row r="12801" spans="1:5" x14ac:dyDescent="0.25">
      <c r="A12801">
        <v>12800</v>
      </c>
      <c r="B12801">
        <v>9591213</v>
      </c>
      <c r="C12801" s="1" t="str">
        <f>HYPERLINK("http://stackoverflow.com/users/9591213", "innovationlight")</f>
        <v>innovationlight</v>
      </c>
      <c r="D12801" t="s">
        <v>15</v>
      </c>
      <c r="E12801">
        <v>1</v>
      </c>
    </row>
    <row r="12802" spans="1:5" x14ac:dyDescent="0.25">
      <c r="A12802">
        <v>12801</v>
      </c>
      <c r="B12802">
        <v>9591417</v>
      </c>
      <c r="C12802" s="1" t="str">
        <f>HYPERLINK("http://stackoverflow.com/users/9591417", "Bojie Li")</f>
        <v>Bojie Li</v>
      </c>
      <c r="D12802" t="s">
        <v>5</v>
      </c>
      <c r="E12802">
        <v>1</v>
      </c>
    </row>
    <row r="12803" spans="1:5" x14ac:dyDescent="0.25">
      <c r="A12803">
        <v>12802</v>
      </c>
      <c r="B12803">
        <v>5934137</v>
      </c>
      <c r="C12803" s="1" t="str">
        <f>HYPERLINK("http://stackoverflow.com/users/5934137", "Y. Yuan")</f>
        <v>Y. Yuan</v>
      </c>
      <c r="D12803" t="s">
        <v>118</v>
      </c>
      <c r="E12803">
        <v>1</v>
      </c>
    </row>
    <row r="12804" spans="1:5" x14ac:dyDescent="0.25">
      <c r="A12804">
        <v>12803</v>
      </c>
      <c r="B12804">
        <v>5934346</v>
      </c>
      <c r="C12804" s="1" t="str">
        <f>HYPERLINK("http://stackoverflow.com/users/5934346", "Jay")</f>
        <v>Jay</v>
      </c>
      <c r="D12804" t="s">
        <v>513</v>
      </c>
      <c r="E12804">
        <v>1</v>
      </c>
    </row>
    <row r="12805" spans="1:5" x14ac:dyDescent="0.25">
      <c r="A12805">
        <v>12804</v>
      </c>
      <c r="B12805">
        <v>5928052</v>
      </c>
      <c r="C12805" s="1" t="str">
        <f>HYPERLINK("http://stackoverflow.com/users/5928052", "HustLiuCN")</f>
        <v>HustLiuCN</v>
      </c>
      <c r="D12805" t="s">
        <v>5</v>
      </c>
      <c r="E12805">
        <v>1</v>
      </c>
    </row>
    <row r="12806" spans="1:5" x14ac:dyDescent="0.25">
      <c r="A12806">
        <v>12805</v>
      </c>
      <c r="B12806">
        <v>7664306</v>
      </c>
      <c r="C12806" s="1" t="str">
        <f>HYPERLINK("http://stackoverflow.com/users/7664306", "Yu Wenhui")</f>
        <v>Yu Wenhui</v>
      </c>
      <c r="D12806" t="s">
        <v>108</v>
      </c>
      <c r="E12806">
        <v>1</v>
      </c>
    </row>
    <row r="12807" spans="1:5" x14ac:dyDescent="0.25">
      <c r="A12807">
        <v>12806</v>
      </c>
      <c r="B12807">
        <v>7664314</v>
      </c>
      <c r="C12807" s="1" t="str">
        <f>HYPERLINK("http://stackoverflow.com/users/7664314", "Mike Xia")</f>
        <v>Mike Xia</v>
      </c>
      <c r="D12807" t="s">
        <v>4</v>
      </c>
      <c r="E12807">
        <v>1</v>
      </c>
    </row>
    <row r="12808" spans="1:5" x14ac:dyDescent="0.25">
      <c r="A12808">
        <v>12807</v>
      </c>
      <c r="B12808">
        <v>7663675</v>
      </c>
      <c r="C12808" s="1" t="str">
        <f>HYPERLINK("http://stackoverflow.com/users/7663675", "Achi Migo")</f>
        <v>Achi Migo</v>
      </c>
      <c r="D12808" t="s">
        <v>118</v>
      </c>
      <c r="E12808">
        <v>1</v>
      </c>
    </row>
    <row r="12809" spans="1:5" x14ac:dyDescent="0.25">
      <c r="A12809">
        <v>12808</v>
      </c>
      <c r="B12809">
        <v>7663945</v>
      </c>
      <c r="C12809" s="1" t="str">
        <f>HYPERLINK("http://stackoverflow.com/users/7663945", "Frank Sun")</f>
        <v>Frank Sun</v>
      </c>
      <c r="D12809" t="s">
        <v>5</v>
      </c>
      <c r="E12809">
        <v>1</v>
      </c>
    </row>
    <row r="12810" spans="1:5" x14ac:dyDescent="0.25">
      <c r="A12810">
        <v>12809</v>
      </c>
      <c r="B12810">
        <v>7663947</v>
      </c>
      <c r="C12810" s="1" t="str">
        <f>HYPERLINK("http://stackoverflow.com/users/7663947", "user7663947")</f>
        <v>user7663947</v>
      </c>
      <c r="D12810" t="s">
        <v>4</v>
      </c>
      <c r="E12810">
        <v>1</v>
      </c>
    </row>
    <row r="12811" spans="1:5" x14ac:dyDescent="0.25">
      <c r="A12811">
        <v>12810</v>
      </c>
      <c r="B12811">
        <v>7652409</v>
      </c>
      <c r="C12811" s="1" t="str">
        <f>HYPERLINK("http://stackoverflow.com/users/7652409", "flw")</f>
        <v>flw</v>
      </c>
      <c r="D12811" t="s">
        <v>7</v>
      </c>
      <c r="E12811">
        <v>1</v>
      </c>
    </row>
    <row r="12812" spans="1:5" x14ac:dyDescent="0.25">
      <c r="A12812">
        <v>12811</v>
      </c>
      <c r="B12812">
        <v>9597510</v>
      </c>
      <c r="C12812" s="1" t="str">
        <f>HYPERLINK("http://stackoverflow.com/users/9597510", "Swordy Zhao")</f>
        <v>Swordy Zhao</v>
      </c>
      <c r="D12812" t="s">
        <v>4</v>
      </c>
      <c r="E12812">
        <v>1</v>
      </c>
    </row>
    <row r="12813" spans="1:5" x14ac:dyDescent="0.25">
      <c r="A12813">
        <v>12812</v>
      </c>
      <c r="B12813">
        <v>9597935</v>
      </c>
      <c r="C12813" s="1" t="str">
        <f>HYPERLINK("http://stackoverflow.com/users/9597935", "Luis Zeno")</f>
        <v>Luis Zeno</v>
      </c>
      <c r="D12813" t="s">
        <v>55</v>
      </c>
      <c r="E12813">
        <v>1</v>
      </c>
    </row>
    <row r="12814" spans="1:5" x14ac:dyDescent="0.25">
      <c r="A12814">
        <v>12813</v>
      </c>
      <c r="B12814">
        <v>7658113</v>
      </c>
      <c r="C12814" s="1" t="str">
        <f>HYPERLINK("http://stackoverflow.com/users/7658113", "wolfgangyang")</f>
        <v>wolfgangyang</v>
      </c>
      <c r="D12814" t="s">
        <v>27</v>
      </c>
      <c r="E12814">
        <v>1</v>
      </c>
    </row>
    <row r="12815" spans="1:5" x14ac:dyDescent="0.25">
      <c r="A12815">
        <v>12814</v>
      </c>
      <c r="B12815">
        <v>7658150</v>
      </c>
      <c r="C12815" s="1" t="str">
        <f>HYPERLINK("http://stackoverflow.com/users/7658150", "yuanliang")</f>
        <v>yuanliang</v>
      </c>
      <c r="D12815" t="s">
        <v>28</v>
      </c>
      <c r="E12815">
        <v>1</v>
      </c>
    </row>
    <row r="12816" spans="1:5" x14ac:dyDescent="0.25">
      <c r="A12816">
        <v>12815</v>
      </c>
      <c r="B12816">
        <v>7688858</v>
      </c>
      <c r="C12816" s="1" t="str">
        <f>HYPERLINK("http://stackoverflow.com/users/7688858", "LiuYing")</f>
        <v>LiuYing</v>
      </c>
      <c r="D12816" t="s">
        <v>5</v>
      </c>
      <c r="E12816">
        <v>1</v>
      </c>
    </row>
    <row r="12817" spans="1:5" x14ac:dyDescent="0.25">
      <c r="A12817">
        <v>12816</v>
      </c>
      <c r="B12817">
        <v>7688414</v>
      </c>
      <c r="C12817" s="1" t="str">
        <f>HYPERLINK("http://stackoverflow.com/users/7688414", "Quince")</f>
        <v>Quince</v>
      </c>
      <c r="D12817" t="s">
        <v>52</v>
      </c>
      <c r="E12817">
        <v>1</v>
      </c>
    </row>
    <row r="12818" spans="1:5" x14ac:dyDescent="0.25">
      <c r="A12818">
        <v>12817</v>
      </c>
      <c r="B12818">
        <v>4176203</v>
      </c>
      <c r="C12818" s="1" t="str">
        <f>HYPERLINK("http://stackoverflow.com/users/4176203", "tastier")</f>
        <v>tastier</v>
      </c>
      <c r="D12818" t="s">
        <v>5</v>
      </c>
      <c r="E12818">
        <v>1</v>
      </c>
    </row>
    <row r="12819" spans="1:5" x14ac:dyDescent="0.25">
      <c r="A12819">
        <v>12818</v>
      </c>
      <c r="B12819">
        <v>5958202</v>
      </c>
      <c r="C12819" s="1" t="str">
        <f>HYPERLINK("http://stackoverflow.com/users/5958202", "zvving")</f>
        <v>zvving</v>
      </c>
      <c r="D12819" t="s">
        <v>4</v>
      </c>
      <c r="E12819">
        <v>1</v>
      </c>
    </row>
    <row r="12820" spans="1:5" x14ac:dyDescent="0.25">
      <c r="A12820">
        <v>12819</v>
      </c>
      <c r="B12820">
        <v>7696341</v>
      </c>
      <c r="C12820" s="1" t="str">
        <f>HYPERLINK("http://stackoverflow.com/users/7696341", "Christian")</f>
        <v>Christian</v>
      </c>
      <c r="D12820" t="s">
        <v>698</v>
      </c>
      <c r="E12820">
        <v>1</v>
      </c>
    </row>
    <row r="12821" spans="1:5" x14ac:dyDescent="0.25">
      <c r="A12821">
        <v>12820</v>
      </c>
      <c r="B12821">
        <v>7697135</v>
      </c>
      <c r="C12821" s="1" t="str">
        <f>HYPERLINK("http://stackoverflow.com/users/7697135", "user7697135")</f>
        <v>user7697135</v>
      </c>
      <c r="D12821" t="s">
        <v>7</v>
      </c>
      <c r="E12821">
        <v>1</v>
      </c>
    </row>
    <row r="12822" spans="1:5" x14ac:dyDescent="0.25">
      <c r="A12822">
        <v>12821</v>
      </c>
      <c r="B12822">
        <v>7697257</v>
      </c>
      <c r="C12822" s="1" t="str">
        <f>HYPERLINK("http://stackoverflow.com/users/7697257", "郭永超")</f>
        <v>郭永超</v>
      </c>
      <c r="D12822" t="s">
        <v>4</v>
      </c>
      <c r="E12822">
        <v>1</v>
      </c>
    </row>
    <row r="12823" spans="1:5" x14ac:dyDescent="0.25">
      <c r="A12823">
        <v>12822</v>
      </c>
      <c r="B12823">
        <v>7697447</v>
      </c>
      <c r="C12823" s="1" t="str">
        <f>HYPERLINK("http://stackoverflow.com/users/7697447", "dogzhang")</f>
        <v>dogzhang</v>
      </c>
      <c r="D12823" t="s">
        <v>7</v>
      </c>
      <c r="E12823">
        <v>1</v>
      </c>
    </row>
    <row r="12824" spans="1:5" x14ac:dyDescent="0.25">
      <c r="A12824">
        <v>12823</v>
      </c>
      <c r="B12824">
        <v>7697496</v>
      </c>
      <c r="C12824" s="1" t="str">
        <f>HYPERLINK("http://stackoverflow.com/users/7697496", "Cai Binbing")</f>
        <v>Cai Binbing</v>
      </c>
      <c r="D12824" t="s">
        <v>79</v>
      </c>
      <c r="E12824">
        <v>1</v>
      </c>
    </row>
    <row r="12825" spans="1:5" x14ac:dyDescent="0.25">
      <c r="A12825">
        <v>12824</v>
      </c>
      <c r="B12825">
        <v>5950128</v>
      </c>
      <c r="C12825" s="1" t="str">
        <f>HYPERLINK("http://stackoverflow.com/users/5950128", "tankin")</f>
        <v>tankin</v>
      </c>
      <c r="D12825" t="s">
        <v>699</v>
      </c>
      <c r="E12825">
        <v>1</v>
      </c>
    </row>
    <row r="12826" spans="1:5" x14ac:dyDescent="0.25">
      <c r="A12826">
        <v>12825</v>
      </c>
      <c r="B12826">
        <v>5950297</v>
      </c>
      <c r="C12826" s="1" t="str">
        <f>HYPERLINK("http://stackoverflow.com/users/5950297", "Azeril")</f>
        <v>Azeril</v>
      </c>
      <c r="D12826" t="s">
        <v>12</v>
      </c>
      <c r="E12826">
        <v>1</v>
      </c>
    </row>
    <row r="12827" spans="1:5" x14ac:dyDescent="0.25">
      <c r="A12827">
        <v>12826</v>
      </c>
      <c r="B12827">
        <v>7719173</v>
      </c>
      <c r="C12827" s="1" t="str">
        <f>HYPERLINK("http://stackoverflow.com/users/7719173", "Taogen Jia")</f>
        <v>Taogen Jia</v>
      </c>
      <c r="D12827" t="s">
        <v>55</v>
      </c>
      <c r="E12827">
        <v>1</v>
      </c>
    </row>
    <row r="12828" spans="1:5" x14ac:dyDescent="0.25">
      <c r="A12828">
        <v>12827</v>
      </c>
      <c r="B12828">
        <v>7719199</v>
      </c>
      <c r="C12828" s="1" t="str">
        <f>HYPERLINK("http://stackoverflow.com/users/7719199", "李天宇")</f>
        <v>李天宇</v>
      </c>
      <c r="D12828" t="s">
        <v>490</v>
      </c>
      <c r="E12828">
        <v>1</v>
      </c>
    </row>
    <row r="12829" spans="1:5" x14ac:dyDescent="0.25">
      <c r="A12829">
        <v>12828</v>
      </c>
      <c r="B12829">
        <v>7719441</v>
      </c>
      <c r="C12829" s="1" t="str">
        <f>HYPERLINK("http://stackoverflow.com/users/7719441", "Julian")</f>
        <v>Julian</v>
      </c>
      <c r="D12829" t="s">
        <v>5</v>
      </c>
      <c r="E12829">
        <v>1</v>
      </c>
    </row>
    <row r="12830" spans="1:5" x14ac:dyDescent="0.25">
      <c r="A12830">
        <v>12829</v>
      </c>
      <c r="B12830">
        <v>7719496</v>
      </c>
      <c r="C12830" s="1" t="str">
        <f>HYPERLINK("http://stackoverflow.com/users/7719496", "jingshui1037")</f>
        <v>jingshui1037</v>
      </c>
      <c r="D12830" t="s">
        <v>700</v>
      </c>
      <c r="E12830">
        <v>1</v>
      </c>
    </row>
    <row r="12831" spans="1:5" x14ac:dyDescent="0.25">
      <c r="A12831">
        <v>12830</v>
      </c>
      <c r="B12831">
        <v>7719554</v>
      </c>
      <c r="C12831" s="1" t="str">
        <f>HYPERLINK("http://stackoverflow.com/users/7719554", "Guyon Better")</f>
        <v>Guyon Better</v>
      </c>
      <c r="D12831" t="s">
        <v>16</v>
      </c>
      <c r="E12831">
        <v>1</v>
      </c>
    </row>
    <row r="12832" spans="1:5" x14ac:dyDescent="0.25">
      <c r="A12832">
        <v>12831</v>
      </c>
      <c r="B12832">
        <v>7719117</v>
      </c>
      <c r="C12832" s="1" t="str">
        <f>HYPERLINK("http://stackoverflow.com/users/7719117", "Cyrus Gideon")</f>
        <v>Cyrus Gideon</v>
      </c>
      <c r="D12832" t="s">
        <v>5</v>
      </c>
      <c r="E12832">
        <v>1</v>
      </c>
    </row>
    <row r="12833" spans="1:5" x14ac:dyDescent="0.25">
      <c r="A12833">
        <v>12832</v>
      </c>
      <c r="B12833">
        <v>5958516</v>
      </c>
      <c r="C12833" s="1" t="str">
        <f>HYPERLINK("http://stackoverflow.com/users/5958516", "dawn")</f>
        <v>dawn</v>
      </c>
      <c r="D12833" t="s">
        <v>701</v>
      </c>
      <c r="E12833">
        <v>1</v>
      </c>
    </row>
    <row r="12834" spans="1:5" x14ac:dyDescent="0.25">
      <c r="A12834">
        <v>12833</v>
      </c>
      <c r="B12834">
        <v>7711907</v>
      </c>
      <c r="C12834" s="1" t="str">
        <f>HYPERLINK("http://stackoverflow.com/users/7711907", "prianYu")</f>
        <v>prianYu</v>
      </c>
      <c r="D12834" t="s">
        <v>7</v>
      </c>
      <c r="E12834">
        <v>1</v>
      </c>
    </row>
    <row r="12835" spans="1:5" x14ac:dyDescent="0.25">
      <c r="A12835">
        <v>12834</v>
      </c>
      <c r="B12835">
        <v>7711977</v>
      </c>
      <c r="C12835" s="1" t="str">
        <f>HYPERLINK("http://stackoverflow.com/users/7711977", "David Pan")</f>
        <v>David Pan</v>
      </c>
      <c r="D12835" t="s">
        <v>4</v>
      </c>
      <c r="E12835">
        <v>1</v>
      </c>
    </row>
    <row r="12836" spans="1:5" x14ac:dyDescent="0.25">
      <c r="A12836">
        <v>12835</v>
      </c>
      <c r="B12836">
        <v>7712261</v>
      </c>
      <c r="C12836" s="1" t="str">
        <f>HYPERLINK("http://stackoverflow.com/users/7712261", "T.Chan")</f>
        <v>T.Chan</v>
      </c>
      <c r="D12836" t="s">
        <v>5</v>
      </c>
      <c r="E12836">
        <v>1</v>
      </c>
    </row>
    <row r="12837" spans="1:5" x14ac:dyDescent="0.25">
      <c r="A12837">
        <v>12836</v>
      </c>
      <c r="B12837">
        <v>5966782</v>
      </c>
      <c r="C12837" s="1" t="str">
        <f>HYPERLINK("http://stackoverflow.com/users/5966782", "Dev1n")</f>
        <v>Dev1n</v>
      </c>
      <c r="D12837" t="s">
        <v>55</v>
      </c>
      <c r="E12837">
        <v>1</v>
      </c>
    </row>
    <row r="12838" spans="1:5" x14ac:dyDescent="0.25">
      <c r="A12838">
        <v>12837</v>
      </c>
      <c r="B12838">
        <v>5967080</v>
      </c>
      <c r="C12838" s="1" t="str">
        <f>HYPERLINK("http://stackoverflow.com/users/5967080", "hznanhai")</f>
        <v>hznanhai</v>
      </c>
      <c r="D12838" t="s">
        <v>4</v>
      </c>
      <c r="E12838">
        <v>1</v>
      </c>
    </row>
    <row r="12839" spans="1:5" x14ac:dyDescent="0.25">
      <c r="A12839">
        <v>12838</v>
      </c>
      <c r="B12839">
        <v>5967362</v>
      </c>
      <c r="C12839" s="1" t="str">
        <f>HYPERLINK("http://stackoverflow.com/users/5967362", "Yang Sun")</f>
        <v>Yang Sun</v>
      </c>
      <c r="D12839" t="s">
        <v>55</v>
      </c>
      <c r="E12839">
        <v>1</v>
      </c>
    </row>
    <row r="12840" spans="1:5" x14ac:dyDescent="0.25">
      <c r="A12840">
        <v>12839</v>
      </c>
      <c r="B12840">
        <v>7712522</v>
      </c>
      <c r="C12840" s="1" t="str">
        <f>HYPERLINK("http://stackoverflow.com/users/7712522", "Alix")</f>
        <v>Alix</v>
      </c>
      <c r="D12840" t="s">
        <v>27</v>
      </c>
      <c r="E12840">
        <v>1</v>
      </c>
    </row>
    <row r="12841" spans="1:5" x14ac:dyDescent="0.25">
      <c r="A12841">
        <v>12840</v>
      </c>
      <c r="B12841">
        <v>7727846</v>
      </c>
      <c r="C12841" s="1" t="str">
        <f>HYPERLINK("http://stackoverflow.com/users/7727846", "wangshul")</f>
        <v>wangshul</v>
      </c>
      <c r="D12841" t="s">
        <v>55</v>
      </c>
      <c r="E12841">
        <v>1</v>
      </c>
    </row>
    <row r="12842" spans="1:5" x14ac:dyDescent="0.25">
      <c r="A12842">
        <v>12841</v>
      </c>
      <c r="B12842">
        <v>4221536</v>
      </c>
      <c r="C12842" s="1" t="str">
        <f>HYPERLINK("http://stackoverflow.com/users/4221536", "Nowa Koan")</f>
        <v>Nowa Koan</v>
      </c>
      <c r="D12842" t="s">
        <v>3</v>
      </c>
      <c r="E12842">
        <v>1</v>
      </c>
    </row>
    <row r="12843" spans="1:5" x14ac:dyDescent="0.25">
      <c r="A12843">
        <v>12842</v>
      </c>
      <c r="B12843">
        <v>7733784</v>
      </c>
      <c r="C12843" s="1" t="str">
        <f>HYPERLINK("http://stackoverflow.com/users/7733784", "smdsbz")</f>
        <v>smdsbz</v>
      </c>
      <c r="D12843" t="s">
        <v>52</v>
      </c>
      <c r="E12843">
        <v>1</v>
      </c>
    </row>
    <row r="12844" spans="1:5" x14ac:dyDescent="0.25">
      <c r="A12844">
        <v>12843</v>
      </c>
      <c r="B12844">
        <v>7734402</v>
      </c>
      <c r="C12844" s="1" t="str">
        <f>HYPERLINK("http://stackoverflow.com/users/7734402", "Marco")</f>
        <v>Marco</v>
      </c>
      <c r="D12844" t="s">
        <v>702</v>
      </c>
      <c r="E12844">
        <v>1</v>
      </c>
    </row>
    <row r="12845" spans="1:5" x14ac:dyDescent="0.25">
      <c r="A12845">
        <v>12844</v>
      </c>
      <c r="B12845">
        <v>7734596</v>
      </c>
      <c r="C12845" s="1" t="str">
        <f>HYPERLINK("http://stackoverflow.com/users/7734596", "Chris")</f>
        <v>Chris</v>
      </c>
      <c r="D12845" t="s">
        <v>4</v>
      </c>
      <c r="E12845">
        <v>1</v>
      </c>
    </row>
    <row r="12846" spans="1:5" x14ac:dyDescent="0.25">
      <c r="A12846">
        <v>12845</v>
      </c>
      <c r="B12846">
        <v>7750508</v>
      </c>
      <c r="C12846" s="1" t="str">
        <f>HYPERLINK("http://stackoverflow.com/users/7750508", "Tommy Wang")</f>
        <v>Tommy Wang</v>
      </c>
      <c r="D12846" t="s">
        <v>7</v>
      </c>
      <c r="E12846">
        <v>1</v>
      </c>
    </row>
    <row r="12847" spans="1:5" x14ac:dyDescent="0.25">
      <c r="A12847">
        <v>12846</v>
      </c>
      <c r="B12847">
        <v>6010750</v>
      </c>
      <c r="C12847" s="1" t="str">
        <f>HYPERLINK("http://stackoverflow.com/users/6010750", "Anoxia")</f>
        <v>Anoxia</v>
      </c>
      <c r="D12847" t="s">
        <v>703</v>
      </c>
      <c r="E12847">
        <v>1</v>
      </c>
    </row>
    <row r="12848" spans="1:5" x14ac:dyDescent="0.25">
      <c r="A12848">
        <v>12847</v>
      </c>
      <c r="B12848">
        <v>7757268</v>
      </c>
      <c r="C12848" s="1" t="str">
        <f>HYPERLINK("http://stackoverflow.com/users/7757268", "张诗正")</f>
        <v>张诗正</v>
      </c>
      <c r="D12848" t="s">
        <v>704</v>
      </c>
      <c r="E12848">
        <v>1</v>
      </c>
    </row>
    <row r="12849" spans="1:5" x14ac:dyDescent="0.25">
      <c r="A12849">
        <v>12848</v>
      </c>
      <c r="B12849">
        <v>4244463</v>
      </c>
      <c r="C12849" s="1" t="str">
        <f>HYPERLINK("http://stackoverflow.com/users/4244463", "larryqi")</f>
        <v>larryqi</v>
      </c>
      <c r="D12849" t="s">
        <v>4</v>
      </c>
      <c r="E12849">
        <v>1</v>
      </c>
    </row>
    <row r="12850" spans="1:5" x14ac:dyDescent="0.25">
      <c r="A12850">
        <v>12849</v>
      </c>
      <c r="B12850">
        <v>6017366</v>
      </c>
      <c r="C12850" s="1" t="str">
        <f>HYPERLINK("http://stackoverflow.com/users/6017366", "Jacky Hsu")</f>
        <v>Jacky Hsu</v>
      </c>
      <c r="D12850" t="s">
        <v>7</v>
      </c>
      <c r="E12850">
        <v>1</v>
      </c>
    </row>
    <row r="12851" spans="1:5" x14ac:dyDescent="0.25">
      <c r="A12851">
        <v>12850</v>
      </c>
      <c r="B12851">
        <v>6017521</v>
      </c>
      <c r="C12851" s="1" t="str">
        <f>HYPERLINK("http://stackoverflow.com/users/6017521", "YanBin.Wang")</f>
        <v>YanBin.Wang</v>
      </c>
      <c r="D12851" t="s">
        <v>4</v>
      </c>
      <c r="E12851">
        <v>1</v>
      </c>
    </row>
    <row r="12852" spans="1:5" x14ac:dyDescent="0.25">
      <c r="A12852">
        <v>12851</v>
      </c>
      <c r="B12852">
        <v>7764884</v>
      </c>
      <c r="C12852" s="1" t="str">
        <f>HYPERLINK("http://stackoverflow.com/users/7764884", "Westan")</f>
        <v>Westan</v>
      </c>
      <c r="D12852" t="s">
        <v>42</v>
      </c>
      <c r="E12852">
        <v>1</v>
      </c>
    </row>
    <row r="12853" spans="1:5" x14ac:dyDescent="0.25">
      <c r="A12853">
        <v>12852</v>
      </c>
      <c r="B12853">
        <v>7764892</v>
      </c>
      <c r="C12853" s="1" t="str">
        <f>HYPERLINK("http://stackoverflow.com/users/7764892", "Yuantongakang")</f>
        <v>Yuantongakang</v>
      </c>
      <c r="D12853" t="s">
        <v>15</v>
      </c>
      <c r="E12853">
        <v>1</v>
      </c>
    </row>
    <row r="12854" spans="1:5" x14ac:dyDescent="0.25">
      <c r="A12854">
        <v>12853</v>
      </c>
      <c r="B12854">
        <v>7765012</v>
      </c>
      <c r="C12854" s="1" t="str">
        <f>HYPERLINK("http://stackoverflow.com/users/7765012", "PURPLEPENG")</f>
        <v>PURPLEPENG</v>
      </c>
      <c r="D12854" t="s">
        <v>5</v>
      </c>
      <c r="E12854">
        <v>1</v>
      </c>
    </row>
    <row r="12855" spans="1:5" x14ac:dyDescent="0.25">
      <c r="A12855">
        <v>12854</v>
      </c>
      <c r="B12855">
        <v>7765141</v>
      </c>
      <c r="C12855" s="1" t="str">
        <f>HYPERLINK("http://stackoverflow.com/users/7765141", "Nathan Liu")</f>
        <v>Nathan Liu</v>
      </c>
      <c r="D12855" t="s">
        <v>55</v>
      </c>
      <c r="E12855">
        <v>1</v>
      </c>
    </row>
    <row r="12856" spans="1:5" x14ac:dyDescent="0.25">
      <c r="A12856">
        <v>12855</v>
      </c>
      <c r="B12856">
        <v>7765224</v>
      </c>
      <c r="C12856" s="1" t="str">
        <f>HYPERLINK("http://stackoverflow.com/users/7765224", "zengzy")</f>
        <v>zengzy</v>
      </c>
      <c r="D12856" t="s">
        <v>15</v>
      </c>
      <c r="E12856">
        <v>1</v>
      </c>
    </row>
    <row r="12857" spans="1:5" x14ac:dyDescent="0.25">
      <c r="A12857">
        <v>12856</v>
      </c>
      <c r="B12857">
        <v>7765242</v>
      </c>
      <c r="C12857" s="1" t="str">
        <f>HYPERLINK("http://stackoverflow.com/users/7765242", "Aldo Vizcaino")</f>
        <v>Aldo Vizcaino</v>
      </c>
      <c r="D12857" t="s">
        <v>705</v>
      </c>
      <c r="E12857">
        <v>1</v>
      </c>
    </row>
    <row r="12858" spans="1:5" x14ac:dyDescent="0.25">
      <c r="A12858">
        <v>12857</v>
      </c>
      <c r="B12858">
        <v>7765656</v>
      </c>
      <c r="C12858" s="1" t="str">
        <f>HYPERLINK("http://stackoverflow.com/users/7765656", "赖泳烽")</f>
        <v>赖泳烽</v>
      </c>
      <c r="D12858" t="s">
        <v>25</v>
      </c>
      <c r="E12858">
        <v>1</v>
      </c>
    </row>
    <row r="12859" spans="1:5" x14ac:dyDescent="0.25">
      <c r="A12859">
        <v>12858</v>
      </c>
      <c r="B12859">
        <v>7765724</v>
      </c>
      <c r="C12859" s="1" t="str">
        <f>HYPERLINK("http://stackoverflow.com/users/7765724", "ljlz")</f>
        <v>ljlz</v>
      </c>
      <c r="D12859" t="s">
        <v>15</v>
      </c>
      <c r="E12859">
        <v>1</v>
      </c>
    </row>
    <row r="12860" spans="1:5" x14ac:dyDescent="0.25">
      <c r="A12860">
        <v>12859</v>
      </c>
      <c r="B12860">
        <v>7765735</v>
      </c>
      <c r="C12860" s="1" t="str">
        <f>HYPERLINK("http://stackoverflow.com/users/7765735", "Lowdman")</f>
        <v>Lowdman</v>
      </c>
      <c r="D12860" t="s">
        <v>118</v>
      </c>
      <c r="E12860">
        <v>1</v>
      </c>
    </row>
    <row r="12861" spans="1:5" x14ac:dyDescent="0.25">
      <c r="A12861">
        <v>12860</v>
      </c>
      <c r="B12861">
        <v>7772984</v>
      </c>
      <c r="C12861" s="1" t="str">
        <f>HYPERLINK("http://stackoverflow.com/users/7772984", "SUN L")</f>
        <v>SUN L</v>
      </c>
      <c r="D12861" t="s">
        <v>5</v>
      </c>
      <c r="E12861">
        <v>1</v>
      </c>
    </row>
    <row r="12862" spans="1:5" x14ac:dyDescent="0.25">
      <c r="A12862">
        <v>12861</v>
      </c>
      <c r="B12862">
        <v>5993520</v>
      </c>
      <c r="C12862" s="1" t="str">
        <f>HYPERLINK("http://stackoverflow.com/users/5993520", "Rookieek")</f>
        <v>Rookieek</v>
      </c>
      <c r="D12862" t="s">
        <v>91</v>
      </c>
      <c r="E12862">
        <v>1</v>
      </c>
    </row>
    <row r="12863" spans="1:5" x14ac:dyDescent="0.25">
      <c r="A12863">
        <v>12862</v>
      </c>
      <c r="B12863">
        <v>7734721</v>
      </c>
      <c r="C12863" s="1" t="str">
        <f>HYPERLINK("http://stackoverflow.com/users/7734721", "Ericrunner")</f>
        <v>Ericrunner</v>
      </c>
      <c r="D12863" t="s">
        <v>15</v>
      </c>
      <c r="E12863">
        <v>1</v>
      </c>
    </row>
    <row r="12864" spans="1:5" x14ac:dyDescent="0.25">
      <c r="A12864">
        <v>12863</v>
      </c>
      <c r="B12864">
        <v>4230466</v>
      </c>
      <c r="C12864" s="1" t="str">
        <f>HYPERLINK("http://stackoverflow.com/users/4230466", "JWLiu")</f>
        <v>JWLiu</v>
      </c>
      <c r="D12864" t="s">
        <v>5</v>
      </c>
      <c r="E12864">
        <v>1</v>
      </c>
    </row>
    <row r="12865" spans="1:5" x14ac:dyDescent="0.25">
      <c r="A12865">
        <v>12864</v>
      </c>
      <c r="B12865">
        <v>4230545</v>
      </c>
      <c r="C12865" s="1" t="str">
        <f>HYPERLINK("http://stackoverflow.com/users/4230545", "Aland Sun")</f>
        <v>Aland Sun</v>
      </c>
      <c r="D12865" t="s">
        <v>12</v>
      </c>
      <c r="E12865">
        <v>1</v>
      </c>
    </row>
    <row r="12866" spans="1:5" x14ac:dyDescent="0.25">
      <c r="A12866">
        <v>12865</v>
      </c>
      <c r="B12866">
        <v>7743050</v>
      </c>
      <c r="C12866" s="1" t="str">
        <f>HYPERLINK("http://stackoverflow.com/users/7743050", "lcsoec")</f>
        <v>lcsoec</v>
      </c>
      <c r="D12866" t="s">
        <v>7</v>
      </c>
      <c r="E12866">
        <v>1</v>
      </c>
    </row>
    <row r="12867" spans="1:5" x14ac:dyDescent="0.25">
      <c r="A12867">
        <v>12866</v>
      </c>
      <c r="B12867">
        <v>7743227</v>
      </c>
      <c r="C12867" s="1" t="str">
        <f>HYPERLINK("http://stackoverflow.com/users/7743227", "HOWARD")</f>
        <v>HOWARD</v>
      </c>
      <c r="D12867" t="s">
        <v>15</v>
      </c>
      <c r="E12867">
        <v>1</v>
      </c>
    </row>
    <row r="12868" spans="1:5" x14ac:dyDescent="0.25">
      <c r="A12868">
        <v>12867</v>
      </c>
      <c r="B12868">
        <v>7743508</v>
      </c>
      <c r="C12868" s="1" t="str">
        <f>HYPERLINK("http://stackoverflow.com/users/7743508", "Mumtaz Ahmad Qaisrani")</f>
        <v>Mumtaz Ahmad Qaisrani</v>
      </c>
      <c r="D12868" t="s">
        <v>131</v>
      </c>
      <c r="E12868">
        <v>1</v>
      </c>
    </row>
    <row r="12869" spans="1:5" x14ac:dyDescent="0.25">
      <c r="A12869">
        <v>12868</v>
      </c>
      <c r="B12869">
        <v>7743667</v>
      </c>
      <c r="C12869" s="1" t="str">
        <f>HYPERLINK("http://stackoverflow.com/users/7743667", "Hao Xu")</f>
        <v>Hao Xu</v>
      </c>
      <c r="D12869" t="s">
        <v>55</v>
      </c>
      <c r="E12869">
        <v>1</v>
      </c>
    </row>
    <row r="12870" spans="1:5" x14ac:dyDescent="0.25">
      <c r="A12870">
        <v>12869</v>
      </c>
      <c r="B12870">
        <v>7743676</v>
      </c>
      <c r="C12870" s="1" t="str">
        <f>HYPERLINK("http://stackoverflow.com/users/7743676", "CrashSilence")</f>
        <v>CrashSilence</v>
      </c>
      <c r="D12870" t="s">
        <v>120</v>
      </c>
      <c r="E12870">
        <v>1</v>
      </c>
    </row>
    <row r="12871" spans="1:5" x14ac:dyDescent="0.25">
      <c r="A12871">
        <v>12870</v>
      </c>
      <c r="B12871">
        <v>7726973</v>
      </c>
      <c r="C12871" s="1" t="str">
        <f>HYPERLINK("http://stackoverflow.com/users/7726973", "Lavy Hair")</f>
        <v>Lavy Hair</v>
      </c>
      <c r="D12871" t="s">
        <v>706</v>
      </c>
      <c r="E12871">
        <v>1</v>
      </c>
    </row>
    <row r="12872" spans="1:5" x14ac:dyDescent="0.25">
      <c r="A12872">
        <v>12871</v>
      </c>
      <c r="B12872">
        <v>5984708</v>
      </c>
      <c r="C12872" s="1" t="str">
        <f>HYPERLINK("http://stackoverflow.com/users/5984708", "hwl19900304")</f>
        <v>hwl19900304</v>
      </c>
      <c r="D12872" t="s">
        <v>36</v>
      </c>
      <c r="E12872">
        <v>1</v>
      </c>
    </row>
    <row r="12873" spans="1:5" x14ac:dyDescent="0.25">
      <c r="A12873">
        <v>12872</v>
      </c>
      <c r="B12873">
        <v>5984839</v>
      </c>
      <c r="C12873" s="1" t="str">
        <f>HYPERLINK("http://stackoverflow.com/users/5984839", "Jimmy Zhao")</f>
        <v>Jimmy Zhao</v>
      </c>
      <c r="D12873" t="s">
        <v>4</v>
      </c>
      <c r="E12873">
        <v>1</v>
      </c>
    </row>
    <row r="12874" spans="1:5" x14ac:dyDescent="0.25">
      <c r="A12874">
        <v>12873</v>
      </c>
      <c r="B12874">
        <v>5984882</v>
      </c>
      <c r="C12874" s="1" t="str">
        <f>HYPERLINK("http://stackoverflow.com/users/5984882", "jason.ma")</f>
        <v>jason.ma</v>
      </c>
      <c r="D12874" t="s">
        <v>5</v>
      </c>
      <c r="E12874">
        <v>1</v>
      </c>
    </row>
    <row r="12875" spans="1:5" x14ac:dyDescent="0.25">
      <c r="A12875">
        <v>12874</v>
      </c>
      <c r="B12875">
        <v>5985072</v>
      </c>
      <c r="C12875" s="1" t="str">
        <f>HYPERLINK("http://stackoverflow.com/users/5985072", "Gaokui Zhang")</f>
        <v>Gaokui Zhang</v>
      </c>
      <c r="D12875" t="s">
        <v>62</v>
      </c>
      <c r="E12875">
        <v>1</v>
      </c>
    </row>
    <row r="12876" spans="1:5" x14ac:dyDescent="0.25">
      <c r="A12876">
        <v>12875</v>
      </c>
      <c r="B12876">
        <v>5985228</v>
      </c>
      <c r="C12876" s="1" t="str">
        <f>HYPERLINK("http://stackoverflow.com/users/5985228", "Erona")</f>
        <v>Erona</v>
      </c>
      <c r="D12876" t="s">
        <v>498</v>
      </c>
      <c r="E12876">
        <v>1</v>
      </c>
    </row>
    <row r="12877" spans="1:5" x14ac:dyDescent="0.25">
      <c r="A12877">
        <v>12876</v>
      </c>
      <c r="B12877">
        <v>5985232</v>
      </c>
      <c r="C12877" s="1" t="str">
        <f>HYPERLINK("http://stackoverflow.com/users/5985232", "Chuncheng  Cao")</f>
        <v>Chuncheng  Cao</v>
      </c>
      <c r="D12877" t="s">
        <v>25</v>
      </c>
      <c r="E12877">
        <v>1</v>
      </c>
    </row>
    <row r="12878" spans="1:5" x14ac:dyDescent="0.25">
      <c r="A12878">
        <v>12877</v>
      </c>
      <c r="B12878">
        <v>7773433</v>
      </c>
      <c r="C12878" s="1" t="str">
        <f>HYPERLINK("http://stackoverflow.com/users/7773433", "Mariner")</f>
        <v>Mariner</v>
      </c>
      <c r="D12878" t="s">
        <v>5</v>
      </c>
      <c r="E12878">
        <v>1</v>
      </c>
    </row>
    <row r="12879" spans="1:5" x14ac:dyDescent="0.25">
      <c r="A12879">
        <v>12878</v>
      </c>
      <c r="B12879">
        <v>7773567</v>
      </c>
      <c r="C12879" s="1" t="str">
        <f>HYPERLINK("http://stackoverflow.com/users/7773567", "Aoilyra")</f>
        <v>Aoilyra</v>
      </c>
      <c r="D12879" t="s">
        <v>131</v>
      </c>
      <c r="E12879">
        <v>1</v>
      </c>
    </row>
    <row r="12880" spans="1:5" x14ac:dyDescent="0.25">
      <c r="A12880">
        <v>12879</v>
      </c>
      <c r="B12880">
        <v>6034022</v>
      </c>
      <c r="C12880" s="1" t="str">
        <f>HYPERLINK("http://stackoverflow.com/users/6034022", "Scott")</f>
        <v>Scott</v>
      </c>
      <c r="D12880" t="s">
        <v>4</v>
      </c>
      <c r="E12880">
        <v>1</v>
      </c>
    </row>
    <row r="12881" spans="1:5" x14ac:dyDescent="0.25">
      <c r="A12881">
        <v>12880</v>
      </c>
      <c r="B12881">
        <v>7773709</v>
      </c>
      <c r="C12881" s="1" t="str">
        <f>HYPERLINK("http://stackoverflow.com/users/7773709", "hbshun")</f>
        <v>hbshun</v>
      </c>
      <c r="D12881" t="s">
        <v>5</v>
      </c>
      <c r="E12881">
        <v>1</v>
      </c>
    </row>
    <row r="12882" spans="1:5" x14ac:dyDescent="0.25">
      <c r="A12882">
        <v>12881</v>
      </c>
      <c r="B12882">
        <v>7774024</v>
      </c>
      <c r="C12882" s="1" t="str">
        <f>HYPERLINK("http://stackoverflow.com/users/7774024", "shengheng yan")</f>
        <v>shengheng yan</v>
      </c>
      <c r="D12882" t="s">
        <v>4</v>
      </c>
      <c r="E12882">
        <v>1</v>
      </c>
    </row>
    <row r="12883" spans="1:5" x14ac:dyDescent="0.25">
      <c r="A12883">
        <v>12882</v>
      </c>
      <c r="B12883">
        <v>7774344</v>
      </c>
      <c r="C12883" s="1" t="str">
        <f>HYPERLINK("http://stackoverflow.com/users/7774344", "SimonChan")</f>
        <v>SimonChan</v>
      </c>
      <c r="D12883" t="s">
        <v>7</v>
      </c>
      <c r="E12883">
        <v>1</v>
      </c>
    </row>
    <row r="12884" spans="1:5" x14ac:dyDescent="0.25">
      <c r="A12884">
        <v>12883</v>
      </c>
      <c r="B12884">
        <v>7774496</v>
      </c>
      <c r="C12884" s="1" t="str">
        <f>HYPERLINK("http://stackoverflow.com/users/7774496", "李星云")</f>
        <v>李星云</v>
      </c>
      <c r="D12884" t="s">
        <v>675</v>
      </c>
      <c r="E12884">
        <v>1</v>
      </c>
    </row>
    <row r="12885" spans="1:5" x14ac:dyDescent="0.25">
      <c r="A12885">
        <v>12884</v>
      </c>
      <c r="B12885">
        <v>4262604</v>
      </c>
      <c r="C12885" s="1" t="str">
        <f>HYPERLINK("http://stackoverflow.com/users/4262604", "Erdi Tac")</f>
        <v>Erdi Tac</v>
      </c>
      <c r="D12885" t="s">
        <v>7</v>
      </c>
      <c r="E12885">
        <v>1</v>
      </c>
    </row>
    <row r="12886" spans="1:5" x14ac:dyDescent="0.25">
      <c r="A12886">
        <v>12885</v>
      </c>
      <c r="B12886">
        <v>7774902</v>
      </c>
      <c r="C12886" s="1" t="str">
        <f>HYPERLINK("http://stackoverflow.com/users/7774902", "bigbug")</f>
        <v>bigbug</v>
      </c>
      <c r="D12886" t="s">
        <v>7</v>
      </c>
      <c r="E12886">
        <v>1</v>
      </c>
    </row>
    <row r="12887" spans="1:5" x14ac:dyDescent="0.25">
      <c r="A12887">
        <v>12886</v>
      </c>
      <c r="B12887">
        <v>7756121</v>
      </c>
      <c r="C12887" s="1" t="str">
        <f>HYPERLINK("http://stackoverflow.com/users/7756121", "bin.liu")</f>
        <v>bin.liu</v>
      </c>
      <c r="D12887" t="s">
        <v>4</v>
      </c>
      <c r="E12887">
        <v>1</v>
      </c>
    </row>
    <row r="12888" spans="1:5" x14ac:dyDescent="0.25">
      <c r="A12888">
        <v>12887</v>
      </c>
      <c r="B12888">
        <v>7756372</v>
      </c>
      <c r="C12888" s="1" t="str">
        <f>HYPERLINK("http://stackoverflow.com/users/7756372", "Jiangwei.Z")</f>
        <v>Jiangwei.Z</v>
      </c>
      <c r="D12888" t="s">
        <v>27</v>
      </c>
      <c r="E12888">
        <v>1</v>
      </c>
    </row>
    <row r="12889" spans="1:5" x14ac:dyDescent="0.25">
      <c r="A12889">
        <v>12888</v>
      </c>
      <c r="B12889">
        <v>6016408</v>
      </c>
      <c r="C12889" s="1" t="str">
        <f>HYPERLINK("http://stackoverflow.com/users/6016408", "Roronoa Zoro")</f>
        <v>Roronoa Zoro</v>
      </c>
      <c r="D12889" t="s">
        <v>4</v>
      </c>
      <c r="E12889">
        <v>1</v>
      </c>
    </row>
    <row r="12890" spans="1:5" x14ac:dyDescent="0.25">
      <c r="A12890">
        <v>12889</v>
      </c>
      <c r="B12890">
        <v>7786214</v>
      </c>
      <c r="C12890" s="1" t="str">
        <f>HYPERLINK("http://stackoverflow.com/users/7786214", "Jijin Lei")</f>
        <v>Jijin Lei</v>
      </c>
      <c r="D12890" t="s">
        <v>15</v>
      </c>
      <c r="E12890">
        <v>1</v>
      </c>
    </row>
    <row r="12891" spans="1:5" x14ac:dyDescent="0.25">
      <c r="A12891">
        <v>12890</v>
      </c>
      <c r="B12891">
        <v>7786723</v>
      </c>
      <c r="C12891" s="1" t="str">
        <f>HYPERLINK("http://stackoverflow.com/users/7786723", "孙柯征")</f>
        <v>孙柯征</v>
      </c>
      <c r="D12891" t="s">
        <v>439</v>
      </c>
      <c r="E12891">
        <v>1</v>
      </c>
    </row>
    <row r="12892" spans="1:5" x14ac:dyDescent="0.25">
      <c r="A12892">
        <v>12891</v>
      </c>
      <c r="B12892">
        <v>4289815</v>
      </c>
      <c r="C12892" s="1" t="str">
        <f>HYPERLINK("http://stackoverflow.com/users/4289815", "sylvan")</f>
        <v>sylvan</v>
      </c>
      <c r="D12892" t="s">
        <v>5</v>
      </c>
      <c r="E12892">
        <v>1</v>
      </c>
    </row>
    <row r="12893" spans="1:5" x14ac:dyDescent="0.25">
      <c r="A12893">
        <v>12892</v>
      </c>
      <c r="B12893">
        <v>4290602</v>
      </c>
      <c r="C12893" s="1" t="str">
        <f>HYPERLINK("http://stackoverflow.com/users/4290602", "walker")</f>
        <v>walker</v>
      </c>
      <c r="D12893" t="s">
        <v>17</v>
      </c>
      <c r="E12893">
        <v>1</v>
      </c>
    </row>
    <row r="12894" spans="1:5" x14ac:dyDescent="0.25">
      <c r="A12894">
        <v>12893</v>
      </c>
      <c r="B12894">
        <v>9133466</v>
      </c>
      <c r="C12894" s="1" t="str">
        <f>HYPERLINK("http://stackoverflow.com/users/9133466", "Nick")</f>
        <v>Nick</v>
      </c>
      <c r="D12894" t="s">
        <v>4</v>
      </c>
      <c r="E12894">
        <v>1</v>
      </c>
    </row>
    <row r="12895" spans="1:5" x14ac:dyDescent="0.25">
      <c r="A12895">
        <v>12894</v>
      </c>
      <c r="B12895">
        <v>9133514</v>
      </c>
      <c r="C12895" s="1" t="str">
        <f>HYPERLINK("http://stackoverflow.com/users/9133514", "Nana Hair")</f>
        <v>Nana Hair</v>
      </c>
      <c r="D12895" t="s">
        <v>25</v>
      </c>
      <c r="E12895">
        <v>1</v>
      </c>
    </row>
    <row r="12896" spans="1:5" x14ac:dyDescent="0.25">
      <c r="A12896">
        <v>12895</v>
      </c>
      <c r="B12896">
        <v>9133564</v>
      </c>
      <c r="C12896" s="1" t="str">
        <f>HYPERLINK("http://stackoverflow.com/users/9133564", "YoungWilliam")</f>
        <v>YoungWilliam</v>
      </c>
      <c r="D12896" t="s">
        <v>7</v>
      </c>
      <c r="E12896">
        <v>1</v>
      </c>
    </row>
    <row r="12897" spans="1:5" x14ac:dyDescent="0.25">
      <c r="A12897">
        <v>12896</v>
      </c>
      <c r="B12897">
        <v>9134091</v>
      </c>
      <c r="C12897" s="1" t="str">
        <f>HYPERLINK("http://stackoverflow.com/users/9134091", "Mani")</f>
        <v>Mani</v>
      </c>
      <c r="D12897" t="s">
        <v>5</v>
      </c>
      <c r="E12897">
        <v>1</v>
      </c>
    </row>
    <row r="12898" spans="1:5" x14ac:dyDescent="0.25">
      <c r="A12898">
        <v>12897</v>
      </c>
      <c r="B12898">
        <v>9134113</v>
      </c>
      <c r="C12898" s="1" t="str">
        <f>HYPERLINK("http://stackoverflow.com/users/9134113", "周志杰")</f>
        <v>周志杰</v>
      </c>
      <c r="D12898" t="s">
        <v>707</v>
      </c>
      <c r="E12898">
        <v>1</v>
      </c>
    </row>
    <row r="12899" spans="1:5" x14ac:dyDescent="0.25">
      <c r="A12899">
        <v>12898</v>
      </c>
      <c r="B12899">
        <v>9134207</v>
      </c>
      <c r="C12899" s="1" t="str">
        <f>HYPERLINK("http://stackoverflow.com/users/9134207", "woohoo")</f>
        <v>woohoo</v>
      </c>
      <c r="D12899" t="s">
        <v>25</v>
      </c>
      <c r="E12899">
        <v>1</v>
      </c>
    </row>
    <row r="12900" spans="1:5" x14ac:dyDescent="0.25">
      <c r="A12900">
        <v>12899</v>
      </c>
      <c r="B12900">
        <v>7262923</v>
      </c>
      <c r="C12900" s="1" t="str">
        <f>HYPERLINK("http://stackoverflow.com/users/7262923", "Jason Hu")</f>
        <v>Jason Hu</v>
      </c>
      <c r="D12900" t="s">
        <v>4</v>
      </c>
      <c r="E12900">
        <v>1</v>
      </c>
    </row>
    <row r="12901" spans="1:5" x14ac:dyDescent="0.25">
      <c r="A12901">
        <v>12900</v>
      </c>
      <c r="B12901">
        <v>9136700</v>
      </c>
      <c r="C12901" s="1" t="str">
        <f>HYPERLINK("http://stackoverflow.com/users/9136700", "Zhou.Ze")</f>
        <v>Zhou.Ze</v>
      </c>
      <c r="D12901" t="s">
        <v>16</v>
      </c>
      <c r="E12901">
        <v>1</v>
      </c>
    </row>
    <row r="12902" spans="1:5" x14ac:dyDescent="0.25">
      <c r="A12902">
        <v>12901</v>
      </c>
      <c r="B12902">
        <v>9136738</v>
      </c>
      <c r="C12902" s="1" t="str">
        <f>HYPERLINK("http://stackoverflow.com/users/9136738", "user9136738")</f>
        <v>user9136738</v>
      </c>
      <c r="D12902" t="s">
        <v>135</v>
      </c>
      <c r="E12902">
        <v>1</v>
      </c>
    </row>
    <row r="12903" spans="1:5" x14ac:dyDescent="0.25">
      <c r="A12903">
        <v>12902</v>
      </c>
      <c r="B12903">
        <v>9136838</v>
      </c>
      <c r="C12903" s="1" t="str">
        <f>HYPERLINK("http://stackoverflow.com/users/9136838", "py_ragnaros")</f>
        <v>py_ragnaros</v>
      </c>
      <c r="D12903" t="s">
        <v>4</v>
      </c>
      <c r="E12903">
        <v>1</v>
      </c>
    </row>
    <row r="12904" spans="1:5" x14ac:dyDescent="0.25">
      <c r="A12904">
        <v>12903</v>
      </c>
      <c r="B12904">
        <v>5507733</v>
      </c>
      <c r="C12904" s="1" t="str">
        <f>HYPERLINK("http://stackoverflow.com/users/5507733", "arther")</f>
        <v>arther</v>
      </c>
      <c r="D12904" t="s">
        <v>57</v>
      </c>
      <c r="E12904">
        <v>1</v>
      </c>
    </row>
    <row r="12905" spans="1:5" x14ac:dyDescent="0.25">
      <c r="A12905">
        <v>12904</v>
      </c>
      <c r="B12905">
        <v>10932064</v>
      </c>
      <c r="C12905" s="1" t="str">
        <f>HYPERLINK("http://stackoverflow.com/users/10932064", "Brcic Sicas")</f>
        <v>Brcic Sicas</v>
      </c>
      <c r="D12905" t="s">
        <v>79</v>
      </c>
      <c r="E12905">
        <v>1</v>
      </c>
    </row>
    <row r="12906" spans="1:5" x14ac:dyDescent="0.25">
      <c r="A12906">
        <v>12905</v>
      </c>
      <c r="B12906">
        <v>9140166</v>
      </c>
      <c r="C12906" s="1" t="str">
        <f>HYPERLINK("http://stackoverflow.com/users/9140166", "Bob Chen")</f>
        <v>Bob Chen</v>
      </c>
      <c r="D12906" t="s">
        <v>21</v>
      </c>
      <c r="E12906">
        <v>1</v>
      </c>
    </row>
    <row r="12907" spans="1:5" x14ac:dyDescent="0.25">
      <c r="A12907">
        <v>12906</v>
      </c>
      <c r="B12907">
        <v>9143917</v>
      </c>
      <c r="C12907" s="1" t="str">
        <f>HYPERLINK("http://stackoverflow.com/users/9143917", "Sr. full-stack engineer")</f>
        <v>Sr. full-stack engineer</v>
      </c>
      <c r="D12907" t="s">
        <v>320</v>
      </c>
      <c r="E12907">
        <v>1</v>
      </c>
    </row>
    <row r="12908" spans="1:5" x14ac:dyDescent="0.25">
      <c r="A12908">
        <v>12907</v>
      </c>
      <c r="B12908">
        <v>9143920</v>
      </c>
      <c r="C12908" s="1" t="str">
        <f>HYPERLINK("http://stackoverflow.com/users/9143920", "jerrymeow")</f>
        <v>jerrymeow</v>
      </c>
      <c r="D12908" t="s">
        <v>55</v>
      </c>
      <c r="E12908">
        <v>1</v>
      </c>
    </row>
    <row r="12909" spans="1:5" x14ac:dyDescent="0.25">
      <c r="A12909">
        <v>12908</v>
      </c>
      <c r="B12909">
        <v>9144088</v>
      </c>
      <c r="C12909" s="1" t="str">
        <f>HYPERLINK("http://stackoverflow.com/users/9144088", "Stone Xu")</f>
        <v>Stone Xu</v>
      </c>
      <c r="D12909" t="s">
        <v>16</v>
      </c>
      <c r="E12909">
        <v>1</v>
      </c>
    </row>
    <row r="12910" spans="1:5" x14ac:dyDescent="0.25">
      <c r="A12910">
        <v>12909</v>
      </c>
      <c r="B12910">
        <v>9144094</v>
      </c>
      <c r="C12910" s="1" t="str">
        <f>HYPERLINK("http://stackoverflow.com/users/9144094", "ToSimplicity")</f>
        <v>ToSimplicity</v>
      </c>
      <c r="D12910" t="s">
        <v>4</v>
      </c>
      <c r="E12910">
        <v>1</v>
      </c>
    </row>
    <row r="12911" spans="1:5" x14ac:dyDescent="0.25">
      <c r="A12911">
        <v>12910</v>
      </c>
      <c r="B12911">
        <v>9144124</v>
      </c>
      <c r="C12911" s="1" t="str">
        <f>HYPERLINK("http://stackoverflow.com/users/9144124", "Runze Mao")</f>
        <v>Runze Mao</v>
      </c>
      <c r="D12911" t="s">
        <v>5</v>
      </c>
      <c r="E12911">
        <v>1</v>
      </c>
    </row>
    <row r="12912" spans="1:5" x14ac:dyDescent="0.25">
      <c r="A12912">
        <v>12911</v>
      </c>
      <c r="B12912">
        <v>9140330</v>
      </c>
      <c r="C12912" s="1" t="str">
        <f>HYPERLINK("http://stackoverflow.com/users/9140330", "杨书凯")</f>
        <v>杨书凯</v>
      </c>
      <c r="D12912" t="s">
        <v>708</v>
      </c>
      <c r="E12912">
        <v>1</v>
      </c>
    </row>
    <row r="12913" spans="1:5" x14ac:dyDescent="0.25">
      <c r="A12913">
        <v>12912</v>
      </c>
      <c r="B12913">
        <v>9140343</v>
      </c>
      <c r="C12913" s="1" t="str">
        <f>HYPERLINK("http://stackoverflow.com/users/9140343", "jianbo")</f>
        <v>jianbo</v>
      </c>
      <c r="D12913" t="s">
        <v>47</v>
      </c>
      <c r="E12913">
        <v>1</v>
      </c>
    </row>
    <row r="12914" spans="1:5" x14ac:dyDescent="0.25">
      <c r="A12914">
        <v>12913</v>
      </c>
      <c r="B12914">
        <v>10931705</v>
      </c>
      <c r="C12914" s="1" t="str">
        <f>HYPERLINK("http://stackoverflow.com/users/10931705", "Vladimir Peter")</f>
        <v>Vladimir Peter</v>
      </c>
      <c r="D12914" t="s">
        <v>709</v>
      </c>
      <c r="E12914">
        <v>1</v>
      </c>
    </row>
    <row r="12915" spans="1:5" x14ac:dyDescent="0.25">
      <c r="A12915">
        <v>12914</v>
      </c>
      <c r="B12915">
        <v>10931790</v>
      </c>
      <c r="C12915" s="1" t="str">
        <f>HYPERLINK("http://stackoverflow.com/users/10931790", "Flynn")</f>
        <v>Flynn</v>
      </c>
      <c r="D12915" t="s">
        <v>4</v>
      </c>
      <c r="E12915">
        <v>1</v>
      </c>
    </row>
    <row r="12916" spans="1:5" x14ac:dyDescent="0.25">
      <c r="A12916">
        <v>12915</v>
      </c>
      <c r="B12916">
        <v>7262135</v>
      </c>
      <c r="C12916" s="1" t="str">
        <f>HYPERLINK("http://stackoverflow.com/users/7262135", "Elinor Sun")</f>
        <v>Elinor Sun</v>
      </c>
      <c r="D12916" t="s">
        <v>211</v>
      </c>
      <c r="E12916">
        <v>1</v>
      </c>
    </row>
    <row r="12917" spans="1:5" x14ac:dyDescent="0.25">
      <c r="A12917">
        <v>12916</v>
      </c>
      <c r="B12917">
        <v>7262341</v>
      </c>
      <c r="C12917" s="1" t="str">
        <f>HYPERLINK("http://stackoverflow.com/users/7262341", "user7262341")</f>
        <v>user7262341</v>
      </c>
      <c r="D12917" t="s">
        <v>4</v>
      </c>
      <c r="E12917">
        <v>1</v>
      </c>
    </row>
    <row r="12918" spans="1:5" x14ac:dyDescent="0.25">
      <c r="A12918">
        <v>12917</v>
      </c>
      <c r="B12918">
        <v>1900554</v>
      </c>
      <c r="C12918" s="1" t="str">
        <f>HYPERLINK("http://stackoverflow.com/users/1900554", "zhangy")</f>
        <v>zhangy</v>
      </c>
      <c r="D12918" t="s">
        <v>5</v>
      </c>
      <c r="E12918">
        <v>1</v>
      </c>
    </row>
    <row r="12919" spans="1:5" x14ac:dyDescent="0.25">
      <c r="A12919">
        <v>12918</v>
      </c>
      <c r="B12919">
        <v>3710007</v>
      </c>
      <c r="C12919" s="1" t="str">
        <f>HYPERLINK("http://stackoverflow.com/users/3710007", "Kisho Dai")</f>
        <v>Kisho Dai</v>
      </c>
      <c r="D12919" t="s">
        <v>4</v>
      </c>
      <c r="E12919">
        <v>1</v>
      </c>
    </row>
    <row r="12920" spans="1:5" x14ac:dyDescent="0.25">
      <c r="A12920">
        <v>12919</v>
      </c>
      <c r="B12920">
        <v>3710296</v>
      </c>
      <c r="C12920" s="1" t="str">
        <f>HYPERLINK("http://stackoverflow.com/users/3710296", "DAYU")</f>
        <v>DAYU</v>
      </c>
      <c r="D12920" t="s">
        <v>5</v>
      </c>
      <c r="E12920">
        <v>1</v>
      </c>
    </row>
    <row r="12921" spans="1:5" x14ac:dyDescent="0.25">
      <c r="A12921">
        <v>12920</v>
      </c>
      <c r="B12921">
        <v>5501465</v>
      </c>
      <c r="C12921" s="1" t="str">
        <f>HYPERLINK("http://stackoverflow.com/users/5501465", "Yang")</f>
        <v>Yang</v>
      </c>
      <c r="D12921" t="s">
        <v>21</v>
      </c>
      <c r="E12921">
        <v>1</v>
      </c>
    </row>
    <row r="12922" spans="1:5" x14ac:dyDescent="0.25">
      <c r="A12922">
        <v>12921</v>
      </c>
      <c r="B12922">
        <v>1901583</v>
      </c>
      <c r="C12922" s="1" t="str">
        <f>HYPERLINK("http://stackoverflow.com/users/1901583", "WHGxigongda")</f>
        <v>WHGxigongda</v>
      </c>
      <c r="D12922" t="s">
        <v>54</v>
      </c>
      <c r="E12922">
        <v>1</v>
      </c>
    </row>
    <row r="12923" spans="1:5" x14ac:dyDescent="0.25">
      <c r="A12923">
        <v>12922</v>
      </c>
      <c r="B12923">
        <v>3696268</v>
      </c>
      <c r="C12923" s="1" t="str">
        <f>HYPERLINK("http://stackoverflow.com/users/3696268", "Rick668")</f>
        <v>Rick668</v>
      </c>
      <c r="D12923" t="s">
        <v>25</v>
      </c>
      <c r="E12923">
        <v>1</v>
      </c>
    </row>
    <row r="12924" spans="1:5" x14ac:dyDescent="0.25">
      <c r="A12924">
        <v>12923</v>
      </c>
      <c r="B12924">
        <v>1906474</v>
      </c>
      <c r="C12924" s="1" t="str">
        <f>HYPERLINK("http://stackoverflow.com/users/1906474", "Cecho")</f>
        <v>Cecho</v>
      </c>
      <c r="D12924" t="s">
        <v>35</v>
      </c>
      <c r="E12924">
        <v>1</v>
      </c>
    </row>
    <row r="12925" spans="1:5" x14ac:dyDescent="0.25">
      <c r="A12925">
        <v>12924</v>
      </c>
      <c r="B12925">
        <v>5497716</v>
      </c>
      <c r="C12925" s="1" t="str">
        <f>HYPERLINK("http://stackoverflow.com/users/5497716", "LeeJHang")</f>
        <v>LeeJHang</v>
      </c>
      <c r="D12925" t="s">
        <v>17</v>
      </c>
      <c r="E12925">
        <v>1</v>
      </c>
    </row>
    <row r="12926" spans="1:5" x14ac:dyDescent="0.25">
      <c r="A12926">
        <v>12925</v>
      </c>
      <c r="B12926">
        <v>5497744</v>
      </c>
      <c r="C12926" s="1" t="str">
        <f>HYPERLINK("http://stackoverflow.com/users/5497744", "cassiemudan")</f>
        <v>cassiemudan</v>
      </c>
      <c r="D12926" t="s">
        <v>5</v>
      </c>
      <c r="E12926">
        <v>1</v>
      </c>
    </row>
    <row r="12927" spans="1:5" x14ac:dyDescent="0.25">
      <c r="A12927">
        <v>12926</v>
      </c>
      <c r="B12927">
        <v>5497924</v>
      </c>
      <c r="C12927" s="1" t="str">
        <f>HYPERLINK("http://stackoverflow.com/users/5497924", "Victor.Chen")</f>
        <v>Victor.Chen</v>
      </c>
      <c r="D12927" t="s">
        <v>95</v>
      </c>
      <c r="E12927">
        <v>1</v>
      </c>
    </row>
    <row r="12928" spans="1:5" x14ac:dyDescent="0.25">
      <c r="A12928">
        <v>12927</v>
      </c>
      <c r="B12928">
        <v>5498274</v>
      </c>
      <c r="C12928" s="1" t="str">
        <f>HYPERLINK("http://stackoverflow.com/users/5498274", "pandsjw")</f>
        <v>pandsjw</v>
      </c>
      <c r="D12928" t="s">
        <v>16</v>
      </c>
      <c r="E12928">
        <v>1</v>
      </c>
    </row>
    <row r="12929" spans="1:5" x14ac:dyDescent="0.25">
      <c r="A12929">
        <v>12928</v>
      </c>
      <c r="B12929">
        <v>9125192</v>
      </c>
      <c r="C12929" s="1" t="str">
        <f>HYPERLINK("http://stackoverflow.com/users/9125192", "Evan")</f>
        <v>Evan</v>
      </c>
      <c r="D12929" t="s">
        <v>7</v>
      </c>
      <c r="E12929">
        <v>1</v>
      </c>
    </row>
    <row r="12930" spans="1:5" x14ac:dyDescent="0.25">
      <c r="A12930">
        <v>12929</v>
      </c>
      <c r="B12930">
        <v>1911669</v>
      </c>
      <c r="C12930" s="1" t="str">
        <f>HYPERLINK("http://stackoverflow.com/users/1911669", "Eileen zhang")</f>
        <v>Eileen zhang</v>
      </c>
      <c r="D12930" t="s">
        <v>5</v>
      </c>
      <c r="E12930">
        <v>1</v>
      </c>
    </row>
    <row r="12931" spans="1:5" x14ac:dyDescent="0.25">
      <c r="A12931">
        <v>12930</v>
      </c>
      <c r="B12931">
        <v>9129135</v>
      </c>
      <c r="C12931" s="1" t="str">
        <f>HYPERLINK("http://stackoverflow.com/users/9129135", "jingjun_li")</f>
        <v>jingjun_li</v>
      </c>
      <c r="D12931" t="s">
        <v>52</v>
      </c>
      <c r="E12931">
        <v>1</v>
      </c>
    </row>
    <row r="12932" spans="1:5" x14ac:dyDescent="0.25">
      <c r="A12932">
        <v>12931</v>
      </c>
      <c r="B12932">
        <v>9129337</v>
      </c>
      <c r="C12932" s="1" t="str">
        <f>HYPERLINK("http://stackoverflow.com/users/9129337", "cheerss")</f>
        <v>cheerss</v>
      </c>
      <c r="D12932" t="s">
        <v>16</v>
      </c>
      <c r="E12932">
        <v>1</v>
      </c>
    </row>
    <row r="12933" spans="1:5" x14ac:dyDescent="0.25">
      <c r="A12933">
        <v>12932</v>
      </c>
      <c r="B12933">
        <v>9129348</v>
      </c>
      <c r="C12933" s="1" t="str">
        <f>HYPERLINK("http://stackoverflow.com/users/9129348", "zhouyu1993")</f>
        <v>zhouyu1993</v>
      </c>
      <c r="D12933" t="s">
        <v>55</v>
      </c>
      <c r="E12933">
        <v>1</v>
      </c>
    </row>
    <row r="12934" spans="1:5" x14ac:dyDescent="0.25">
      <c r="A12934">
        <v>12933</v>
      </c>
      <c r="B12934">
        <v>9129356</v>
      </c>
      <c r="C12934" s="1" t="str">
        <f>HYPERLINK("http://stackoverflow.com/users/9129356", "Rachel Junhua Wang")</f>
        <v>Rachel Junhua Wang</v>
      </c>
      <c r="D12934" t="s">
        <v>5</v>
      </c>
      <c r="E12934">
        <v>1</v>
      </c>
    </row>
    <row r="12935" spans="1:5" x14ac:dyDescent="0.25">
      <c r="A12935">
        <v>12934</v>
      </c>
      <c r="B12935">
        <v>3705457</v>
      </c>
      <c r="C12935" s="1" t="str">
        <f>HYPERLINK("http://stackoverflow.com/users/3705457", "StrangerG")</f>
        <v>StrangerG</v>
      </c>
      <c r="D12935" t="s">
        <v>5</v>
      </c>
      <c r="E12935">
        <v>1</v>
      </c>
    </row>
    <row r="12936" spans="1:5" x14ac:dyDescent="0.25">
      <c r="A12936">
        <v>12935</v>
      </c>
      <c r="B12936">
        <v>3705578</v>
      </c>
      <c r="C12936" s="1" t="str">
        <f>HYPERLINK("http://stackoverflow.com/users/3705578", "Yuan")</f>
        <v>Yuan</v>
      </c>
      <c r="D12936" t="s">
        <v>4</v>
      </c>
      <c r="E12936">
        <v>1</v>
      </c>
    </row>
    <row r="12937" spans="1:5" x14ac:dyDescent="0.25">
      <c r="A12937">
        <v>12936</v>
      </c>
      <c r="B12937">
        <v>3705888</v>
      </c>
      <c r="C12937" s="1" t="str">
        <f>HYPERLINK("http://stackoverflow.com/users/3705888", "xiaofei")</f>
        <v>xiaofei</v>
      </c>
      <c r="D12937" t="s">
        <v>4</v>
      </c>
      <c r="E12937">
        <v>1</v>
      </c>
    </row>
    <row r="12938" spans="1:5" x14ac:dyDescent="0.25">
      <c r="A12938">
        <v>12937</v>
      </c>
      <c r="B12938">
        <v>3705969</v>
      </c>
      <c r="C12938" s="1" t="str">
        <f>HYPERLINK("http://stackoverflow.com/users/3705969", "Setsail")</f>
        <v>Setsail</v>
      </c>
      <c r="D12938" t="s">
        <v>4</v>
      </c>
      <c r="E12938">
        <v>1</v>
      </c>
    </row>
    <row r="12939" spans="1:5" x14ac:dyDescent="0.25">
      <c r="A12939">
        <v>12938</v>
      </c>
      <c r="B12939">
        <v>9153455</v>
      </c>
      <c r="C12939" s="1" t="str">
        <f>HYPERLINK("http://stackoverflow.com/users/9153455", "hui")</f>
        <v>hui</v>
      </c>
      <c r="D12939" t="s">
        <v>5</v>
      </c>
      <c r="E12939">
        <v>1</v>
      </c>
    </row>
    <row r="12940" spans="1:5" x14ac:dyDescent="0.25">
      <c r="A12940">
        <v>12939</v>
      </c>
      <c r="B12940">
        <v>9153609</v>
      </c>
      <c r="C12940" s="1" t="str">
        <f>HYPERLINK("http://stackoverflow.com/users/9153609", "Sanjev Dhakal")</f>
        <v>Sanjev Dhakal</v>
      </c>
      <c r="D12940" t="s">
        <v>5</v>
      </c>
      <c r="E12940">
        <v>1</v>
      </c>
    </row>
    <row r="12941" spans="1:5" x14ac:dyDescent="0.25">
      <c r="A12941">
        <v>12940</v>
      </c>
      <c r="B12941">
        <v>7285666</v>
      </c>
      <c r="C12941" s="1" t="str">
        <f>HYPERLINK("http://stackoverflow.com/users/7285666", "Soukeiu")</f>
        <v>Soukeiu</v>
      </c>
      <c r="D12941" t="s">
        <v>27</v>
      </c>
      <c r="E12941">
        <v>1</v>
      </c>
    </row>
    <row r="12942" spans="1:5" x14ac:dyDescent="0.25">
      <c r="A12942">
        <v>12941</v>
      </c>
      <c r="B12942">
        <v>7285698</v>
      </c>
      <c r="C12942" s="1" t="str">
        <f>HYPERLINK("http://stackoverflow.com/users/7285698", "Mr.E")</f>
        <v>Mr.E</v>
      </c>
      <c r="D12942" t="s">
        <v>7</v>
      </c>
      <c r="E12942">
        <v>1</v>
      </c>
    </row>
    <row r="12943" spans="1:5" x14ac:dyDescent="0.25">
      <c r="A12943">
        <v>12942</v>
      </c>
      <c r="B12943">
        <v>1944653</v>
      </c>
      <c r="C12943" s="1" t="str">
        <f>HYPERLINK("http://stackoverflow.com/users/1944653", "eric.xiao")</f>
        <v>eric.xiao</v>
      </c>
      <c r="D12943" t="s">
        <v>5</v>
      </c>
      <c r="E12943">
        <v>1</v>
      </c>
    </row>
    <row r="12944" spans="1:5" x14ac:dyDescent="0.25">
      <c r="A12944">
        <v>12943</v>
      </c>
      <c r="B12944">
        <v>1944794</v>
      </c>
      <c r="C12944" s="1" t="str">
        <f>HYPERLINK("http://stackoverflow.com/users/1944794", "wzhonggo")</f>
        <v>wzhonggo</v>
      </c>
      <c r="D12944" t="s">
        <v>4</v>
      </c>
      <c r="E12944">
        <v>1</v>
      </c>
    </row>
    <row r="12945" spans="1:5" x14ac:dyDescent="0.25">
      <c r="A12945">
        <v>12944</v>
      </c>
      <c r="B12945">
        <v>1945703</v>
      </c>
      <c r="C12945" s="1" t="str">
        <f>HYPERLINK("http://stackoverflow.com/users/1945703", "jalen wang")</f>
        <v>jalen wang</v>
      </c>
      <c r="D12945" t="s">
        <v>4</v>
      </c>
      <c r="E12945">
        <v>1</v>
      </c>
    </row>
    <row r="12946" spans="1:5" x14ac:dyDescent="0.25">
      <c r="A12946">
        <v>12945</v>
      </c>
      <c r="B12946">
        <v>10955827</v>
      </c>
      <c r="C12946" s="1" t="str">
        <f>HYPERLINK("http://stackoverflow.com/users/10955827", "JennyDong")</f>
        <v>JennyDong</v>
      </c>
      <c r="D12946" t="s">
        <v>39</v>
      </c>
      <c r="E12946">
        <v>1</v>
      </c>
    </row>
    <row r="12947" spans="1:5" x14ac:dyDescent="0.25">
      <c r="A12947">
        <v>12946</v>
      </c>
      <c r="B12947">
        <v>10956490</v>
      </c>
      <c r="C12947" s="1" t="str">
        <f>HYPERLINK("http://stackoverflow.com/users/10956490", "Danxu")</f>
        <v>Danxu</v>
      </c>
      <c r="D12947" t="s">
        <v>4</v>
      </c>
      <c r="E12947">
        <v>1</v>
      </c>
    </row>
    <row r="12948" spans="1:5" x14ac:dyDescent="0.25">
      <c r="A12948">
        <v>12947</v>
      </c>
      <c r="B12948">
        <v>5536447</v>
      </c>
      <c r="C12948" s="1" t="str">
        <f>HYPERLINK("http://stackoverflow.com/users/5536447", "Chiang")</f>
        <v>Chiang</v>
      </c>
      <c r="D12948" t="s">
        <v>17</v>
      </c>
      <c r="E12948">
        <v>1</v>
      </c>
    </row>
    <row r="12949" spans="1:5" x14ac:dyDescent="0.25">
      <c r="A12949">
        <v>12948</v>
      </c>
      <c r="B12949">
        <v>1951114</v>
      </c>
      <c r="C12949" s="1" t="str">
        <f>HYPERLINK("http://stackoverflow.com/users/1951114", "jialiang Fang")</f>
        <v>jialiang Fang</v>
      </c>
      <c r="D12949" t="s">
        <v>710</v>
      </c>
      <c r="E12949">
        <v>1</v>
      </c>
    </row>
    <row r="12950" spans="1:5" x14ac:dyDescent="0.25">
      <c r="A12950">
        <v>12949</v>
      </c>
      <c r="B12950">
        <v>5519747</v>
      </c>
      <c r="C12950" s="1" t="str">
        <f>HYPERLINK("http://stackoverflow.com/users/5519747", "WeihanLi")</f>
        <v>WeihanLi</v>
      </c>
      <c r="D12950" t="s">
        <v>4</v>
      </c>
      <c r="E12950">
        <v>1</v>
      </c>
    </row>
    <row r="12951" spans="1:5" x14ac:dyDescent="0.25">
      <c r="A12951">
        <v>12950</v>
      </c>
      <c r="B12951">
        <v>5519946</v>
      </c>
      <c r="C12951" s="1" t="str">
        <f>HYPERLINK("http://stackoverflow.com/users/5519946", "kaiser_czy")</f>
        <v>kaiser_czy</v>
      </c>
      <c r="D12951" t="s">
        <v>113</v>
      </c>
      <c r="E12951">
        <v>1</v>
      </c>
    </row>
    <row r="12952" spans="1:5" x14ac:dyDescent="0.25">
      <c r="A12952">
        <v>12951</v>
      </c>
      <c r="B12952">
        <v>5522575</v>
      </c>
      <c r="C12952" s="1" t="str">
        <f>HYPERLINK("http://stackoverflow.com/users/5522575", "wiiler")</f>
        <v>wiiler</v>
      </c>
      <c r="D12952" t="s">
        <v>5</v>
      </c>
      <c r="E12952">
        <v>1</v>
      </c>
    </row>
    <row r="12953" spans="1:5" x14ac:dyDescent="0.25">
      <c r="A12953">
        <v>12952</v>
      </c>
      <c r="B12953">
        <v>7276931</v>
      </c>
      <c r="C12953" s="1" t="str">
        <f>HYPERLINK("http://stackoverflow.com/users/7276931", "houda28")</f>
        <v>houda28</v>
      </c>
      <c r="D12953" t="s">
        <v>4</v>
      </c>
      <c r="E12953">
        <v>1</v>
      </c>
    </row>
    <row r="12954" spans="1:5" x14ac:dyDescent="0.25">
      <c r="A12954">
        <v>12953</v>
      </c>
      <c r="B12954">
        <v>10948438</v>
      </c>
      <c r="C12954" s="1" t="str">
        <f>HYPERLINK("http://stackoverflow.com/users/10948438", "Wizardexiles")</f>
        <v>Wizardexiles</v>
      </c>
      <c r="D12954" t="s">
        <v>7</v>
      </c>
      <c r="E12954">
        <v>1</v>
      </c>
    </row>
    <row r="12955" spans="1:5" x14ac:dyDescent="0.25">
      <c r="A12955">
        <v>12954</v>
      </c>
      <c r="B12955">
        <v>10948525</v>
      </c>
      <c r="C12955" s="1" t="str">
        <f>HYPERLINK("http://stackoverflow.com/users/10948525", "jun chen")</f>
        <v>jun chen</v>
      </c>
      <c r="D12955" t="s">
        <v>4</v>
      </c>
      <c r="E12955">
        <v>1</v>
      </c>
    </row>
    <row r="12956" spans="1:5" x14ac:dyDescent="0.25">
      <c r="A12956">
        <v>12955</v>
      </c>
      <c r="B12956">
        <v>9144289</v>
      </c>
      <c r="C12956" s="1" t="str">
        <f>HYPERLINK("http://stackoverflow.com/users/9144289", "JQ Wang")</f>
        <v>JQ Wang</v>
      </c>
      <c r="D12956" t="s">
        <v>16</v>
      </c>
      <c r="E12956">
        <v>1</v>
      </c>
    </row>
    <row r="12957" spans="1:5" x14ac:dyDescent="0.25">
      <c r="A12957">
        <v>12956</v>
      </c>
      <c r="B12957">
        <v>9144508</v>
      </c>
      <c r="C12957" s="1" t="str">
        <f>HYPERLINK("http://stackoverflow.com/users/9144508", "zxkydq")</f>
        <v>zxkydq</v>
      </c>
      <c r="D12957" t="s">
        <v>5</v>
      </c>
      <c r="E12957">
        <v>1</v>
      </c>
    </row>
    <row r="12958" spans="1:5" x14ac:dyDescent="0.25">
      <c r="A12958">
        <v>12957</v>
      </c>
      <c r="B12958">
        <v>1927509</v>
      </c>
      <c r="C12958" s="1" t="str">
        <f>HYPERLINK("http://stackoverflow.com/users/1927509", "fiftyk")</f>
        <v>fiftyk</v>
      </c>
      <c r="D12958" t="s">
        <v>3</v>
      </c>
      <c r="E12958">
        <v>1</v>
      </c>
    </row>
    <row r="12959" spans="1:5" x14ac:dyDescent="0.25">
      <c r="A12959">
        <v>12958</v>
      </c>
      <c r="B12959">
        <v>1927601</v>
      </c>
      <c r="C12959" s="1" t="str">
        <f>HYPERLINK("http://stackoverflow.com/users/1927601", "listen1999")</f>
        <v>listen1999</v>
      </c>
      <c r="D12959" t="s">
        <v>5</v>
      </c>
      <c r="E12959">
        <v>1</v>
      </c>
    </row>
    <row r="12960" spans="1:5" x14ac:dyDescent="0.25">
      <c r="A12960">
        <v>12959</v>
      </c>
      <c r="B12960">
        <v>1927635</v>
      </c>
      <c r="C12960" s="1" t="str">
        <f>HYPERLINK("http://stackoverflow.com/users/1927635", "Glorabit")</f>
        <v>Glorabit</v>
      </c>
      <c r="D12960" t="s">
        <v>5</v>
      </c>
      <c r="E12960">
        <v>1</v>
      </c>
    </row>
    <row r="12961" spans="1:5" x14ac:dyDescent="0.25">
      <c r="A12961">
        <v>12960</v>
      </c>
      <c r="B12961">
        <v>1927644</v>
      </c>
      <c r="C12961" s="1" t="str">
        <f>HYPERLINK("http://stackoverflow.com/users/1927644", "jiaYou")</f>
        <v>jiaYou</v>
      </c>
      <c r="D12961" t="s">
        <v>12</v>
      </c>
      <c r="E12961">
        <v>1</v>
      </c>
    </row>
    <row r="12962" spans="1:5" x14ac:dyDescent="0.25">
      <c r="A12962">
        <v>12961</v>
      </c>
      <c r="B12962">
        <v>1928423</v>
      </c>
      <c r="C12962" s="1" t="str">
        <f>HYPERLINK("http://stackoverflow.com/users/1928423", "alien")</f>
        <v>alien</v>
      </c>
      <c r="D12962" t="s">
        <v>22</v>
      </c>
      <c r="E12962">
        <v>1</v>
      </c>
    </row>
    <row r="12963" spans="1:5" x14ac:dyDescent="0.25">
      <c r="A12963">
        <v>12962</v>
      </c>
      <c r="B12963">
        <v>1928968</v>
      </c>
      <c r="C12963" s="1" t="str">
        <f>HYPERLINK("http://stackoverflow.com/users/1928968", "liam liang")</f>
        <v>liam liang</v>
      </c>
      <c r="D12963" t="s">
        <v>6</v>
      </c>
      <c r="E12963">
        <v>1</v>
      </c>
    </row>
    <row r="12964" spans="1:5" x14ac:dyDescent="0.25">
      <c r="A12964">
        <v>12963</v>
      </c>
      <c r="B12964">
        <v>1928987</v>
      </c>
      <c r="C12964" s="1" t="str">
        <f>HYPERLINK("http://stackoverflow.com/users/1928987", "jollyant")</f>
        <v>jollyant</v>
      </c>
      <c r="D12964" t="s">
        <v>12</v>
      </c>
      <c r="E12964">
        <v>1</v>
      </c>
    </row>
    <row r="12965" spans="1:5" x14ac:dyDescent="0.25">
      <c r="A12965">
        <v>12964</v>
      </c>
      <c r="B12965">
        <v>1928997</v>
      </c>
      <c r="C12965" s="1" t="str">
        <f>HYPERLINK("http://stackoverflow.com/users/1928997", "yyma")</f>
        <v>yyma</v>
      </c>
      <c r="D12965" t="s">
        <v>4</v>
      </c>
      <c r="E12965">
        <v>1</v>
      </c>
    </row>
    <row r="12966" spans="1:5" x14ac:dyDescent="0.25">
      <c r="A12966">
        <v>12965</v>
      </c>
      <c r="B12966">
        <v>5514709</v>
      </c>
      <c r="C12966" s="1" t="str">
        <f>HYPERLINK("http://stackoverflow.com/users/5514709", "Hobbey")</f>
        <v>Hobbey</v>
      </c>
      <c r="D12966" t="s">
        <v>4</v>
      </c>
      <c r="E12966">
        <v>1</v>
      </c>
    </row>
    <row r="12967" spans="1:5" x14ac:dyDescent="0.25">
      <c r="A12967">
        <v>12966</v>
      </c>
      <c r="B12967">
        <v>5515024</v>
      </c>
      <c r="C12967" s="1" t="str">
        <f>HYPERLINK("http://stackoverflow.com/users/5515024", "nice_gh")</f>
        <v>nice_gh</v>
      </c>
      <c r="D12967" t="s">
        <v>35</v>
      </c>
      <c r="E12967">
        <v>1</v>
      </c>
    </row>
    <row r="12968" spans="1:5" x14ac:dyDescent="0.25">
      <c r="A12968">
        <v>12967</v>
      </c>
      <c r="B12968">
        <v>5515170</v>
      </c>
      <c r="C12968" s="1" t="str">
        <f>HYPERLINK("http://stackoverflow.com/users/5515170", "Jian")</f>
        <v>Jian</v>
      </c>
      <c r="D12968" t="s">
        <v>57</v>
      </c>
      <c r="E12968">
        <v>1</v>
      </c>
    </row>
    <row r="12969" spans="1:5" x14ac:dyDescent="0.25">
      <c r="A12969">
        <v>12968</v>
      </c>
      <c r="B12969">
        <v>3724538</v>
      </c>
      <c r="C12969" s="1" t="str">
        <f>HYPERLINK("http://stackoverflow.com/users/3724538", "IvanPeng")</f>
        <v>IvanPeng</v>
      </c>
      <c r="D12969" t="s">
        <v>4</v>
      </c>
      <c r="E12969">
        <v>1</v>
      </c>
    </row>
    <row r="12970" spans="1:5" x14ac:dyDescent="0.25">
      <c r="A12970">
        <v>12969</v>
      </c>
      <c r="B12970">
        <v>9149214</v>
      </c>
      <c r="C12970" s="1" t="str">
        <f>HYPERLINK("http://stackoverflow.com/users/9149214", "weltloss")</f>
        <v>weltloss</v>
      </c>
      <c r="D12970" t="s">
        <v>47</v>
      </c>
      <c r="E12970">
        <v>1</v>
      </c>
    </row>
    <row r="12971" spans="1:5" x14ac:dyDescent="0.25">
      <c r="A12971">
        <v>12970</v>
      </c>
      <c r="B12971">
        <v>5519212</v>
      </c>
      <c r="C12971" s="1" t="str">
        <f>HYPERLINK("http://stackoverflow.com/users/5519212", "sf1991")</f>
        <v>sf1991</v>
      </c>
      <c r="D12971" t="s">
        <v>5</v>
      </c>
      <c r="E12971">
        <v>1</v>
      </c>
    </row>
    <row r="12972" spans="1:5" x14ac:dyDescent="0.25">
      <c r="A12972">
        <v>12971</v>
      </c>
      <c r="B12972">
        <v>10970156</v>
      </c>
      <c r="C12972" s="1" t="str">
        <f>HYPERLINK("http://stackoverflow.com/users/10970156", "Vladislav Shergin")</f>
        <v>Vladislav Shergin</v>
      </c>
      <c r="D12972" t="s">
        <v>5</v>
      </c>
      <c r="E12972">
        <v>1</v>
      </c>
    </row>
    <row r="12973" spans="1:5" x14ac:dyDescent="0.25">
      <c r="A12973">
        <v>12972</v>
      </c>
      <c r="B12973">
        <v>5541761</v>
      </c>
      <c r="C12973" s="1" t="str">
        <f>HYPERLINK("http://stackoverflow.com/users/5541761", "yangxiangming")</f>
        <v>yangxiangming</v>
      </c>
      <c r="D12973" t="s">
        <v>4</v>
      </c>
      <c r="E12973">
        <v>1</v>
      </c>
    </row>
    <row r="12974" spans="1:5" x14ac:dyDescent="0.25">
      <c r="A12974">
        <v>12973</v>
      </c>
      <c r="B12974">
        <v>1959984</v>
      </c>
      <c r="C12974" s="1" t="str">
        <f>HYPERLINK("http://stackoverflow.com/users/1959984", "user1959984")</f>
        <v>user1959984</v>
      </c>
      <c r="D12974" t="s">
        <v>5</v>
      </c>
      <c r="E12974">
        <v>1</v>
      </c>
    </row>
    <row r="12975" spans="1:5" x14ac:dyDescent="0.25">
      <c r="A12975">
        <v>12974</v>
      </c>
      <c r="B12975">
        <v>1960056</v>
      </c>
      <c r="C12975" s="1" t="str">
        <f>HYPERLINK("http://stackoverflow.com/users/1960056", "hello.9xiang")</f>
        <v>hello.9xiang</v>
      </c>
      <c r="D12975" t="s">
        <v>56</v>
      </c>
      <c r="E12975">
        <v>1</v>
      </c>
    </row>
    <row r="12976" spans="1:5" x14ac:dyDescent="0.25">
      <c r="A12976">
        <v>12975</v>
      </c>
      <c r="B12976">
        <v>3748056</v>
      </c>
      <c r="C12976" s="1" t="str">
        <f>HYPERLINK("http://stackoverflow.com/users/3748056", "Ade")</f>
        <v>Ade</v>
      </c>
      <c r="D12976" t="s">
        <v>5</v>
      </c>
      <c r="E12976">
        <v>1</v>
      </c>
    </row>
    <row r="12977" spans="1:5" x14ac:dyDescent="0.25">
      <c r="A12977">
        <v>12976</v>
      </c>
      <c r="B12977">
        <v>9169470</v>
      </c>
      <c r="C12977" s="1" t="str">
        <f>HYPERLINK("http://stackoverflow.com/users/9169470", "ironZinc")</f>
        <v>ironZinc</v>
      </c>
      <c r="D12977" t="s">
        <v>17</v>
      </c>
      <c r="E12977">
        <v>1</v>
      </c>
    </row>
    <row r="12978" spans="1:5" x14ac:dyDescent="0.25">
      <c r="A12978">
        <v>12977</v>
      </c>
      <c r="B12978">
        <v>10963712</v>
      </c>
      <c r="C12978" s="1" t="str">
        <f>HYPERLINK("http://stackoverflow.com/users/10963712", "Jie ZHOU")</f>
        <v>Jie ZHOU</v>
      </c>
      <c r="D12978" t="s">
        <v>4</v>
      </c>
      <c r="E12978">
        <v>1</v>
      </c>
    </row>
    <row r="12979" spans="1:5" x14ac:dyDescent="0.25">
      <c r="A12979">
        <v>12978</v>
      </c>
      <c r="B12979">
        <v>5537104</v>
      </c>
      <c r="C12979" s="1" t="str">
        <f>HYPERLINK("http://stackoverflow.com/users/5537104", "MrXiong")</f>
        <v>MrXiong</v>
      </c>
      <c r="D12979" t="s">
        <v>12</v>
      </c>
      <c r="E12979">
        <v>1</v>
      </c>
    </row>
    <row r="12980" spans="1:5" x14ac:dyDescent="0.25">
      <c r="A12980">
        <v>12979</v>
      </c>
      <c r="B12980">
        <v>1960678</v>
      </c>
      <c r="C12980" s="1" t="str">
        <f>HYPERLINK("http://stackoverflow.com/users/1960678", "user1960678")</f>
        <v>user1960678</v>
      </c>
      <c r="D12980" t="s">
        <v>12</v>
      </c>
      <c r="E12980">
        <v>1</v>
      </c>
    </row>
    <row r="12981" spans="1:5" x14ac:dyDescent="0.25">
      <c r="A12981">
        <v>12980</v>
      </c>
      <c r="B12981">
        <v>1968721</v>
      </c>
      <c r="C12981" s="1" t="str">
        <f>HYPERLINK("http://stackoverflow.com/users/1968721", "lilychain")</f>
        <v>lilychain</v>
      </c>
      <c r="D12981" t="s">
        <v>37</v>
      </c>
      <c r="E12981">
        <v>1</v>
      </c>
    </row>
    <row r="12982" spans="1:5" x14ac:dyDescent="0.25">
      <c r="A12982">
        <v>12981</v>
      </c>
      <c r="B12982">
        <v>7305422</v>
      </c>
      <c r="C12982" s="1" t="str">
        <f>HYPERLINK("http://stackoverflow.com/users/7305422", "Am.gc")</f>
        <v>Am.gc</v>
      </c>
      <c r="D12982" t="s">
        <v>15</v>
      </c>
      <c r="E12982">
        <v>1</v>
      </c>
    </row>
    <row r="12983" spans="1:5" x14ac:dyDescent="0.25">
      <c r="A12983">
        <v>12982</v>
      </c>
      <c r="B12983">
        <v>7305585</v>
      </c>
      <c r="C12983" s="1" t="str">
        <f>HYPERLINK("http://stackoverflow.com/users/7305585", "Bud")</f>
        <v>Bud</v>
      </c>
      <c r="D12983" t="s">
        <v>5</v>
      </c>
      <c r="E12983">
        <v>1</v>
      </c>
    </row>
    <row r="12984" spans="1:5" x14ac:dyDescent="0.25">
      <c r="A12984">
        <v>12983</v>
      </c>
      <c r="B12984">
        <v>7305834</v>
      </c>
      <c r="C12984" s="1" t="str">
        <f>HYPERLINK("http://stackoverflow.com/users/7305834", "Doraemon")</f>
        <v>Doraemon</v>
      </c>
      <c r="D12984" t="s">
        <v>325</v>
      </c>
      <c r="E12984">
        <v>1</v>
      </c>
    </row>
    <row r="12985" spans="1:5" x14ac:dyDescent="0.25">
      <c r="A12985">
        <v>12984</v>
      </c>
      <c r="B12985">
        <v>1961045</v>
      </c>
      <c r="C12985" s="1" t="str">
        <f>HYPERLINK("http://stackoverflow.com/users/1961045", "Mr.Yang")</f>
        <v>Mr.Yang</v>
      </c>
      <c r="D12985" t="s">
        <v>4</v>
      </c>
      <c r="E12985">
        <v>1</v>
      </c>
    </row>
    <row r="12986" spans="1:5" x14ac:dyDescent="0.25">
      <c r="A12986">
        <v>12985</v>
      </c>
      <c r="B12986">
        <v>9175631</v>
      </c>
      <c r="C12986" s="1" t="str">
        <f>HYPERLINK("http://stackoverflow.com/users/9175631", "Wilson Lyu")</f>
        <v>Wilson Lyu</v>
      </c>
      <c r="D12986" t="s">
        <v>7</v>
      </c>
      <c r="E12986">
        <v>1</v>
      </c>
    </row>
    <row r="12987" spans="1:5" x14ac:dyDescent="0.25">
      <c r="A12987">
        <v>12986</v>
      </c>
      <c r="B12987">
        <v>9175715</v>
      </c>
      <c r="C12987" s="1" t="str">
        <f>HYPERLINK("http://stackoverflow.com/users/9175715", "Liu Mei")</f>
        <v>Liu Mei</v>
      </c>
      <c r="D12987" t="s">
        <v>33</v>
      </c>
      <c r="E12987">
        <v>1</v>
      </c>
    </row>
    <row r="12988" spans="1:5" x14ac:dyDescent="0.25">
      <c r="A12988">
        <v>12987</v>
      </c>
      <c r="B12988">
        <v>9175938</v>
      </c>
      <c r="C12988" s="1" t="str">
        <f>HYPERLINK("http://stackoverflow.com/users/9175938", "iyytdeed")</f>
        <v>iyytdeed</v>
      </c>
      <c r="D12988" t="s">
        <v>28</v>
      </c>
      <c r="E12988">
        <v>1</v>
      </c>
    </row>
    <row r="12989" spans="1:5" x14ac:dyDescent="0.25">
      <c r="A12989">
        <v>12988</v>
      </c>
      <c r="B12989">
        <v>3752214</v>
      </c>
      <c r="C12989" s="1" t="str">
        <f>HYPERLINK("http://stackoverflow.com/users/3752214", "sparrow")</f>
        <v>sparrow</v>
      </c>
      <c r="D12989" t="s">
        <v>54</v>
      </c>
      <c r="E12989">
        <v>1</v>
      </c>
    </row>
    <row r="12990" spans="1:5" x14ac:dyDescent="0.25">
      <c r="A12990">
        <v>12989</v>
      </c>
      <c r="B12990">
        <v>10974014</v>
      </c>
      <c r="C12990" s="1" t="str">
        <f>HYPERLINK("http://stackoverflow.com/users/10974014", "hui guo")</f>
        <v>hui guo</v>
      </c>
      <c r="D12990" t="s">
        <v>5</v>
      </c>
      <c r="E12990">
        <v>1</v>
      </c>
    </row>
    <row r="12991" spans="1:5" x14ac:dyDescent="0.25">
      <c r="A12991">
        <v>12990</v>
      </c>
      <c r="B12991">
        <v>5545566</v>
      </c>
      <c r="C12991" s="1" t="str">
        <f>HYPERLINK("http://stackoverflow.com/users/5545566", "John")</f>
        <v>John</v>
      </c>
      <c r="D12991" t="s">
        <v>4</v>
      </c>
      <c r="E12991">
        <v>1</v>
      </c>
    </row>
    <row r="12992" spans="1:5" x14ac:dyDescent="0.25">
      <c r="A12992">
        <v>12991</v>
      </c>
      <c r="B12992">
        <v>5545959</v>
      </c>
      <c r="C12992" s="1" t="str">
        <f>HYPERLINK("http://stackoverflow.com/users/5545959", "Evan")</f>
        <v>Evan</v>
      </c>
      <c r="D12992" t="s">
        <v>5</v>
      </c>
      <c r="E12992">
        <v>1</v>
      </c>
    </row>
    <row r="12993" spans="1:5" x14ac:dyDescent="0.25">
      <c r="A12993">
        <v>12992</v>
      </c>
      <c r="B12993">
        <v>7347240</v>
      </c>
      <c r="C12993" s="1" t="str">
        <f>HYPERLINK("http://stackoverflow.com/users/7347240", "Andy Wang")</f>
        <v>Andy Wang</v>
      </c>
      <c r="D12993" t="s">
        <v>221</v>
      </c>
      <c r="E12993">
        <v>1</v>
      </c>
    </row>
    <row r="12994" spans="1:5" x14ac:dyDescent="0.25">
      <c r="A12994">
        <v>12993</v>
      </c>
      <c r="B12994">
        <v>9232502</v>
      </c>
      <c r="C12994" s="1" t="str">
        <f>HYPERLINK("http://stackoverflow.com/users/9232502", "Z. Fan")</f>
        <v>Z. Fan</v>
      </c>
      <c r="D12994" t="s">
        <v>415</v>
      </c>
      <c r="E12994">
        <v>1</v>
      </c>
    </row>
    <row r="12995" spans="1:5" x14ac:dyDescent="0.25">
      <c r="A12995">
        <v>12994</v>
      </c>
      <c r="B12995">
        <v>9232804</v>
      </c>
      <c r="C12995" s="1" t="str">
        <f>HYPERLINK("http://stackoverflow.com/users/9232804", "Journey Young")</f>
        <v>Journey Young</v>
      </c>
      <c r="D12995" t="s">
        <v>16</v>
      </c>
      <c r="E12995">
        <v>1</v>
      </c>
    </row>
    <row r="12996" spans="1:5" x14ac:dyDescent="0.25">
      <c r="A12996">
        <v>12995</v>
      </c>
      <c r="B12996">
        <v>9232876</v>
      </c>
      <c r="C12996" s="1" t="str">
        <f>HYPERLINK("http://stackoverflow.com/users/9232876", "Yixiong Luo")</f>
        <v>Yixiong Luo</v>
      </c>
      <c r="D12996" t="s">
        <v>5</v>
      </c>
      <c r="E12996">
        <v>1</v>
      </c>
    </row>
    <row r="12997" spans="1:5" x14ac:dyDescent="0.25">
      <c r="A12997">
        <v>12996</v>
      </c>
      <c r="B12997">
        <v>9232921</v>
      </c>
      <c r="C12997" s="1" t="str">
        <f>HYPERLINK("http://stackoverflow.com/users/9232921", "WWW MAN")</f>
        <v>WWW MAN</v>
      </c>
      <c r="D12997" t="s">
        <v>33</v>
      </c>
      <c r="E12997">
        <v>1</v>
      </c>
    </row>
    <row r="12998" spans="1:5" x14ac:dyDescent="0.25">
      <c r="A12998">
        <v>12997</v>
      </c>
      <c r="B12998">
        <v>11030821</v>
      </c>
      <c r="C12998" s="1" t="str">
        <f>HYPERLINK("http://stackoverflow.com/users/11030821", "DiegoC")</f>
        <v>DiegoC</v>
      </c>
      <c r="D12998" t="s">
        <v>711</v>
      </c>
      <c r="E12998">
        <v>1</v>
      </c>
    </row>
    <row r="12999" spans="1:5" x14ac:dyDescent="0.25">
      <c r="A12999">
        <v>12998</v>
      </c>
      <c r="B12999">
        <v>3806333</v>
      </c>
      <c r="C12999" s="1" t="str">
        <f>HYPERLINK("http://stackoverflow.com/users/3806333", "AngusOuyang")</f>
        <v>AngusOuyang</v>
      </c>
      <c r="D12999" t="s">
        <v>21</v>
      </c>
      <c r="E12999">
        <v>1</v>
      </c>
    </row>
    <row r="13000" spans="1:5" x14ac:dyDescent="0.25">
      <c r="A13000">
        <v>12999</v>
      </c>
      <c r="B13000">
        <v>9241031</v>
      </c>
      <c r="C13000" s="1" t="str">
        <f>HYPERLINK("http://stackoverflow.com/users/9241031", "Xuezhi.Qin")</f>
        <v>Xuezhi.Qin</v>
      </c>
      <c r="D13000" t="s">
        <v>221</v>
      </c>
      <c r="E13000">
        <v>1</v>
      </c>
    </row>
    <row r="13001" spans="1:5" x14ac:dyDescent="0.25">
      <c r="A13001">
        <v>13000</v>
      </c>
      <c r="B13001">
        <v>7340035</v>
      </c>
      <c r="C13001" s="1" t="str">
        <f>HYPERLINK("http://stackoverflow.com/users/7340035", "kp fan")</f>
        <v>kp fan</v>
      </c>
      <c r="D13001" t="s">
        <v>4</v>
      </c>
      <c r="E13001">
        <v>1</v>
      </c>
    </row>
    <row r="13002" spans="1:5" x14ac:dyDescent="0.25">
      <c r="A13002">
        <v>13001</v>
      </c>
      <c r="B13002">
        <v>5583900</v>
      </c>
      <c r="C13002" s="1" t="str">
        <f>HYPERLINK("http://stackoverflow.com/users/5583900", "Jianwei")</f>
        <v>Jianwei</v>
      </c>
      <c r="D13002" t="s">
        <v>5</v>
      </c>
      <c r="E13002">
        <v>1</v>
      </c>
    </row>
    <row r="13003" spans="1:5" x14ac:dyDescent="0.25">
      <c r="A13003">
        <v>13002</v>
      </c>
      <c r="B13003">
        <v>5583904</v>
      </c>
      <c r="C13003" s="1" t="str">
        <f>HYPERLINK("http://stackoverflow.com/users/5583904", "Jet He")</f>
        <v>Jet He</v>
      </c>
      <c r="D13003" t="s">
        <v>55</v>
      </c>
      <c r="E13003">
        <v>1</v>
      </c>
    </row>
    <row r="13004" spans="1:5" x14ac:dyDescent="0.25">
      <c r="A13004">
        <v>13003</v>
      </c>
      <c r="B13004">
        <v>2013401</v>
      </c>
      <c r="C13004" s="1" t="str">
        <f>HYPERLINK("http://stackoverflow.com/users/2013401", "user2013401")</f>
        <v>user2013401</v>
      </c>
      <c r="D13004" t="s">
        <v>5</v>
      </c>
      <c r="E13004">
        <v>1</v>
      </c>
    </row>
    <row r="13005" spans="1:5" x14ac:dyDescent="0.25">
      <c r="A13005">
        <v>13004</v>
      </c>
      <c r="B13005">
        <v>9223291</v>
      </c>
      <c r="C13005" s="1" t="str">
        <f>HYPERLINK("http://stackoverflow.com/users/9223291", "郝华雷")</f>
        <v>郝华雷</v>
      </c>
      <c r="D13005" t="s">
        <v>712</v>
      </c>
      <c r="E13005">
        <v>1</v>
      </c>
    </row>
    <row r="13006" spans="1:5" x14ac:dyDescent="0.25">
      <c r="A13006">
        <v>13005</v>
      </c>
      <c r="B13006">
        <v>9223494</v>
      </c>
      <c r="C13006" s="1" t="str">
        <f>HYPERLINK("http://stackoverflow.com/users/9223494", "gerald ma")</f>
        <v>gerald ma</v>
      </c>
      <c r="D13006" t="s">
        <v>5</v>
      </c>
      <c r="E13006">
        <v>1</v>
      </c>
    </row>
    <row r="13007" spans="1:5" x14ac:dyDescent="0.25">
      <c r="A13007">
        <v>13006</v>
      </c>
      <c r="B13007">
        <v>3794655</v>
      </c>
      <c r="C13007" s="1" t="str">
        <f>HYPERLINK("http://stackoverflow.com/users/3794655", "FrankYe")</f>
        <v>FrankYe</v>
      </c>
      <c r="D13007" t="s">
        <v>5</v>
      </c>
      <c r="E13007">
        <v>1</v>
      </c>
    </row>
    <row r="13008" spans="1:5" x14ac:dyDescent="0.25">
      <c r="A13008">
        <v>13007</v>
      </c>
      <c r="B13008">
        <v>3794706</v>
      </c>
      <c r="C13008" s="1" t="str">
        <f>HYPERLINK("http://stackoverflow.com/users/3794706", "James Xiang")</f>
        <v>James Xiang</v>
      </c>
      <c r="D13008" t="s">
        <v>12</v>
      </c>
      <c r="E13008">
        <v>1</v>
      </c>
    </row>
    <row r="13009" spans="1:5" x14ac:dyDescent="0.25">
      <c r="A13009">
        <v>13008</v>
      </c>
      <c r="B13009">
        <v>7339270</v>
      </c>
      <c r="C13009" s="1" t="str">
        <f>HYPERLINK("http://stackoverflow.com/users/7339270", "Platone Wang")</f>
        <v>Platone Wang</v>
      </c>
      <c r="D13009" t="s">
        <v>197</v>
      </c>
      <c r="E13009">
        <v>1</v>
      </c>
    </row>
    <row r="13010" spans="1:5" x14ac:dyDescent="0.25">
      <c r="A13010">
        <v>13009</v>
      </c>
      <c r="B13010">
        <v>2022077</v>
      </c>
      <c r="C13010" s="1" t="str">
        <f>HYPERLINK("http://stackoverflow.com/users/2022077", "rainJohn wu")</f>
        <v>rainJohn wu</v>
      </c>
      <c r="D13010" t="s">
        <v>22</v>
      </c>
      <c r="E13010">
        <v>1</v>
      </c>
    </row>
    <row r="13011" spans="1:5" x14ac:dyDescent="0.25">
      <c r="A13011">
        <v>13010</v>
      </c>
      <c r="B13011">
        <v>2022113</v>
      </c>
      <c r="C13011" s="1" t="str">
        <f>HYPERLINK("http://stackoverflow.com/users/2022113", "harryxu")</f>
        <v>harryxu</v>
      </c>
      <c r="D13011" t="s">
        <v>4</v>
      </c>
      <c r="E13011">
        <v>1</v>
      </c>
    </row>
    <row r="13012" spans="1:5" x14ac:dyDescent="0.25">
      <c r="A13012">
        <v>13011</v>
      </c>
      <c r="B13012">
        <v>9227828</v>
      </c>
      <c r="C13012" s="1" t="str">
        <f>HYPERLINK("http://stackoverflow.com/users/9227828", "LanHuaBao")</f>
        <v>LanHuaBao</v>
      </c>
      <c r="D13012" t="s">
        <v>27</v>
      </c>
      <c r="E13012">
        <v>1</v>
      </c>
    </row>
    <row r="13013" spans="1:5" x14ac:dyDescent="0.25">
      <c r="A13013">
        <v>13012</v>
      </c>
      <c r="B13013">
        <v>9227994</v>
      </c>
      <c r="C13013" s="1" t="str">
        <f>HYPERLINK("http://stackoverflow.com/users/9227994", "leoge")</f>
        <v>leoge</v>
      </c>
      <c r="D13013" t="s">
        <v>55</v>
      </c>
      <c r="E13013">
        <v>1</v>
      </c>
    </row>
    <row r="13014" spans="1:5" x14ac:dyDescent="0.25">
      <c r="A13014">
        <v>13013</v>
      </c>
      <c r="B13014">
        <v>9228084</v>
      </c>
      <c r="C13014" s="1" t="str">
        <f>HYPERLINK("http://stackoverflow.com/users/9228084", "Salem")</f>
        <v>Salem</v>
      </c>
      <c r="D13014" t="s">
        <v>7</v>
      </c>
      <c r="E13014">
        <v>1</v>
      </c>
    </row>
    <row r="13015" spans="1:5" x14ac:dyDescent="0.25">
      <c r="A13015">
        <v>13014</v>
      </c>
      <c r="B13015">
        <v>9228242</v>
      </c>
      <c r="C13015" s="1" t="str">
        <f>HYPERLINK("http://stackoverflow.com/users/9228242", "kexuetutu")</f>
        <v>kexuetutu</v>
      </c>
      <c r="D13015" t="s">
        <v>5</v>
      </c>
      <c r="E13015">
        <v>1</v>
      </c>
    </row>
    <row r="13016" spans="1:5" x14ac:dyDescent="0.25">
      <c r="A13016">
        <v>13015</v>
      </c>
      <c r="B13016">
        <v>9228365</v>
      </c>
      <c r="C13016" s="1" t="str">
        <f>HYPERLINK("http://stackoverflow.com/users/9228365", "Matthew Zhou")</f>
        <v>Matthew Zhou</v>
      </c>
      <c r="D13016" t="s">
        <v>4</v>
      </c>
      <c r="E13016">
        <v>1</v>
      </c>
    </row>
    <row r="13017" spans="1:5" x14ac:dyDescent="0.25">
      <c r="A13017">
        <v>13016</v>
      </c>
      <c r="B13017">
        <v>3810890</v>
      </c>
      <c r="C13017" s="1" t="str">
        <f>HYPERLINK("http://stackoverflow.com/users/3810890", "Yufeng")</f>
        <v>Yufeng</v>
      </c>
      <c r="D13017" t="s">
        <v>3</v>
      </c>
      <c r="E13017">
        <v>1</v>
      </c>
    </row>
    <row r="13018" spans="1:5" x14ac:dyDescent="0.25">
      <c r="A13018">
        <v>13017</v>
      </c>
      <c r="B13018">
        <v>3797676</v>
      </c>
      <c r="C13018" s="1" t="str">
        <f>HYPERLINK("http://stackoverflow.com/users/3797676", "lhaoqing_designer")</f>
        <v>lhaoqing_designer</v>
      </c>
      <c r="D13018" t="s">
        <v>5</v>
      </c>
      <c r="E13018">
        <v>1</v>
      </c>
    </row>
    <row r="13019" spans="1:5" x14ac:dyDescent="0.25">
      <c r="A13019">
        <v>13018</v>
      </c>
      <c r="B13019">
        <v>3797910</v>
      </c>
      <c r="C13019" s="1" t="str">
        <f>HYPERLINK("http://stackoverflow.com/users/3797910", "xuezhileikaku")</f>
        <v>xuezhileikaku</v>
      </c>
      <c r="D13019" t="s">
        <v>5</v>
      </c>
      <c r="E13019">
        <v>1</v>
      </c>
    </row>
    <row r="13020" spans="1:5" x14ac:dyDescent="0.25">
      <c r="A13020">
        <v>13019</v>
      </c>
      <c r="B13020">
        <v>5598972</v>
      </c>
      <c r="C13020" s="1" t="str">
        <f>HYPERLINK("http://stackoverflow.com/users/5598972", "董佳礼oops")</f>
        <v>董佳礼oops</v>
      </c>
      <c r="D13020" t="s">
        <v>5</v>
      </c>
      <c r="E13020">
        <v>1</v>
      </c>
    </row>
    <row r="13021" spans="1:5" x14ac:dyDescent="0.25">
      <c r="A13021">
        <v>13020</v>
      </c>
      <c r="B13021">
        <v>5603223</v>
      </c>
      <c r="C13021" s="1" t="str">
        <f>HYPERLINK("http://stackoverflow.com/users/5603223", "clatisus")</f>
        <v>clatisus</v>
      </c>
      <c r="D13021" t="s">
        <v>5</v>
      </c>
      <c r="E13021">
        <v>1</v>
      </c>
    </row>
    <row r="13022" spans="1:5" x14ac:dyDescent="0.25">
      <c r="A13022">
        <v>13021</v>
      </c>
      <c r="B13022">
        <v>7359706</v>
      </c>
      <c r="C13022" s="1" t="str">
        <f>HYPERLINK("http://stackoverflow.com/users/7359706", "haopengy")</f>
        <v>haopengy</v>
      </c>
      <c r="D13022" t="s">
        <v>5</v>
      </c>
      <c r="E13022">
        <v>1</v>
      </c>
    </row>
    <row r="13023" spans="1:5" x14ac:dyDescent="0.25">
      <c r="A13023">
        <v>13022</v>
      </c>
      <c r="B13023">
        <v>9250438</v>
      </c>
      <c r="C13023" s="1" t="str">
        <f>HYPERLINK("http://stackoverflow.com/users/9250438", "yan lin")</f>
        <v>yan lin</v>
      </c>
      <c r="D13023" t="s">
        <v>4</v>
      </c>
      <c r="E13023">
        <v>1</v>
      </c>
    </row>
    <row r="13024" spans="1:5" x14ac:dyDescent="0.25">
      <c r="A13024">
        <v>13023</v>
      </c>
      <c r="B13024">
        <v>5610417</v>
      </c>
      <c r="C13024" s="1" t="str">
        <f>HYPERLINK("http://stackoverflow.com/users/5610417", "Fenix Lin")</f>
        <v>Fenix Lin</v>
      </c>
      <c r="D13024" t="s">
        <v>12</v>
      </c>
      <c r="E13024">
        <v>1</v>
      </c>
    </row>
    <row r="13025" spans="1:5" x14ac:dyDescent="0.25">
      <c r="A13025">
        <v>13024</v>
      </c>
      <c r="B13025">
        <v>5610522</v>
      </c>
      <c r="C13025" s="1" t="str">
        <f>HYPERLINK("http://stackoverflow.com/users/5610522", "yuanshouna")</f>
        <v>yuanshouna</v>
      </c>
      <c r="D13025" t="s">
        <v>16</v>
      </c>
      <c r="E13025">
        <v>1</v>
      </c>
    </row>
    <row r="13026" spans="1:5" x14ac:dyDescent="0.25">
      <c r="A13026">
        <v>13025</v>
      </c>
      <c r="B13026">
        <v>5610529</v>
      </c>
      <c r="C13026" s="1" t="str">
        <f>HYPERLINK("http://stackoverflow.com/users/5610529", "Bing")</f>
        <v>Bing</v>
      </c>
      <c r="D13026" t="s">
        <v>16</v>
      </c>
      <c r="E13026">
        <v>1</v>
      </c>
    </row>
    <row r="13027" spans="1:5" x14ac:dyDescent="0.25">
      <c r="A13027">
        <v>13026</v>
      </c>
      <c r="B13027">
        <v>3822713</v>
      </c>
      <c r="C13027" s="1" t="str">
        <f>HYPERLINK("http://stackoverflow.com/users/3822713", "ozygod")</f>
        <v>ozygod</v>
      </c>
      <c r="D13027" t="s">
        <v>16</v>
      </c>
      <c r="E13027">
        <v>1</v>
      </c>
    </row>
    <row r="13028" spans="1:5" x14ac:dyDescent="0.25">
      <c r="A13028">
        <v>13027</v>
      </c>
      <c r="B13028">
        <v>3822783</v>
      </c>
      <c r="C13028" s="1" t="str">
        <f>HYPERLINK("http://stackoverflow.com/users/3822783", "Ake")</f>
        <v>Ake</v>
      </c>
      <c r="D13028" t="s">
        <v>5</v>
      </c>
      <c r="E13028">
        <v>1</v>
      </c>
    </row>
    <row r="13029" spans="1:5" x14ac:dyDescent="0.25">
      <c r="A13029">
        <v>13028</v>
      </c>
      <c r="B13029">
        <v>3824170</v>
      </c>
      <c r="C13029" s="1" t="str">
        <f>HYPERLINK("http://stackoverflow.com/users/3824170", "stjauns")</f>
        <v>stjauns</v>
      </c>
      <c r="D13029" t="s">
        <v>17</v>
      </c>
      <c r="E13029">
        <v>1</v>
      </c>
    </row>
    <row r="13030" spans="1:5" x14ac:dyDescent="0.25">
      <c r="A13030">
        <v>13029</v>
      </c>
      <c r="B13030">
        <v>9257530</v>
      </c>
      <c r="C13030" s="1" t="str">
        <f>HYPERLINK("http://stackoverflow.com/users/9257530", "JackYn")</f>
        <v>JackYn</v>
      </c>
      <c r="D13030" t="s">
        <v>713</v>
      </c>
      <c r="E13030">
        <v>1</v>
      </c>
    </row>
    <row r="13031" spans="1:5" x14ac:dyDescent="0.25">
      <c r="A13031">
        <v>13030</v>
      </c>
      <c r="B13031">
        <v>9258052</v>
      </c>
      <c r="C13031" s="1" t="str">
        <f>HYPERLINK("http://stackoverflow.com/users/9258052", "kevinjin")</f>
        <v>kevinjin</v>
      </c>
      <c r="D13031" t="s">
        <v>316</v>
      </c>
      <c r="E13031">
        <v>1</v>
      </c>
    </row>
    <row r="13032" spans="1:5" x14ac:dyDescent="0.25">
      <c r="A13032">
        <v>13031</v>
      </c>
      <c r="B13032">
        <v>3814635</v>
      </c>
      <c r="C13032" s="1" t="str">
        <f>HYPERLINK("http://stackoverflow.com/users/3814635", "YYQ")</f>
        <v>YYQ</v>
      </c>
      <c r="D13032" t="s">
        <v>5</v>
      </c>
      <c r="E13032">
        <v>1</v>
      </c>
    </row>
    <row r="13033" spans="1:5" x14ac:dyDescent="0.25">
      <c r="A13033">
        <v>13032</v>
      </c>
      <c r="B13033">
        <v>3814731</v>
      </c>
      <c r="C13033" s="1" t="str">
        <f>HYPERLINK("http://stackoverflow.com/users/3814731", "khy")</f>
        <v>khy</v>
      </c>
      <c r="D13033" t="s">
        <v>4</v>
      </c>
      <c r="E13033">
        <v>1</v>
      </c>
    </row>
    <row r="13034" spans="1:5" x14ac:dyDescent="0.25">
      <c r="A13034">
        <v>13033</v>
      </c>
      <c r="B13034">
        <v>5606650</v>
      </c>
      <c r="C13034" s="1" t="str">
        <f>HYPERLINK("http://stackoverflow.com/users/5606650", "jack")</f>
        <v>jack</v>
      </c>
      <c r="D13034" t="s">
        <v>5</v>
      </c>
      <c r="E13034">
        <v>1</v>
      </c>
    </row>
    <row r="13035" spans="1:5" x14ac:dyDescent="0.25">
      <c r="A13035">
        <v>13034</v>
      </c>
      <c r="B13035">
        <v>3818542</v>
      </c>
      <c r="C13035" s="1" t="str">
        <f>HYPERLINK("http://stackoverflow.com/users/3818542", "Steven")</f>
        <v>Steven</v>
      </c>
      <c r="D13035" t="s">
        <v>43</v>
      </c>
      <c r="E13035">
        <v>1</v>
      </c>
    </row>
    <row r="13036" spans="1:5" x14ac:dyDescent="0.25">
      <c r="A13036">
        <v>13035</v>
      </c>
      <c r="B13036">
        <v>9249574</v>
      </c>
      <c r="C13036" s="1" t="str">
        <f>HYPERLINK("http://stackoverflow.com/users/9249574", "dane zb")</f>
        <v>dane zb</v>
      </c>
      <c r="D13036" t="s">
        <v>5</v>
      </c>
      <c r="E13036">
        <v>1</v>
      </c>
    </row>
    <row r="13037" spans="1:5" x14ac:dyDescent="0.25">
      <c r="A13037">
        <v>13036</v>
      </c>
      <c r="B13037">
        <v>9250117</v>
      </c>
      <c r="C13037" s="1" t="str">
        <f>HYPERLINK("http://stackoverflow.com/users/9250117", "Jamie Harrison")</f>
        <v>Jamie Harrison</v>
      </c>
      <c r="D13037" t="s">
        <v>4</v>
      </c>
      <c r="E13037">
        <v>1</v>
      </c>
    </row>
    <row r="13038" spans="1:5" x14ac:dyDescent="0.25">
      <c r="A13038">
        <v>13037</v>
      </c>
      <c r="B13038">
        <v>7373801</v>
      </c>
      <c r="C13038" s="1" t="str">
        <f>HYPERLINK("http://stackoverflow.com/users/7373801", "JinFeng212")</f>
        <v>JinFeng212</v>
      </c>
      <c r="D13038" t="s">
        <v>33</v>
      </c>
      <c r="E13038">
        <v>1</v>
      </c>
    </row>
    <row r="13039" spans="1:5" x14ac:dyDescent="0.25">
      <c r="A13039">
        <v>13038</v>
      </c>
      <c r="B13039">
        <v>5616788</v>
      </c>
      <c r="C13039" s="1" t="str">
        <f>HYPERLINK("http://stackoverflow.com/users/5616788", "WinEcos")</f>
        <v>WinEcos</v>
      </c>
      <c r="D13039" t="s">
        <v>4</v>
      </c>
      <c r="E13039">
        <v>1</v>
      </c>
    </row>
    <row r="13040" spans="1:5" x14ac:dyDescent="0.25">
      <c r="A13040">
        <v>13039</v>
      </c>
      <c r="B13040">
        <v>2058690</v>
      </c>
      <c r="C13040" s="1" t="str">
        <f>HYPERLINK("http://stackoverflow.com/users/2058690", "igaryhe")</f>
        <v>igaryhe</v>
      </c>
      <c r="D13040" t="s">
        <v>5</v>
      </c>
      <c r="E13040">
        <v>1</v>
      </c>
    </row>
    <row r="13041" spans="1:5" x14ac:dyDescent="0.25">
      <c r="A13041">
        <v>13040</v>
      </c>
      <c r="B13041">
        <v>7373268</v>
      </c>
      <c r="C13041" s="1" t="str">
        <f>HYPERLINK("http://stackoverflow.com/users/7373268", "ericguo")</f>
        <v>ericguo</v>
      </c>
      <c r="D13041" t="s">
        <v>7</v>
      </c>
      <c r="E13041">
        <v>1</v>
      </c>
    </row>
    <row r="13042" spans="1:5" x14ac:dyDescent="0.25">
      <c r="A13042">
        <v>13041</v>
      </c>
      <c r="B13042">
        <v>7373328</v>
      </c>
      <c r="C13042" s="1" t="str">
        <f>HYPERLINK("http://stackoverflow.com/users/7373328", "Gor")</f>
        <v>Gor</v>
      </c>
      <c r="D13042" t="s">
        <v>25</v>
      </c>
      <c r="E13042">
        <v>1</v>
      </c>
    </row>
    <row r="13043" spans="1:5" x14ac:dyDescent="0.25">
      <c r="A13043">
        <v>13042</v>
      </c>
      <c r="B13043">
        <v>7373444</v>
      </c>
      <c r="C13043" s="1" t="str">
        <f>HYPERLINK("http://stackoverflow.com/users/7373444", "Daniel Pei")</f>
        <v>Daniel Pei</v>
      </c>
      <c r="D13043" t="s">
        <v>131</v>
      </c>
      <c r="E13043">
        <v>1</v>
      </c>
    </row>
    <row r="13044" spans="1:5" x14ac:dyDescent="0.25">
      <c r="A13044">
        <v>13043</v>
      </c>
      <c r="B13044">
        <v>1973891</v>
      </c>
      <c r="C13044" s="1" t="str">
        <f>HYPERLINK("http://stackoverflow.com/users/1973891", "daadfasdf34")</f>
        <v>daadfasdf34</v>
      </c>
      <c r="D13044" t="s">
        <v>97</v>
      </c>
      <c r="E13044">
        <v>1</v>
      </c>
    </row>
    <row r="13045" spans="1:5" x14ac:dyDescent="0.25">
      <c r="A13045">
        <v>13044</v>
      </c>
      <c r="B13045">
        <v>1973641</v>
      </c>
      <c r="C13045" s="1" t="str">
        <f>HYPERLINK("http://stackoverflow.com/users/1973641", "henjolo")</f>
        <v>henjolo</v>
      </c>
      <c r="D13045" t="s">
        <v>4</v>
      </c>
      <c r="E13045">
        <v>1</v>
      </c>
    </row>
    <row r="13046" spans="1:5" x14ac:dyDescent="0.25">
      <c r="A13046">
        <v>13045</v>
      </c>
      <c r="B13046">
        <v>1972752</v>
      </c>
      <c r="C13046" s="1" t="str">
        <f>HYPERLINK("http://stackoverflow.com/users/1972752", "SML")</f>
        <v>SML</v>
      </c>
      <c r="D13046" t="s">
        <v>38</v>
      </c>
      <c r="E13046">
        <v>1</v>
      </c>
    </row>
    <row r="13047" spans="1:5" x14ac:dyDescent="0.25">
      <c r="A13047">
        <v>13046</v>
      </c>
      <c r="B13047">
        <v>1973049</v>
      </c>
      <c r="C13047" s="1" t="str">
        <f>HYPERLINK("http://stackoverflow.com/users/1973049", "Lucifer")</f>
        <v>Lucifer</v>
      </c>
      <c r="D13047" t="s">
        <v>4</v>
      </c>
      <c r="E13047">
        <v>1</v>
      </c>
    </row>
    <row r="13048" spans="1:5" x14ac:dyDescent="0.25">
      <c r="A13048">
        <v>13047</v>
      </c>
      <c r="B13048">
        <v>5546095</v>
      </c>
      <c r="C13048" s="1" t="str">
        <f>HYPERLINK("http://stackoverflow.com/users/5546095", "Epoch")</f>
        <v>Epoch</v>
      </c>
      <c r="D13048" t="s">
        <v>5</v>
      </c>
      <c r="E13048">
        <v>1</v>
      </c>
    </row>
    <row r="13049" spans="1:5" x14ac:dyDescent="0.25">
      <c r="A13049">
        <v>13048</v>
      </c>
      <c r="B13049">
        <v>1966944</v>
      </c>
      <c r="C13049" s="1" t="str">
        <f>HYPERLINK("http://stackoverflow.com/users/1966944", "Jack")</f>
        <v>Jack</v>
      </c>
      <c r="D13049" t="s">
        <v>17</v>
      </c>
      <c r="E13049">
        <v>1</v>
      </c>
    </row>
    <row r="13050" spans="1:5" x14ac:dyDescent="0.25">
      <c r="A13050">
        <v>13049</v>
      </c>
      <c r="B13050">
        <v>5550454</v>
      </c>
      <c r="C13050" s="1" t="str">
        <f>HYPERLINK("http://stackoverflow.com/users/5550454", "Will_Sun")</f>
        <v>Will_Sun</v>
      </c>
      <c r="D13050" t="s">
        <v>8</v>
      </c>
      <c r="E13050">
        <v>1</v>
      </c>
    </row>
    <row r="13051" spans="1:5" x14ac:dyDescent="0.25">
      <c r="A13051">
        <v>13050</v>
      </c>
      <c r="B13051">
        <v>5550494</v>
      </c>
      <c r="C13051" s="1" t="str">
        <f>HYPERLINK("http://stackoverflow.com/users/5550494", "Grace_ji")</f>
        <v>Grace_ji</v>
      </c>
      <c r="D13051" t="s">
        <v>4</v>
      </c>
      <c r="E13051">
        <v>1</v>
      </c>
    </row>
    <row r="13052" spans="1:5" x14ac:dyDescent="0.25">
      <c r="A13052">
        <v>13051</v>
      </c>
      <c r="B13052">
        <v>10983395</v>
      </c>
      <c r="C13052" s="1" t="str">
        <f>HYPERLINK("http://stackoverflow.com/users/10983395", "Zhicheng Chen")</f>
        <v>Zhicheng Chen</v>
      </c>
      <c r="D13052" t="s">
        <v>5</v>
      </c>
      <c r="E13052">
        <v>1</v>
      </c>
    </row>
    <row r="13053" spans="1:5" x14ac:dyDescent="0.25">
      <c r="A13053">
        <v>13052</v>
      </c>
      <c r="B13053">
        <v>7309380</v>
      </c>
      <c r="C13053" s="1" t="str">
        <f>HYPERLINK("http://stackoverflow.com/users/7309380", "Zy James")</f>
        <v>Zy James</v>
      </c>
      <c r="D13053" t="s">
        <v>4</v>
      </c>
      <c r="E13053">
        <v>1</v>
      </c>
    </row>
    <row r="13054" spans="1:5" x14ac:dyDescent="0.25">
      <c r="A13054">
        <v>13053</v>
      </c>
      <c r="B13054">
        <v>7309757</v>
      </c>
      <c r="C13054" s="1" t="str">
        <f>HYPERLINK("http://stackoverflow.com/users/7309757", "Chi0321")</f>
        <v>Chi0321</v>
      </c>
      <c r="D13054" t="s">
        <v>55</v>
      </c>
      <c r="E13054">
        <v>1</v>
      </c>
    </row>
    <row r="13055" spans="1:5" x14ac:dyDescent="0.25">
      <c r="A13055">
        <v>13054</v>
      </c>
      <c r="B13055">
        <v>7309858</v>
      </c>
      <c r="C13055" s="1" t="str">
        <f>HYPERLINK("http://stackoverflow.com/users/7309858", "Lemon Shaw")</f>
        <v>Lemon Shaw</v>
      </c>
      <c r="D13055" t="s">
        <v>5</v>
      </c>
      <c r="E13055">
        <v>1</v>
      </c>
    </row>
    <row r="13056" spans="1:5" x14ac:dyDescent="0.25">
      <c r="A13056">
        <v>13055</v>
      </c>
      <c r="B13056">
        <v>5553566</v>
      </c>
      <c r="C13056" s="1" t="str">
        <f>HYPERLINK("http://stackoverflow.com/users/5553566", "Bo Fan")</f>
        <v>Bo Fan</v>
      </c>
      <c r="D13056" t="s">
        <v>4</v>
      </c>
      <c r="E13056">
        <v>1</v>
      </c>
    </row>
    <row r="13057" spans="1:5" x14ac:dyDescent="0.25">
      <c r="A13057">
        <v>13056</v>
      </c>
      <c r="B13057">
        <v>5553903</v>
      </c>
      <c r="C13057" s="1" t="str">
        <f>HYPERLINK("http://stackoverflow.com/users/5553903", "Scarlett Li")</f>
        <v>Scarlett Li</v>
      </c>
      <c r="D13057" t="s">
        <v>5</v>
      </c>
      <c r="E13057">
        <v>1</v>
      </c>
    </row>
    <row r="13058" spans="1:5" x14ac:dyDescent="0.25">
      <c r="A13058">
        <v>13057</v>
      </c>
      <c r="B13058">
        <v>3764850</v>
      </c>
      <c r="C13058" s="1" t="str">
        <f>HYPERLINK("http://stackoverflow.com/users/3764850", "leecynical")</f>
        <v>leecynical</v>
      </c>
      <c r="D13058" t="s">
        <v>17</v>
      </c>
      <c r="E13058">
        <v>1</v>
      </c>
    </row>
    <row r="13059" spans="1:5" x14ac:dyDescent="0.25">
      <c r="A13059">
        <v>13058</v>
      </c>
      <c r="B13059">
        <v>5554010</v>
      </c>
      <c r="C13059" s="1" t="str">
        <f>HYPERLINK("http://stackoverflow.com/users/5554010", "lengmianluocha")</f>
        <v>lengmianluocha</v>
      </c>
      <c r="D13059" t="s">
        <v>5</v>
      </c>
      <c r="E13059">
        <v>1</v>
      </c>
    </row>
    <row r="13060" spans="1:5" x14ac:dyDescent="0.25">
      <c r="A13060">
        <v>13059</v>
      </c>
      <c r="B13060">
        <v>9193157</v>
      </c>
      <c r="C13060" s="1" t="str">
        <f>HYPERLINK("http://stackoverflow.com/users/9193157", "Marina")</f>
        <v>Marina</v>
      </c>
      <c r="D13060" t="s">
        <v>4</v>
      </c>
      <c r="E13060">
        <v>1</v>
      </c>
    </row>
    <row r="13061" spans="1:5" x14ac:dyDescent="0.25">
      <c r="A13061">
        <v>13060</v>
      </c>
      <c r="B13061">
        <v>9193609</v>
      </c>
      <c r="C13061" s="1" t="str">
        <f>HYPERLINK("http://stackoverflow.com/users/9193609", "Jerry Yu")</f>
        <v>Jerry Yu</v>
      </c>
      <c r="D13061" t="s">
        <v>28</v>
      </c>
      <c r="E13061">
        <v>1</v>
      </c>
    </row>
    <row r="13062" spans="1:5" x14ac:dyDescent="0.25">
      <c r="A13062">
        <v>13061</v>
      </c>
      <c r="B13062">
        <v>5557650</v>
      </c>
      <c r="C13062" s="1" t="str">
        <f>HYPERLINK("http://stackoverflow.com/users/5557650", "Jamie Liu")</f>
        <v>Jamie Liu</v>
      </c>
      <c r="D13062" t="s">
        <v>4</v>
      </c>
      <c r="E13062">
        <v>1</v>
      </c>
    </row>
    <row r="13063" spans="1:5" x14ac:dyDescent="0.25">
      <c r="A13063">
        <v>13062</v>
      </c>
      <c r="B13063">
        <v>3769528</v>
      </c>
      <c r="C13063" s="1" t="str">
        <f>HYPERLINK("http://stackoverflow.com/users/3769528", "Wen Ren")</f>
        <v>Wen Ren</v>
      </c>
      <c r="D13063" t="s">
        <v>4</v>
      </c>
      <c r="E13063">
        <v>1</v>
      </c>
    </row>
    <row r="13064" spans="1:5" x14ac:dyDescent="0.25">
      <c r="A13064">
        <v>13063</v>
      </c>
      <c r="B13064">
        <v>7316453</v>
      </c>
      <c r="C13064" s="1" t="str">
        <f>HYPERLINK("http://stackoverflow.com/users/7316453", "Antoine Rohmer")</f>
        <v>Antoine Rohmer</v>
      </c>
      <c r="D13064" t="s">
        <v>43</v>
      </c>
      <c r="E13064">
        <v>1</v>
      </c>
    </row>
    <row r="13065" spans="1:5" x14ac:dyDescent="0.25">
      <c r="A13065">
        <v>13064</v>
      </c>
      <c r="B13065">
        <v>9201421</v>
      </c>
      <c r="C13065" s="1" t="str">
        <f>HYPERLINK("http://stackoverflow.com/users/9201421", "Yuanzheng Xiao")</f>
        <v>Yuanzheng Xiao</v>
      </c>
      <c r="D13065" t="s">
        <v>4</v>
      </c>
      <c r="E13065">
        <v>1</v>
      </c>
    </row>
    <row r="13066" spans="1:5" x14ac:dyDescent="0.25">
      <c r="A13066">
        <v>13065</v>
      </c>
      <c r="B13066">
        <v>9201617</v>
      </c>
      <c r="C13066" s="1" t="str">
        <f>HYPERLINK("http://stackoverflow.com/users/9201617", "王上上")</f>
        <v>王上上</v>
      </c>
      <c r="D13066" t="s">
        <v>4</v>
      </c>
      <c r="E13066">
        <v>1</v>
      </c>
    </row>
    <row r="13067" spans="1:5" x14ac:dyDescent="0.25">
      <c r="A13067">
        <v>13066</v>
      </c>
      <c r="B13067">
        <v>9202168</v>
      </c>
      <c r="C13067" s="1" t="str">
        <f>HYPERLINK("http://stackoverflow.com/users/9202168", "弄花雨")</f>
        <v>弄花雨</v>
      </c>
      <c r="D13067" t="s">
        <v>5</v>
      </c>
      <c r="E13067">
        <v>1</v>
      </c>
    </row>
    <row r="13068" spans="1:5" x14ac:dyDescent="0.25">
      <c r="A13068">
        <v>13067</v>
      </c>
      <c r="B13068">
        <v>7321082</v>
      </c>
      <c r="C13068" s="1" t="str">
        <f>HYPERLINK("http://stackoverflow.com/users/7321082", "Yuli Hide")</f>
        <v>Yuli Hide</v>
      </c>
      <c r="D13068" t="s">
        <v>19</v>
      </c>
      <c r="E13068">
        <v>1</v>
      </c>
    </row>
    <row r="13069" spans="1:5" x14ac:dyDescent="0.25">
      <c r="A13069">
        <v>13068</v>
      </c>
      <c r="B13069">
        <v>3777924</v>
      </c>
      <c r="C13069" s="1" t="str">
        <f>HYPERLINK("http://stackoverflow.com/users/3777924", "Alex Wang")</f>
        <v>Alex Wang</v>
      </c>
      <c r="D13069" t="s">
        <v>5</v>
      </c>
      <c r="E13069">
        <v>1</v>
      </c>
    </row>
    <row r="13070" spans="1:5" x14ac:dyDescent="0.25">
      <c r="A13070">
        <v>13069</v>
      </c>
      <c r="B13070">
        <v>7324795</v>
      </c>
      <c r="C13070" s="1" t="str">
        <f>HYPERLINK("http://stackoverflow.com/users/7324795", "evanglechen")</f>
        <v>evanglechen</v>
      </c>
      <c r="D13070" t="s">
        <v>5</v>
      </c>
      <c r="E13070">
        <v>1</v>
      </c>
    </row>
    <row r="13071" spans="1:5" x14ac:dyDescent="0.25">
      <c r="A13071">
        <v>13070</v>
      </c>
      <c r="B13071">
        <v>7324991</v>
      </c>
      <c r="C13071" s="1" t="str">
        <f>HYPERLINK("http://stackoverflow.com/users/7324991", "Song.L")</f>
        <v>Song.L</v>
      </c>
      <c r="D13071" t="s">
        <v>7</v>
      </c>
      <c r="E13071">
        <v>1</v>
      </c>
    </row>
    <row r="13072" spans="1:5" x14ac:dyDescent="0.25">
      <c r="A13072">
        <v>13071</v>
      </c>
      <c r="B13072">
        <v>3777500</v>
      </c>
      <c r="C13072" s="1" t="str">
        <f>HYPERLINK("http://stackoverflow.com/users/3777500", "strucoder")</f>
        <v>strucoder</v>
      </c>
      <c r="D13072" t="s">
        <v>5</v>
      </c>
      <c r="E13072">
        <v>1</v>
      </c>
    </row>
    <row r="13073" spans="1:5" x14ac:dyDescent="0.25">
      <c r="A13073">
        <v>13072</v>
      </c>
      <c r="B13073">
        <v>1982960</v>
      </c>
      <c r="C13073" s="1" t="str">
        <f>HYPERLINK("http://stackoverflow.com/users/1982960", "user1982960")</f>
        <v>user1982960</v>
      </c>
      <c r="D13073" t="s">
        <v>4</v>
      </c>
      <c r="E13073">
        <v>1</v>
      </c>
    </row>
    <row r="13074" spans="1:5" x14ac:dyDescent="0.25">
      <c r="A13074">
        <v>13073</v>
      </c>
      <c r="B13074">
        <v>7321255</v>
      </c>
      <c r="C13074" s="1" t="str">
        <f>HYPERLINK("http://stackoverflow.com/users/7321255", "J.Gu")</f>
        <v>J.Gu</v>
      </c>
      <c r="D13074" t="s">
        <v>78</v>
      </c>
      <c r="E13074">
        <v>1</v>
      </c>
    </row>
    <row r="13075" spans="1:5" x14ac:dyDescent="0.25">
      <c r="A13075">
        <v>13074</v>
      </c>
      <c r="B13075">
        <v>3774116</v>
      </c>
      <c r="C13075" s="1" t="str">
        <f>HYPERLINK("http://stackoverflow.com/users/3774116", "Etond")</f>
        <v>Etond</v>
      </c>
      <c r="D13075" t="s">
        <v>12</v>
      </c>
      <c r="E13075">
        <v>1</v>
      </c>
    </row>
    <row r="13076" spans="1:5" x14ac:dyDescent="0.25">
      <c r="A13076">
        <v>13075</v>
      </c>
      <c r="B13076">
        <v>7324435</v>
      </c>
      <c r="C13076" s="1" t="str">
        <f>HYPERLINK("http://stackoverflow.com/users/7324435", "Winnie")</f>
        <v>Winnie</v>
      </c>
      <c r="D13076" t="s">
        <v>25</v>
      </c>
      <c r="E13076">
        <v>1</v>
      </c>
    </row>
    <row r="13077" spans="1:5" x14ac:dyDescent="0.25">
      <c r="A13077">
        <v>13076</v>
      </c>
      <c r="B13077">
        <v>7324555</v>
      </c>
      <c r="C13077" s="1" t="str">
        <f>HYPERLINK("http://stackoverflow.com/users/7324555", "mtllyb")</f>
        <v>mtllyb</v>
      </c>
      <c r="D13077" t="s">
        <v>714</v>
      </c>
      <c r="E13077">
        <v>1</v>
      </c>
    </row>
    <row r="13078" spans="1:5" x14ac:dyDescent="0.25">
      <c r="A13078">
        <v>13077</v>
      </c>
      <c r="B13078">
        <v>3781503</v>
      </c>
      <c r="C13078" s="1" t="str">
        <f>HYPERLINK("http://stackoverflow.com/users/3781503", "brytonlee01")</f>
        <v>brytonlee01</v>
      </c>
      <c r="D13078" t="s">
        <v>12</v>
      </c>
      <c r="E13078">
        <v>1</v>
      </c>
    </row>
    <row r="13079" spans="1:5" x14ac:dyDescent="0.25">
      <c r="A13079">
        <v>13078</v>
      </c>
      <c r="B13079">
        <v>11005313</v>
      </c>
      <c r="C13079" s="1" t="str">
        <f>HYPERLINK("http://stackoverflow.com/users/11005313", "1984QD")</f>
        <v>1984QD</v>
      </c>
      <c r="D13079" t="s">
        <v>5</v>
      </c>
      <c r="E13079">
        <v>1</v>
      </c>
    </row>
    <row r="13080" spans="1:5" x14ac:dyDescent="0.25">
      <c r="A13080">
        <v>13079</v>
      </c>
      <c r="B13080">
        <v>9219160</v>
      </c>
      <c r="C13080" s="1" t="str">
        <f>HYPERLINK("http://stackoverflow.com/users/9219160", "lecharfly")</f>
        <v>lecharfly</v>
      </c>
      <c r="D13080" t="s">
        <v>15</v>
      </c>
      <c r="E13080">
        <v>1</v>
      </c>
    </row>
    <row r="13081" spans="1:5" x14ac:dyDescent="0.25">
      <c r="A13081">
        <v>13080</v>
      </c>
      <c r="B13081">
        <v>9219413</v>
      </c>
      <c r="C13081" s="1" t="str">
        <f>HYPERLINK("http://stackoverflow.com/users/9219413", "Z.HSIEH")</f>
        <v>Z.HSIEH</v>
      </c>
      <c r="D13081" t="s">
        <v>55</v>
      </c>
      <c r="E13081">
        <v>1</v>
      </c>
    </row>
    <row r="13082" spans="1:5" x14ac:dyDescent="0.25">
      <c r="A13082">
        <v>13081</v>
      </c>
      <c r="B13082">
        <v>2011908</v>
      </c>
      <c r="C13082" s="1" t="str">
        <f>HYPERLINK("http://stackoverflow.com/users/2011908", "Orange Mi")</f>
        <v>Orange Mi</v>
      </c>
      <c r="D13082" t="s">
        <v>4</v>
      </c>
      <c r="E13082">
        <v>1</v>
      </c>
    </row>
    <row r="13083" spans="1:5" x14ac:dyDescent="0.25">
      <c r="A13083">
        <v>13082</v>
      </c>
      <c r="B13083">
        <v>3785013</v>
      </c>
      <c r="C13083" s="1" t="str">
        <f>HYPERLINK("http://stackoverflow.com/users/3785013", "GusuChrome")</f>
        <v>GusuChrome</v>
      </c>
      <c r="D13083" t="s">
        <v>55</v>
      </c>
      <c r="E13083">
        <v>1</v>
      </c>
    </row>
    <row r="13084" spans="1:5" x14ac:dyDescent="0.25">
      <c r="A13084">
        <v>13083</v>
      </c>
      <c r="B13084">
        <v>3785229</v>
      </c>
      <c r="C13084" s="1" t="str">
        <f>HYPERLINK("http://stackoverflow.com/users/3785229", "lfsblack")</f>
        <v>lfsblack</v>
      </c>
      <c r="D13084" t="s">
        <v>5</v>
      </c>
      <c r="E13084">
        <v>1</v>
      </c>
    </row>
    <row r="13085" spans="1:5" x14ac:dyDescent="0.25">
      <c r="A13085">
        <v>13084</v>
      </c>
      <c r="B13085">
        <v>3785627</v>
      </c>
      <c r="C13085" s="1" t="str">
        <f>HYPERLINK("http://stackoverflow.com/users/3785627", "Dechin Key")</f>
        <v>Dechin Key</v>
      </c>
      <c r="D13085" t="s">
        <v>37</v>
      </c>
      <c r="E13085">
        <v>1</v>
      </c>
    </row>
    <row r="13086" spans="1:5" x14ac:dyDescent="0.25">
      <c r="A13086">
        <v>13085</v>
      </c>
      <c r="B13086">
        <v>7332847</v>
      </c>
      <c r="C13086" s="1" t="str">
        <f>HYPERLINK("http://stackoverflow.com/users/7332847", "Jacob")</f>
        <v>Jacob</v>
      </c>
      <c r="D13086" t="s">
        <v>57</v>
      </c>
      <c r="E13086">
        <v>1</v>
      </c>
    </row>
    <row r="13087" spans="1:5" x14ac:dyDescent="0.25">
      <c r="A13087">
        <v>13086</v>
      </c>
      <c r="B13087">
        <v>7332986</v>
      </c>
      <c r="C13087" s="1" t="str">
        <f>HYPERLINK("http://stackoverflow.com/users/7332986", "Xiaoning Gao")</f>
        <v>Xiaoning Gao</v>
      </c>
      <c r="D13087" t="s">
        <v>4</v>
      </c>
      <c r="E13087">
        <v>1</v>
      </c>
    </row>
    <row r="13088" spans="1:5" x14ac:dyDescent="0.25">
      <c r="A13088">
        <v>13087</v>
      </c>
      <c r="B13088">
        <v>9214732</v>
      </c>
      <c r="C13088" s="1" t="str">
        <f>HYPERLINK("http://stackoverflow.com/users/9214732", "张强强")</f>
        <v>张强强</v>
      </c>
      <c r="D13088" t="s">
        <v>74</v>
      </c>
      <c r="E13088">
        <v>1</v>
      </c>
    </row>
    <row r="13089" spans="1:5" x14ac:dyDescent="0.25">
      <c r="A13089">
        <v>13088</v>
      </c>
      <c r="B13089">
        <v>9214801</v>
      </c>
      <c r="C13089" s="1" t="str">
        <f>HYPERLINK("http://stackoverflow.com/users/9214801", "lovejuly")</f>
        <v>lovejuly</v>
      </c>
      <c r="D13089" t="s">
        <v>5</v>
      </c>
      <c r="E13089">
        <v>1</v>
      </c>
    </row>
    <row r="13090" spans="1:5" x14ac:dyDescent="0.25">
      <c r="A13090">
        <v>13089</v>
      </c>
      <c r="B13090">
        <v>9214933</v>
      </c>
      <c r="C13090" s="1" t="str">
        <f>HYPERLINK("http://stackoverflow.com/users/9214933", "VTEC")</f>
        <v>VTEC</v>
      </c>
      <c r="D13090" t="s">
        <v>4</v>
      </c>
      <c r="E13090">
        <v>1</v>
      </c>
    </row>
    <row r="13091" spans="1:5" x14ac:dyDescent="0.25">
      <c r="A13091">
        <v>13090</v>
      </c>
      <c r="B13091">
        <v>9214952</v>
      </c>
      <c r="C13091" s="1" t="str">
        <f>HYPERLINK("http://stackoverflow.com/users/9214952", "蔡恆杰")</f>
        <v>蔡恆杰</v>
      </c>
      <c r="D13091" t="s">
        <v>52</v>
      </c>
      <c r="E13091">
        <v>1</v>
      </c>
    </row>
    <row r="13092" spans="1:5" x14ac:dyDescent="0.25">
      <c r="A13092">
        <v>13091</v>
      </c>
      <c r="B13092">
        <v>9214973</v>
      </c>
      <c r="C13092" s="1" t="str">
        <f>HYPERLINK("http://stackoverflow.com/users/9214973", "dayfly5")</f>
        <v>dayfly5</v>
      </c>
      <c r="D13092" t="s">
        <v>415</v>
      </c>
      <c r="E13092">
        <v>1</v>
      </c>
    </row>
    <row r="13093" spans="1:5" x14ac:dyDescent="0.25">
      <c r="A13093">
        <v>13092</v>
      </c>
      <c r="B13093">
        <v>5691187</v>
      </c>
      <c r="C13093" s="1" t="str">
        <f>HYPERLINK("http://stackoverflow.com/users/5691187", "Junliang Ma")</f>
        <v>Junliang Ma</v>
      </c>
      <c r="D13093" t="s">
        <v>5</v>
      </c>
      <c r="E13093">
        <v>1</v>
      </c>
    </row>
    <row r="13094" spans="1:5" x14ac:dyDescent="0.25">
      <c r="A13094">
        <v>13093</v>
      </c>
      <c r="B13094">
        <v>2151231</v>
      </c>
      <c r="C13094" s="1" t="str">
        <f>HYPERLINK("http://stackoverflow.com/users/2151231", "user2151231")</f>
        <v>user2151231</v>
      </c>
      <c r="D13094" t="s">
        <v>16</v>
      </c>
      <c r="E13094">
        <v>1</v>
      </c>
    </row>
    <row r="13095" spans="1:5" x14ac:dyDescent="0.25">
      <c r="A13095">
        <v>13094</v>
      </c>
      <c r="B13095">
        <v>7438381</v>
      </c>
      <c r="C13095" s="1" t="str">
        <f>HYPERLINK("http://stackoverflow.com/users/7438381", "wk_learner")</f>
        <v>wk_learner</v>
      </c>
      <c r="D13095" t="s">
        <v>74</v>
      </c>
      <c r="E13095">
        <v>1</v>
      </c>
    </row>
    <row r="13096" spans="1:5" x14ac:dyDescent="0.25">
      <c r="A13096">
        <v>13095</v>
      </c>
      <c r="B13096">
        <v>5698273</v>
      </c>
      <c r="C13096" s="1" t="str">
        <f>HYPERLINK("http://stackoverflow.com/users/5698273", "Denny")</f>
        <v>Denny</v>
      </c>
      <c r="D13096" t="s">
        <v>7</v>
      </c>
      <c r="E13096">
        <v>1</v>
      </c>
    </row>
    <row r="13097" spans="1:5" x14ac:dyDescent="0.25">
      <c r="A13097">
        <v>13096</v>
      </c>
      <c r="B13097">
        <v>3920865</v>
      </c>
      <c r="C13097" s="1" t="str">
        <f>HYPERLINK("http://stackoverflow.com/users/3920865", "longqiang")</f>
        <v>longqiang</v>
      </c>
      <c r="D13097" t="s">
        <v>5</v>
      </c>
      <c r="E13097">
        <v>1</v>
      </c>
    </row>
    <row r="13098" spans="1:5" x14ac:dyDescent="0.25">
      <c r="A13098">
        <v>13097</v>
      </c>
      <c r="B13098">
        <v>5702308</v>
      </c>
      <c r="C13098" s="1" t="str">
        <f>HYPERLINK("http://stackoverflow.com/users/5702308", "Abner")</f>
        <v>Abner</v>
      </c>
      <c r="D13098" t="s">
        <v>4</v>
      </c>
      <c r="E13098">
        <v>1</v>
      </c>
    </row>
    <row r="13099" spans="1:5" x14ac:dyDescent="0.25">
      <c r="A13099">
        <v>13098</v>
      </c>
      <c r="B13099">
        <v>2160413</v>
      </c>
      <c r="C13099" s="1" t="str">
        <f>HYPERLINK("http://stackoverflow.com/users/2160413", "kerner.yu")</f>
        <v>kerner.yu</v>
      </c>
      <c r="D13099" t="s">
        <v>17</v>
      </c>
      <c r="E13099">
        <v>1</v>
      </c>
    </row>
    <row r="13100" spans="1:5" x14ac:dyDescent="0.25">
      <c r="A13100">
        <v>13099</v>
      </c>
      <c r="B13100">
        <v>2161735</v>
      </c>
      <c r="C13100" s="1" t="str">
        <f>HYPERLINK("http://stackoverflow.com/users/2161735", "CuOverkiller")</f>
        <v>CuOverkiller</v>
      </c>
      <c r="D13100" t="s">
        <v>8</v>
      </c>
      <c r="E13100">
        <v>1</v>
      </c>
    </row>
    <row r="13101" spans="1:5" x14ac:dyDescent="0.25">
      <c r="A13101">
        <v>13100</v>
      </c>
      <c r="B13101">
        <v>5701818</v>
      </c>
      <c r="C13101" s="1" t="str">
        <f>HYPERLINK("http://stackoverflow.com/users/5701818", "lvpfish")</f>
        <v>lvpfish</v>
      </c>
      <c r="D13101" t="s">
        <v>5</v>
      </c>
      <c r="E13101">
        <v>1</v>
      </c>
    </row>
    <row r="13102" spans="1:5" x14ac:dyDescent="0.25">
      <c r="A13102">
        <v>13101</v>
      </c>
      <c r="B13102">
        <v>5701856</v>
      </c>
      <c r="C13102" s="1" t="str">
        <f>HYPERLINK("http://stackoverflow.com/users/5701856", "William Zhou")</f>
        <v>William Zhou</v>
      </c>
      <c r="D13102" t="s">
        <v>7</v>
      </c>
      <c r="E13102">
        <v>1</v>
      </c>
    </row>
    <row r="13103" spans="1:5" x14ac:dyDescent="0.25">
      <c r="A13103">
        <v>13102</v>
      </c>
      <c r="B13103">
        <v>5701896</v>
      </c>
      <c r="C13103" s="1" t="str">
        <f>HYPERLINK("http://stackoverflow.com/users/5701896", "XiaoFeng Zhang")</f>
        <v>XiaoFeng Zhang</v>
      </c>
      <c r="D13103" t="s">
        <v>5</v>
      </c>
      <c r="E13103">
        <v>1</v>
      </c>
    </row>
    <row r="13104" spans="1:5" x14ac:dyDescent="0.25">
      <c r="A13104">
        <v>13103</v>
      </c>
      <c r="B13104">
        <v>5701936</v>
      </c>
      <c r="C13104" s="1" t="str">
        <f>HYPERLINK("http://stackoverflow.com/users/5701936", "T. YE")</f>
        <v>T. YE</v>
      </c>
      <c r="D13104" t="s">
        <v>4</v>
      </c>
      <c r="E13104">
        <v>1</v>
      </c>
    </row>
    <row r="13105" spans="1:5" x14ac:dyDescent="0.25">
      <c r="A13105">
        <v>13104</v>
      </c>
      <c r="B13105">
        <v>3905457</v>
      </c>
      <c r="C13105" s="1" t="str">
        <f>HYPERLINK("http://stackoverflow.com/users/3905457", "Zhang G.Y.")</f>
        <v>Zhang G.Y.</v>
      </c>
      <c r="D13105" t="s">
        <v>55</v>
      </c>
      <c r="E13105">
        <v>1</v>
      </c>
    </row>
    <row r="13106" spans="1:5" x14ac:dyDescent="0.25">
      <c r="A13106">
        <v>13105</v>
      </c>
      <c r="B13106">
        <v>9341164</v>
      </c>
      <c r="C13106" s="1" t="str">
        <f>HYPERLINK("http://stackoverflow.com/users/9341164", "BillUtada")</f>
        <v>BillUtada</v>
      </c>
      <c r="D13106" t="s">
        <v>5</v>
      </c>
      <c r="E13106">
        <v>1</v>
      </c>
    </row>
    <row r="13107" spans="1:5" x14ac:dyDescent="0.25">
      <c r="A13107">
        <v>13106</v>
      </c>
      <c r="B13107">
        <v>7444008</v>
      </c>
      <c r="C13107" s="1" t="str">
        <f>HYPERLINK("http://stackoverflow.com/users/7444008", "杨庭柱")</f>
        <v>杨庭柱</v>
      </c>
      <c r="D13107" t="s">
        <v>715</v>
      </c>
      <c r="E13107">
        <v>1</v>
      </c>
    </row>
    <row r="13108" spans="1:5" x14ac:dyDescent="0.25">
      <c r="A13108">
        <v>13107</v>
      </c>
      <c r="B13108">
        <v>11136535</v>
      </c>
      <c r="C13108" s="1" t="str">
        <f>HYPERLINK("http://stackoverflow.com/users/11136535", "Sci_Knight")</f>
        <v>Sci_Knight</v>
      </c>
      <c r="D13108" t="s">
        <v>5</v>
      </c>
      <c r="E13108">
        <v>1</v>
      </c>
    </row>
    <row r="13109" spans="1:5" x14ac:dyDescent="0.25">
      <c r="A13109">
        <v>13108</v>
      </c>
      <c r="B13109">
        <v>3909103</v>
      </c>
      <c r="C13109" s="1" t="str">
        <f>HYPERLINK("http://stackoverflow.com/users/3909103", "Dean")</f>
        <v>Dean</v>
      </c>
      <c r="D13109" t="s">
        <v>151</v>
      </c>
      <c r="E13109">
        <v>1</v>
      </c>
    </row>
    <row r="13110" spans="1:5" x14ac:dyDescent="0.25">
      <c r="A13110">
        <v>13109</v>
      </c>
      <c r="B13110">
        <v>9344504</v>
      </c>
      <c r="C13110" s="1" t="str">
        <f>HYPERLINK("http://stackoverflow.com/users/9344504", "Eric Hunn")</f>
        <v>Eric Hunn</v>
      </c>
      <c r="D13110" t="s">
        <v>74</v>
      </c>
      <c r="E13110">
        <v>1</v>
      </c>
    </row>
    <row r="13111" spans="1:5" x14ac:dyDescent="0.25">
      <c r="A13111">
        <v>13110</v>
      </c>
      <c r="B13111">
        <v>9344516</v>
      </c>
      <c r="C13111" s="1" t="str">
        <f>HYPERLINK("http://stackoverflow.com/users/9344516", "Ansel Wong")</f>
        <v>Ansel Wong</v>
      </c>
      <c r="D13111" t="s">
        <v>5</v>
      </c>
      <c r="E13111">
        <v>1</v>
      </c>
    </row>
    <row r="13112" spans="1:5" x14ac:dyDescent="0.25">
      <c r="A13112">
        <v>13111</v>
      </c>
      <c r="B13112">
        <v>11142172</v>
      </c>
      <c r="C13112" s="1" t="str">
        <f>HYPERLINK("http://stackoverflow.com/users/11142172", "wenky1996")</f>
        <v>wenky1996</v>
      </c>
      <c r="D13112" t="s">
        <v>78</v>
      </c>
      <c r="E13112">
        <v>1</v>
      </c>
    </row>
    <row r="13113" spans="1:5" x14ac:dyDescent="0.25">
      <c r="A13113">
        <v>13112</v>
      </c>
      <c r="B13113">
        <v>3916485</v>
      </c>
      <c r="C13113" s="1" t="str">
        <f>HYPERLINK("http://stackoverflow.com/users/3916485", "JasonXu")</f>
        <v>JasonXu</v>
      </c>
      <c r="D13113" t="s">
        <v>55</v>
      </c>
      <c r="E13113">
        <v>1</v>
      </c>
    </row>
    <row r="13114" spans="1:5" x14ac:dyDescent="0.25">
      <c r="A13114">
        <v>13113</v>
      </c>
      <c r="B13114">
        <v>3916549</v>
      </c>
      <c r="C13114" s="1" t="str">
        <f>HYPERLINK("http://stackoverflow.com/users/3916549", "yangyang")</f>
        <v>yangyang</v>
      </c>
      <c r="D13114" t="s">
        <v>5</v>
      </c>
      <c r="E13114">
        <v>1</v>
      </c>
    </row>
    <row r="13115" spans="1:5" x14ac:dyDescent="0.25">
      <c r="A13115">
        <v>13114</v>
      </c>
      <c r="B13115">
        <v>3916630</v>
      </c>
      <c r="C13115" s="1" t="str">
        <f>HYPERLINK("http://stackoverflow.com/users/3916630", "Neil")</f>
        <v>Neil</v>
      </c>
      <c r="D13115" t="s">
        <v>4</v>
      </c>
      <c r="E13115">
        <v>1</v>
      </c>
    </row>
    <row r="13116" spans="1:5" x14ac:dyDescent="0.25">
      <c r="A13116">
        <v>13115</v>
      </c>
      <c r="B13116">
        <v>3917168</v>
      </c>
      <c r="C13116" s="1" t="str">
        <f>HYPERLINK("http://stackoverflow.com/users/3917168", "Haoyu Wang")</f>
        <v>Haoyu Wang</v>
      </c>
      <c r="D13116" t="s">
        <v>5</v>
      </c>
      <c r="E13116">
        <v>1</v>
      </c>
    </row>
    <row r="13117" spans="1:5" x14ac:dyDescent="0.25">
      <c r="A13117">
        <v>13116</v>
      </c>
      <c r="B13117">
        <v>11146100</v>
      </c>
      <c r="C13117" s="1" t="str">
        <f>HYPERLINK("http://stackoverflow.com/users/11146100", "Leonardo Martín Martínez Núñez")</f>
        <v>Leonardo Martín Martínez Núñez</v>
      </c>
      <c r="D13117" t="s">
        <v>716</v>
      </c>
      <c r="E13117">
        <v>1</v>
      </c>
    </row>
    <row r="13118" spans="1:5" x14ac:dyDescent="0.25">
      <c r="A13118">
        <v>13117</v>
      </c>
      <c r="B13118">
        <v>11146205</v>
      </c>
      <c r="C13118" s="1" t="str">
        <f>HYPERLINK("http://stackoverflow.com/users/11146205", "Xavier Yang")</f>
        <v>Xavier Yang</v>
      </c>
      <c r="D13118" t="s">
        <v>184</v>
      </c>
      <c r="E13118">
        <v>1</v>
      </c>
    </row>
    <row r="13119" spans="1:5" x14ac:dyDescent="0.25">
      <c r="A13119">
        <v>13118</v>
      </c>
      <c r="B13119">
        <v>11146282</v>
      </c>
      <c r="C13119" s="1" t="str">
        <f>HYPERLINK("http://stackoverflow.com/users/11146282", "Jingwang Li")</f>
        <v>Jingwang Li</v>
      </c>
      <c r="D13119" t="s">
        <v>8</v>
      </c>
      <c r="E13119">
        <v>1</v>
      </c>
    </row>
    <row r="13120" spans="1:5" x14ac:dyDescent="0.25">
      <c r="A13120">
        <v>13119</v>
      </c>
      <c r="B13120">
        <v>9353963</v>
      </c>
      <c r="C13120" s="1" t="str">
        <f>HYPERLINK("http://stackoverflow.com/users/9353963", "Wu MinChao")</f>
        <v>Wu MinChao</v>
      </c>
      <c r="D13120" t="s">
        <v>717</v>
      </c>
      <c r="E13120">
        <v>1</v>
      </c>
    </row>
    <row r="13121" spans="1:5" x14ac:dyDescent="0.25">
      <c r="A13121">
        <v>13120</v>
      </c>
      <c r="B13121">
        <v>9353999</v>
      </c>
      <c r="C13121" s="1" t="str">
        <f>HYPERLINK("http://stackoverflow.com/users/9353999", "gyanxie")</f>
        <v>gyanxie</v>
      </c>
      <c r="D13121" t="s">
        <v>7</v>
      </c>
      <c r="E13121">
        <v>1</v>
      </c>
    </row>
    <row r="13122" spans="1:5" x14ac:dyDescent="0.25">
      <c r="A13122">
        <v>13121</v>
      </c>
      <c r="B13122">
        <v>5698090</v>
      </c>
      <c r="C13122" s="1" t="str">
        <f>HYPERLINK("http://stackoverflow.com/users/5698090", "water")</f>
        <v>water</v>
      </c>
      <c r="D13122" t="s">
        <v>4</v>
      </c>
      <c r="E13122">
        <v>1</v>
      </c>
    </row>
    <row r="13123" spans="1:5" x14ac:dyDescent="0.25">
      <c r="A13123">
        <v>13122</v>
      </c>
      <c r="B13123">
        <v>3929096</v>
      </c>
      <c r="C13123" s="1" t="str">
        <f>HYPERLINK("http://stackoverflow.com/users/3929096", "John Liang")</f>
        <v>John Liang</v>
      </c>
      <c r="D13123" t="s">
        <v>21</v>
      </c>
      <c r="E13123">
        <v>1</v>
      </c>
    </row>
    <row r="13124" spans="1:5" x14ac:dyDescent="0.25">
      <c r="A13124">
        <v>13123</v>
      </c>
      <c r="B13124">
        <v>7461833</v>
      </c>
      <c r="C13124" s="1" t="str">
        <f>HYPERLINK("http://stackoverflow.com/users/7461833", "StarWingZero")</f>
        <v>StarWingZero</v>
      </c>
      <c r="D13124" t="s">
        <v>718</v>
      </c>
      <c r="E13124">
        <v>1</v>
      </c>
    </row>
    <row r="13125" spans="1:5" x14ac:dyDescent="0.25">
      <c r="A13125">
        <v>13124</v>
      </c>
      <c r="B13125">
        <v>11158192</v>
      </c>
      <c r="C13125" s="1" t="str">
        <f>HYPERLINK("http://stackoverflow.com/users/11158192", "David V Bryan")</f>
        <v>David V Bryan</v>
      </c>
      <c r="D13125" t="s">
        <v>43</v>
      </c>
      <c r="E13125">
        <v>1</v>
      </c>
    </row>
    <row r="13126" spans="1:5" x14ac:dyDescent="0.25">
      <c r="A13126">
        <v>13125</v>
      </c>
      <c r="B13126">
        <v>5713097</v>
      </c>
      <c r="C13126" s="1" t="str">
        <f>HYPERLINK("http://stackoverflow.com/users/5713097", "Bob SUN")</f>
        <v>Bob SUN</v>
      </c>
      <c r="D13126" t="s">
        <v>101</v>
      </c>
      <c r="E13126">
        <v>1</v>
      </c>
    </row>
    <row r="13127" spans="1:5" x14ac:dyDescent="0.25">
      <c r="A13127">
        <v>13126</v>
      </c>
      <c r="B13127">
        <v>5713116</v>
      </c>
      <c r="C13127" s="1" t="str">
        <f>HYPERLINK("http://stackoverflow.com/users/5713116", "Yanqiang")</f>
        <v>Yanqiang</v>
      </c>
      <c r="D13127" t="s">
        <v>5</v>
      </c>
      <c r="E13127">
        <v>1</v>
      </c>
    </row>
    <row r="13128" spans="1:5" x14ac:dyDescent="0.25">
      <c r="A13128">
        <v>13127</v>
      </c>
      <c r="B13128">
        <v>5713209</v>
      </c>
      <c r="C13128" s="1" t="str">
        <f>HYPERLINK("http://stackoverflow.com/users/5713209", "Penta")</f>
        <v>Penta</v>
      </c>
      <c r="D13128" t="s">
        <v>5</v>
      </c>
      <c r="E13128">
        <v>1</v>
      </c>
    </row>
    <row r="13129" spans="1:5" x14ac:dyDescent="0.25">
      <c r="A13129">
        <v>13128</v>
      </c>
      <c r="B13129">
        <v>5713261</v>
      </c>
      <c r="C13129" s="1" t="str">
        <f>HYPERLINK("http://stackoverflow.com/users/5713261", "Daniel Chan")</f>
        <v>Daniel Chan</v>
      </c>
      <c r="D13129" t="s">
        <v>17</v>
      </c>
      <c r="E13129">
        <v>1</v>
      </c>
    </row>
    <row r="13130" spans="1:5" x14ac:dyDescent="0.25">
      <c r="A13130">
        <v>13129</v>
      </c>
      <c r="B13130">
        <v>5713266</v>
      </c>
      <c r="C13130" s="1" t="str">
        <f>HYPERLINK("http://stackoverflow.com/users/5713266", "汪旭旭")</f>
        <v>汪旭旭</v>
      </c>
      <c r="D13130" t="s">
        <v>21</v>
      </c>
      <c r="E13130">
        <v>1</v>
      </c>
    </row>
    <row r="13131" spans="1:5" x14ac:dyDescent="0.25">
      <c r="A13131">
        <v>13130</v>
      </c>
      <c r="B13131">
        <v>11154482</v>
      </c>
      <c r="C13131" s="1" t="str">
        <f>HYPERLINK("http://stackoverflow.com/users/11154482", "Hanlong Liao")</f>
        <v>Hanlong Liao</v>
      </c>
      <c r="D13131" t="s">
        <v>5</v>
      </c>
      <c r="E13131">
        <v>1</v>
      </c>
    </row>
    <row r="13132" spans="1:5" x14ac:dyDescent="0.25">
      <c r="A13132">
        <v>13131</v>
      </c>
      <c r="B13132">
        <v>5705596</v>
      </c>
      <c r="C13132" s="1" t="str">
        <f>HYPERLINK("http://stackoverflow.com/users/5705596", "winxos")</f>
        <v>winxos</v>
      </c>
      <c r="D13132" t="s">
        <v>22</v>
      </c>
      <c r="E13132">
        <v>1</v>
      </c>
    </row>
    <row r="13133" spans="1:5" x14ac:dyDescent="0.25">
      <c r="A13133">
        <v>13132</v>
      </c>
      <c r="B13133">
        <v>5705723</v>
      </c>
      <c r="C13133" s="1" t="str">
        <f>HYPERLINK("http://stackoverflow.com/users/5705723", "Harvey Zhang")</f>
        <v>Harvey Zhang</v>
      </c>
      <c r="D13133" t="s">
        <v>4</v>
      </c>
      <c r="E13133">
        <v>1</v>
      </c>
    </row>
    <row r="13134" spans="1:5" x14ac:dyDescent="0.25">
      <c r="A13134">
        <v>13133</v>
      </c>
      <c r="B13134">
        <v>5705758</v>
      </c>
      <c r="C13134" s="1" t="str">
        <f>HYPERLINK("http://stackoverflow.com/users/5705758", "cz717")</f>
        <v>cz717</v>
      </c>
      <c r="D13134" t="s">
        <v>55</v>
      </c>
      <c r="E13134">
        <v>1</v>
      </c>
    </row>
    <row r="13135" spans="1:5" x14ac:dyDescent="0.25">
      <c r="A13135">
        <v>13134</v>
      </c>
      <c r="B13135">
        <v>11157581</v>
      </c>
      <c r="C13135" s="1" t="str">
        <f>HYPERLINK("http://stackoverflow.com/users/11157581", "cphugentobler")</f>
        <v>cphugentobler</v>
      </c>
      <c r="D13135" t="s">
        <v>365</v>
      </c>
      <c r="E13135">
        <v>1</v>
      </c>
    </row>
    <row r="13136" spans="1:5" x14ac:dyDescent="0.25">
      <c r="A13136">
        <v>13135</v>
      </c>
      <c r="B13136">
        <v>11157672</v>
      </c>
      <c r="C13136" s="1" t="str">
        <f>HYPERLINK("http://stackoverflow.com/users/11157672", "Thor.Asgard")</f>
        <v>Thor.Asgard</v>
      </c>
      <c r="D13136" t="s">
        <v>47</v>
      </c>
      <c r="E13136">
        <v>1</v>
      </c>
    </row>
    <row r="13137" spans="1:5" x14ac:dyDescent="0.25">
      <c r="A13137">
        <v>13136</v>
      </c>
      <c r="B13137">
        <v>11157798</v>
      </c>
      <c r="C13137" s="1" t="str">
        <f>HYPERLINK("http://stackoverflow.com/users/11157798", "Purulence")</f>
        <v>Purulence</v>
      </c>
      <c r="D13137" t="s">
        <v>4</v>
      </c>
      <c r="E13137">
        <v>1</v>
      </c>
    </row>
    <row r="13138" spans="1:5" x14ac:dyDescent="0.25">
      <c r="A13138">
        <v>13137</v>
      </c>
      <c r="B13138">
        <v>11157897</v>
      </c>
      <c r="C13138" s="1" t="str">
        <f>HYPERLINK("http://stackoverflow.com/users/11157897", "Chenpingling")</f>
        <v>Chenpingling</v>
      </c>
      <c r="D13138" t="s">
        <v>43</v>
      </c>
      <c r="E13138">
        <v>1</v>
      </c>
    </row>
    <row r="13139" spans="1:5" x14ac:dyDescent="0.25">
      <c r="A13139">
        <v>13138</v>
      </c>
      <c r="B13139">
        <v>11176213</v>
      </c>
      <c r="C13139" s="1" t="str">
        <f>HYPERLINK("http://stackoverflow.com/users/11176213", "Leon Lee")</f>
        <v>Leon Lee</v>
      </c>
      <c r="D13139" t="s">
        <v>78</v>
      </c>
      <c r="E13139">
        <v>1</v>
      </c>
    </row>
    <row r="13140" spans="1:5" x14ac:dyDescent="0.25">
      <c r="A13140">
        <v>13139</v>
      </c>
      <c r="B13140">
        <v>2191877</v>
      </c>
      <c r="C13140" s="1" t="str">
        <f>HYPERLINK("http://stackoverflow.com/users/2191877", "h3idan")</f>
        <v>h3idan</v>
      </c>
      <c r="D13140" t="s">
        <v>5</v>
      </c>
      <c r="E13140">
        <v>1</v>
      </c>
    </row>
    <row r="13141" spans="1:5" x14ac:dyDescent="0.25">
      <c r="A13141">
        <v>13140</v>
      </c>
      <c r="B13141">
        <v>2197633</v>
      </c>
      <c r="C13141" s="1" t="str">
        <f>HYPERLINK("http://stackoverflow.com/users/2197633", "Wesley")</f>
        <v>Wesley</v>
      </c>
      <c r="D13141" t="s">
        <v>5</v>
      </c>
      <c r="E13141">
        <v>1</v>
      </c>
    </row>
    <row r="13142" spans="1:5" x14ac:dyDescent="0.25">
      <c r="A13142">
        <v>13141</v>
      </c>
      <c r="B13142">
        <v>11163096</v>
      </c>
      <c r="C13142" s="1" t="str">
        <f>HYPERLINK("http://stackoverflow.com/users/11163096", "Mao Xi")</f>
        <v>Mao Xi</v>
      </c>
      <c r="D13142" t="s">
        <v>118</v>
      </c>
      <c r="E13142">
        <v>1</v>
      </c>
    </row>
    <row r="13143" spans="1:5" x14ac:dyDescent="0.25">
      <c r="A13143">
        <v>13142</v>
      </c>
      <c r="B13143">
        <v>11163679</v>
      </c>
      <c r="C13143" s="1" t="str">
        <f>HYPERLINK("http://stackoverflow.com/users/11163679", "AskMHX")</f>
        <v>AskMHX</v>
      </c>
      <c r="D13143" t="s">
        <v>4</v>
      </c>
      <c r="E13143">
        <v>1</v>
      </c>
    </row>
    <row r="13144" spans="1:5" x14ac:dyDescent="0.25">
      <c r="A13144">
        <v>13143</v>
      </c>
      <c r="B13144">
        <v>11163861</v>
      </c>
      <c r="C13144" s="1" t="str">
        <f>HYPERLINK("http://stackoverflow.com/users/11163861", "tomorrow")</f>
        <v>tomorrow</v>
      </c>
      <c r="D13144" t="s">
        <v>5</v>
      </c>
      <c r="E13144">
        <v>1</v>
      </c>
    </row>
    <row r="13145" spans="1:5" x14ac:dyDescent="0.25">
      <c r="A13145">
        <v>13144</v>
      </c>
      <c r="B13145">
        <v>5716278</v>
      </c>
      <c r="C13145" s="1" t="str">
        <f>HYPERLINK("http://stackoverflow.com/users/5716278", "Li Mingjian")</f>
        <v>Li Mingjian</v>
      </c>
      <c r="D13145" t="s">
        <v>5</v>
      </c>
      <c r="E13145">
        <v>1</v>
      </c>
    </row>
    <row r="13146" spans="1:5" x14ac:dyDescent="0.25">
      <c r="A13146">
        <v>13145</v>
      </c>
      <c r="B13146">
        <v>5716298</v>
      </c>
      <c r="C13146" s="1" t="str">
        <f>HYPERLINK("http://stackoverflow.com/users/5716298", "Jeff Du")</f>
        <v>Jeff Du</v>
      </c>
      <c r="D13146" t="s">
        <v>5</v>
      </c>
      <c r="E13146">
        <v>1</v>
      </c>
    </row>
    <row r="13147" spans="1:5" x14ac:dyDescent="0.25">
      <c r="A13147">
        <v>13146</v>
      </c>
      <c r="B13147">
        <v>5716355</v>
      </c>
      <c r="C13147" s="1" t="str">
        <f>HYPERLINK("http://stackoverflow.com/users/5716355", "Whde")</f>
        <v>Whde</v>
      </c>
      <c r="D13147" t="s">
        <v>17</v>
      </c>
      <c r="E13147">
        <v>1</v>
      </c>
    </row>
    <row r="13148" spans="1:5" x14ac:dyDescent="0.25">
      <c r="A13148">
        <v>13147</v>
      </c>
      <c r="B13148">
        <v>5716729</v>
      </c>
      <c r="C13148" s="1" t="str">
        <f>HYPERLINK("http://stackoverflow.com/users/5716729", "Scott Huang")</f>
        <v>Scott Huang</v>
      </c>
      <c r="D13148" t="s">
        <v>55</v>
      </c>
      <c r="E13148">
        <v>1</v>
      </c>
    </row>
    <row r="13149" spans="1:5" x14ac:dyDescent="0.25">
      <c r="A13149">
        <v>13148</v>
      </c>
      <c r="B13149">
        <v>11166844</v>
      </c>
      <c r="C13149" s="1" t="str">
        <f>HYPERLINK("http://stackoverflow.com/users/11166844", "Dan Konus")</f>
        <v>Dan Konus</v>
      </c>
      <c r="D13149" t="s">
        <v>214</v>
      </c>
      <c r="E13149">
        <v>1</v>
      </c>
    </row>
    <row r="13150" spans="1:5" x14ac:dyDescent="0.25">
      <c r="A13150">
        <v>13149</v>
      </c>
      <c r="B13150">
        <v>9378539</v>
      </c>
      <c r="C13150" s="1" t="str">
        <f>HYPERLINK("http://stackoverflow.com/users/9378539", "Mwesigye Joshua")</f>
        <v>Mwesigye Joshua</v>
      </c>
      <c r="D13150" t="s">
        <v>91</v>
      </c>
      <c r="E13150">
        <v>1</v>
      </c>
    </row>
    <row r="13151" spans="1:5" x14ac:dyDescent="0.25">
      <c r="A13151">
        <v>13150</v>
      </c>
      <c r="B13151">
        <v>5719645</v>
      </c>
      <c r="C13151" s="1" t="str">
        <f>HYPERLINK("http://stackoverflow.com/users/5719645", "woop")</f>
        <v>woop</v>
      </c>
      <c r="D13151" t="s">
        <v>16</v>
      </c>
      <c r="E13151">
        <v>1</v>
      </c>
    </row>
    <row r="13152" spans="1:5" x14ac:dyDescent="0.25">
      <c r="A13152">
        <v>13151</v>
      </c>
      <c r="B13152">
        <v>7473802</v>
      </c>
      <c r="C13152" s="1" t="str">
        <f>HYPERLINK("http://stackoverflow.com/users/7473802", "T00bitob")</f>
        <v>T00bitob</v>
      </c>
      <c r="D13152" t="s">
        <v>4</v>
      </c>
      <c r="E13152">
        <v>1</v>
      </c>
    </row>
    <row r="13153" spans="1:5" x14ac:dyDescent="0.25">
      <c r="A13153">
        <v>13152</v>
      </c>
      <c r="B13153">
        <v>9427940</v>
      </c>
      <c r="C13153" s="1" t="str">
        <f>HYPERLINK("http://stackoverflow.com/users/9427940", "Atom. Ling")</f>
        <v>Atom. Ling</v>
      </c>
      <c r="D13153" t="s">
        <v>719</v>
      </c>
      <c r="E13153">
        <v>1</v>
      </c>
    </row>
    <row r="13154" spans="1:5" x14ac:dyDescent="0.25">
      <c r="A13154">
        <v>13153</v>
      </c>
      <c r="B13154">
        <v>9428141</v>
      </c>
      <c r="C13154" s="1" t="str">
        <f>HYPERLINK("http://stackoverflow.com/users/9428141", "Emily Li")</f>
        <v>Emily Li</v>
      </c>
      <c r="D13154" t="s">
        <v>4</v>
      </c>
      <c r="E13154">
        <v>1</v>
      </c>
    </row>
    <row r="13155" spans="1:5" x14ac:dyDescent="0.25">
      <c r="A13155">
        <v>13154</v>
      </c>
      <c r="B13155">
        <v>3987568</v>
      </c>
      <c r="C13155" s="1" t="str">
        <f>HYPERLINK("http://stackoverflow.com/users/3987568", "HB6H057")</f>
        <v>HB6H057</v>
      </c>
      <c r="D13155" t="s">
        <v>17</v>
      </c>
      <c r="E13155">
        <v>1</v>
      </c>
    </row>
    <row r="13156" spans="1:5" x14ac:dyDescent="0.25">
      <c r="A13156">
        <v>13155</v>
      </c>
      <c r="B13156">
        <v>7515509</v>
      </c>
      <c r="C13156" s="1" t="str">
        <f>HYPERLINK("http://stackoverflow.com/users/7515509", "CS beginner")</f>
        <v>CS beginner</v>
      </c>
      <c r="D13156" t="s">
        <v>4</v>
      </c>
      <c r="E13156">
        <v>1</v>
      </c>
    </row>
    <row r="13157" spans="1:5" x14ac:dyDescent="0.25">
      <c r="A13157">
        <v>13156</v>
      </c>
      <c r="B13157">
        <v>7515675</v>
      </c>
      <c r="C13157" s="1" t="str">
        <f>HYPERLINK("http://stackoverflow.com/users/7515675", "VeryCB")</f>
        <v>VeryCB</v>
      </c>
      <c r="D13157" t="s">
        <v>5</v>
      </c>
      <c r="E13157">
        <v>1</v>
      </c>
    </row>
    <row r="13158" spans="1:5" x14ac:dyDescent="0.25">
      <c r="A13158">
        <v>13157</v>
      </c>
      <c r="B13158">
        <v>7515778</v>
      </c>
      <c r="C13158" s="1" t="str">
        <f>HYPERLINK("http://stackoverflow.com/users/7515778", "panmaze")</f>
        <v>panmaze</v>
      </c>
      <c r="D13158" t="s">
        <v>25</v>
      </c>
      <c r="E13158">
        <v>1</v>
      </c>
    </row>
    <row r="13159" spans="1:5" x14ac:dyDescent="0.25">
      <c r="A13159">
        <v>13158</v>
      </c>
      <c r="B13159">
        <v>7518006</v>
      </c>
      <c r="C13159" s="1" t="str">
        <f>HYPERLINK("http://stackoverflow.com/users/7518006", "jeri")</f>
        <v>jeri</v>
      </c>
      <c r="D13159" t="s">
        <v>5</v>
      </c>
      <c r="E13159">
        <v>1</v>
      </c>
    </row>
    <row r="13160" spans="1:5" x14ac:dyDescent="0.25">
      <c r="A13160">
        <v>13159</v>
      </c>
      <c r="B13160">
        <v>7518357</v>
      </c>
      <c r="C13160" s="1" t="str">
        <f>HYPERLINK("http://stackoverflow.com/users/7518357", "Shawn")</f>
        <v>Shawn</v>
      </c>
      <c r="D13160" t="s">
        <v>15</v>
      </c>
      <c r="E13160">
        <v>1</v>
      </c>
    </row>
    <row r="13161" spans="1:5" x14ac:dyDescent="0.25">
      <c r="A13161">
        <v>13160</v>
      </c>
      <c r="B13161">
        <v>7518606</v>
      </c>
      <c r="C13161" s="1" t="str">
        <f>HYPERLINK("http://stackoverflow.com/users/7518606", "user7518606")</f>
        <v>user7518606</v>
      </c>
      <c r="D13161" t="s">
        <v>5</v>
      </c>
      <c r="E13161">
        <v>1</v>
      </c>
    </row>
    <row r="13162" spans="1:5" x14ac:dyDescent="0.25">
      <c r="A13162">
        <v>13161</v>
      </c>
      <c r="B13162">
        <v>11225603</v>
      </c>
      <c r="C13162" s="1" t="str">
        <f>HYPERLINK("http://stackoverflow.com/users/11225603", "Jaya")</f>
        <v>Jaya</v>
      </c>
      <c r="D13162" t="s">
        <v>4</v>
      </c>
      <c r="E13162">
        <v>1</v>
      </c>
    </row>
    <row r="13163" spans="1:5" x14ac:dyDescent="0.25">
      <c r="A13163">
        <v>13162</v>
      </c>
      <c r="B13163">
        <v>11225795</v>
      </c>
      <c r="C13163" s="1" t="str">
        <f>HYPERLINK("http://stackoverflow.com/users/11225795", "John Chak")</f>
        <v>John Chak</v>
      </c>
      <c r="D13163" t="s">
        <v>5</v>
      </c>
      <c r="E13163">
        <v>1</v>
      </c>
    </row>
    <row r="13164" spans="1:5" x14ac:dyDescent="0.25">
      <c r="A13164">
        <v>13163</v>
      </c>
      <c r="B13164">
        <v>11226064</v>
      </c>
      <c r="C13164" s="1" t="str">
        <f>HYPERLINK("http://stackoverflow.com/users/11226064", "xiaodim")</f>
        <v>xiaodim</v>
      </c>
      <c r="D13164" t="s">
        <v>47</v>
      </c>
      <c r="E13164">
        <v>1</v>
      </c>
    </row>
    <row r="13165" spans="1:5" x14ac:dyDescent="0.25">
      <c r="A13165">
        <v>13164</v>
      </c>
      <c r="B13165">
        <v>9431266</v>
      </c>
      <c r="C13165" s="1" t="str">
        <f>HYPERLINK("http://stackoverflow.com/users/9431266", "Danish Ali Hayat")</f>
        <v>Danish Ali Hayat</v>
      </c>
      <c r="D13165" t="s">
        <v>720</v>
      </c>
      <c r="E13165">
        <v>1</v>
      </c>
    </row>
    <row r="13166" spans="1:5" x14ac:dyDescent="0.25">
      <c r="A13166">
        <v>13165</v>
      </c>
      <c r="B13166">
        <v>2245690</v>
      </c>
      <c r="C13166" s="1" t="str">
        <f>HYPERLINK("http://stackoverflow.com/users/2245690", "Vinn Sung")</f>
        <v>Vinn Sung</v>
      </c>
      <c r="D13166" t="s">
        <v>21</v>
      </c>
      <c r="E13166">
        <v>1</v>
      </c>
    </row>
    <row r="13167" spans="1:5" x14ac:dyDescent="0.25">
      <c r="A13167">
        <v>13166</v>
      </c>
      <c r="B13167">
        <v>2245826</v>
      </c>
      <c r="C13167" s="1" t="str">
        <f>HYPERLINK("http://stackoverflow.com/users/2245826", "Youliang")</f>
        <v>Youliang</v>
      </c>
      <c r="D13167" t="s">
        <v>5</v>
      </c>
      <c r="E13167">
        <v>1</v>
      </c>
    </row>
    <row r="13168" spans="1:5" x14ac:dyDescent="0.25">
      <c r="A13168">
        <v>13167</v>
      </c>
      <c r="B13168">
        <v>11230349</v>
      </c>
      <c r="C13168" s="1" t="str">
        <f>HYPERLINK("http://stackoverflow.com/users/11230349", "pulatud")</f>
        <v>pulatud</v>
      </c>
      <c r="D13168" t="s">
        <v>547</v>
      </c>
      <c r="E13168">
        <v>1</v>
      </c>
    </row>
    <row r="13169" spans="1:5" x14ac:dyDescent="0.25">
      <c r="A13169">
        <v>13168</v>
      </c>
      <c r="B13169">
        <v>11230428</v>
      </c>
      <c r="C13169" s="1" t="str">
        <f>HYPERLINK("http://stackoverflow.com/users/11230428", "bin.gao")</f>
        <v>bin.gao</v>
      </c>
      <c r="D13169" t="s">
        <v>52</v>
      </c>
      <c r="E13169">
        <v>1</v>
      </c>
    </row>
    <row r="13170" spans="1:5" x14ac:dyDescent="0.25">
      <c r="A13170">
        <v>13169</v>
      </c>
      <c r="B13170">
        <v>11230531</v>
      </c>
      <c r="C13170" s="1" t="str">
        <f>HYPERLINK("http://stackoverflow.com/users/11230531", "X-CSS")</f>
        <v>X-CSS</v>
      </c>
      <c r="D13170" t="s">
        <v>25</v>
      </c>
      <c r="E13170">
        <v>1</v>
      </c>
    </row>
    <row r="13171" spans="1:5" x14ac:dyDescent="0.25">
      <c r="A13171">
        <v>13170</v>
      </c>
      <c r="B13171">
        <v>11230699</v>
      </c>
      <c r="C13171" s="1" t="str">
        <f>HYPERLINK("http://stackoverflow.com/users/11230699", "neouuid")</f>
        <v>neouuid</v>
      </c>
      <c r="D13171" t="s">
        <v>4</v>
      </c>
      <c r="E13171">
        <v>1</v>
      </c>
    </row>
    <row r="13172" spans="1:5" x14ac:dyDescent="0.25">
      <c r="A13172">
        <v>13171</v>
      </c>
      <c r="B13172">
        <v>7523141</v>
      </c>
      <c r="C13172" s="1" t="str">
        <f>HYPERLINK("http://stackoverflow.com/users/7523141", "Huan")</f>
        <v>Huan</v>
      </c>
      <c r="D13172" t="s">
        <v>7</v>
      </c>
      <c r="E13172">
        <v>1</v>
      </c>
    </row>
    <row r="13173" spans="1:5" x14ac:dyDescent="0.25">
      <c r="A13173">
        <v>13172</v>
      </c>
      <c r="B13173">
        <v>7523400</v>
      </c>
      <c r="C13173" s="1" t="str">
        <f>HYPERLINK("http://stackoverflow.com/users/7523400", "SiAce")</f>
        <v>SiAce</v>
      </c>
      <c r="D13173" t="s">
        <v>4</v>
      </c>
      <c r="E13173">
        <v>1</v>
      </c>
    </row>
    <row r="13174" spans="1:5" x14ac:dyDescent="0.25">
      <c r="A13174">
        <v>13173</v>
      </c>
      <c r="B13174">
        <v>9436669</v>
      </c>
      <c r="C13174" s="1" t="str">
        <f>HYPERLINK("http://stackoverflow.com/users/9436669", "Dfqxx")</f>
        <v>Dfqxx</v>
      </c>
      <c r="D13174" t="s">
        <v>721</v>
      </c>
      <c r="E13174">
        <v>1</v>
      </c>
    </row>
    <row r="13175" spans="1:5" x14ac:dyDescent="0.25">
      <c r="A13175">
        <v>13174</v>
      </c>
      <c r="B13175">
        <v>7527067</v>
      </c>
      <c r="C13175" s="1" t="str">
        <f>HYPERLINK("http://stackoverflow.com/users/7527067", "xiaosa")</f>
        <v>xiaosa</v>
      </c>
      <c r="D13175" t="s">
        <v>7</v>
      </c>
      <c r="E13175">
        <v>1</v>
      </c>
    </row>
    <row r="13176" spans="1:5" x14ac:dyDescent="0.25">
      <c r="A13176">
        <v>13175</v>
      </c>
      <c r="B13176">
        <v>7527128</v>
      </c>
      <c r="C13176" s="1" t="str">
        <f>HYPERLINK("http://stackoverflow.com/users/7527128", "ryan")</f>
        <v>ryan</v>
      </c>
      <c r="D13176" t="s">
        <v>16</v>
      </c>
      <c r="E13176">
        <v>1</v>
      </c>
    </row>
    <row r="13177" spans="1:5" x14ac:dyDescent="0.25">
      <c r="A13177">
        <v>13176</v>
      </c>
      <c r="B13177">
        <v>7527307</v>
      </c>
      <c r="C13177" s="1" t="str">
        <f>HYPERLINK("http://stackoverflow.com/users/7527307", "albert")</f>
        <v>albert</v>
      </c>
      <c r="D13177" t="s">
        <v>4</v>
      </c>
      <c r="E13177">
        <v>1</v>
      </c>
    </row>
    <row r="13178" spans="1:5" x14ac:dyDescent="0.25">
      <c r="A13178">
        <v>13177</v>
      </c>
      <c r="B13178">
        <v>7527359</v>
      </c>
      <c r="C13178" s="1" t="str">
        <f>HYPERLINK("http://stackoverflow.com/users/7527359", "cloudseer")</f>
        <v>cloudseer</v>
      </c>
      <c r="D13178" t="s">
        <v>25</v>
      </c>
      <c r="E13178">
        <v>1</v>
      </c>
    </row>
    <row r="13179" spans="1:5" x14ac:dyDescent="0.25">
      <c r="A13179">
        <v>13178</v>
      </c>
      <c r="B13179">
        <v>5775997</v>
      </c>
      <c r="C13179" s="1" t="str">
        <f>HYPERLINK("http://stackoverflow.com/users/5775997", "Mitz Suyi")</f>
        <v>Mitz Suyi</v>
      </c>
      <c r="D13179" t="s">
        <v>7</v>
      </c>
      <c r="E13179">
        <v>1</v>
      </c>
    </row>
    <row r="13180" spans="1:5" x14ac:dyDescent="0.25">
      <c r="A13180">
        <v>13179</v>
      </c>
      <c r="B13180">
        <v>3998918</v>
      </c>
      <c r="C13180" s="1" t="str">
        <f>HYPERLINK("http://stackoverflow.com/users/3998918", "Pomy")</f>
        <v>Pomy</v>
      </c>
      <c r="D13180" t="s">
        <v>5</v>
      </c>
      <c r="E13180">
        <v>1</v>
      </c>
    </row>
    <row r="13181" spans="1:5" x14ac:dyDescent="0.25">
      <c r="A13181">
        <v>13180</v>
      </c>
      <c r="B13181">
        <v>3999243</v>
      </c>
      <c r="C13181" s="1" t="str">
        <f>HYPERLINK("http://stackoverflow.com/users/3999243", "nista")</f>
        <v>nista</v>
      </c>
      <c r="D13181" t="s">
        <v>74</v>
      </c>
      <c r="E13181">
        <v>1</v>
      </c>
    </row>
    <row r="13182" spans="1:5" x14ac:dyDescent="0.25">
      <c r="A13182">
        <v>13181</v>
      </c>
      <c r="B13182">
        <v>9453973</v>
      </c>
      <c r="C13182" s="1" t="str">
        <f>HYPERLINK("http://stackoverflow.com/users/9453973", "Paul_CA")</f>
        <v>Paul_CA</v>
      </c>
      <c r="D13182" t="s">
        <v>25</v>
      </c>
      <c r="E13182">
        <v>1</v>
      </c>
    </row>
    <row r="13183" spans="1:5" x14ac:dyDescent="0.25">
      <c r="A13183">
        <v>13182</v>
      </c>
      <c r="B13183">
        <v>9454161</v>
      </c>
      <c r="C13183" s="1" t="str">
        <f>HYPERLINK("http://stackoverflow.com/users/9454161", "W.aion")</f>
        <v>W.aion</v>
      </c>
      <c r="D13183" t="s">
        <v>722</v>
      </c>
      <c r="E13183">
        <v>1</v>
      </c>
    </row>
    <row r="13184" spans="1:5" x14ac:dyDescent="0.25">
      <c r="A13184">
        <v>13183</v>
      </c>
      <c r="B13184">
        <v>9454706</v>
      </c>
      <c r="C13184" s="1" t="str">
        <f>HYPERLINK("http://stackoverflow.com/users/9454706", "Y. Zheng")</f>
        <v>Y. Zheng</v>
      </c>
      <c r="D13184" t="s">
        <v>4</v>
      </c>
      <c r="E13184">
        <v>1</v>
      </c>
    </row>
    <row r="13185" spans="1:5" x14ac:dyDescent="0.25">
      <c r="A13185">
        <v>13184</v>
      </c>
      <c r="B13185">
        <v>3999397</v>
      </c>
      <c r="C13185" s="1" t="str">
        <f>HYPERLINK("http://stackoverflow.com/users/3999397", "XunMo")</f>
        <v>XunMo</v>
      </c>
      <c r="D13185" t="s">
        <v>5</v>
      </c>
      <c r="E13185">
        <v>1</v>
      </c>
    </row>
    <row r="13186" spans="1:5" x14ac:dyDescent="0.25">
      <c r="A13186">
        <v>13185</v>
      </c>
      <c r="B13186">
        <v>3999636</v>
      </c>
      <c r="C13186" s="1" t="str">
        <f>HYPERLINK("http://stackoverflow.com/users/3999636", "PowerXing")</f>
        <v>PowerXing</v>
      </c>
      <c r="D13186" t="s">
        <v>38</v>
      </c>
      <c r="E13186">
        <v>1</v>
      </c>
    </row>
    <row r="13187" spans="1:5" x14ac:dyDescent="0.25">
      <c r="A13187">
        <v>13186</v>
      </c>
      <c r="B13187">
        <v>9440875</v>
      </c>
      <c r="C13187" s="1" t="str">
        <f>HYPERLINK("http://stackoverflow.com/users/9440875", "user9440875")</f>
        <v>user9440875</v>
      </c>
      <c r="D13187" t="s">
        <v>4</v>
      </c>
      <c r="E13187">
        <v>1</v>
      </c>
    </row>
    <row r="13188" spans="1:5" x14ac:dyDescent="0.25">
      <c r="A13188">
        <v>13187</v>
      </c>
      <c r="B13188">
        <v>9441216</v>
      </c>
      <c r="C13188" s="1" t="str">
        <f>HYPERLINK("http://stackoverflow.com/users/9441216", "Jason U")</f>
        <v>Jason U</v>
      </c>
      <c r="D13188" t="s">
        <v>4</v>
      </c>
      <c r="E13188">
        <v>1</v>
      </c>
    </row>
    <row r="13189" spans="1:5" x14ac:dyDescent="0.25">
      <c r="A13189">
        <v>13188</v>
      </c>
      <c r="B13189">
        <v>5783484</v>
      </c>
      <c r="C13189" s="1" t="str">
        <f>HYPERLINK("http://stackoverflow.com/users/5783484", "YuZ")</f>
        <v>YuZ</v>
      </c>
      <c r="D13189" t="s">
        <v>4</v>
      </c>
      <c r="E13189">
        <v>1</v>
      </c>
    </row>
    <row r="13190" spans="1:5" x14ac:dyDescent="0.25">
      <c r="A13190">
        <v>13189</v>
      </c>
      <c r="B13190">
        <v>7535439</v>
      </c>
      <c r="C13190" s="1" t="str">
        <f>HYPERLINK("http://stackoverflow.com/users/7535439", "胡小凡")</f>
        <v>胡小凡</v>
      </c>
      <c r="D13190" t="s">
        <v>52</v>
      </c>
      <c r="E13190">
        <v>1</v>
      </c>
    </row>
    <row r="13191" spans="1:5" x14ac:dyDescent="0.25">
      <c r="A13191">
        <v>13190</v>
      </c>
      <c r="B13191">
        <v>9449600</v>
      </c>
      <c r="C13191" s="1" t="str">
        <f>HYPERLINK("http://stackoverflow.com/users/9449600", "Kim Laurance")</f>
        <v>Kim Laurance</v>
      </c>
      <c r="D13191" t="s">
        <v>25</v>
      </c>
      <c r="E13191">
        <v>1</v>
      </c>
    </row>
    <row r="13192" spans="1:5" x14ac:dyDescent="0.25">
      <c r="A13192">
        <v>13191</v>
      </c>
      <c r="B13192">
        <v>9449746</v>
      </c>
      <c r="C13192" s="1" t="str">
        <f>HYPERLINK("http://stackoverflow.com/users/9449746", "hzluo")</f>
        <v>hzluo</v>
      </c>
      <c r="D13192" t="s">
        <v>43</v>
      </c>
      <c r="E13192">
        <v>1</v>
      </c>
    </row>
    <row r="13193" spans="1:5" x14ac:dyDescent="0.25">
      <c r="A13193">
        <v>13192</v>
      </c>
      <c r="B13193">
        <v>9449814</v>
      </c>
      <c r="C13193" s="1" t="str">
        <f>HYPERLINK("http://stackoverflow.com/users/9449814", "Lee")</f>
        <v>Lee</v>
      </c>
      <c r="D13193" t="s">
        <v>28</v>
      </c>
      <c r="E13193">
        <v>1</v>
      </c>
    </row>
    <row r="13194" spans="1:5" x14ac:dyDescent="0.25">
      <c r="A13194">
        <v>13193</v>
      </c>
      <c r="B13194">
        <v>9450104</v>
      </c>
      <c r="C13194" s="1" t="str">
        <f>HYPERLINK("http://stackoverflow.com/users/9450104", "KennyC")</f>
        <v>KennyC</v>
      </c>
      <c r="D13194" t="s">
        <v>25</v>
      </c>
      <c r="E13194">
        <v>1</v>
      </c>
    </row>
    <row r="13195" spans="1:5" x14ac:dyDescent="0.25">
      <c r="A13195">
        <v>13194</v>
      </c>
      <c r="B13195">
        <v>9450146</v>
      </c>
      <c r="C13195" s="1" t="str">
        <f>HYPERLINK("http://stackoverflow.com/users/9450146", "Nigel")</f>
        <v>Nigel</v>
      </c>
      <c r="D13195" t="s">
        <v>47</v>
      </c>
      <c r="E13195">
        <v>1</v>
      </c>
    </row>
    <row r="13196" spans="1:5" x14ac:dyDescent="0.25">
      <c r="A13196">
        <v>13195</v>
      </c>
      <c r="B13196">
        <v>9450187</v>
      </c>
      <c r="C13196" s="1" t="str">
        <f>HYPERLINK("http://stackoverflow.com/users/9450187", "ChenShier")</f>
        <v>ChenShier</v>
      </c>
      <c r="D13196" t="s">
        <v>114</v>
      </c>
      <c r="E13196">
        <v>1</v>
      </c>
    </row>
    <row r="13197" spans="1:5" x14ac:dyDescent="0.25">
      <c r="A13197">
        <v>13196</v>
      </c>
      <c r="B13197">
        <v>3963498</v>
      </c>
      <c r="C13197" s="1" t="str">
        <f>HYPERLINK("http://stackoverflow.com/users/3963498", "aishangzoulu")</f>
        <v>aishangzoulu</v>
      </c>
      <c r="D13197" t="s">
        <v>8</v>
      </c>
      <c r="E13197">
        <v>1</v>
      </c>
    </row>
    <row r="13198" spans="1:5" x14ac:dyDescent="0.25">
      <c r="A13198">
        <v>13197</v>
      </c>
      <c r="B13198">
        <v>11190796</v>
      </c>
      <c r="C13198" s="1" t="str">
        <f>HYPERLINK("http://stackoverflow.com/users/11190796", "Panda Hope")</f>
        <v>Panda Hope</v>
      </c>
      <c r="D13198" t="s">
        <v>5</v>
      </c>
      <c r="E13198">
        <v>1</v>
      </c>
    </row>
    <row r="13199" spans="1:5" x14ac:dyDescent="0.25">
      <c r="A13199">
        <v>13198</v>
      </c>
      <c r="B13199">
        <v>9413225</v>
      </c>
      <c r="C13199" s="1" t="str">
        <f>HYPERLINK("http://stackoverflow.com/users/9413225", "Jie Zhang")</f>
        <v>Jie Zhang</v>
      </c>
      <c r="D13199" t="s">
        <v>457</v>
      </c>
      <c r="E13199">
        <v>1</v>
      </c>
    </row>
    <row r="13200" spans="1:5" x14ac:dyDescent="0.25">
      <c r="A13200">
        <v>13199</v>
      </c>
      <c r="B13200">
        <v>2206042</v>
      </c>
      <c r="C13200" s="1" t="str">
        <f>HYPERLINK("http://stackoverflow.com/users/2206042", "yangyi")</f>
        <v>yangyi</v>
      </c>
      <c r="D13200" t="s">
        <v>62</v>
      </c>
      <c r="E13200">
        <v>1</v>
      </c>
    </row>
    <row r="13201" spans="1:5" x14ac:dyDescent="0.25">
      <c r="A13201">
        <v>13200</v>
      </c>
      <c r="B13201">
        <v>9400762</v>
      </c>
      <c r="C13201" s="1" t="str">
        <f>HYPERLINK("http://stackoverflow.com/users/9400762", "tianming tang")</f>
        <v>tianming tang</v>
      </c>
      <c r="D13201" t="s">
        <v>723</v>
      </c>
      <c r="E13201">
        <v>1</v>
      </c>
    </row>
    <row r="13202" spans="1:5" x14ac:dyDescent="0.25">
      <c r="A13202">
        <v>13201</v>
      </c>
      <c r="B13202">
        <v>9400798</v>
      </c>
      <c r="C13202" s="1" t="str">
        <f>HYPERLINK("http://stackoverflow.com/users/9400798", "digital-galaxy")</f>
        <v>digital-galaxy</v>
      </c>
      <c r="D13202" t="s">
        <v>29</v>
      </c>
      <c r="E13202">
        <v>1</v>
      </c>
    </row>
    <row r="13203" spans="1:5" x14ac:dyDescent="0.25">
      <c r="A13203">
        <v>13202</v>
      </c>
      <c r="B13203">
        <v>11195871</v>
      </c>
      <c r="C13203" s="1" t="str">
        <f>HYPERLINK("http://stackoverflow.com/users/11195871", "goodplasticsofas")</f>
        <v>goodplasticsofas</v>
      </c>
      <c r="D13203" t="s">
        <v>724</v>
      </c>
      <c r="E13203">
        <v>1</v>
      </c>
    </row>
    <row r="13204" spans="1:5" x14ac:dyDescent="0.25">
      <c r="A13204">
        <v>13203</v>
      </c>
      <c r="B13204">
        <v>11196122</v>
      </c>
      <c r="C13204" s="1" t="str">
        <f>HYPERLINK("http://stackoverflow.com/users/11196122", "Ineldo Vasconcelos")</f>
        <v>Ineldo Vasconcelos</v>
      </c>
      <c r="D13204" t="s">
        <v>725</v>
      </c>
      <c r="E13204">
        <v>1</v>
      </c>
    </row>
    <row r="13205" spans="1:5" x14ac:dyDescent="0.25">
      <c r="A13205">
        <v>13204</v>
      </c>
      <c r="B13205">
        <v>9407464</v>
      </c>
      <c r="C13205" s="1" t="str">
        <f>HYPERLINK("http://stackoverflow.com/users/9407464", "Jack Frank")</f>
        <v>Jack Frank</v>
      </c>
      <c r="D13205" t="s">
        <v>33</v>
      </c>
      <c r="E13205">
        <v>1</v>
      </c>
    </row>
    <row r="13206" spans="1:5" x14ac:dyDescent="0.25">
      <c r="A13206">
        <v>13205</v>
      </c>
      <c r="B13206">
        <v>2234233</v>
      </c>
      <c r="C13206" s="1" t="str">
        <f>HYPERLINK("http://stackoverflow.com/users/2234233", "tiemuxu")</f>
        <v>tiemuxu</v>
      </c>
      <c r="D13206" t="s">
        <v>4</v>
      </c>
      <c r="E13206">
        <v>1</v>
      </c>
    </row>
    <row r="13207" spans="1:5" x14ac:dyDescent="0.25">
      <c r="A13207">
        <v>13206</v>
      </c>
      <c r="B13207">
        <v>2234342</v>
      </c>
      <c r="C13207" s="1" t="str">
        <f>HYPERLINK("http://stackoverflow.com/users/2234342", "Jiasen Lin")</f>
        <v>Jiasen Lin</v>
      </c>
      <c r="D13207" t="s">
        <v>5</v>
      </c>
      <c r="E13207">
        <v>1</v>
      </c>
    </row>
    <row r="13208" spans="1:5" x14ac:dyDescent="0.25">
      <c r="A13208">
        <v>13207</v>
      </c>
      <c r="B13208">
        <v>2235092</v>
      </c>
      <c r="C13208" s="1" t="str">
        <f>HYPERLINK("http://stackoverflow.com/users/2235092", "Bruce.Niu")</f>
        <v>Bruce.Niu</v>
      </c>
      <c r="D13208" t="s">
        <v>5</v>
      </c>
      <c r="E13208">
        <v>1</v>
      </c>
    </row>
    <row r="13209" spans="1:5" x14ac:dyDescent="0.25">
      <c r="A13209">
        <v>13208</v>
      </c>
      <c r="B13209">
        <v>2235430</v>
      </c>
      <c r="C13209" s="1" t="str">
        <f>HYPERLINK("http://stackoverflow.com/users/2235430", "Yost Yang")</f>
        <v>Yost Yang</v>
      </c>
      <c r="D13209" t="s">
        <v>4</v>
      </c>
      <c r="E13209">
        <v>1</v>
      </c>
    </row>
    <row r="13210" spans="1:5" x14ac:dyDescent="0.25">
      <c r="A13210">
        <v>13209</v>
      </c>
      <c r="B13210">
        <v>11218357</v>
      </c>
      <c r="C13210" s="1" t="str">
        <f>HYPERLINK("http://stackoverflow.com/users/11218357", "Mohamed Witti Adou")</f>
        <v>Mohamed Witti Adou</v>
      </c>
      <c r="D13210" t="s">
        <v>15</v>
      </c>
      <c r="E13210">
        <v>1</v>
      </c>
    </row>
    <row r="13211" spans="1:5" x14ac:dyDescent="0.25">
      <c r="A13211">
        <v>13210</v>
      </c>
      <c r="B13211">
        <v>11218594</v>
      </c>
      <c r="C13211" s="1" t="str">
        <f>HYPERLINK("http://stackoverflow.com/users/11218594", "caisewangzi")</f>
        <v>caisewangzi</v>
      </c>
      <c r="D13211" t="s">
        <v>5</v>
      </c>
      <c r="E13211">
        <v>1</v>
      </c>
    </row>
    <row r="13212" spans="1:5" x14ac:dyDescent="0.25">
      <c r="A13212">
        <v>13211</v>
      </c>
      <c r="B13212">
        <v>11218597</v>
      </c>
      <c r="C13212" s="1" t="str">
        <f>HYPERLINK("http://stackoverflow.com/users/11218597", "Leon Rust")</f>
        <v>Leon Rust</v>
      </c>
      <c r="D13212" t="s">
        <v>4</v>
      </c>
      <c r="E13212">
        <v>1</v>
      </c>
    </row>
    <row r="13213" spans="1:5" x14ac:dyDescent="0.25">
      <c r="A13213">
        <v>13212</v>
      </c>
      <c r="B13213">
        <v>11218789</v>
      </c>
      <c r="C13213" s="1" t="str">
        <f>HYPERLINK("http://stackoverflow.com/users/11218789", "CoolSuperman")</f>
        <v>CoolSuperman</v>
      </c>
      <c r="D13213" t="s">
        <v>131</v>
      </c>
      <c r="E13213">
        <v>1</v>
      </c>
    </row>
    <row r="13214" spans="1:5" x14ac:dyDescent="0.25">
      <c r="A13214">
        <v>13213</v>
      </c>
      <c r="B13214">
        <v>11218836</v>
      </c>
      <c r="C13214" s="1" t="str">
        <f>HYPERLINK("http://stackoverflow.com/users/11218836", "liang chang")</f>
        <v>liang chang</v>
      </c>
      <c r="D13214" t="s">
        <v>5</v>
      </c>
      <c r="E13214">
        <v>1</v>
      </c>
    </row>
    <row r="13215" spans="1:5" x14ac:dyDescent="0.25">
      <c r="A13215">
        <v>13214</v>
      </c>
      <c r="B13215">
        <v>9418386</v>
      </c>
      <c r="C13215" s="1" t="str">
        <f>HYPERLINK("http://stackoverflow.com/users/9418386", "张德皓")</f>
        <v>张德皓</v>
      </c>
      <c r="D13215" t="s">
        <v>5</v>
      </c>
      <c r="E13215">
        <v>1</v>
      </c>
    </row>
    <row r="13216" spans="1:5" x14ac:dyDescent="0.25">
      <c r="A13216">
        <v>13215</v>
      </c>
      <c r="B13216">
        <v>9418476</v>
      </c>
      <c r="C13216" s="1" t="str">
        <f>HYPERLINK("http://stackoverflow.com/users/9418476", "loyalty")</f>
        <v>loyalty</v>
      </c>
      <c r="D13216" t="s">
        <v>4</v>
      </c>
      <c r="E13216">
        <v>1</v>
      </c>
    </row>
    <row r="13217" spans="1:5" x14ac:dyDescent="0.25">
      <c r="A13217">
        <v>13216</v>
      </c>
      <c r="B13217">
        <v>9418628</v>
      </c>
      <c r="C13217" s="1" t="str">
        <f>HYPERLINK("http://stackoverflow.com/users/9418628", "Jensen Zhou")</f>
        <v>Jensen Zhou</v>
      </c>
      <c r="D13217" t="s">
        <v>54</v>
      </c>
      <c r="E13217">
        <v>1</v>
      </c>
    </row>
    <row r="13218" spans="1:5" x14ac:dyDescent="0.25">
      <c r="A13218">
        <v>13217</v>
      </c>
      <c r="B13218">
        <v>3979649</v>
      </c>
      <c r="C13218" s="1" t="str">
        <f>HYPERLINK("http://stackoverflow.com/users/3979649", "ArBing Xie")</f>
        <v>ArBing Xie</v>
      </c>
      <c r="D13218" t="s">
        <v>5</v>
      </c>
      <c r="E13218">
        <v>1</v>
      </c>
    </row>
    <row r="13219" spans="1:5" x14ac:dyDescent="0.25">
      <c r="A13219">
        <v>13218</v>
      </c>
      <c r="B13219">
        <v>3974273</v>
      </c>
      <c r="C13219" s="1" t="str">
        <f>HYPERLINK("http://stackoverflow.com/users/3974273", "Gavin")</f>
        <v>Gavin</v>
      </c>
      <c r="D13219" t="s">
        <v>17</v>
      </c>
      <c r="E13219">
        <v>1</v>
      </c>
    </row>
    <row r="13220" spans="1:5" x14ac:dyDescent="0.25">
      <c r="A13220">
        <v>13219</v>
      </c>
      <c r="B13220">
        <v>3974584</v>
      </c>
      <c r="C13220" s="1" t="str">
        <f>HYPERLINK("http://stackoverflow.com/users/3974584", "Hongwei")</f>
        <v>Hongwei</v>
      </c>
      <c r="D13220" t="s">
        <v>4</v>
      </c>
      <c r="E13220">
        <v>1</v>
      </c>
    </row>
    <row r="13221" spans="1:5" x14ac:dyDescent="0.25">
      <c r="A13221">
        <v>13220</v>
      </c>
      <c r="B13221">
        <v>3974731</v>
      </c>
      <c r="C13221" s="1" t="str">
        <f>HYPERLINK("http://stackoverflow.com/users/3974731", "aofel")</f>
        <v>aofel</v>
      </c>
      <c r="D13221" t="s">
        <v>5</v>
      </c>
      <c r="E13221">
        <v>1</v>
      </c>
    </row>
    <row r="13222" spans="1:5" x14ac:dyDescent="0.25">
      <c r="A13222">
        <v>13221</v>
      </c>
      <c r="B13222">
        <v>7506058</v>
      </c>
      <c r="C13222" s="1" t="str">
        <f>HYPERLINK("http://stackoverflow.com/users/7506058", "Ben Harp")</f>
        <v>Ben Harp</v>
      </c>
      <c r="D13222" t="s">
        <v>408</v>
      </c>
      <c r="E13222">
        <v>1</v>
      </c>
    </row>
    <row r="13223" spans="1:5" x14ac:dyDescent="0.25">
      <c r="A13223">
        <v>13222</v>
      </c>
      <c r="B13223">
        <v>7506079</v>
      </c>
      <c r="C13223" s="1" t="str">
        <f>HYPERLINK("http://stackoverflow.com/users/7506079", "Willi Carlson")</f>
        <v>Willi Carlson</v>
      </c>
      <c r="D13223" t="s">
        <v>5</v>
      </c>
      <c r="E13223">
        <v>1</v>
      </c>
    </row>
    <row r="13224" spans="1:5" x14ac:dyDescent="0.25">
      <c r="A13224">
        <v>13223</v>
      </c>
      <c r="B13224">
        <v>5621342</v>
      </c>
      <c r="C13224" s="1" t="str">
        <f>HYPERLINK("http://stackoverflow.com/users/5621342", "Yuanpeng Niu")</f>
        <v>Yuanpeng Niu</v>
      </c>
      <c r="D13224" t="s">
        <v>55</v>
      </c>
      <c r="E13224">
        <v>1</v>
      </c>
    </row>
    <row r="13225" spans="1:5" x14ac:dyDescent="0.25">
      <c r="A13225">
        <v>13224</v>
      </c>
      <c r="B13225">
        <v>3833832</v>
      </c>
      <c r="C13225" s="1" t="str">
        <f>HYPERLINK("http://stackoverflow.com/users/3833832", "haohang")</f>
        <v>haohang</v>
      </c>
      <c r="D13225" t="s">
        <v>5</v>
      </c>
      <c r="E13225">
        <v>1</v>
      </c>
    </row>
    <row r="13226" spans="1:5" x14ac:dyDescent="0.25">
      <c r="A13226">
        <v>13225</v>
      </c>
      <c r="B13226">
        <v>9266200</v>
      </c>
      <c r="C13226" s="1" t="str">
        <f>HYPERLINK("http://stackoverflow.com/users/9266200", "ryanaltair")</f>
        <v>ryanaltair</v>
      </c>
      <c r="D13226" t="s">
        <v>73</v>
      </c>
      <c r="E13226">
        <v>1</v>
      </c>
    </row>
    <row r="13227" spans="1:5" x14ac:dyDescent="0.25">
      <c r="A13227">
        <v>13226</v>
      </c>
      <c r="B13227">
        <v>9266555</v>
      </c>
      <c r="C13227" s="1" t="str">
        <f>HYPERLINK("http://stackoverflow.com/users/9266555", "talen hao")</f>
        <v>talen hao</v>
      </c>
      <c r="D13227" t="s">
        <v>16</v>
      </c>
      <c r="E13227">
        <v>1</v>
      </c>
    </row>
    <row r="13228" spans="1:5" x14ac:dyDescent="0.25">
      <c r="A13228">
        <v>13227</v>
      </c>
      <c r="B13228">
        <v>9266591</v>
      </c>
      <c r="C13228" s="1" t="str">
        <f>HYPERLINK("http://stackoverflow.com/users/9266591", "Jayden.Kam")</f>
        <v>Jayden.Kam</v>
      </c>
      <c r="D13228" t="s">
        <v>4</v>
      </c>
      <c r="E13228">
        <v>1</v>
      </c>
    </row>
    <row r="13229" spans="1:5" x14ac:dyDescent="0.25">
      <c r="A13229">
        <v>13228</v>
      </c>
      <c r="B13229">
        <v>2063262</v>
      </c>
      <c r="C13229" s="1" t="str">
        <f>HYPERLINK("http://stackoverflow.com/users/2063262", "Julaiti Alafate")</f>
        <v>Julaiti Alafate</v>
      </c>
      <c r="D13229" t="s">
        <v>4</v>
      </c>
      <c r="E13229">
        <v>1</v>
      </c>
    </row>
    <row r="13230" spans="1:5" x14ac:dyDescent="0.25">
      <c r="A13230">
        <v>13229</v>
      </c>
      <c r="B13230">
        <v>11060585</v>
      </c>
      <c r="C13230" s="1" t="str">
        <f>HYPERLINK("http://stackoverflow.com/users/11060585", "Ben")</f>
        <v>Ben</v>
      </c>
      <c r="D13230" t="s">
        <v>7</v>
      </c>
      <c r="E13230">
        <v>1</v>
      </c>
    </row>
    <row r="13231" spans="1:5" x14ac:dyDescent="0.25">
      <c r="A13231">
        <v>13230</v>
      </c>
      <c r="B13231">
        <v>11060642</v>
      </c>
      <c r="C13231" s="1" t="str">
        <f>HYPERLINK("http://stackoverflow.com/users/11060642", "conderls")</f>
        <v>conderls</v>
      </c>
      <c r="D13231" t="s">
        <v>5</v>
      </c>
      <c r="E13231">
        <v>1</v>
      </c>
    </row>
    <row r="13232" spans="1:5" x14ac:dyDescent="0.25">
      <c r="A13232">
        <v>13231</v>
      </c>
      <c r="B13232">
        <v>11060853</v>
      </c>
      <c r="C13232" s="1" t="str">
        <f>HYPERLINK("http://stackoverflow.com/users/11060853", "Tom Shen")</f>
        <v>Tom Shen</v>
      </c>
      <c r="D13232" t="s">
        <v>5</v>
      </c>
      <c r="E13232">
        <v>1</v>
      </c>
    </row>
    <row r="13233" spans="1:5" x14ac:dyDescent="0.25">
      <c r="A13233">
        <v>13232</v>
      </c>
      <c r="B13233">
        <v>9271369</v>
      </c>
      <c r="C13233" s="1" t="str">
        <f>HYPERLINK("http://stackoverflow.com/users/9271369", "Jaren Chow")</f>
        <v>Jaren Chow</v>
      </c>
      <c r="D13233" t="s">
        <v>29</v>
      </c>
      <c r="E13233">
        <v>1</v>
      </c>
    </row>
    <row r="13234" spans="1:5" x14ac:dyDescent="0.25">
      <c r="A13234">
        <v>13233</v>
      </c>
      <c r="B13234">
        <v>5625720</v>
      </c>
      <c r="C13234" s="1" t="str">
        <f>HYPERLINK("http://stackoverflow.com/users/5625720", "iterjpnic")</f>
        <v>iterjpnic</v>
      </c>
      <c r="D13234" t="s">
        <v>5</v>
      </c>
      <c r="E13234">
        <v>1</v>
      </c>
    </row>
    <row r="13235" spans="1:5" x14ac:dyDescent="0.25">
      <c r="A13235">
        <v>13234</v>
      </c>
      <c r="B13235">
        <v>5626296</v>
      </c>
      <c r="C13235" s="1" t="str">
        <f>HYPERLINK("http://stackoverflow.com/users/5626296", "Haozhao")</f>
        <v>Haozhao</v>
      </c>
      <c r="D13235" t="s">
        <v>25</v>
      </c>
      <c r="E13235">
        <v>1</v>
      </c>
    </row>
    <row r="13236" spans="1:5" x14ac:dyDescent="0.25">
      <c r="A13236">
        <v>13235</v>
      </c>
      <c r="B13236">
        <v>3839929</v>
      </c>
      <c r="C13236" s="1" t="str">
        <f>HYPERLINK("http://stackoverflow.com/users/3839929", "user3839929")</f>
        <v>user3839929</v>
      </c>
      <c r="D13236" t="s">
        <v>5</v>
      </c>
      <c r="E13236">
        <v>1</v>
      </c>
    </row>
    <row r="13237" spans="1:5" x14ac:dyDescent="0.25">
      <c r="A13237">
        <v>13236</v>
      </c>
      <c r="B13237">
        <v>3851734</v>
      </c>
      <c r="C13237" s="1" t="str">
        <f>HYPERLINK("http://stackoverflow.com/users/3851734", "win lee china")</f>
        <v>win lee china</v>
      </c>
      <c r="D13237" t="s">
        <v>4</v>
      </c>
      <c r="E13237">
        <v>1</v>
      </c>
    </row>
    <row r="13238" spans="1:5" x14ac:dyDescent="0.25">
      <c r="A13238">
        <v>13237</v>
      </c>
      <c r="B13238">
        <v>3851742</v>
      </c>
      <c r="C13238" s="1" t="str">
        <f>HYPERLINK("http://stackoverflow.com/users/3851742", "Ou_Alice")</f>
        <v>Ou_Alice</v>
      </c>
      <c r="D13238" t="s">
        <v>4</v>
      </c>
      <c r="E13238">
        <v>1</v>
      </c>
    </row>
    <row r="13239" spans="1:5" x14ac:dyDescent="0.25">
      <c r="A13239">
        <v>13238</v>
      </c>
      <c r="B13239">
        <v>3851811</v>
      </c>
      <c r="C13239" s="1" t="str">
        <f>HYPERLINK("http://stackoverflow.com/users/3851811", "kefirzhang")</f>
        <v>kefirzhang</v>
      </c>
      <c r="D13239" t="s">
        <v>4</v>
      </c>
      <c r="E13239">
        <v>1</v>
      </c>
    </row>
    <row r="13240" spans="1:5" x14ac:dyDescent="0.25">
      <c r="A13240">
        <v>13239</v>
      </c>
      <c r="B13240">
        <v>9282592</v>
      </c>
      <c r="C13240" s="1" t="str">
        <f>HYPERLINK("http://stackoverflow.com/users/9282592", "姚振海")</f>
        <v>姚振海</v>
      </c>
      <c r="D13240" t="s">
        <v>4</v>
      </c>
      <c r="E13240">
        <v>1</v>
      </c>
    </row>
    <row r="13241" spans="1:5" x14ac:dyDescent="0.25">
      <c r="A13241">
        <v>13240</v>
      </c>
      <c r="B13241">
        <v>9282662</v>
      </c>
      <c r="C13241" s="1" t="str">
        <f>HYPERLINK("http://stackoverflow.com/users/9282662", "Jack")</f>
        <v>Jack</v>
      </c>
      <c r="D13241" t="s">
        <v>157</v>
      </c>
      <c r="E13241">
        <v>1</v>
      </c>
    </row>
    <row r="13242" spans="1:5" x14ac:dyDescent="0.25">
      <c r="A13242">
        <v>13241</v>
      </c>
      <c r="B13242">
        <v>9282737</v>
      </c>
      <c r="C13242" s="1" t="str">
        <f>HYPERLINK("http://stackoverflow.com/users/9282737", "wendaomumao")</f>
        <v>wendaomumao</v>
      </c>
      <c r="D13242" t="s">
        <v>29</v>
      </c>
      <c r="E13242">
        <v>1</v>
      </c>
    </row>
    <row r="13243" spans="1:5" x14ac:dyDescent="0.25">
      <c r="A13243">
        <v>13242</v>
      </c>
      <c r="B13243">
        <v>9282798</v>
      </c>
      <c r="C13243" s="1" t="str">
        <f>HYPERLINK("http://stackoverflow.com/users/9282798", "Nuno Sheriff")</f>
        <v>Nuno Sheriff</v>
      </c>
      <c r="D13243" t="s">
        <v>55</v>
      </c>
      <c r="E13243">
        <v>1</v>
      </c>
    </row>
    <row r="13244" spans="1:5" x14ac:dyDescent="0.25">
      <c r="A13244">
        <v>13243</v>
      </c>
      <c r="B13244">
        <v>9282950</v>
      </c>
      <c r="C13244" s="1" t="str">
        <f>HYPERLINK("http://stackoverflow.com/users/9282950", "姚欣炜")</f>
        <v>姚欣炜</v>
      </c>
      <c r="D13244" t="s">
        <v>25</v>
      </c>
      <c r="E13244">
        <v>1</v>
      </c>
    </row>
    <row r="13245" spans="1:5" x14ac:dyDescent="0.25">
      <c r="A13245">
        <v>13244</v>
      </c>
      <c r="B13245">
        <v>9283000</v>
      </c>
      <c r="C13245" s="1" t="str">
        <f>HYPERLINK("http://stackoverflow.com/users/9283000", "innsh")</f>
        <v>innsh</v>
      </c>
      <c r="D13245" t="s">
        <v>4</v>
      </c>
      <c r="E13245">
        <v>1</v>
      </c>
    </row>
    <row r="13246" spans="1:5" x14ac:dyDescent="0.25">
      <c r="A13246">
        <v>13245</v>
      </c>
      <c r="B13246">
        <v>9283017</v>
      </c>
      <c r="C13246" s="1" t="str">
        <f>HYPERLINK("http://stackoverflow.com/users/9283017", "Robert Song")</f>
        <v>Robert Song</v>
      </c>
      <c r="D13246" t="s">
        <v>52</v>
      </c>
      <c r="E13246">
        <v>1</v>
      </c>
    </row>
    <row r="13247" spans="1:5" x14ac:dyDescent="0.25">
      <c r="A13247">
        <v>13246</v>
      </c>
      <c r="B13247">
        <v>2067263</v>
      </c>
      <c r="C13247" s="1" t="str">
        <f>HYPERLINK("http://stackoverflow.com/users/2067263", "PhxNirvana")</f>
        <v>PhxNirvana</v>
      </c>
      <c r="D13247" t="s">
        <v>4</v>
      </c>
      <c r="E13247">
        <v>1</v>
      </c>
    </row>
    <row r="13248" spans="1:5" x14ac:dyDescent="0.25">
      <c r="A13248">
        <v>13247</v>
      </c>
      <c r="B13248">
        <v>9275484</v>
      </c>
      <c r="C13248" s="1" t="str">
        <f>HYPERLINK("http://stackoverflow.com/users/9275484", "Senhui Guo")</f>
        <v>Senhui Guo</v>
      </c>
      <c r="D13248" t="s">
        <v>118</v>
      </c>
      <c r="E13248">
        <v>1</v>
      </c>
    </row>
    <row r="13249" spans="1:5" x14ac:dyDescent="0.25">
      <c r="A13249">
        <v>13248</v>
      </c>
      <c r="B13249">
        <v>3844164</v>
      </c>
      <c r="C13249" s="1" t="str">
        <f>HYPERLINK("http://stackoverflow.com/users/3844164", "jmao")</f>
        <v>jmao</v>
      </c>
      <c r="D13249" t="s">
        <v>726</v>
      </c>
      <c r="E13249">
        <v>1</v>
      </c>
    </row>
    <row r="13250" spans="1:5" x14ac:dyDescent="0.25">
      <c r="A13250">
        <v>13249</v>
      </c>
      <c r="B13250">
        <v>9275732</v>
      </c>
      <c r="C13250" s="1" t="str">
        <f>HYPERLINK("http://stackoverflow.com/users/9275732", "user9275732")</f>
        <v>user9275732</v>
      </c>
      <c r="D13250" t="s">
        <v>52</v>
      </c>
      <c r="E13250">
        <v>1</v>
      </c>
    </row>
    <row r="13251" spans="1:5" x14ac:dyDescent="0.25">
      <c r="A13251">
        <v>13250</v>
      </c>
      <c r="B13251">
        <v>5629635</v>
      </c>
      <c r="C13251" s="1" t="str">
        <f>HYPERLINK("http://stackoverflow.com/users/5629635", "jade")</f>
        <v>jade</v>
      </c>
      <c r="D13251" t="s">
        <v>37</v>
      </c>
      <c r="E13251">
        <v>1</v>
      </c>
    </row>
    <row r="13252" spans="1:5" x14ac:dyDescent="0.25">
      <c r="A13252">
        <v>13251</v>
      </c>
      <c r="B13252">
        <v>11073441</v>
      </c>
      <c r="C13252" s="1" t="str">
        <f>HYPERLINK("http://stackoverflow.com/users/11073441", "Khada Jhin ")</f>
        <v xml:space="preserve">Khada Jhin </v>
      </c>
      <c r="D13252" t="s">
        <v>78</v>
      </c>
      <c r="E13252">
        <v>1</v>
      </c>
    </row>
    <row r="13253" spans="1:5" x14ac:dyDescent="0.25">
      <c r="A13253">
        <v>13252</v>
      </c>
      <c r="B13253">
        <v>11073620</v>
      </c>
      <c r="C13253" s="1" t="str">
        <f>HYPERLINK("http://stackoverflow.com/users/11073620", "Albert Lau")</f>
        <v>Albert Lau</v>
      </c>
      <c r="D13253" t="s">
        <v>28</v>
      </c>
      <c r="E13253">
        <v>1</v>
      </c>
    </row>
    <row r="13254" spans="1:5" x14ac:dyDescent="0.25">
      <c r="A13254">
        <v>13253</v>
      </c>
      <c r="B13254">
        <v>7394955</v>
      </c>
      <c r="C13254" s="1" t="str">
        <f>HYPERLINK("http://stackoverflow.com/users/7394955", "Piento28")</f>
        <v>Piento28</v>
      </c>
      <c r="D13254" t="s">
        <v>4</v>
      </c>
      <c r="E13254">
        <v>1</v>
      </c>
    </row>
    <row r="13255" spans="1:5" x14ac:dyDescent="0.25">
      <c r="A13255">
        <v>13254</v>
      </c>
      <c r="B13255">
        <v>7395120</v>
      </c>
      <c r="C13255" s="1" t="str">
        <f>HYPERLINK("http://stackoverflow.com/users/7395120", "Damon.D")</f>
        <v>Damon.D</v>
      </c>
      <c r="D13255" t="s">
        <v>76</v>
      </c>
      <c r="E13255">
        <v>1</v>
      </c>
    </row>
    <row r="13256" spans="1:5" x14ac:dyDescent="0.25">
      <c r="A13256">
        <v>13255</v>
      </c>
      <c r="B13256">
        <v>11081732</v>
      </c>
      <c r="C13256" s="1" t="str">
        <f>HYPERLINK("http://stackoverflow.com/users/11081732", "Michael Dai")</f>
        <v>Michael Dai</v>
      </c>
      <c r="D13256" t="s">
        <v>12</v>
      </c>
      <c r="E13256">
        <v>1</v>
      </c>
    </row>
    <row r="13257" spans="1:5" x14ac:dyDescent="0.25">
      <c r="A13257">
        <v>13256</v>
      </c>
      <c r="B13257">
        <v>11081956</v>
      </c>
      <c r="C13257" s="1" t="str">
        <f>HYPERLINK("http://stackoverflow.com/users/11081956", "Moon")</f>
        <v>Moon</v>
      </c>
      <c r="D13257" t="s">
        <v>130</v>
      </c>
      <c r="E13257">
        <v>1</v>
      </c>
    </row>
    <row r="13258" spans="1:5" x14ac:dyDescent="0.25">
      <c r="A13258">
        <v>13257</v>
      </c>
      <c r="B13258">
        <v>9287460</v>
      </c>
      <c r="C13258" s="1" t="str">
        <f>HYPERLINK("http://stackoverflow.com/users/9287460", "Jerry")</f>
        <v>Jerry</v>
      </c>
      <c r="D13258" t="s">
        <v>28</v>
      </c>
      <c r="E13258">
        <v>1</v>
      </c>
    </row>
    <row r="13259" spans="1:5" x14ac:dyDescent="0.25">
      <c r="A13259">
        <v>13258</v>
      </c>
      <c r="B13259">
        <v>9287696</v>
      </c>
      <c r="C13259" s="1" t="str">
        <f>HYPERLINK("http://stackoverflow.com/users/9287696", "oaoit")</f>
        <v>oaoit</v>
      </c>
      <c r="D13259" t="s">
        <v>5</v>
      </c>
      <c r="E13259">
        <v>1</v>
      </c>
    </row>
    <row r="13260" spans="1:5" x14ac:dyDescent="0.25">
      <c r="A13260">
        <v>13259</v>
      </c>
      <c r="B13260">
        <v>2076632</v>
      </c>
      <c r="C13260" s="1" t="str">
        <f>HYPERLINK("http://stackoverflow.com/users/2076632", "user2076632")</f>
        <v>user2076632</v>
      </c>
      <c r="D13260" t="s">
        <v>28</v>
      </c>
      <c r="E13260">
        <v>1</v>
      </c>
    </row>
    <row r="13261" spans="1:5" x14ac:dyDescent="0.25">
      <c r="A13261">
        <v>13260</v>
      </c>
      <c r="B13261">
        <v>3851444</v>
      </c>
      <c r="C13261" s="1" t="str">
        <f>HYPERLINK("http://stackoverflow.com/users/3851444", "G.Song")</f>
        <v>G.Song</v>
      </c>
      <c r="D13261" t="s">
        <v>5</v>
      </c>
      <c r="E13261">
        <v>1</v>
      </c>
    </row>
    <row r="13262" spans="1:5" x14ac:dyDescent="0.25">
      <c r="A13262">
        <v>13261</v>
      </c>
      <c r="B13262">
        <v>11077052</v>
      </c>
      <c r="C13262" s="1" t="str">
        <f>HYPERLINK("http://stackoverflow.com/users/11077052", "Arsa")</f>
        <v>Arsa</v>
      </c>
      <c r="D13262" t="s">
        <v>4</v>
      </c>
      <c r="E13262">
        <v>1</v>
      </c>
    </row>
    <row r="13263" spans="1:5" x14ac:dyDescent="0.25">
      <c r="A13263">
        <v>13262</v>
      </c>
      <c r="B13263">
        <v>5638467</v>
      </c>
      <c r="C13263" s="1" t="str">
        <f>HYPERLINK("http://stackoverflow.com/users/5638467", "ming")</f>
        <v>ming</v>
      </c>
      <c r="D13263" t="s">
        <v>25</v>
      </c>
      <c r="E13263">
        <v>1</v>
      </c>
    </row>
    <row r="13264" spans="1:5" x14ac:dyDescent="0.25">
      <c r="A13264">
        <v>13263</v>
      </c>
      <c r="B13264">
        <v>9279558</v>
      </c>
      <c r="C13264" s="1" t="str">
        <f>HYPERLINK("http://stackoverflow.com/users/9279558", "corebox")</f>
        <v>corebox</v>
      </c>
      <c r="D13264" t="s">
        <v>176</v>
      </c>
      <c r="E13264">
        <v>1</v>
      </c>
    </row>
    <row r="13265" spans="1:5" x14ac:dyDescent="0.25">
      <c r="A13265">
        <v>13264</v>
      </c>
      <c r="B13265">
        <v>2075143</v>
      </c>
      <c r="C13265" s="1" t="str">
        <f>HYPERLINK("http://stackoverflow.com/users/2075143", "try2trust")</f>
        <v>try2trust</v>
      </c>
      <c r="D13265" t="s">
        <v>5</v>
      </c>
      <c r="E13265">
        <v>1</v>
      </c>
    </row>
    <row r="13266" spans="1:5" x14ac:dyDescent="0.25">
      <c r="A13266">
        <v>13265</v>
      </c>
      <c r="B13266">
        <v>2079926</v>
      </c>
      <c r="C13266" s="1" t="str">
        <f>HYPERLINK("http://stackoverflow.com/users/2079926", "iCatbot")</f>
        <v>iCatbot</v>
      </c>
      <c r="D13266" t="s">
        <v>12</v>
      </c>
      <c r="E13266">
        <v>1</v>
      </c>
    </row>
    <row r="13267" spans="1:5" x14ac:dyDescent="0.25">
      <c r="A13267">
        <v>13266</v>
      </c>
      <c r="B13267">
        <v>2080035</v>
      </c>
      <c r="C13267" s="1" t="str">
        <f>HYPERLINK("http://stackoverflow.com/users/2080035", "bayunox")</f>
        <v>bayunox</v>
      </c>
      <c r="D13267" t="s">
        <v>5</v>
      </c>
      <c r="E13267">
        <v>1</v>
      </c>
    </row>
    <row r="13268" spans="1:5" x14ac:dyDescent="0.25">
      <c r="A13268">
        <v>13267</v>
      </c>
      <c r="B13268">
        <v>2080059</v>
      </c>
      <c r="C13268" s="1" t="str">
        <f>HYPERLINK("http://stackoverflow.com/users/2080059", "Sam Yang")</f>
        <v>Sam Yang</v>
      </c>
      <c r="D13268" t="s">
        <v>4</v>
      </c>
      <c r="E13268">
        <v>1</v>
      </c>
    </row>
    <row r="13269" spans="1:5" x14ac:dyDescent="0.25">
      <c r="A13269">
        <v>13268</v>
      </c>
      <c r="B13269">
        <v>2080096</v>
      </c>
      <c r="C13269" s="1" t="str">
        <f>HYPERLINK("http://stackoverflow.com/users/2080096", "hussion")</f>
        <v>hussion</v>
      </c>
      <c r="D13269" t="s">
        <v>5</v>
      </c>
      <c r="E13269">
        <v>1</v>
      </c>
    </row>
    <row r="13270" spans="1:5" x14ac:dyDescent="0.25">
      <c r="A13270">
        <v>13269</v>
      </c>
      <c r="B13270">
        <v>3859747</v>
      </c>
      <c r="C13270" s="1" t="str">
        <f>HYPERLINK("http://stackoverflow.com/users/3859747", "Spencer")</f>
        <v>Spencer</v>
      </c>
      <c r="D13270" t="s">
        <v>5</v>
      </c>
      <c r="E13270">
        <v>1</v>
      </c>
    </row>
    <row r="13271" spans="1:5" x14ac:dyDescent="0.25">
      <c r="A13271">
        <v>13270</v>
      </c>
      <c r="B13271">
        <v>3859767</v>
      </c>
      <c r="C13271" s="1" t="str">
        <f>HYPERLINK("http://stackoverflow.com/users/3859767", "BrooklynUnderwood")</f>
        <v>BrooklynUnderwood</v>
      </c>
      <c r="D13271" t="s">
        <v>4</v>
      </c>
      <c r="E13271">
        <v>1</v>
      </c>
    </row>
    <row r="13272" spans="1:5" x14ac:dyDescent="0.25">
      <c r="A13272">
        <v>13271</v>
      </c>
      <c r="B13272">
        <v>3859971</v>
      </c>
      <c r="C13272" s="1" t="str">
        <f>HYPERLINK("http://stackoverflow.com/users/3859971", "Wayne")</f>
        <v>Wayne</v>
      </c>
      <c r="D13272" t="s">
        <v>4</v>
      </c>
      <c r="E13272">
        <v>1</v>
      </c>
    </row>
    <row r="13273" spans="1:5" x14ac:dyDescent="0.25">
      <c r="A13273">
        <v>13272</v>
      </c>
      <c r="B13273">
        <v>9292217</v>
      </c>
      <c r="C13273" s="1" t="str">
        <f>HYPERLINK("http://stackoverflow.com/users/9292217", "Anna Shao")</f>
        <v>Anna Shao</v>
      </c>
      <c r="D13273" t="s">
        <v>74</v>
      </c>
      <c r="E13273">
        <v>1</v>
      </c>
    </row>
    <row r="13274" spans="1:5" x14ac:dyDescent="0.25">
      <c r="A13274">
        <v>13273</v>
      </c>
      <c r="B13274">
        <v>11089667</v>
      </c>
      <c r="C13274" s="1" t="str">
        <f>HYPERLINK("http://stackoverflow.com/users/11089667", "Jack Xu")</f>
        <v>Jack Xu</v>
      </c>
      <c r="D13274" t="s">
        <v>7</v>
      </c>
      <c r="E13274">
        <v>1</v>
      </c>
    </row>
    <row r="13275" spans="1:5" x14ac:dyDescent="0.25">
      <c r="A13275">
        <v>13274</v>
      </c>
      <c r="B13275">
        <v>7402386</v>
      </c>
      <c r="C13275" s="1" t="str">
        <f>HYPERLINK("http://stackoverflow.com/users/7402386", "LuckyJay")</f>
        <v>LuckyJay</v>
      </c>
      <c r="D13275" t="s">
        <v>727</v>
      </c>
      <c r="E13275">
        <v>1</v>
      </c>
    </row>
    <row r="13276" spans="1:5" x14ac:dyDescent="0.25">
      <c r="A13276">
        <v>13275</v>
      </c>
      <c r="B13276">
        <v>7402408</v>
      </c>
      <c r="C13276" s="1" t="str">
        <f>HYPERLINK("http://stackoverflow.com/users/7402408", "Yafei.Li")</f>
        <v>Yafei.Li</v>
      </c>
      <c r="D13276" t="s">
        <v>165</v>
      </c>
      <c r="E13276">
        <v>1</v>
      </c>
    </row>
    <row r="13277" spans="1:5" x14ac:dyDescent="0.25">
      <c r="A13277">
        <v>13276</v>
      </c>
      <c r="B13277">
        <v>7402411</v>
      </c>
      <c r="C13277" s="1" t="str">
        <f>HYPERLINK("http://stackoverflow.com/users/7402411", "Yanming Cao")</f>
        <v>Yanming Cao</v>
      </c>
      <c r="D13277" t="s">
        <v>5</v>
      </c>
      <c r="E13277">
        <v>1</v>
      </c>
    </row>
    <row r="13278" spans="1:5" x14ac:dyDescent="0.25">
      <c r="A13278">
        <v>13277</v>
      </c>
      <c r="B13278">
        <v>7402421</v>
      </c>
      <c r="C13278" s="1" t="str">
        <f>HYPERLINK("http://stackoverflow.com/users/7402421", "macroz")</f>
        <v>macroz</v>
      </c>
      <c r="D13278" t="s">
        <v>55</v>
      </c>
      <c r="E13278">
        <v>1</v>
      </c>
    </row>
    <row r="13279" spans="1:5" x14ac:dyDescent="0.25">
      <c r="A13279">
        <v>13278</v>
      </c>
      <c r="B13279">
        <v>7402540</v>
      </c>
      <c r="C13279" s="1" t="str">
        <f>HYPERLINK("http://stackoverflow.com/users/7402540", "Wuyue")</f>
        <v>Wuyue</v>
      </c>
      <c r="D13279" t="s">
        <v>728</v>
      </c>
      <c r="E13279">
        <v>1</v>
      </c>
    </row>
    <row r="13280" spans="1:5" x14ac:dyDescent="0.25">
      <c r="A13280">
        <v>13279</v>
      </c>
      <c r="B13280">
        <v>7403037</v>
      </c>
      <c r="C13280" s="1" t="str">
        <f>HYPERLINK("http://stackoverflow.com/users/7403037", "user7403037")</f>
        <v>user7403037</v>
      </c>
      <c r="D13280" t="s">
        <v>729</v>
      </c>
      <c r="E13280">
        <v>1</v>
      </c>
    </row>
    <row r="13281" spans="1:5" x14ac:dyDescent="0.25">
      <c r="A13281">
        <v>13280</v>
      </c>
      <c r="B13281">
        <v>9300535</v>
      </c>
      <c r="C13281" s="1" t="str">
        <f>HYPERLINK("http://stackoverflow.com/users/9300535", "Lin Weiyu")</f>
        <v>Lin Weiyu</v>
      </c>
      <c r="D13281" t="s">
        <v>4</v>
      </c>
      <c r="E13281">
        <v>1</v>
      </c>
    </row>
    <row r="13282" spans="1:5" x14ac:dyDescent="0.25">
      <c r="A13282">
        <v>13281</v>
      </c>
      <c r="B13282">
        <v>11093341</v>
      </c>
      <c r="C13282" s="1" t="str">
        <f>HYPERLINK("http://stackoverflow.com/users/11093341", "David Lin")</f>
        <v>David Lin</v>
      </c>
      <c r="D13282" t="s">
        <v>25</v>
      </c>
      <c r="E13282">
        <v>1</v>
      </c>
    </row>
    <row r="13283" spans="1:5" x14ac:dyDescent="0.25">
      <c r="A13283">
        <v>13282</v>
      </c>
      <c r="B13283">
        <v>11093493</v>
      </c>
      <c r="C13283" s="1" t="str">
        <f>HYPERLINK("http://stackoverflow.com/users/11093493", "summer li")</f>
        <v>summer li</v>
      </c>
      <c r="D13283" t="s">
        <v>4</v>
      </c>
      <c r="E13283">
        <v>1</v>
      </c>
    </row>
    <row r="13284" spans="1:5" x14ac:dyDescent="0.25">
      <c r="A13284">
        <v>13283</v>
      </c>
      <c r="B13284">
        <v>11093576</v>
      </c>
      <c r="C13284" s="1" t="str">
        <f>HYPERLINK("http://stackoverflow.com/users/11093576", "toinn")</f>
        <v>toinn</v>
      </c>
      <c r="D13284" t="s">
        <v>730</v>
      </c>
      <c r="E13284">
        <v>1</v>
      </c>
    </row>
    <row r="13285" spans="1:5" x14ac:dyDescent="0.25">
      <c r="A13285">
        <v>13284</v>
      </c>
      <c r="B13285">
        <v>11093636</v>
      </c>
      <c r="C13285" s="1" t="str">
        <f>HYPERLINK("http://stackoverflow.com/users/11093636", "Shahadat Hossain")</f>
        <v>Shahadat Hossain</v>
      </c>
      <c r="D13285" t="s">
        <v>16</v>
      </c>
      <c r="E13285">
        <v>1</v>
      </c>
    </row>
    <row r="13286" spans="1:5" x14ac:dyDescent="0.25">
      <c r="A13286">
        <v>13285</v>
      </c>
      <c r="B13286">
        <v>11093671</v>
      </c>
      <c r="C13286" s="1" t="str">
        <f>HYPERLINK("http://stackoverflow.com/users/11093671", "zhanzhen")</f>
        <v>zhanzhen</v>
      </c>
      <c r="D13286" t="s">
        <v>4</v>
      </c>
      <c r="E13286">
        <v>1</v>
      </c>
    </row>
    <row r="13287" spans="1:5" x14ac:dyDescent="0.25">
      <c r="A13287">
        <v>13286</v>
      </c>
      <c r="B13287">
        <v>2097779</v>
      </c>
      <c r="C13287" s="1" t="str">
        <f>HYPERLINK("http://stackoverflow.com/users/2097779", "iamzhongyong")</f>
        <v>iamzhongyong</v>
      </c>
      <c r="D13287" t="s">
        <v>12</v>
      </c>
      <c r="E13287">
        <v>1</v>
      </c>
    </row>
    <row r="13288" spans="1:5" x14ac:dyDescent="0.25">
      <c r="A13288">
        <v>13287</v>
      </c>
      <c r="B13288">
        <v>2097782</v>
      </c>
      <c r="C13288" s="1" t="str">
        <f>HYPERLINK("http://stackoverflow.com/users/2097782", "argmax")</f>
        <v>argmax</v>
      </c>
      <c r="D13288" t="s">
        <v>4</v>
      </c>
      <c r="E13288">
        <v>1</v>
      </c>
    </row>
    <row r="13289" spans="1:5" x14ac:dyDescent="0.25">
      <c r="A13289">
        <v>13288</v>
      </c>
      <c r="B13289">
        <v>2098786</v>
      </c>
      <c r="C13289" s="1" t="str">
        <f>HYPERLINK("http://stackoverflow.com/users/2098786", "Raymond He")</f>
        <v>Raymond He</v>
      </c>
      <c r="D13289" t="s">
        <v>8</v>
      </c>
      <c r="E13289">
        <v>1</v>
      </c>
    </row>
    <row r="13290" spans="1:5" x14ac:dyDescent="0.25">
      <c r="A13290">
        <v>13289</v>
      </c>
      <c r="B13290">
        <v>7441225</v>
      </c>
      <c r="C13290" s="1" t="str">
        <f>HYPERLINK("http://stackoverflow.com/users/7441225", "Harvey Yang")</f>
        <v>Harvey Yang</v>
      </c>
      <c r="D13290" t="s">
        <v>4</v>
      </c>
      <c r="E13290">
        <v>1</v>
      </c>
    </row>
    <row r="13291" spans="1:5" x14ac:dyDescent="0.25">
      <c r="A13291">
        <v>13290</v>
      </c>
      <c r="B13291">
        <v>7441437</v>
      </c>
      <c r="C13291" s="1" t="str">
        <f>HYPERLINK("http://stackoverflow.com/users/7441437", "Hanze")</f>
        <v>Hanze</v>
      </c>
      <c r="D13291" t="s">
        <v>25</v>
      </c>
      <c r="E13291">
        <v>1</v>
      </c>
    </row>
    <row r="13292" spans="1:5" x14ac:dyDescent="0.25">
      <c r="A13292">
        <v>13291</v>
      </c>
      <c r="B13292">
        <v>7441778</v>
      </c>
      <c r="C13292" s="1" t="str">
        <f>HYPERLINK("http://stackoverflow.com/users/7441778", "Primer West")</f>
        <v>Primer West</v>
      </c>
      <c r="D13292" t="s">
        <v>25</v>
      </c>
      <c r="E13292">
        <v>1</v>
      </c>
    </row>
    <row r="13293" spans="1:5" x14ac:dyDescent="0.25">
      <c r="A13293">
        <v>13292</v>
      </c>
      <c r="B13293">
        <v>3905074</v>
      </c>
      <c r="C13293" s="1" t="str">
        <f>HYPERLINK("http://stackoverflow.com/users/3905074", "Funny Toys Gift Limited")</f>
        <v>Funny Toys Gift Limited</v>
      </c>
      <c r="D13293" t="s">
        <v>17</v>
      </c>
      <c r="E13293">
        <v>1</v>
      </c>
    </row>
    <row r="13294" spans="1:5" x14ac:dyDescent="0.25">
      <c r="A13294">
        <v>13293</v>
      </c>
      <c r="B13294">
        <v>3905280</v>
      </c>
      <c r="C13294" s="1" t="str">
        <f>HYPERLINK("http://stackoverflow.com/users/3905280", "Li Suibiao")</f>
        <v>Li Suibiao</v>
      </c>
      <c r="D13294" t="s">
        <v>22</v>
      </c>
      <c r="E13294">
        <v>1</v>
      </c>
    </row>
    <row r="13295" spans="1:5" x14ac:dyDescent="0.25">
      <c r="A13295">
        <v>13294</v>
      </c>
      <c r="B13295">
        <v>5680175</v>
      </c>
      <c r="C13295" s="1" t="str">
        <f>HYPERLINK("http://stackoverflow.com/users/5680175", "Eddie WU")</f>
        <v>Eddie WU</v>
      </c>
      <c r="D13295" t="s">
        <v>4</v>
      </c>
      <c r="E13295">
        <v>1</v>
      </c>
    </row>
    <row r="13296" spans="1:5" x14ac:dyDescent="0.25">
      <c r="A13296">
        <v>13295</v>
      </c>
      <c r="B13296">
        <v>5680326</v>
      </c>
      <c r="C13296" s="1" t="str">
        <f>HYPERLINK("http://stackoverflow.com/users/5680326", "Barnaby")</f>
        <v>Barnaby</v>
      </c>
      <c r="D13296" t="s">
        <v>17</v>
      </c>
      <c r="E13296">
        <v>1</v>
      </c>
    </row>
    <row r="13297" spans="1:5" x14ac:dyDescent="0.25">
      <c r="A13297">
        <v>13296</v>
      </c>
      <c r="B13297">
        <v>5680346</v>
      </c>
      <c r="C13297" s="1" t="str">
        <f>HYPERLINK("http://stackoverflow.com/users/5680346", "Ervin Yang")</f>
        <v>Ervin Yang</v>
      </c>
      <c r="D13297" t="s">
        <v>16</v>
      </c>
      <c r="E13297">
        <v>1</v>
      </c>
    </row>
    <row r="13298" spans="1:5" x14ac:dyDescent="0.25">
      <c r="A13298">
        <v>13297</v>
      </c>
      <c r="B13298">
        <v>5680520</v>
      </c>
      <c r="C13298" s="1" t="str">
        <f>HYPERLINK("http://stackoverflow.com/users/5680520", "Shang Sahadev")</f>
        <v>Shang Sahadev</v>
      </c>
      <c r="D13298" t="s">
        <v>5</v>
      </c>
      <c r="E13298">
        <v>1</v>
      </c>
    </row>
    <row r="13299" spans="1:5" x14ac:dyDescent="0.25">
      <c r="A13299">
        <v>13298</v>
      </c>
      <c r="B13299">
        <v>5680559</v>
      </c>
      <c r="C13299" s="1" t="str">
        <f>HYPERLINK("http://stackoverflow.com/users/5680559", "Robin Shang")</f>
        <v>Robin Shang</v>
      </c>
      <c r="D13299" t="s">
        <v>55</v>
      </c>
      <c r="E13299">
        <v>1</v>
      </c>
    </row>
    <row r="13300" spans="1:5" x14ac:dyDescent="0.25">
      <c r="A13300">
        <v>13299</v>
      </c>
      <c r="B13300">
        <v>11125349</v>
      </c>
      <c r="C13300" s="1" t="str">
        <f>HYPERLINK("http://stackoverflow.com/users/11125349", "Meng Zou")</f>
        <v>Meng Zou</v>
      </c>
      <c r="D13300" t="s">
        <v>731</v>
      </c>
      <c r="E13300">
        <v>1</v>
      </c>
    </row>
    <row r="13301" spans="1:5" x14ac:dyDescent="0.25">
      <c r="A13301">
        <v>13300</v>
      </c>
      <c r="B13301">
        <v>7434060</v>
      </c>
      <c r="C13301" s="1" t="str">
        <f>HYPERLINK("http://stackoverflow.com/users/7434060", "qileilove")</f>
        <v>qileilove</v>
      </c>
      <c r="D13301" t="s">
        <v>131</v>
      </c>
      <c r="E13301">
        <v>1</v>
      </c>
    </row>
    <row r="13302" spans="1:5" x14ac:dyDescent="0.25">
      <c r="A13302">
        <v>13301</v>
      </c>
      <c r="B13302">
        <v>7434073</v>
      </c>
      <c r="C13302" s="1" t="str">
        <f>HYPERLINK("http://stackoverflow.com/users/7434073", "Jun Liu")</f>
        <v>Jun Liu</v>
      </c>
      <c r="D13302" t="s">
        <v>74</v>
      </c>
      <c r="E13302">
        <v>1</v>
      </c>
    </row>
    <row r="13303" spans="1:5" x14ac:dyDescent="0.25">
      <c r="A13303">
        <v>13302</v>
      </c>
      <c r="B13303">
        <v>7434122</v>
      </c>
      <c r="C13303" s="1" t="str">
        <f>HYPERLINK("http://stackoverflow.com/users/7434122", "T. Su")</f>
        <v>T. Su</v>
      </c>
      <c r="D13303" t="s">
        <v>4</v>
      </c>
      <c r="E13303">
        <v>1</v>
      </c>
    </row>
    <row r="13304" spans="1:5" x14ac:dyDescent="0.25">
      <c r="A13304">
        <v>13303</v>
      </c>
      <c r="B13304">
        <v>9331592</v>
      </c>
      <c r="C13304" s="1" t="str">
        <f>HYPERLINK("http://stackoverflow.com/users/9331592", "acrylicnice")</f>
        <v>acrylicnice</v>
      </c>
      <c r="D13304" t="s">
        <v>732</v>
      </c>
      <c r="E13304">
        <v>1</v>
      </c>
    </row>
    <row r="13305" spans="1:5" x14ac:dyDescent="0.25">
      <c r="A13305">
        <v>13304</v>
      </c>
      <c r="B13305">
        <v>9331637</v>
      </c>
      <c r="C13305" s="1" t="str">
        <f>HYPERLINK("http://stackoverflow.com/users/9331637", "Petter Ma")</f>
        <v>Petter Ma</v>
      </c>
      <c r="D13305" t="s">
        <v>5</v>
      </c>
      <c r="E13305">
        <v>1</v>
      </c>
    </row>
    <row r="13306" spans="1:5" x14ac:dyDescent="0.25">
      <c r="A13306">
        <v>13305</v>
      </c>
      <c r="B13306">
        <v>9331821</v>
      </c>
      <c r="C13306" s="1" t="str">
        <f>HYPERLINK("http://stackoverflow.com/users/9331821", "zainou")</f>
        <v>zainou</v>
      </c>
      <c r="D13306" t="s">
        <v>29</v>
      </c>
      <c r="E13306">
        <v>1</v>
      </c>
    </row>
    <row r="13307" spans="1:5" x14ac:dyDescent="0.25">
      <c r="A13307">
        <v>13306</v>
      </c>
      <c r="B13307">
        <v>9331850</v>
      </c>
      <c r="C13307" s="1" t="str">
        <f>HYPERLINK("http://stackoverflow.com/users/9331850", "xgylights")</f>
        <v>xgylights</v>
      </c>
      <c r="D13307" t="s">
        <v>733</v>
      </c>
      <c r="E13307">
        <v>1</v>
      </c>
    </row>
    <row r="13308" spans="1:5" x14ac:dyDescent="0.25">
      <c r="A13308">
        <v>13307</v>
      </c>
      <c r="B13308">
        <v>9331859</v>
      </c>
      <c r="C13308" s="1" t="str">
        <f>HYPERLINK("http://stackoverflow.com/users/9331859", "yuehua")</f>
        <v>yuehua</v>
      </c>
      <c r="D13308" t="s">
        <v>5</v>
      </c>
      <c r="E13308">
        <v>1</v>
      </c>
    </row>
    <row r="13309" spans="1:5" x14ac:dyDescent="0.25">
      <c r="A13309">
        <v>13308</v>
      </c>
      <c r="B13309">
        <v>9331889</v>
      </c>
      <c r="C13309" s="1" t="str">
        <f>HYPERLINK("http://stackoverflow.com/users/9331889", "user9331889")</f>
        <v>user9331889</v>
      </c>
      <c r="D13309" t="s">
        <v>108</v>
      </c>
      <c r="E13309">
        <v>1</v>
      </c>
    </row>
    <row r="13310" spans="1:5" x14ac:dyDescent="0.25">
      <c r="A13310">
        <v>13309</v>
      </c>
      <c r="B13310">
        <v>7429564</v>
      </c>
      <c r="C13310" s="1" t="str">
        <f>HYPERLINK("http://stackoverflow.com/users/7429564", "Andy Xiong")</f>
        <v>Andy Xiong</v>
      </c>
      <c r="D13310" t="s">
        <v>57</v>
      </c>
      <c r="E13310">
        <v>1</v>
      </c>
    </row>
    <row r="13311" spans="1:5" x14ac:dyDescent="0.25">
      <c r="A13311">
        <v>13310</v>
      </c>
      <c r="B13311">
        <v>5676217</v>
      </c>
      <c r="C13311" s="1" t="str">
        <f>HYPERLINK("http://stackoverflow.com/users/5676217", "cuiods")</f>
        <v>cuiods</v>
      </c>
      <c r="D13311" t="s">
        <v>55</v>
      </c>
      <c r="E13311">
        <v>1</v>
      </c>
    </row>
    <row r="13312" spans="1:5" x14ac:dyDescent="0.25">
      <c r="A13312">
        <v>13311</v>
      </c>
      <c r="B13312">
        <v>2128479</v>
      </c>
      <c r="C13312" s="1" t="str">
        <f>HYPERLINK("http://stackoverflow.com/users/2128479", "liuf")</f>
        <v>liuf</v>
      </c>
      <c r="D13312" t="s">
        <v>114</v>
      </c>
      <c r="E13312">
        <v>1</v>
      </c>
    </row>
    <row r="13313" spans="1:5" x14ac:dyDescent="0.25">
      <c r="A13313">
        <v>13312</v>
      </c>
      <c r="B13313">
        <v>11120095</v>
      </c>
      <c r="C13313" s="1" t="str">
        <f>HYPERLINK("http://stackoverflow.com/users/11120095", "Jack Thomas")</f>
        <v>Jack Thomas</v>
      </c>
      <c r="D13313" t="s">
        <v>178</v>
      </c>
      <c r="E13313">
        <v>1</v>
      </c>
    </row>
    <row r="13314" spans="1:5" x14ac:dyDescent="0.25">
      <c r="A13314">
        <v>13313</v>
      </c>
      <c r="B13314">
        <v>2117999</v>
      </c>
      <c r="C13314" s="1" t="str">
        <f>HYPERLINK("http://stackoverflow.com/users/2117999", "junxy")</f>
        <v>junxy</v>
      </c>
      <c r="D13314" t="s">
        <v>21</v>
      </c>
      <c r="E13314">
        <v>1</v>
      </c>
    </row>
    <row r="13315" spans="1:5" x14ac:dyDescent="0.25">
      <c r="A13315">
        <v>13314</v>
      </c>
      <c r="B13315">
        <v>2118025</v>
      </c>
      <c r="C13315" s="1" t="str">
        <f>HYPERLINK("http://stackoverflow.com/users/2118025", "Johnson Liu")</f>
        <v>Johnson Liu</v>
      </c>
      <c r="D13315" t="s">
        <v>21</v>
      </c>
      <c r="E13315">
        <v>1</v>
      </c>
    </row>
    <row r="13316" spans="1:5" x14ac:dyDescent="0.25">
      <c r="A13316">
        <v>13315</v>
      </c>
      <c r="B13316">
        <v>11115274</v>
      </c>
      <c r="C13316" s="1" t="str">
        <f>HYPERLINK("http://stackoverflow.com/users/11115274", "Chinese Shaolins")</f>
        <v>Chinese Shaolins</v>
      </c>
      <c r="D13316" t="s">
        <v>734</v>
      </c>
      <c r="E13316">
        <v>1</v>
      </c>
    </row>
    <row r="13317" spans="1:5" x14ac:dyDescent="0.25">
      <c r="A13317">
        <v>13316</v>
      </c>
      <c r="B13317">
        <v>11115915</v>
      </c>
      <c r="C13317" s="1" t="str">
        <f>HYPERLINK("http://stackoverflow.com/users/11115915", "Justice Adeenze-Kangah")</f>
        <v>Justice Adeenze-Kangah</v>
      </c>
      <c r="D13317" t="s">
        <v>4</v>
      </c>
      <c r="E13317">
        <v>1</v>
      </c>
    </row>
    <row r="13318" spans="1:5" x14ac:dyDescent="0.25">
      <c r="A13318">
        <v>13317</v>
      </c>
      <c r="B13318">
        <v>7429503</v>
      </c>
      <c r="C13318" s="1" t="str">
        <f>HYPERLINK("http://stackoverflow.com/users/7429503", "Najeeb")</f>
        <v>Najeeb</v>
      </c>
      <c r="D13318" t="s">
        <v>79</v>
      </c>
      <c r="E13318">
        <v>1</v>
      </c>
    </row>
    <row r="13319" spans="1:5" x14ac:dyDescent="0.25">
      <c r="A13319">
        <v>13318</v>
      </c>
      <c r="B13319">
        <v>9288166</v>
      </c>
      <c r="C13319" s="1" t="str">
        <f>HYPERLINK("http://stackoverflow.com/users/9288166", "Qiang Li")</f>
        <v>Qiang Li</v>
      </c>
      <c r="D13319" t="s">
        <v>4</v>
      </c>
      <c r="E13319">
        <v>1</v>
      </c>
    </row>
    <row r="13320" spans="1:5" x14ac:dyDescent="0.25">
      <c r="A13320">
        <v>13319</v>
      </c>
      <c r="B13320">
        <v>2089541</v>
      </c>
      <c r="C13320" s="1" t="str">
        <f>HYPERLINK("http://stackoverflow.com/users/2089541", "challenking")</f>
        <v>challenking</v>
      </c>
      <c r="D13320" t="s">
        <v>22</v>
      </c>
      <c r="E13320">
        <v>1</v>
      </c>
    </row>
    <row r="13321" spans="1:5" x14ac:dyDescent="0.25">
      <c r="A13321">
        <v>13320</v>
      </c>
      <c r="B13321">
        <v>5639065</v>
      </c>
      <c r="C13321" s="1" t="str">
        <f>HYPERLINK("http://stackoverflow.com/users/5639065", "user5639065")</f>
        <v>user5639065</v>
      </c>
      <c r="D13321" t="s">
        <v>5</v>
      </c>
      <c r="E13321">
        <v>1</v>
      </c>
    </row>
    <row r="13322" spans="1:5" x14ac:dyDescent="0.25">
      <c r="A13322">
        <v>13321</v>
      </c>
      <c r="B13322">
        <v>7394642</v>
      </c>
      <c r="C13322" s="1" t="str">
        <f>HYPERLINK("http://stackoverflow.com/users/7394642", "hzz5047")</f>
        <v>hzz5047</v>
      </c>
      <c r="D13322" t="s">
        <v>5</v>
      </c>
      <c r="E13322">
        <v>1</v>
      </c>
    </row>
    <row r="13323" spans="1:5" x14ac:dyDescent="0.25">
      <c r="A13323">
        <v>13322</v>
      </c>
      <c r="B13323">
        <v>2097860</v>
      </c>
      <c r="C13323" s="1" t="str">
        <f>HYPERLINK("http://stackoverflow.com/users/2097860", "石大溪")</f>
        <v>石大溪</v>
      </c>
      <c r="D13323" t="s">
        <v>5</v>
      </c>
      <c r="E13323">
        <v>1</v>
      </c>
    </row>
    <row r="13324" spans="1:5" x14ac:dyDescent="0.25">
      <c r="A13324">
        <v>13323</v>
      </c>
      <c r="B13324">
        <v>2097905</v>
      </c>
      <c r="C13324" s="1" t="str">
        <f>HYPERLINK("http://stackoverflow.com/users/2097905", "zyyettie")</f>
        <v>zyyettie</v>
      </c>
      <c r="D13324" t="s">
        <v>4</v>
      </c>
      <c r="E13324">
        <v>1</v>
      </c>
    </row>
    <row r="13325" spans="1:5" x14ac:dyDescent="0.25">
      <c r="A13325">
        <v>13324</v>
      </c>
      <c r="B13325">
        <v>2097957</v>
      </c>
      <c r="C13325" s="1" t="str">
        <f>HYPERLINK("http://stackoverflow.com/users/2097957", "zhun36")</f>
        <v>zhun36</v>
      </c>
      <c r="D13325" t="s">
        <v>5</v>
      </c>
      <c r="E13325">
        <v>1</v>
      </c>
    </row>
    <row r="13326" spans="1:5" x14ac:dyDescent="0.25">
      <c r="A13326">
        <v>13325</v>
      </c>
      <c r="B13326">
        <v>2098226</v>
      </c>
      <c r="C13326" s="1" t="str">
        <f>HYPERLINK("http://stackoverflow.com/users/2098226", "cliscwang")</f>
        <v>cliscwang</v>
      </c>
      <c r="D13326" t="s">
        <v>5</v>
      </c>
      <c r="E13326">
        <v>1</v>
      </c>
    </row>
    <row r="13327" spans="1:5" x14ac:dyDescent="0.25">
      <c r="A13327">
        <v>13326</v>
      </c>
      <c r="B13327">
        <v>9314695</v>
      </c>
      <c r="C13327" s="1" t="str">
        <f>HYPERLINK("http://stackoverflow.com/users/9314695", "user9314695")</f>
        <v>user9314695</v>
      </c>
      <c r="D13327" t="s">
        <v>735</v>
      </c>
      <c r="E13327">
        <v>1</v>
      </c>
    </row>
    <row r="13328" spans="1:5" x14ac:dyDescent="0.25">
      <c r="A13328">
        <v>13327</v>
      </c>
      <c r="B13328">
        <v>9314698</v>
      </c>
      <c r="C13328" s="1" t="str">
        <f>HYPERLINK("http://stackoverflow.com/users/9314698", "Yan")</f>
        <v>Yan</v>
      </c>
      <c r="D13328" t="s">
        <v>5</v>
      </c>
      <c r="E13328">
        <v>1</v>
      </c>
    </row>
    <row r="13329" spans="1:5" x14ac:dyDescent="0.25">
      <c r="A13329">
        <v>13328</v>
      </c>
      <c r="B13329">
        <v>7419095</v>
      </c>
      <c r="C13329" s="1" t="str">
        <f>HYPERLINK("http://stackoverflow.com/users/7419095", "Makaxintie")</f>
        <v>Makaxintie</v>
      </c>
      <c r="D13329" t="s">
        <v>736</v>
      </c>
      <c r="E13329">
        <v>1</v>
      </c>
    </row>
    <row r="13330" spans="1:5" x14ac:dyDescent="0.25">
      <c r="A13330">
        <v>13329</v>
      </c>
      <c r="B13330">
        <v>7419426</v>
      </c>
      <c r="C13330" s="1" t="str">
        <f>HYPERLINK("http://stackoverflow.com/users/7419426", "Cheney Hwang")</f>
        <v>Cheney Hwang</v>
      </c>
      <c r="D13330" t="s">
        <v>37</v>
      </c>
      <c r="E13330">
        <v>1</v>
      </c>
    </row>
    <row r="13331" spans="1:5" x14ac:dyDescent="0.25">
      <c r="A13331">
        <v>13330</v>
      </c>
      <c r="B13331">
        <v>5668977</v>
      </c>
      <c r="C13331" s="1" t="str">
        <f>HYPERLINK("http://stackoverflow.com/users/5668977", "wuYin")</f>
        <v>wuYin</v>
      </c>
      <c r="D13331" t="s">
        <v>5</v>
      </c>
      <c r="E13331">
        <v>1</v>
      </c>
    </row>
    <row r="13332" spans="1:5" x14ac:dyDescent="0.25">
      <c r="A13332">
        <v>13331</v>
      </c>
      <c r="B13332">
        <v>5669121</v>
      </c>
      <c r="C13332" s="1" t="str">
        <f>HYPERLINK("http://stackoverflow.com/users/5669121", "Amicus")</f>
        <v>Amicus</v>
      </c>
      <c r="D13332" t="s">
        <v>5</v>
      </c>
      <c r="E13332">
        <v>1</v>
      </c>
    </row>
    <row r="13333" spans="1:5" x14ac:dyDescent="0.25">
      <c r="A13333">
        <v>13332</v>
      </c>
      <c r="B13333">
        <v>11112593</v>
      </c>
      <c r="C13333" s="1" t="str">
        <f>HYPERLINK("http://stackoverflow.com/users/11112593", "sunwzh")</f>
        <v>sunwzh</v>
      </c>
      <c r="D13333" t="s">
        <v>5</v>
      </c>
      <c r="E13333">
        <v>1</v>
      </c>
    </row>
    <row r="13334" spans="1:5" x14ac:dyDescent="0.25">
      <c r="A13334">
        <v>13333</v>
      </c>
      <c r="B13334">
        <v>11112635</v>
      </c>
      <c r="C13334" s="1" t="str">
        <f>HYPERLINK("http://stackoverflow.com/users/11112635", "Lawrence Li")</f>
        <v>Lawrence Li</v>
      </c>
      <c r="D13334" t="s">
        <v>43</v>
      </c>
      <c r="E13334">
        <v>1</v>
      </c>
    </row>
    <row r="13335" spans="1:5" x14ac:dyDescent="0.25">
      <c r="A13335">
        <v>13334</v>
      </c>
      <c r="B13335">
        <v>11112652</v>
      </c>
      <c r="C13335" s="1" t="str">
        <f>HYPERLINK("http://stackoverflow.com/users/11112652", "User0922")</f>
        <v>User0922</v>
      </c>
      <c r="D13335" t="s">
        <v>4</v>
      </c>
      <c r="E13335">
        <v>1</v>
      </c>
    </row>
    <row r="13336" spans="1:5" x14ac:dyDescent="0.25">
      <c r="A13336">
        <v>13335</v>
      </c>
      <c r="B13336">
        <v>9305722</v>
      </c>
      <c r="C13336" s="1" t="str">
        <f>HYPERLINK("http://stackoverflow.com/users/9305722", "唐宇鹏")</f>
        <v>唐宇鹏</v>
      </c>
      <c r="D13336" t="s">
        <v>131</v>
      </c>
      <c r="E13336">
        <v>1</v>
      </c>
    </row>
    <row r="13337" spans="1:5" x14ac:dyDescent="0.25">
      <c r="A13337">
        <v>13336</v>
      </c>
      <c r="B13337">
        <v>11099551</v>
      </c>
      <c r="C13337" s="1" t="str">
        <f>HYPERLINK("http://stackoverflow.com/users/11099551", "karlfu fu")</f>
        <v>karlfu fu</v>
      </c>
      <c r="D13337" t="s">
        <v>7</v>
      </c>
      <c r="E13337">
        <v>1</v>
      </c>
    </row>
    <row r="13338" spans="1:5" x14ac:dyDescent="0.25">
      <c r="A13338">
        <v>13337</v>
      </c>
      <c r="B13338">
        <v>11099799</v>
      </c>
      <c r="C13338" s="1" t="str">
        <f>HYPERLINK("http://stackoverflow.com/users/11099799", "Jejeremy")</f>
        <v>Jejeremy</v>
      </c>
      <c r="D13338" t="s">
        <v>7</v>
      </c>
      <c r="E13338">
        <v>1</v>
      </c>
    </row>
    <row r="13339" spans="1:5" x14ac:dyDescent="0.25">
      <c r="A13339">
        <v>13338</v>
      </c>
      <c r="B13339">
        <v>11099952</v>
      </c>
      <c r="C13339" s="1" t="str">
        <f>HYPERLINK("http://stackoverflow.com/users/11099952", "feng wu")</f>
        <v>feng wu</v>
      </c>
      <c r="D13339" t="s">
        <v>5</v>
      </c>
      <c r="E13339">
        <v>1</v>
      </c>
    </row>
    <row r="13340" spans="1:5" x14ac:dyDescent="0.25">
      <c r="A13340">
        <v>13339</v>
      </c>
      <c r="B13340">
        <v>7412645</v>
      </c>
      <c r="C13340" s="1" t="str">
        <f>HYPERLINK("http://stackoverflow.com/users/7412645", "xcy")</f>
        <v>xcy</v>
      </c>
      <c r="D13340" t="s">
        <v>4</v>
      </c>
      <c r="E13340">
        <v>1</v>
      </c>
    </row>
    <row r="13341" spans="1:5" x14ac:dyDescent="0.25">
      <c r="A13341">
        <v>13340</v>
      </c>
      <c r="B13341">
        <v>5657346</v>
      </c>
      <c r="C13341" s="1" t="str">
        <f>HYPERLINK("http://stackoverflow.com/users/5657346", "KRQW")</f>
        <v>KRQW</v>
      </c>
      <c r="D13341" t="s">
        <v>17</v>
      </c>
      <c r="E13341">
        <v>1</v>
      </c>
    </row>
    <row r="13342" spans="1:5" x14ac:dyDescent="0.25">
      <c r="A13342">
        <v>13341</v>
      </c>
      <c r="B13342">
        <v>9311003</v>
      </c>
      <c r="C13342" s="1" t="str">
        <f>HYPERLINK("http://stackoverflow.com/users/9311003", "Mirok")</f>
        <v>Mirok</v>
      </c>
      <c r="D13342" t="s">
        <v>193</v>
      </c>
      <c r="E13342">
        <v>1</v>
      </c>
    </row>
    <row r="13343" spans="1:5" x14ac:dyDescent="0.25">
      <c r="A13343">
        <v>13342</v>
      </c>
      <c r="B13343">
        <v>9311171</v>
      </c>
      <c r="C13343" s="1" t="str">
        <f>HYPERLINK("http://stackoverflow.com/users/9311171", "陆丹峰")</f>
        <v>陆丹峰</v>
      </c>
      <c r="D13343" t="s">
        <v>5</v>
      </c>
      <c r="E13343">
        <v>1</v>
      </c>
    </row>
    <row r="13344" spans="1:5" x14ac:dyDescent="0.25">
      <c r="A13344">
        <v>13343</v>
      </c>
      <c r="B13344">
        <v>9311271</v>
      </c>
      <c r="C13344" s="1" t="str">
        <f>HYPERLINK("http://stackoverflow.com/users/9311271", "Shan Gao")</f>
        <v>Shan Gao</v>
      </c>
      <c r="D13344" t="s">
        <v>57</v>
      </c>
      <c r="E13344">
        <v>1</v>
      </c>
    </row>
    <row r="13345" spans="1:5" x14ac:dyDescent="0.25">
      <c r="A13345">
        <v>13344</v>
      </c>
      <c r="B13345">
        <v>9311290</v>
      </c>
      <c r="C13345" s="1" t="str">
        <f>HYPERLINK("http://stackoverflow.com/users/9311290", "Newamber")</f>
        <v>Newamber</v>
      </c>
      <c r="D13345" t="s">
        <v>22</v>
      </c>
      <c r="E13345">
        <v>1</v>
      </c>
    </row>
    <row r="13346" spans="1:5" x14ac:dyDescent="0.25">
      <c r="A13346">
        <v>13345</v>
      </c>
      <c r="B13346">
        <v>5662139</v>
      </c>
      <c r="C13346" s="1" t="str">
        <f>HYPERLINK("http://stackoverflow.com/users/5662139", "Tom Guo")</f>
        <v>Tom Guo</v>
      </c>
      <c r="D13346" t="s">
        <v>74</v>
      </c>
      <c r="E13346">
        <v>1</v>
      </c>
    </row>
    <row r="13347" spans="1:5" x14ac:dyDescent="0.25">
      <c r="A13347">
        <v>13346</v>
      </c>
      <c r="B13347">
        <v>5662145</v>
      </c>
      <c r="C13347" s="1" t="str">
        <f>HYPERLINK("http://stackoverflow.com/users/5662145", "NatLiu")</f>
        <v>NatLiu</v>
      </c>
      <c r="D13347" t="s">
        <v>37</v>
      </c>
      <c r="E13347">
        <v>1</v>
      </c>
    </row>
    <row r="13348" spans="1:5" x14ac:dyDescent="0.25">
      <c r="A13348">
        <v>13347</v>
      </c>
      <c r="B13348">
        <v>5662161</v>
      </c>
      <c r="C13348" s="1" t="str">
        <f>HYPERLINK("http://stackoverflow.com/users/5662161", "Jiangping Lu US - Advisory")</f>
        <v>Jiangping Lu US - Advisory</v>
      </c>
      <c r="D13348" t="s">
        <v>4</v>
      </c>
      <c r="E13348">
        <v>1</v>
      </c>
    </row>
    <row r="13349" spans="1:5" x14ac:dyDescent="0.25">
      <c r="A13349">
        <v>13348</v>
      </c>
      <c r="B13349">
        <v>5662216</v>
      </c>
      <c r="C13349" s="1" t="str">
        <f>HYPERLINK("http://stackoverflow.com/users/5662216", "HUANG Taizi")</f>
        <v>HUANG Taizi</v>
      </c>
      <c r="D13349" t="s">
        <v>31</v>
      </c>
      <c r="E13349">
        <v>1</v>
      </c>
    </row>
    <row r="13350" spans="1:5" x14ac:dyDescent="0.25">
      <c r="A13350">
        <v>13349</v>
      </c>
      <c r="B13350">
        <v>11104798</v>
      </c>
      <c r="C13350" s="1" t="str">
        <f>HYPERLINK("http://stackoverflow.com/users/11104798", "Jimmy Gong")</f>
        <v>Jimmy Gong</v>
      </c>
      <c r="D13350" t="s">
        <v>737</v>
      </c>
      <c r="E13350">
        <v>1</v>
      </c>
    </row>
    <row r="13351" spans="1:5" x14ac:dyDescent="0.25">
      <c r="A13351">
        <v>13350</v>
      </c>
      <c r="B13351">
        <v>11104965</v>
      </c>
      <c r="C13351" s="1" t="str">
        <f>HYPERLINK("http://stackoverflow.com/users/11104965", "Christopher")</f>
        <v>Christopher</v>
      </c>
      <c r="D13351" t="s">
        <v>4</v>
      </c>
      <c r="E13351">
        <v>1</v>
      </c>
    </row>
    <row r="13352" spans="1:5" x14ac:dyDescent="0.25">
      <c r="A13352">
        <v>13351</v>
      </c>
      <c r="B13352">
        <v>2111440</v>
      </c>
      <c r="C13352" s="1" t="str">
        <f>HYPERLINK("http://stackoverflow.com/users/2111440", "icella")</f>
        <v>icella</v>
      </c>
      <c r="D13352" t="s">
        <v>4</v>
      </c>
      <c r="E13352">
        <v>1</v>
      </c>
    </row>
    <row r="13353" spans="1:5" x14ac:dyDescent="0.25">
      <c r="A13353">
        <v>13352</v>
      </c>
      <c r="B13353">
        <v>8342587</v>
      </c>
      <c r="C13353" s="1" t="str">
        <f>HYPERLINK("http://stackoverflow.com/users/8342587", "K.ZarWai")</f>
        <v>K.ZarWai</v>
      </c>
      <c r="D13353" t="s">
        <v>7</v>
      </c>
      <c r="E13353">
        <v>1</v>
      </c>
    </row>
    <row r="13354" spans="1:5" x14ac:dyDescent="0.25">
      <c r="A13354">
        <v>13353</v>
      </c>
      <c r="B13354">
        <v>8342826</v>
      </c>
      <c r="C13354" s="1" t="str">
        <f>HYPERLINK("http://stackoverflow.com/users/8342826", "toni forbes")</f>
        <v>toni forbes</v>
      </c>
      <c r="D13354" t="s">
        <v>33</v>
      </c>
      <c r="E13354">
        <v>1</v>
      </c>
    </row>
    <row r="13355" spans="1:5" x14ac:dyDescent="0.25">
      <c r="A13355">
        <v>13354</v>
      </c>
      <c r="B13355">
        <v>2985849</v>
      </c>
      <c r="C13355" s="1" t="str">
        <f>HYPERLINK("http://stackoverflow.com/users/2985849", "Steven73")</f>
        <v>Steven73</v>
      </c>
      <c r="D13355" t="s">
        <v>37</v>
      </c>
      <c r="E13355">
        <v>1</v>
      </c>
    </row>
    <row r="13356" spans="1:5" x14ac:dyDescent="0.25">
      <c r="A13356">
        <v>13355</v>
      </c>
      <c r="B13356">
        <v>2985855</v>
      </c>
      <c r="C13356" s="1" t="str">
        <f>HYPERLINK("http://stackoverflow.com/users/2985855", "Zheng")</f>
        <v>Zheng</v>
      </c>
      <c r="D13356" t="s">
        <v>5</v>
      </c>
      <c r="E13356">
        <v>1</v>
      </c>
    </row>
    <row r="13357" spans="1:5" x14ac:dyDescent="0.25">
      <c r="A13357">
        <v>13356</v>
      </c>
      <c r="B13357">
        <v>2985969</v>
      </c>
      <c r="C13357" s="1" t="str">
        <f>HYPERLINK("http://stackoverflow.com/users/2985969", "bencai")</f>
        <v>bencai</v>
      </c>
      <c r="D13357" t="s">
        <v>17</v>
      </c>
      <c r="E13357">
        <v>1</v>
      </c>
    </row>
    <row r="13358" spans="1:5" x14ac:dyDescent="0.25">
      <c r="A13358">
        <v>13357</v>
      </c>
      <c r="B13358">
        <v>2986014</v>
      </c>
      <c r="C13358" s="1" t="str">
        <f>HYPERLINK("http://stackoverflow.com/users/2986014", "sungAsong")</f>
        <v>sungAsong</v>
      </c>
      <c r="D13358" t="s">
        <v>28</v>
      </c>
      <c r="E13358">
        <v>1</v>
      </c>
    </row>
    <row r="13359" spans="1:5" x14ac:dyDescent="0.25">
      <c r="A13359">
        <v>13358</v>
      </c>
      <c r="B13359">
        <v>2986100</v>
      </c>
      <c r="C13359" s="1" t="str">
        <f>HYPERLINK("http://stackoverflow.com/users/2986100", "jyjsjd")</f>
        <v>jyjsjd</v>
      </c>
      <c r="D13359" t="s">
        <v>37</v>
      </c>
      <c r="E13359">
        <v>1</v>
      </c>
    </row>
    <row r="13360" spans="1:5" x14ac:dyDescent="0.25">
      <c r="A13360">
        <v>13359</v>
      </c>
      <c r="B13360">
        <v>2986112</v>
      </c>
      <c r="C13360" s="1" t="str">
        <f>HYPERLINK("http://stackoverflow.com/users/2986112", "verphen")</f>
        <v>verphen</v>
      </c>
      <c r="D13360" t="s">
        <v>5</v>
      </c>
      <c r="E13360">
        <v>1</v>
      </c>
    </row>
    <row r="13361" spans="1:5" x14ac:dyDescent="0.25">
      <c r="A13361">
        <v>13360</v>
      </c>
      <c r="B13361">
        <v>2986271</v>
      </c>
      <c r="C13361" s="1" t="str">
        <f>HYPERLINK("http://stackoverflow.com/users/2986271", "Hyber")</f>
        <v>Hyber</v>
      </c>
      <c r="D13361" t="s">
        <v>35</v>
      </c>
      <c r="E13361">
        <v>1</v>
      </c>
    </row>
    <row r="13362" spans="1:5" x14ac:dyDescent="0.25">
      <c r="A13362">
        <v>13361</v>
      </c>
      <c r="B13362">
        <v>2986449</v>
      </c>
      <c r="C13362" s="1" t="str">
        <f>HYPERLINK("http://stackoverflow.com/users/2986449", "yarmyarch")</f>
        <v>yarmyarch</v>
      </c>
      <c r="D13362" t="s">
        <v>5</v>
      </c>
      <c r="E13362">
        <v>1</v>
      </c>
    </row>
    <row r="13363" spans="1:5" x14ac:dyDescent="0.25">
      <c r="A13363">
        <v>13362</v>
      </c>
      <c r="B13363">
        <v>2986478</v>
      </c>
      <c r="C13363" s="1" t="str">
        <f>HYPERLINK("http://stackoverflow.com/users/2986478", "ericYu")</f>
        <v>ericYu</v>
      </c>
      <c r="D13363" t="s">
        <v>5</v>
      </c>
      <c r="E13363">
        <v>1</v>
      </c>
    </row>
    <row r="13364" spans="1:5" x14ac:dyDescent="0.25">
      <c r="A13364">
        <v>13363</v>
      </c>
      <c r="B13364">
        <v>2986528</v>
      </c>
      <c r="C13364" s="1" t="str">
        <f>HYPERLINK("http://stackoverflow.com/users/2986528", "pacochan")</f>
        <v>pacochan</v>
      </c>
      <c r="D13364" t="s">
        <v>5</v>
      </c>
      <c r="E13364">
        <v>1</v>
      </c>
    </row>
    <row r="13365" spans="1:5" x14ac:dyDescent="0.25">
      <c r="A13365">
        <v>13364</v>
      </c>
      <c r="B13365">
        <v>951400</v>
      </c>
      <c r="C13365" s="1" t="str">
        <f>HYPERLINK("http://stackoverflow.com/users/951400", "Roy")</f>
        <v>Roy</v>
      </c>
      <c r="D13365" t="s">
        <v>4</v>
      </c>
      <c r="E13365">
        <v>1</v>
      </c>
    </row>
    <row r="13366" spans="1:5" x14ac:dyDescent="0.25">
      <c r="A13366">
        <v>13365</v>
      </c>
      <c r="B13366">
        <v>2978270</v>
      </c>
      <c r="C13366" s="1" t="str">
        <f>HYPERLINK("http://stackoverflow.com/users/2978270", "zqqf16")</f>
        <v>zqqf16</v>
      </c>
      <c r="D13366" t="s">
        <v>5</v>
      </c>
      <c r="E13366">
        <v>1</v>
      </c>
    </row>
    <row r="13367" spans="1:5" x14ac:dyDescent="0.25">
      <c r="A13367">
        <v>13366</v>
      </c>
      <c r="B13367">
        <v>2978282</v>
      </c>
      <c r="C13367" s="1" t="str">
        <f>HYPERLINK("http://stackoverflow.com/users/2978282", "exhoty")</f>
        <v>exhoty</v>
      </c>
      <c r="D13367" t="s">
        <v>12</v>
      </c>
      <c r="E13367">
        <v>1</v>
      </c>
    </row>
    <row r="13368" spans="1:5" x14ac:dyDescent="0.25">
      <c r="A13368">
        <v>13367</v>
      </c>
      <c r="B13368">
        <v>10154116</v>
      </c>
      <c r="C13368" s="1" t="str">
        <f>HYPERLINK("http://stackoverflow.com/users/10154116", "EvinK")</f>
        <v>EvinK</v>
      </c>
      <c r="D13368" t="s">
        <v>52</v>
      </c>
      <c r="E13368">
        <v>1</v>
      </c>
    </row>
    <row r="13369" spans="1:5" x14ac:dyDescent="0.25">
      <c r="A13369">
        <v>13368</v>
      </c>
      <c r="B13369">
        <v>10154178</v>
      </c>
      <c r="C13369" s="1" t="str">
        <f>HYPERLINK("http://stackoverflow.com/users/10154178", "RedYang")</f>
        <v>RedYang</v>
      </c>
      <c r="D13369" t="s">
        <v>738</v>
      </c>
      <c r="E13369">
        <v>1</v>
      </c>
    </row>
    <row r="13370" spans="1:5" x14ac:dyDescent="0.25">
      <c r="A13370">
        <v>13369</v>
      </c>
      <c r="B13370">
        <v>939035</v>
      </c>
      <c r="C13370" s="1" t="str">
        <f>HYPERLINK("http://stackoverflow.com/users/939035", "KaziJee")</f>
        <v>KaziJee</v>
      </c>
      <c r="D13370" t="s">
        <v>22</v>
      </c>
      <c r="E13370">
        <v>1</v>
      </c>
    </row>
    <row r="13371" spans="1:5" x14ac:dyDescent="0.25">
      <c r="A13371">
        <v>13370</v>
      </c>
      <c r="B13371">
        <v>940527</v>
      </c>
      <c r="C13371" s="1" t="str">
        <f>HYPERLINK("http://stackoverflow.com/users/940527", "Yan Jing")</f>
        <v>Yan Jing</v>
      </c>
      <c r="D13371" t="s">
        <v>4</v>
      </c>
      <c r="E13371">
        <v>1</v>
      </c>
    </row>
    <row r="13372" spans="1:5" x14ac:dyDescent="0.25">
      <c r="A13372">
        <v>13371</v>
      </c>
      <c r="B13372">
        <v>10153875</v>
      </c>
      <c r="C13372" s="1" t="str">
        <f>HYPERLINK("http://stackoverflow.com/users/10153875", "Marshall")</f>
        <v>Marshall</v>
      </c>
      <c r="D13372" t="s">
        <v>62</v>
      </c>
      <c r="E13372">
        <v>1</v>
      </c>
    </row>
    <row r="13373" spans="1:5" x14ac:dyDescent="0.25">
      <c r="A13373">
        <v>13372</v>
      </c>
      <c r="B13373">
        <v>6532174</v>
      </c>
      <c r="C13373" s="1" t="str">
        <f>HYPERLINK("http://stackoverflow.com/users/6532174", "Raymond Lei")</f>
        <v>Raymond Lei</v>
      </c>
      <c r="D13373" t="s">
        <v>739</v>
      </c>
      <c r="E13373">
        <v>1</v>
      </c>
    </row>
    <row r="13374" spans="1:5" x14ac:dyDescent="0.25">
      <c r="A13374">
        <v>13373</v>
      </c>
      <c r="B13374">
        <v>6535699</v>
      </c>
      <c r="C13374" s="1" t="str">
        <f>HYPERLINK("http://stackoverflow.com/users/6535699", "Xinyan")</f>
        <v>Xinyan</v>
      </c>
      <c r="D13374" t="s">
        <v>4</v>
      </c>
      <c r="E13374">
        <v>1</v>
      </c>
    </row>
    <row r="13375" spans="1:5" x14ac:dyDescent="0.25">
      <c r="A13375">
        <v>13374</v>
      </c>
      <c r="B13375">
        <v>6535908</v>
      </c>
      <c r="C13375" s="1" t="str">
        <f>HYPERLINK("http://stackoverflow.com/users/6535908", "anotherm4")</f>
        <v>anotherm4</v>
      </c>
      <c r="D13375" t="s">
        <v>5</v>
      </c>
      <c r="E13375">
        <v>1</v>
      </c>
    </row>
    <row r="13376" spans="1:5" x14ac:dyDescent="0.25">
      <c r="A13376">
        <v>13375</v>
      </c>
      <c r="B13376">
        <v>10157629</v>
      </c>
      <c r="C13376" s="1" t="str">
        <f>HYPERLINK("http://stackoverflow.com/users/10157629", "Matthew Jiang")</f>
        <v>Matthew Jiang</v>
      </c>
      <c r="D13376" t="s">
        <v>104</v>
      </c>
      <c r="E13376">
        <v>1</v>
      </c>
    </row>
    <row r="13377" spans="1:5" x14ac:dyDescent="0.25">
      <c r="A13377">
        <v>13376</v>
      </c>
      <c r="B13377">
        <v>8342254</v>
      </c>
      <c r="C13377" s="1" t="str">
        <f>HYPERLINK("http://stackoverflow.com/users/8342254", "peter pan")</f>
        <v>peter pan</v>
      </c>
      <c r="D13377" t="s">
        <v>120</v>
      </c>
      <c r="E13377">
        <v>1</v>
      </c>
    </row>
    <row r="13378" spans="1:5" x14ac:dyDescent="0.25">
      <c r="A13378">
        <v>13377</v>
      </c>
      <c r="B13378">
        <v>8342379</v>
      </c>
      <c r="C13378" s="1" t="str">
        <f>HYPERLINK("http://stackoverflow.com/users/8342379", "Yaokun Xu")</f>
        <v>Yaokun Xu</v>
      </c>
      <c r="D13378" t="s">
        <v>55</v>
      </c>
      <c r="E13378">
        <v>1</v>
      </c>
    </row>
    <row r="13379" spans="1:5" x14ac:dyDescent="0.25">
      <c r="A13379">
        <v>13378</v>
      </c>
      <c r="B13379">
        <v>10132366</v>
      </c>
      <c r="C13379" s="1" t="str">
        <f>HYPERLINK("http://stackoverflow.com/users/10132366", "Vince Zhou")</f>
        <v>Vince Zhou</v>
      </c>
      <c r="D13379" t="s">
        <v>415</v>
      </c>
      <c r="E13379">
        <v>1</v>
      </c>
    </row>
    <row r="13380" spans="1:5" x14ac:dyDescent="0.25">
      <c r="A13380">
        <v>13379</v>
      </c>
      <c r="B13380">
        <v>10132476</v>
      </c>
      <c r="C13380" s="1" t="str">
        <f>HYPERLINK("http://stackoverflow.com/users/10132476", "kai")</f>
        <v>kai</v>
      </c>
      <c r="D13380" t="s">
        <v>5</v>
      </c>
      <c r="E13380">
        <v>1</v>
      </c>
    </row>
    <row r="13381" spans="1:5" x14ac:dyDescent="0.25">
      <c r="A13381">
        <v>13380</v>
      </c>
      <c r="B13381">
        <v>8316995</v>
      </c>
      <c r="C13381" s="1" t="str">
        <f>HYPERLINK("http://stackoverflow.com/users/8316995", "Jeffery Huang")</f>
        <v>Jeffery Huang</v>
      </c>
      <c r="D13381" t="s">
        <v>43</v>
      </c>
      <c r="E13381">
        <v>1</v>
      </c>
    </row>
    <row r="13382" spans="1:5" x14ac:dyDescent="0.25">
      <c r="A13382">
        <v>13381</v>
      </c>
      <c r="B13382">
        <v>8317069</v>
      </c>
      <c r="C13382" s="1" t="str">
        <f>HYPERLINK("http://stackoverflow.com/users/8317069", "heikun")</f>
        <v>heikun</v>
      </c>
      <c r="D13382" t="s">
        <v>131</v>
      </c>
      <c r="E13382">
        <v>1</v>
      </c>
    </row>
    <row r="13383" spans="1:5" x14ac:dyDescent="0.25">
      <c r="A13383">
        <v>13382</v>
      </c>
      <c r="B13383">
        <v>4789821</v>
      </c>
      <c r="C13383" s="1" t="str">
        <f>HYPERLINK("http://stackoverflow.com/users/4789821", "yangyugang")</f>
        <v>yangyugang</v>
      </c>
      <c r="D13383" t="s">
        <v>5</v>
      </c>
      <c r="E13383">
        <v>1</v>
      </c>
    </row>
    <row r="13384" spans="1:5" x14ac:dyDescent="0.25">
      <c r="A13384">
        <v>13383</v>
      </c>
      <c r="B13384">
        <v>913649</v>
      </c>
      <c r="C13384" s="1" t="str">
        <f>HYPERLINK("http://stackoverflow.com/users/913649", "jerry-shen")</f>
        <v>jerry-shen</v>
      </c>
      <c r="D13384" t="s">
        <v>5</v>
      </c>
      <c r="E13384">
        <v>1</v>
      </c>
    </row>
    <row r="13385" spans="1:5" x14ac:dyDescent="0.25">
      <c r="A13385">
        <v>13384</v>
      </c>
      <c r="B13385">
        <v>6516404</v>
      </c>
      <c r="C13385" s="1" t="str">
        <f>HYPERLINK("http://stackoverflow.com/users/6516404", "Jilvo King")</f>
        <v>Jilvo King</v>
      </c>
      <c r="D13385" t="s">
        <v>55</v>
      </c>
      <c r="E13385">
        <v>1</v>
      </c>
    </row>
    <row r="13386" spans="1:5" x14ac:dyDescent="0.25">
      <c r="A13386">
        <v>13385</v>
      </c>
      <c r="B13386">
        <v>897211</v>
      </c>
      <c r="C13386" s="1" t="str">
        <f>HYPERLINK("http://stackoverflow.com/users/897211", "HALLELUMOE")</f>
        <v>HALLELUMOE</v>
      </c>
      <c r="D13386" t="s">
        <v>24</v>
      </c>
      <c r="E13386">
        <v>1</v>
      </c>
    </row>
    <row r="13387" spans="1:5" x14ac:dyDescent="0.25">
      <c r="A13387">
        <v>13386</v>
      </c>
      <c r="B13387">
        <v>898411</v>
      </c>
      <c r="C13387" s="1" t="str">
        <f>HYPERLINK("http://stackoverflow.com/users/898411", "lzk345")</f>
        <v>lzk345</v>
      </c>
      <c r="D13387" t="s">
        <v>4</v>
      </c>
      <c r="E13387">
        <v>1</v>
      </c>
    </row>
    <row r="13388" spans="1:5" x14ac:dyDescent="0.25">
      <c r="A13388">
        <v>13387</v>
      </c>
      <c r="B13388">
        <v>6512226</v>
      </c>
      <c r="C13388" s="1" t="str">
        <f>HYPERLINK("http://stackoverflow.com/users/6512226", "项罗阳")</f>
        <v>项罗阳</v>
      </c>
      <c r="D13388" t="s">
        <v>83</v>
      </c>
      <c r="E13388">
        <v>1</v>
      </c>
    </row>
    <row r="13389" spans="1:5" x14ac:dyDescent="0.25">
      <c r="A13389">
        <v>13388</v>
      </c>
      <c r="B13389">
        <v>6517186</v>
      </c>
      <c r="C13389" s="1" t="str">
        <f>HYPERLINK("http://stackoverflow.com/users/6517186", "12425")</f>
        <v>12425</v>
      </c>
      <c r="D13389" t="s">
        <v>4</v>
      </c>
      <c r="E13389">
        <v>1</v>
      </c>
    </row>
    <row r="13390" spans="1:5" x14ac:dyDescent="0.25">
      <c r="A13390">
        <v>13389</v>
      </c>
      <c r="B13390">
        <v>8325340</v>
      </c>
      <c r="C13390" s="1" t="str">
        <f>HYPERLINK("http://stackoverflow.com/users/8325340", "Rex Lee")</f>
        <v>Rex Lee</v>
      </c>
      <c r="D13390" t="s">
        <v>52</v>
      </c>
      <c r="E13390">
        <v>1</v>
      </c>
    </row>
    <row r="13391" spans="1:5" x14ac:dyDescent="0.25">
      <c r="A13391">
        <v>13390</v>
      </c>
      <c r="B13391">
        <v>8325763</v>
      </c>
      <c r="C13391" s="1" t="str">
        <f>HYPERLINK("http://stackoverflow.com/users/8325763", "Rui Du")</f>
        <v>Rui Du</v>
      </c>
      <c r="D13391" t="s">
        <v>4</v>
      </c>
      <c r="E13391">
        <v>1</v>
      </c>
    </row>
    <row r="13392" spans="1:5" x14ac:dyDescent="0.25">
      <c r="A13392">
        <v>13391</v>
      </c>
      <c r="B13392">
        <v>6516992</v>
      </c>
      <c r="C13392" s="1" t="str">
        <f>HYPERLINK("http://stackoverflow.com/users/6516992", "ruoyu")</f>
        <v>ruoyu</v>
      </c>
      <c r="D13392" t="s">
        <v>16</v>
      </c>
      <c r="E13392">
        <v>1</v>
      </c>
    </row>
    <row r="13393" spans="1:5" x14ac:dyDescent="0.25">
      <c r="A13393">
        <v>13392</v>
      </c>
      <c r="B13393">
        <v>2958744</v>
      </c>
      <c r="C13393" s="1" t="str">
        <f>HYPERLINK("http://stackoverflow.com/users/2958744", "Logic_IU")</f>
        <v>Logic_IU</v>
      </c>
      <c r="D13393" t="s">
        <v>4</v>
      </c>
      <c r="E13393">
        <v>1</v>
      </c>
    </row>
    <row r="13394" spans="1:5" x14ac:dyDescent="0.25">
      <c r="A13394">
        <v>13393</v>
      </c>
      <c r="B13394">
        <v>2969061</v>
      </c>
      <c r="C13394" s="1" t="str">
        <f>HYPERLINK("http://stackoverflow.com/users/2969061", "BrightestSirius")</f>
        <v>BrightestSirius</v>
      </c>
      <c r="D13394" t="s">
        <v>5</v>
      </c>
      <c r="E13394">
        <v>1</v>
      </c>
    </row>
    <row r="13395" spans="1:5" x14ac:dyDescent="0.25">
      <c r="A13395">
        <v>13394</v>
      </c>
      <c r="B13395">
        <v>926507</v>
      </c>
      <c r="C13395" s="1" t="str">
        <f>HYPERLINK("http://stackoverflow.com/users/926507", "Howe Isamu")</f>
        <v>Howe Isamu</v>
      </c>
      <c r="D13395" t="s">
        <v>63</v>
      </c>
      <c r="E13395">
        <v>1</v>
      </c>
    </row>
    <row r="13396" spans="1:5" x14ac:dyDescent="0.25">
      <c r="A13396">
        <v>13395</v>
      </c>
      <c r="B13396">
        <v>927279</v>
      </c>
      <c r="C13396" s="1" t="str">
        <f>HYPERLINK("http://stackoverflow.com/users/927279", "ee06b109")</f>
        <v>ee06b109</v>
      </c>
      <c r="D13396" t="s">
        <v>5</v>
      </c>
      <c r="E13396">
        <v>1</v>
      </c>
    </row>
    <row r="13397" spans="1:5" x14ac:dyDescent="0.25">
      <c r="A13397">
        <v>13396</v>
      </c>
      <c r="B13397">
        <v>8268491</v>
      </c>
      <c r="C13397" s="1" t="str">
        <f>HYPERLINK("http://stackoverflow.com/users/8268491", "zshongyi")</f>
        <v>zshongyi</v>
      </c>
      <c r="D13397" t="s">
        <v>16</v>
      </c>
      <c r="E13397">
        <v>1</v>
      </c>
    </row>
    <row r="13398" spans="1:5" x14ac:dyDescent="0.25">
      <c r="A13398">
        <v>13397</v>
      </c>
      <c r="B13398">
        <v>8268591</v>
      </c>
      <c r="C13398" s="1" t="str">
        <f>HYPERLINK("http://stackoverflow.com/users/8268591", "Gao QiHua")</f>
        <v>Gao QiHua</v>
      </c>
      <c r="D13398" t="s">
        <v>4</v>
      </c>
      <c r="E13398">
        <v>1</v>
      </c>
    </row>
    <row r="13399" spans="1:5" x14ac:dyDescent="0.25">
      <c r="A13399">
        <v>13398</v>
      </c>
      <c r="B13399">
        <v>2913759</v>
      </c>
      <c r="C13399" s="1" t="str">
        <f>HYPERLINK("http://stackoverflow.com/users/2913759", "Luster Leung")</f>
        <v>Luster Leung</v>
      </c>
      <c r="D13399" t="s">
        <v>21</v>
      </c>
      <c r="E13399">
        <v>1</v>
      </c>
    </row>
    <row r="13400" spans="1:5" x14ac:dyDescent="0.25">
      <c r="A13400">
        <v>13399</v>
      </c>
      <c r="B13400">
        <v>6470155</v>
      </c>
      <c r="C13400" s="1" t="str">
        <f>HYPERLINK("http://stackoverflow.com/users/6470155", "Bun Wong")</f>
        <v>Bun Wong</v>
      </c>
      <c r="D13400" t="s">
        <v>25</v>
      </c>
      <c r="E13400">
        <v>1</v>
      </c>
    </row>
    <row r="13401" spans="1:5" x14ac:dyDescent="0.25">
      <c r="A13401">
        <v>13400</v>
      </c>
      <c r="B13401">
        <v>10089510</v>
      </c>
      <c r="C13401" s="1" t="str">
        <f>HYPERLINK("http://stackoverflow.com/users/10089510", "Minghu Li")</f>
        <v>Minghu Li</v>
      </c>
      <c r="D13401" t="s">
        <v>214</v>
      </c>
      <c r="E13401">
        <v>1</v>
      </c>
    </row>
    <row r="13402" spans="1:5" x14ac:dyDescent="0.25">
      <c r="A13402">
        <v>13401</v>
      </c>
      <c r="B13402">
        <v>8273364</v>
      </c>
      <c r="C13402" s="1" t="str">
        <f>HYPERLINK("http://stackoverflow.com/users/8273364", "Zigzap")</f>
        <v>Zigzap</v>
      </c>
      <c r="D13402" t="s">
        <v>740</v>
      </c>
      <c r="E13402">
        <v>1</v>
      </c>
    </row>
    <row r="13403" spans="1:5" x14ac:dyDescent="0.25">
      <c r="A13403">
        <v>13402</v>
      </c>
      <c r="B13403">
        <v>8273451</v>
      </c>
      <c r="C13403" s="1" t="str">
        <f>HYPERLINK("http://stackoverflow.com/users/8273451", "zero wang")</f>
        <v>zero wang</v>
      </c>
      <c r="D13403" t="s">
        <v>29</v>
      </c>
      <c r="E13403">
        <v>1</v>
      </c>
    </row>
    <row r="13404" spans="1:5" x14ac:dyDescent="0.25">
      <c r="A13404">
        <v>13403</v>
      </c>
      <c r="B13404">
        <v>8273471</v>
      </c>
      <c r="C13404" s="1" t="str">
        <f>HYPERLINK("http://stackoverflow.com/users/8273471", "xiaoyueyue")</f>
        <v>xiaoyueyue</v>
      </c>
      <c r="D13404" t="s">
        <v>5</v>
      </c>
      <c r="E13404">
        <v>1</v>
      </c>
    </row>
    <row r="13405" spans="1:5" x14ac:dyDescent="0.25">
      <c r="A13405">
        <v>13404</v>
      </c>
      <c r="B13405">
        <v>8273609</v>
      </c>
      <c r="C13405" s="1" t="str">
        <f>HYPERLINK("http://stackoverflow.com/users/8273609", "Abner")</f>
        <v>Abner</v>
      </c>
      <c r="D13405" t="s">
        <v>7</v>
      </c>
      <c r="E13405">
        <v>1</v>
      </c>
    </row>
    <row r="13406" spans="1:5" x14ac:dyDescent="0.25">
      <c r="A13406">
        <v>13405</v>
      </c>
      <c r="B13406">
        <v>8279775</v>
      </c>
      <c r="C13406" s="1" t="str">
        <f>HYPERLINK("http://stackoverflow.com/users/8279775", "Eto_0han")</f>
        <v>Eto_0han</v>
      </c>
      <c r="D13406" t="s">
        <v>16</v>
      </c>
      <c r="E13406">
        <v>1</v>
      </c>
    </row>
    <row r="13407" spans="1:5" x14ac:dyDescent="0.25">
      <c r="A13407">
        <v>13406</v>
      </c>
      <c r="B13407">
        <v>2922427</v>
      </c>
      <c r="C13407" s="1" t="str">
        <f>HYPERLINK("http://stackoverflow.com/users/2922427", "user2922427")</f>
        <v>user2922427</v>
      </c>
      <c r="D13407" t="s">
        <v>185</v>
      </c>
      <c r="E13407">
        <v>1</v>
      </c>
    </row>
    <row r="13408" spans="1:5" x14ac:dyDescent="0.25">
      <c r="A13408">
        <v>13407</v>
      </c>
      <c r="B13408">
        <v>2924629</v>
      </c>
      <c r="C13408" s="1" t="str">
        <f>HYPERLINK("http://stackoverflow.com/users/2924629", "Huozic")</f>
        <v>Huozic</v>
      </c>
      <c r="D13408" t="s">
        <v>21</v>
      </c>
      <c r="E13408">
        <v>1</v>
      </c>
    </row>
    <row r="13409" spans="1:5" x14ac:dyDescent="0.25">
      <c r="A13409">
        <v>13408</v>
      </c>
      <c r="B13409">
        <v>10098539</v>
      </c>
      <c r="C13409" s="1" t="str">
        <f>HYPERLINK("http://stackoverflow.com/users/10098539", "Quilla")</f>
        <v>Quilla</v>
      </c>
      <c r="D13409" t="s">
        <v>4</v>
      </c>
      <c r="E13409">
        <v>1</v>
      </c>
    </row>
    <row r="13410" spans="1:5" x14ac:dyDescent="0.25">
      <c r="A13410">
        <v>13409</v>
      </c>
      <c r="B13410">
        <v>867133</v>
      </c>
      <c r="C13410" s="1" t="str">
        <f>HYPERLINK("http://stackoverflow.com/users/867133", "O.O")</f>
        <v>O.O</v>
      </c>
      <c r="D13410" t="s">
        <v>4</v>
      </c>
      <c r="E13410">
        <v>1</v>
      </c>
    </row>
    <row r="13411" spans="1:5" x14ac:dyDescent="0.25">
      <c r="A13411">
        <v>13410</v>
      </c>
      <c r="B13411">
        <v>867608</v>
      </c>
      <c r="C13411" s="1" t="str">
        <f>HYPERLINK("http://stackoverflow.com/users/867608", "Chuanwei Zou")</f>
        <v>Chuanwei Zou</v>
      </c>
      <c r="D13411" t="s">
        <v>8</v>
      </c>
      <c r="E13411">
        <v>1</v>
      </c>
    </row>
    <row r="13412" spans="1:5" x14ac:dyDescent="0.25">
      <c r="A13412">
        <v>13411</v>
      </c>
      <c r="B13412">
        <v>2937784</v>
      </c>
      <c r="C13412" s="1" t="str">
        <f>HYPERLINK("http://stackoverflow.com/users/2937784", "yeahnoob")</f>
        <v>yeahnoob</v>
      </c>
      <c r="D13412" t="s">
        <v>22</v>
      </c>
      <c r="E13412">
        <v>1</v>
      </c>
    </row>
    <row r="13413" spans="1:5" x14ac:dyDescent="0.25">
      <c r="A13413">
        <v>13412</v>
      </c>
      <c r="B13413">
        <v>4757541</v>
      </c>
      <c r="C13413" s="1" t="str">
        <f>HYPERLINK("http://stackoverflow.com/users/4757541", "Hotcheezy")</f>
        <v>Hotcheezy</v>
      </c>
      <c r="D13413" t="s">
        <v>22</v>
      </c>
      <c r="E13413">
        <v>1</v>
      </c>
    </row>
    <row r="13414" spans="1:5" x14ac:dyDescent="0.25">
      <c r="A13414">
        <v>13413</v>
      </c>
      <c r="B13414">
        <v>10102859</v>
      </c>
      <c r="C13414" s="1" t="str">
        <f>HYPERLINK("http://stackoverflow.com/users/10102859", "Pigeon Zhu")</f>
        <v>Pigeon Zhu</v>
      </c>
      <c r="D13414" t="s">
        <v>55</v>
      </c>
      <c r="E13414">
        <v>1</v>
      </c>
    </row>
    <row r="13415" spans="1:5" x14ac:dyDescent="0.25">
      <c r="A13415">
        <v>13414</v>
      </c>
      <c r="B13415">
        <v>10102935</v>
      </c>
      <c r="C13415" s="1" t="str">
        <f>HYPERLINK("http://stackoverflow.com/users/10102935", "Donald Cameron")</f>
        <v>Donald Cameron</v>
      </c>
      <c r="D13415" t="s">
        <v>74</v>
      </c>
      <c r="E13415">
        <v>1</v>
      </c>
    </row>
    <row r="13416" spans="1:5" x14ac:dyDescent="0.25">
      <c r="A13416">
        <v>13415</v>
      </c>
      <c r="B13416">
        <v>8286787</v>
      </c>
      <c r="C13416" s="1" t="str">
        <f>HYPERLINK("http://stackoverflow.com/users/8286787", "Chen Yang")</f>
        <v>Chen Yang</v>
      </c>
      <c r="D13416" t="s">
        <v>5</v>
      </c>
      <c r="E13416">
        <v>1</v>
      </c>
    </row>
    <row r="13417" spans="1:5" x14ac:dyDescent="0.25">
      <c r="A13417">
        <v>13416</v>
      </c>
      <c r="B13417">
        <v>8286807</v>
      </c>
      <c r="C13417" s="1" t="str">
        <f>HYPERLINK("http://stackoverflow.com/users/8286807", "yalong.gao")</f>
        <v>yalong.gao</v>
      </c>
      <c r="D13417" t="s">
        <v>5</v>
      </c>
      <c r="E13417">
        <v>1</v>
      </c>
    </row>
    <row r="13418" spans="1:5" x14ac:dyDescent="0.25">
      <c r="A13418">
        <v>13417</v>
      </c>
      <c r="B13418">
        <v>8286960</v>
      </c>
      <c r="C13418" s="1" t="str">
        <f>HYPERLINK("http://stackoverflow.com/users/8286960", "武楚涵")</f>
        <v>武楚涵</v>
      </c>
      <c r="D13418" t="s">
        <v>741</v>
      </c>
      <c r="E13418">
        <v>1</v>
      </c>
    </row>
    <row r="13419" spans="1:5" x14ac:dyDescent="0.25">
      <c r="A13419">
        <v>13418</v>
      </c>
      <c r="B13419">
        <v>4762229</v>
      </c>
      <c r="C13419" s="1" t="str">
        <f>HYPERLINK("http://stackoverflow.com/users/4762229", "Jeremy Z")</f>
        <v>Jeremy Z</v>
      </c>
      <c r="D13419" t="s">
        <v>6</v>
      </c>
      <c r="E13419">
        <v>1</v>
      </c>
    </row>
    <row r="13420" spans="1:5" x14ac:dyDescent="0.25">
      <c r="A13420">
        <v>13419</v>
      </c>
      <c r="B13420">
        <v>4762398</v>
      </c>
      <c r="C13420" s="1" t="str">
        <f>HYPERLINK("http://stackoverflow.com/users/4762398", "Mark Woo")</f>
        <v>Mark Woo</v>
      </c>
      <c r="D13420" t="s">
        <v>66</v>
      </c>
      <c r="E13420">
        <v>1</v>
      </c>
    </row>
    <row r="13421" spans="1:5" x14ac:dyDescent="0.25">
      <c r="A13421">
        <v>13420</v>
      </c>
      <c r="B13421">
        <v>4769074</v>
      </c>
      <c r="C13421" s="1" t="str">
        <f>HYPERLINK("http://stackoverflow.com/users/4769074", "Mithrandir")</f>
        <v>Mithrandir</v>
      </c>
      <c r="D13421" t="s">
        <v>5</v>
      </c>
      <c r="E13421">
        <v>1</v>
      </c>
    </row>
    <row r="13422" spans="1:5" x14ac:dyDescent="0.25">
      <c r="A13422">
        <v>13421</v>
      </c>
      <c r="B13422">
        <v>2933586</v>
      </c>
      <c r="C13422" s="1" t="str">
        <f>HYPERLINK("http://stackoverflow.com/users/2933586", "Yu Lei")</f>
        <v>Yu Lei</v>
      </c>
      <c r="D13422" t="s">
        <v>4</v>
      </c>
      <c r="E13422">
        <v>1</v>
      </c>
    </row>
    <row r="13423" spans="1:5" x14ac:dyDescent="0.25">
      <c r="A13423">
        <v>13422</v>
      </c>
      <c r="B13423">
        <v>8298807</v>
      </c>
      <c r="C13423" s="1" t="str">
        <f>HYPERLINK("http://stackoverflow.com/users/8298807", "Sam Zhang")</f>
        <v>Sam Zhang</v>
      </c>
      <c r="D13423" t="s">
        <v>16</v>
      </c>
      <c r="E13423">
        <v>1</v>
      </c>
    </row>
    <row r="13424" spans="1:5" x14ac:dyDescent="0.25">
      <c r="A13424">
        <v>13423</v>
      </c>
      <c r="B13424">
        <v>10115376</v>
      </c>
      <c r="C13424" s="1" t="str">
        <f>HYPERLINK("http://stackoverflow.com/users/10115376", "Linge")</f>
        <v>Linge</v>
      </c>
      <c r="D13424" t="s">
        <v>4</v>
      </c>
      <c r="E13424">
        <v>1</v>
      </c>
    </row>
    <row r="13425" spans="1:5" x14ac:dyDescent="0.25">
      <c r="A13425">
        <v>13424</v>
      </c>
      <c r="B13425">
        <v>872195</v>
      </c>
      <c r="C13425" s="1" t="str">
        <f>HYPERLINK("http://stackoverflow.com/users/872195", "Calvin Han")</f>
        <v>Calvin Han</v>
      </c>
      <c r="D13425" t="s">
        <v>742</v>
      </c>
      <c r="E13425">
        <v>1</v>
      </c>
    </row>
    <row r="13426" spans="1:5" x14ac:dyDescent="0.25">
      <c r="A13426">
        <v>13425</v>
      </c>
      <c r="B13426">
        <v>6492631</v>
      </c>
      <c r="C13426" s="1" t="str">
        <f>HYPERLINK("http://stackoverflow.com/users/6492631", "simplehuang")</f>
        <v>simplehuang</v>
      </c>
      <c r="D13426" t="s">
        <v>93</v>
      </c>
      <c r="E13426">
        <v>1</v>
      </c>
    </row>
    <row r="13427" spans="1:5" x14ac:dyDescent="0.25">
      <c r="A13427">
        <v>13426</v>
      </c>
      <c r="B13427">
        <v>6493137</v>
      </c>
      <c r="C13427" s="1" t="str">
        <f>HYPERLINK("http://stackoverflow.com/users/6493137", "Li Wenjie")</f>
        <v>Li Wenjie</v>
      </c>
      <c r="D13427" t="s">
        <v>5</v>
      </c>
      <c r="E13427">
        <v>1</v>
      </c>
    </row>
    <row r="13428" spans="1:5" x14ac:dyDescent="0.25">
      <c r="A13428">
        <v>13427</v>
      </c>
      <c r="B13428">
        <v>8294220</v>
      </c>
      <c r="C13428" s="1" t="str">
        <f>HYPERLINK("http://stackoverflow.com/users/8294220", "channel wong")</f>
        <v>channel wong</v>
      </c>
      <c r="D13428" t="s">
        <v>743</v>
      </c>
      <c r="E13428">
        <v>1</v>
      </c>
    </row>
    <row r="13429" spans="1:5" x14ac:dyDescent="0.25">
      <c r="A13429">
        <v>13428</v>
      </c>
      <c r="B13429">
        <v>8294291</v>
      </c>
      <c r="C13429" s="1" t="str">
        <f>HYPERLINK("http://stackoverflow.com/users/8294291", "Shirley")</f>
        <v>Shirley</v>
      </c>
      <c r="D13429" t="s">
        <v>4</v>
      </c>
      <c r="E13429">
        <v>1</v>
      </c>
    </row>
    <row r="13430" spans="1:5" x14ac:dyDescent="0.25">
      <c r="A13430">
        <v>13429</v>
      </c>
      <c r="B13430">
        <v>8294459</v>
      </c>
      <c r="C13430" s="1" t="str">
        <f>HYPERLINK("http://stackoverflow.com/users/8294459", "ipfgao")</f>
        <v>ipfgao</v>
      </c>
      <c r="D13430" t="s">
        <v>57</v>
      </c>
      <c r="E13430">
        <v>1</v>
      </c>
    </row>
    <row r="13431" spans="1:5" x14ac:dyDescent="0.25">
      <c r="A13431">
        <v>13430</v>
      </c>
      <c r="B13431">
        <v>10118983</v>
      </c>
      <c r="C13431" s="1" t="str">
        <f>HYPERLINK("http://stackoverflow.com/users/10118983", "Wil. Wong")</f>
        <v>Wil. Wong</v>
      </c>
      <c r="D13431" t="s">
        <v>744</v>
      </c>
      <c r="E13431">
        <v>1</v>
      </c>
    </row>
    <row r="13432" spans="1:5" x14ac:dyDescent="0.25">
      <c r="A13432">
        <v>13431</v>
      </c>
      <c r="B13432">
        <v>10119459</v>
      </c>
      <c r="C13432" s="1" t="str">
        <f>HYPERLINK("http://stackoverflow.com/users/10119459", "Ludwig")</f>
        <v>Ludwig</v>
      </c>
      <c r="D13432" t="s">
        <v>7</v>
      </c>
      <c r="E13432">
        <v>1</v>
      </c>
    </row>
    <row r="13433" spans="1:5" x14ac:dyDescent="0.25">
      <c r="A13433">
        <v>13432</v>
      </c>
      <c r="B13433">
        <v>10119761</v>
      </c>
      <c r="C13433" s="1" t="str">
        <f>HYPERLINK("http://stackoverflow.com/users/10119761", "Channing Bie")</f>
        <v>Channing Bie</v>
      </c>
      <c r="D13433" t="s">
        <v>5</v>
      </c>
      <c r="E13433">
        <v>1</v>
      </c>
    </row>
    <row r="13434" spans="1:5" x14ac:dyDescent="0.25">
      <c r="A13434">
        <v>13433</v>
      </c>
      <c r="B13434">
        <v>6508187</v>
      </c>
      <c r="C13434" s="1" t="str">
        <f>HYPERLINK("http://stackoverflow.com/users/6508187", "user6508187")</f>
        <v>user6508187</v>
      </c>
      <c r="D13434" t="s">
        <v>28</v>
      </c>
      <c r="E13434">
        <v>1</v>
      </c>
    </row>
    <row r="13435" spans="1:5" x14ac:dyDescent="0.25">
      <c r="A13435">
        <v>13434</v>
      </c>
      <c r="B13435">
        <v>8311394</v>
      </c>
      <c r="C13435" s="1" t="str">
        <f>HYPERLINK("http://stackoverflow.com/users/8311394", "Wang Chengjen")</f>
        <v>Wang Chengjen</v>
      </c>
      <c r="D13435" t="s">
        <v>33</v>
      </c>
      <c r="E13435">
        <v>1</v>
      </c>
    </row>
    <row r="13436" spans="1:5" x14ac:dyDescent="0.25">
      <c r="A13436">
        <v>13435</v>
      </c>
      <c r="B13436">
        <v>6496991</v>
      </c>
      <c r="C13436" s="1" t="str">
        <f>HYPERLINK("http://stackoverflow.com/users/6496991", "huang bo")</f>
        <v>huang bo</v>
      </c>
      <c r="D13436" t="s">
        <v>7</v>
      </c>
      <c r="E13436">
        <v>1</v>
      </c>
    </row>
    <row r="13437" spans="1:5" x14ac:dyDescent="0.25">
      <c r="A13437">
        <v>13436</v>
      </c>
      <c r="B13437">
        <v>766998</v>
      </c>
      <c r="C13437" s="1" t="str">
        <f>HYPERLINK("http://stackoverflow.com/users/766998", "Charles Zhang")</f>
        <v>Charles Zhang</v>
      </c>
      <c r="D13437" t="s">
        <v>22</v>
      </c>
      <c r="E13437">
        <v>1</v>
      </c>
    </row>
    <row r="13438" spans="1:5" x14ac:dyDescent="0.25">
      <c r="A13438">
        <v>13437</v>
      </c>
      <c r="B13438">
        <v>8230519</v>
      </c>
      <c r="C13438" s="1" t="str">
        <f>HYPERLINK("http://stackoverflow.com/users/8230519", "Dou Minrit")</f>
        <v>Dou Minrit</v>
      </c>
      <c r="D13438" t="s">
        <v>4</v>
      </c>
      <c r="E13438">
        <v>1</v>
      </c>
    </row>
    <row r="13439" spans="1:5" x14ac:dyDescent="0.25">
      <c r="A13439">
        <v>13438</v>
      </c>
      <c r="B13439">
        <v>8230571</v>
      </c>
      <c r="C13439" s="1" t="str">
        <f>HYPERLINK("http://stackoverflow.com/users/8230571", "tinawww")</f>
        <v>tinawww</v>
      </c>
      <c r="D13439" t="s">
        <v>4</v>
      </c>
      <c r="E13439">
        <v>1</v>
      </c>
    </row>
    <row r="13440" spans="1:5" x14ac:dyDescent="0.25">
      <c r="A13440">
        <v>13439</v>
      </c>
      <c r="B13440">
        <v>8230825</v>
      </c>
      <c r="C13440" s="1" t="str">
        <f>HYPERLINK("http://stackoverflow.com/users/8230825", "Felix Jing")</f>
        <v>Felix Jing</v>
      </c>
      <c r="D13440" t="s">
        <v>4</v>
      </c>
      <c r="E13440">
        <v>1</v>
      </c>
    </row>
    <row r="13441" spans="1:5" x14ac:dyDescent="0.25">
      <c r="A13441">
        <v>13440</v>
      </c>
      <c r="B13441">
        <v>8230850</v>
      </c>
      <c r="C13441" s="1" t="str">
        <f>HYPERLINK("http://stackoverflow.com/users/8230850", "Alan Cheng")</f>
        <v>Alan Cheng</v>
      </c>
      <c r="D13441" t="s">
        <v>5</v>
      </c>
      <c r="E13441">
        <v>1</v>
      </c>
    </row>
    <row r="13442" spans="1:5" x14ac:dyDescent="0.25">
      <c r="A13442">
        <v>13441</v>
      </c>
      <c r="B13442">
        <v>8230979</v>
      </c>
      <c r="C13442" s="1" t="str">
        <f>HYPERLINK("http://stackoverflow.com/users/8230979", "Shoewann")</f>
        <v>Shoewann</v>
      </c>
      <c r="D13442" t="s">
        <v>28</v>
      </c>
      <c r="E13442">
        <v>1</v>
      </c>
    </row>
    <row r="13443" spans="1:5" x14ac:dyDescent="0.25">
      <c r="A13443">
        <v>13442</v>
      </c>
      <c r="B13443">
        <v>10041762</v>
      </c>
      <c r="C13443" s="1" t="str">
        <f>HYPERLINK("http://stackoverflow.com/users/10041762", "Benzene")</f>
        <v>Benzene</v>
      </c>
      <c r="D13443" t="s">
        <v>5</v>
      </c>
      <c r="E13443">
        <v>1</v>
      </c>
    </row>
    <row r="13444" spans="1:5" x14ac:dyDescent="0.25">
      <c r="A13444">
        <v>13443</v>
      </c>
      <c r="B13444">
        <v>6428438</v>
      </c>
      <c r="C13444" s="1" t="str">
        <f>HYPERLINK("http://stackoverflow.com/users/6428438", "king")</f>
        <v>king</v>
      </c>
      <c r="D13444" t="s">
        <v>5</v>
      </c>
      <c r="E13444">
        <v>1</v>
      </c>
    </row>
    <row r="13445" spans="1:5" x14ac:dyDescent="0.25">
      <c r="A13445">
        <v>13444</v>
      </c>
      <c r="B13445">
        <v>6429058</v>
      </c>
      <c r="C13445" s="1" t="str">
        <f>HYPERLINK("http://stackoverflow.com/users/6429058", "Thomas Xing")</f>
        <v>Thomas Xing</v>
      </c>
      <c r="D13445" t="s">
        <v>7</v>
      </c>
      <c r="E13445">
        <v>1</v>
      </c>
    </row>
    <row r="13446" spans="1:5" x14ac:dyDescent="0.25">
      <c r="A13446">
        <v>13445</v>
      </c>
      <c r="B13446">
        <v>760348</v>
      </c>
      <c r="C13446" s="1" t="str">
        <f>HYPERLINK("http://stackoverflow.com/users/760348", "zhangjianrong")</f>
        <v>zhangjianrong</v>
      </c>
      <c r="D13446" t="s">
        <v>5</v>
      </c>
      <c r="E13446">
        <v>1</v>
      </c>
    </row>
    <row r="13447" spans="1:5" x14ac:dyDescent="0.25">
      <c r="A13447">
        <v>13446</v>
      </c>
      <c r="B13447">
        <v>4715461</v>
      </c>
      <c r="C13447" s="1" t="str">
        <f>HYPERLINK("http://stackoverflow.com/users/4715461", "GC.zaizi")</f>
        <v>GC.zaizi</v>
      </c>
      <c r="D13447" t="s">
        <v>5</v>
      </c>
      <c r="E13447">
        <v>1</v>
      </c>
    </row>
    <row r="13448" spans="1:5" x14ac:dyDescent="0.25">
      <c r="A13448">
        <v>13447</v>
      </c>
      <c r="B13448">
        <v>8234939</v>
      </c>
      <c r="C13448" s="1" t="str">
        <f>HYPERLINK("http://stackoverflow.com/users/8234939", "James R")</f>
        <v>James R</v>
      </c>
      <c r="D13448" t="s">
        <v>25</v>
      </c>
      <c r="E13448">
        <v>1</v>
      </c>
    </row>
    <row r="13449" spans="1:5" x14ac:dyDescent="0.25">
      <c r="A13449">
        <v>13448</v>
      </c>
      <c r="B13449">
        <v>8234960</v>
      </c>
      <c r="C13449" s="1" t="str">
        <f>HYPERLINK("http://stackoverflow.com/users/8234960", "zyjii")</f>
        <v>zyjii</v>
      </c>
      <c r="D13449" t="s">
        <v>93</v>
      </c>
      <c r="E13449">
        <v>1</v>
      </c>
    </row>
    <row r="13450" spans="1:5" x14ac:dyDescent="0.25">
      <c r="A13450">
        <v>13449</v>
      </c>
      <c r="B13450">
        <v>4711053</v>
      </c>
      <c r="C13450" s="1" t="str">
        <f>HYPERLINK("http://stackoverflow.com/users/4711053", "Charlly Chen")</f>
        <v>Charlly Chen</v>
      </c>
      <c r="D13450" t="s">
        <v>193</v>
      </c>
      <c r="E13450">
        <v>1</v>
      </c>
    </row>
    <row r="13451" spans="1:5" x14ac:dyDescent="0.25">
      <c r="A13451">
        <v>13450</v>
      </c>
      <c r="B13451">
        <v>10049990</v>
      </c>
      <c r="C13451" s="1" t="str">
        <f>HYPERLINK("http://stackoverflow.com/users/10049990", "lifu870415")</f>
        <v>lifu870415</v>
      </c>
      <c r="D13451" t="s">
        <v>320</v>
      </c>
      <c r="E13451">
        <v>1</v>
      </c>
    </row>
    <row r="13452" spans="1:5" x14ac:dyDescent="0.25">
      <c r="A13452">
        <v>13451</v>
      </c>
      <c r="B13452">
        <v>10050153</v>
      </c>
      <c r="C13452" s="1" t="str">
        <f>HYPERLINK("http://stackoverflow.com/users/10050153", "Rui Silva")</f>
        <v>Rui Silva</v>
      </c>
      <c r="D13452" t="s">
        <v>4</v>
      </c>
      <c r="E13452">
        <v>1</v>
      </c>
    </row>
    <row r="13453" spans="1:5" x14ac:dyDescent="0.25">
      <c r="A13453">
        <v>13452</v>
      </c>
      <c r="B13453">
        <v>10050183</v>
      </c>
      <c r="C13453" s="1" t="str">
        <f>HYPERLINK("http://stackoverflow.com/users/10050183", "iMath")</f>
        <v>iMath</v>
      </c>
      <c r="D13453" t="s">
        <v>104</v>
      </c>
      <c r="E13453">
        <v>1</v>
      </c>
    </row>
    <row r="13454" spans="1:5" x14ac:dyDescent="0.25">
      <c r="A13454">
        <v>13453</v>
      </c>
      <c r="B13454">
        <v>4714704</v>
      </c>
      <c r="C13454" s="1" t="str">
        <f>HYPERLINK("http://stackoverflow.com/users/4714704", "Lucius")</f>
        <v>Lucius</v>
      </c>
      <c r="D13454" t="s">
        <v>37</v>
      </c>
      <c r="E13454">
        <v>1</v>
      </c>
    </row>
    <row r="13455" spans="1:5" x14ac:dyDescent="0.25">
      <c r="A13455">
        <v>13454</v>
      </c>
      <c r="B13455">
        <v>4714731</v>
      </c>
      <c r="C13455" s="1" t="str">
        <f>HYPERLINK("http://stackoverflow.com/users/4714731", "young")</f>
        <v>young</v>
      </c>
      <c r="D13455" t="s">
        <v>29</v>
      </c>
      <c r="E13455">
        <v>1</v>
      </c>
    </row>
    <row r="13456" spans="1:5" x14ac:dyDescent="0.25">
      <c r="A13456">
        <v>13455</v>
      </c>
      <c r="B13456">
        <v>4714881</v>
      </c>
      <c r="C13456" s="1" t="str">
        <f>HYPERLINK("http://stackoverflow.com/users/4714881", "Xinjie Chen")</f>
        <v>Xinjie Chen</v>
      </c>
      <c r="D13456" t="s">
        <v>745</v>
      </c>
      <c r="E13456">
        <v>1</v>
      </c>
    </row>
    <row r="13457" spans="1:5" x14ac:dyDescent="0.25">
      <c r="A13457">
        <v>13456</v>
      </c>
      <c r="B13457">
        <v>4715069</v>
      </c>
      <c r="C13457" s="1" t="str">
        <f>HYPERLINK("http://stackoverflow.com/users/4715069", "Fish")</f>
        <v>Fish</v>
      </c>
      <c r="D13457" t="s">
        <v>4</v>
      </c>
      <c r="E13457">
        <v>1</v>
      </c>
    </row>
    <row r="13458" spans="1:5" x14ac:dyDescent="0.25">
      <c r="A13458">
        <v>13457</v>
      </c>
      <c r="B13458">
        <v>723922</v>
      </c>
      <c r="C13458" s="1" t="str">
        <f>HYPERLINK("http://stackoverflow.com/users/723922", "xiangwan")</f>
        <v>xiangwan</v>
      </c>
      <c r="D13458" t="s">
        <v>5</v>
      </c>
      <c r="E13458">
        <v>1</v>
      </c>
    </row>
    <row r="13459" spans="1:5" x14ac:dyDescent="0.25">
      <c r="A13459">
        <v>13458</v>
      </c>
      <c r="B13459">
        <v>723970</v>
      </c>
      <c r="C13459" s="1" t="str">
        <f>HYPERLINK("http://stackoverflow.com/users/723970", "Terry Sun")</f>
        <v>Terry Sun</v>
      </c>
      <c r="D13459" t="s">
        <v>746</v>
      </c>
      <c r="E13459">
        <v>1</v>
      </c>
    </row>
    <row r="13460" spans="1:5" x14ac:dyDescent="0.25">
      <c r="A13460">
        <v>13459</v>
      </c>
      <c r="B13460">
        <v>6403166</v>
      </c>
      <c r="C13460" s="1" t="str">
        <f>HYPERLINK("http://stackoverflow.com/users/6403166", "Choi Debug")</f>
        <v>Choi Debug</v>
      </c>
      <c r="D13460" t="s">
        <v>25</v>
      </c>
      <c r="E13460">
        <v>1</v>
      </c>
    </row>
    <row r="13461" spans="1:5" x14ac:dyDescent="0.25">
      <c r="A13461">
        <v>13460</v>
      </c>
      <c r="B13461">
        <v>4683760</v>
      </c>
      <c r="C13461" s="1" t="str">
        <f>HYPERLINK("http://stackoverflow.com/users/4683760", "Jack Liu")</f>
        <v>Jack Liu</v>
      </c>
      <c r="D13461" t="s">
        <v>15</v>
      </c>
      <c r="E13461">
        <v>1</v>
      </c>
    </row>
    <row r="13462" spans="1:5" x14ac:dyDescent="0.25">
      <c r="A13462">
        <v>13461</v>
      </c>
      <c r="B13462">
        <v>725374</v>
      </c>
      <c r="C13462" s="1" t="str">
        <f>HYPERLINK("http://stackoverflow.com/users/725374", "Loveyuki")</f>
        <v>Loveyuki</v>
      </c>
      <c r="D13462" t="s">
        <v>4</v>
      </c>
      <c r="E13462">
        <v>1</v>
      </c>
    </row>
    <row r="13463" spans="1:5" x14ac:dyDescent="0.25">
      <c r="A13463">
        <v>13462</v>
      </c>
      <c r="B13463">
        <v>2851757</v>
      </c>
      <c r="C13463" s="1" t="str">
        <f>HYPERLINK("http://stackoverflow.com/users/2851757", "China Phoenix")</f>
        <v>China Phoenix</v>
      </c>
      <c r="D13463" t="s">
        <v>5</v>
      </c>
      <c r="E13463">
        <v>1</v>
      </c>
    </row>
    <row r="13464" spans="1:5" x14ac:dyDescent="0.25">
      <c r="A13464">
        <v>13463</v>
      </c>
      <c r="B13464">
        <v>2851915</v>
      </c>
      <c r="C13464" s="1" t="str">
        <f>HYPERLINK("http://stackoverflow.com/users/2851915", "insightution")</f>
        <v>insightution</v>
      </c>
      <c r="D13464" t="s">
        <v>5</v>
      </c>
      <c r="E13464">
        <v>1</v>
      </c>
    </row>
    <row r="13465" spans="1:5" x14ac:dyDescent="0.25">
      <c r="A13465">
        <v>13464</v>
      </c>
      <c r="B13465">
        <v>2852053</v>
      </c>
      <c r="C13465" s="1" t="str">
        <f>HYPERLINK("http://stackoverflow.com/users/2852053", "Moon")</f>
        <v>Moon</v>
      </c>
      <c r="D13465" t="s">
        <v>5</v>
      </c>
      <c r="E13465">
        <v>1</v>
      </c>
    </row>
    <row r="13466" spans="1:5" x14ac:dyDescent="0.25">
      <c r="A13466">
        <v>13465</v>
      </c>
      <c r="B13466">
        <v>2852198</v>
      </c>
      <c r="C13466" s="1" t="str">
        <f>HYPERLINK("http://stackoverflow.com/users/2852198", "daanvdberg")</f>
        <v>daanvdberg</v>
      </c>
      <c r="D13466" t="s">
        <v>4</v>
      </c>
      <c r="E13466">
        <v>1</v>
      </c>
    </row>
    <row r="13467" spans="1:5" x14ac:dyDescent="0.25">
      <c r="A13467">
        <v>13466</v>
      </c>
      <c r="B13467">
        <v>8205739</v>
      </c>
      <c r="C13467" s="1" t="str">
        <f>HYPERLINK("http://stackoverflow.com/users/8205739", "L.Robby")</f>
        <v>L.Robby</v>
      </c>
      <c r="D13467" t="s">
        <v>5</v>
      </c>
      <c r="E13467">
        <v>1</v>
      </c>
    </row>
    <row r="13468" spans="1:5" x14ac:dyDescent="0.25">
      <c r="A13468">
        <v>13467</v>
      </c>
      <c r="B13468">
        <v>8206145</v>
      </c>
      <c r="C13468" s="1" t="str">
        <f>HYPERLINK("http://stackoverflow.com/users/8206145", "Dakai Ou")</f>
        <v>Dakai Ou</v>
      </c>
      <c r="D13468" t="s">
        <v>25</v>
      </c>
      <c r="E13468">
        <v>1</v>
      </c>
    </row>
    <row r="13469" spans="1:5" x14ac:dyDescent="0.25">
      <c r="A13469">
        <v>13468</v>
      </c>
      <c r="B13469">
        <v>732295</v>
      </c>
      <c r="C13469" s="1" t="str">
        <f>HYPERLINK("http://stackoverflow.com/users/732295", "Kitt")</f>
        <v>Kitt</v>
      </c>
      <c r="D13469" t="s">
        <v>17</v>
      </c>
      <c r="E13469">
        <v>1</v>
      </c>
    </row>
    <row r="13470" spans="1:5" x14ac:dyDescent="0.25">
      <c r="A13470">
        <v>13469</v>
      </c>
      <c r="B13470">
        <v>10020268</v>
      </c>
      <c r="C13470" s="1" t="str">
        <f>HYPERLINK("http://stackoverflow.com/users/10020268", "Chengri Cui")</f>
        <v>Chengri Cui</v>
      </c>
      <c r="D13470" t="s">
        <v>33</v>
      </c>
      <c r="E13470">
        <v>1</v>
      </c>
    </row>
    <row r="13471" spans="1:5" x14ac:dyDescent="0.25">
      <c r="A13471">
        <v>13470</v>
      </c>
      <c r="B13471">
        <v>10020596</v>
      </c>
      <c r="C13471" s="1" t="str">
        <f>HYPERLINK("http://stackoverflow.com/users/10020596", "zhangtao")</f>
        <v>zhangtao</v>
      </c>
      <c r="D13471" t="s">
        <v>7</v>
      </c>
      <c r="E13471">
        <v>1</v>
      </c>
    </row>
    <row r="13472" spans="1:5" x14ac:dyDescent="0.25">
      <c r="A13472">
        <v>13471</v>
      </c>
      <c r="B13472">
        <v>2859990</v>
      </c>
      <c r="C13472" s="1" t="str">
        <f>HYPERLINK("http://stackoverflow.com/users/2859990", "user2859990")</f>
        <v>user2859990</v>
      </c>
      <c r="D13472" t="s">
        <v>5</v>
      </c>
      <c r="E13472">
        <v>1</v>
      </c>
    </row>
    <row r="13473" spans="1:5" x14ac:dyDescent="0.25">
      <c r="A13473">
        <v>13472</v>
      </c>
      <c r="B13473">
        <v>8214779</v>
      </c>
      <c r="C13473" s="1" t="str">
        <f>HYPERLINK("http://stackoverflow.com/users/8214779", "sfireworks")</f>
        <v>sfireworks</v>
      </c>
      <c r="D13473" t="s">
        <v>52</v>
      </c>
      <c r="E13473">
        <v>1</v>
      </c>
    </row>
    <row r="13474" spans="1:5" x14ac:dyDescent="0.25">
      <c r="A13474">
        <v>13473</v>
      </c>
      <c r="B13474">
        <v>8215394</v>
      </c>
      <c r="C13474" s="1" t="str">
        <f>HYPERLINK("http://stackoverflow.com/users/8215394", "Aaron Huang")</f>
        <v>Aaron Huang</v>
      </c>
      <c r="D13474" t="s">
        <v>4</v>
      </c>
      <c r="E13474">
        <v>1</v>
      </c>
    </row>
    <row r="13475" spans="1:5" x14ac:dyDescent="0.25">
      <c r="A13475">
        <v>13474</v>
      </c>
      <c r="B13475">
        <v>8219109</v>
      </c>
      <c r="C13475" s="1" t="str">
        <f>HYPERLINK("http://stackoverflow.com/users/8219109", "Emsigant")</f>
        <v>Emsigant</v>
      </c>
      <c r="D13475" t="s">
        <v>389</v>
      </c>
      <c r="E13475">
        <v>1</v>
      </c>
    </row>
    <row r="13476" spans="1:5" x14ac:dyDescent="0.25">
      <c r="A13476">
        <v>13475</v>
      </c>
      <c r="B13476">
        <v>8219181</v>
      </c>
      <c r="C13476" s="1" t="str">
        <f>HYPERLINK("http://stackoverflow.com/users/8219181", "Felix")</f>
        <v>Felix</v>
      </c>
      <c r="D13476" t="s">
        <v>74</v>
      </c>
      <c r="E13476">
        <v>1</v>
      </c>
    </row>
    <row r="13477" spans="1:5" x14ac:dyDescent="0.25">
      <c r="A13477">
        <v>13476</v>
      </c>
      <c r="B13477">
        <v>8219367</v>
      </c>
      <c r="C13477" s="1" t="str">
        <f>HYPERLINK("http://stackoverflow.com/users/8219367", "Omar Huan")</f>
        <v>Omar Huan</v>
      </c>
      <c r="D13477" t="s">
        <v>25</v>
      </c>
      <c r="E13477">
        <v>1</v>
      </c>
    </row>
    <row r="13478" spans="1:5" x14ac:dyDescent="0.25">
      <c r="A13478">
        <v>13477</v>
      </c>
      <c r="B13478">
        <v>8219420</v>
      </c>
      <c r="C13478" s="1" t="str">
        <f>HYPERLINK("http://stackoverflow.com/users/8219420", "Jack Zhou")</f>
        <v>Jack Zhou</v>
      </c>
      <c r="D13478" t="s">
        <v>43</v>
      </c>
      <c r="E13478">
        <v>1</v>
      </c>
    </row>
    <row r="13479" spans="1:5" x14ac:dyDescent="0.25">
      <c r="A13479">
        <v>13478</v>
      </c>
      <c r="B13479">
        <v>8219435</v>
      </c>
      <c r="C13479" s="1" t="str">
        <f>HYPERLINK("http://stackoverflow.com/users/8219435", "Danni")</f>
        <v>Danni</v>
      </c>
      <c r="D13479" t="s">
        <v>5</v>
      </c>
      <c r="E13479">
        <v>1</v>
      </c>
    </row>
    <row r="13480" spans="1:5" x14ac:dyDescent="0.25">
      <c r="A13480">
        <v>13479</v>
      </c>
      <c r="B13480">
        <v>6425674</v>
      </c>
      <c r="C13480" s="1" t="str">
        <f>HYPERLINK("http://stackoverflow.com/users/6425674", "Fenr An")</f>
        <v>Fenr An</v>
      </c>
      <c r="D13480" t="s">
        <v>16</v>
      </c>
      <c r="E13480">
        <v>1</v>
      </c>
    </row>
    <row r="13481" spans="1:5" x14ac:dyDescent="0.25">
      <c r="A13481">
        <v>13480</v>
      </c>
      <c r="B13481">
        <v>4692106</v>
      </c>
      <c r="C13481" s="1" t="str">
        <f>HYPERLINK("http://stackoverflow.com/users/4692106", "Tommy He")</f>
        <v>Tommy He</v>
      </c>
      <c r="D13481" t="s">
        <v>54</v>
      </c>
      <c r="E13481">
        <v>1</v>
      </c>
    </row>
    <row r="13482" spans="1:5" x14ac:dyDescent="0.25">
      <c r="A13482">
        <v>13481</v>
      </c>
      <c r="B13482">
        <v>4696747</v>
      </c>
      <c r="C13482" s="1" t="str">
        <f>HYPERLINK("http://stackoverflow.com/users/4696747", "SONG Huainan")</f>
        <v>SONG Huainan</v>
      </c>
      <c r="D13482" t="s">
        <v>5</v>
      </c>
      <c r="E13482">
        <v>1</v>
      </c>
    </row>
    <row r="13483" spans="1:5" x14ac:dyDescent="0.25">
      <c r="A13483">
        <v>13482</v>
      </c>
      <c r="B13483">
        <v>2859352</v>
      </c>
      <c r="C13483" s="1" t="str">
        <f>HYPERLINK("http://stackoverflow.com/users/2859352", "Daniel Tu")</f>
        <v>Daniel Tu</v>
      </c>
      <c r="D13483" t="s">
        <v>17</v>
      </c>
      <c r="E13483">
        <v>1</v>
      </c>
    </row>
    <row r="13484" spans="1:5" x14ac:dyDescent="0.25">
      <c r="A13484">
        <v>13483</v>
      </c>
      <c r="B13484">
        <v>8243141</v>
      </c>
      <c r="C13484" s="1" t="str">
        <f>HYPERLINK("http://stackoverflow.com/users/8243141", "young L")</f>
        <v>young L</v>
      </c>
      <c r="D13484" t="s">
        <v>17</v>
      </c>
      <c r="E13484">
        <v>1</v>
      </c>
    </row>
    <row r="13485" spans="1:5" x14ac:dyDescent="0.25">
      <c r="A13485">
        <v>13484</v>
      </c>
      <c r="B13485">
        <v>793507</v>
      </c>
      <c r="C13485" s="1" t="str">
        <f>HYPERLINK("http://stackoverflow.com/users/793507", "Jet Wang")</f>
        <v>Jet Wang</v>
      </c>
      <c r="D13485" t="s">
        <v>17</v>
      </c>
      <c r="E13485">
        <v>1</v>
      </c>
    </row>
    <row r="13486" spans="1:5" x14ac:dyDescent="0.25">
      <c r="A13486">
        <v>13485</v>
      </c>
      <c r="B13486">
        <v>2883550</v>
      </c>
      <c r="C13486" s="1" t="str">
        <f>HYPERLINK("http://stackoverflow.com/users/2883550", "Hua")</f>
        <v>Hua</v>
      </c>
      <c r="D13486" t="s">
        <v>4</v>
      </c>
      <c r="E13486">
        <v>1</v>
      </c>
    </row>
    <row r="13487" spans="1:5" x14ac:dyDescent="0.25">
      <c r="A13487">
        <v>13486</v>
      </c>
      <c r="B13487">
        <v>8242905</v>
      </c>
      <c r="C13487" s="1" t="str">
        <f>HYPERLINK("http://stackoverflow.com/users/8242905", "Alex Wang")</f>
        <v>Alex Wang</v>
      </c>
      <c r="D13487" t="s">
        <v>5</v>
      </c>
      <c r="E13487">
        <v>1</v>
      </c>
    </row>
    <row r="13488" spans="1:5" x14ac:dyDescent="0.25">
      <c r="A13488">
        <v>13487</v>
      </c>
      <c r="B13488">
        <v>8235408</v>
      </c>
      <c r="C13488" s="1" t="str">
        <f>HYPERLINK("http://stackoverflow.com/users/8235408", "Vishal Annadate")</f>
        <v>Vishal Annadate</v>
      </c>
      <c r="D13488" t="s">
        <v>374</v>
      </c>
      <c r="E13488">
        <v>1</v>
      </c>
    </row>
    <row r="13489" spans="1:5" x14ac:dyDescent="0.25">
      <c r="A13489">
        <v>13488</v>
      </c>
      <c r="B13489">
        <v>6440364</v>
      </c>
      <c r="C13489" s="1" t="str">
        <f>HYPERLINK("http://stackoverflow.com/users/6440364", "Daniel Cai")</f>
        <v>Daniel Cai</v>
      </c>
      <c r="D13489" t="s">
        <v>5</v>
      </c>
      <c r="E13489">
        <v>1</v>
      </c>
    </row>
    <row r="13490" spans="1:5" x14ac:dyDescent="0.25">
      <c r="A13490">
        <v>13489</v>
      </c>
      <c r="B13490">
        <v>6440534</v>
      </c>
      <c r="C13490" s="1" t="str">
        <f>HYPERLINK("http://stackoverflow.com/users/6440534", "Bingo Du")</f>
        <v>Bingo Du</v>
      </c>
      <c r="D13490" t="s">
        <v>52</v>
      </c>
      <c r="E13490">
        <v>1</v>
      </c>
    </row>
    <row r="13491" spans="1:5" x14ac:dyDescent="0.25">
      <c r="A13491">
        <v>13490</v>
      </c>
      <c r="B13491">
        <v>4718916</v>
      </c>
      <c r="C13491" s="1" t="str">
        <f>HYPERLINK("http://stackoverflow.com/users/4718916", "刘慧斌")</f>
        <v>刘慧斌</v>
      </c>
      <c r="D13491" t="s">
        <v>3</v>
      </c>
      <c r="E13491">
        <v>1</v>
      </c>
    </row>
    <row r="13492" spans="1:5" x14ac:dyDescent="0.25">
      <c r="A13492">
        <v>13491</v>
      </c>
      <c r="B13492">
        <v>4718933</v>
      </c>
      <c r="C13492" s="1" t="str">
        <f>HYPERLINK("http://stackoverflow.com/users/4718933", "Simeone Deweixu")</f>
        <v>Simeone Deweixu</v>
      </c>
      <c r="D13492" t="s">
        <v>5</v>
      </c>
      <c r="E13492">
        <v>1</v>
      </c>
    </row>
    <row r="13493" spans="1:5" x14ac:dyDescent="0.25">
      <c r="A13493">
        <v>13492</v>
      </c>
      <c r="B13493">
        <v>4719107</v>
      </c>
      <c r="C13493" s="1" t="str">
        <f>HYPERLINK("http://stackoverflow.com/users/4719107", "殷凱華")</f>
        <v>殷凱華</v>
      </c>
      <c r="D13493" t="s">
        <v>747</v>
      </c>
      <c r="E13493">
        <v>1</v>
      </c>
    </row>
    <row r="13494" spans="1:5" x14ac:dyDescent="0.25">
      <c r="A13494">
        <v>13493</v>
      </c>
      <c r="B13494">
        <v>4723034</v>
      </c>
      <c r="C13494" s="1" t="str">
        <f>HYPERLINK("http://stackoverflow.com/users/4723034", "MarquisF")</f>
        <v>MarquisF</v>
      </c>
      <c r="D13494" t="s">
        <v>16</v>
      </c>
      <c r="E13494">
        <v>1</v>
      </c>
    </row>
    <row r="13495" spans="1:5" x14ac:dyDescent="0.25">
      <c r="A13495">
        <v>13494</v>
      </c>
      <c r="B13495">
        <v>10063029</v>
      </c>
      <c r="C13495" s="1" t="str">
        <f>HYPERLINK("http://stackoverflow.com/users/10063029", "jizai")</f>
        <v>jizai</v>
      </c>
      <c r="D13495" t="s">
        <v>434</v>
      </c>
      <c r="E13495">
        <v>1</v>
      </c>
    </row>
    <row r="13496" spans="1:5" x14ac:dyDescent="0.25">
      <c r="A13496">
        <v>13495</v>
      </c>
      <c r="B13496">
        <v>10063046</v>
      </c>
      <c r="C13496" s="1" t="str">
        <f>HYPERLINK("http://stackoverflow.com/users/10063046", "Chengyang Liu")</f>
        <v>Chengyang Liu</v>
      </c>
      <c r="D13496" t="s">
        <v>52</v>
      </c>
      <c r="E13496">
        <v>1</v>
      </c>
    </row>
    <row r="13497" spans="1:5" x14ac:dyDescent="0.25">
      <c r="A13497">
        <v>13496</v>
      </c>
      <c r="B13497">
        <v>10063331</v>
      </c>
      <c r="C13497" s="1" t="str">
        <f>HYPERLINK("http://stackoverflow.com/users/10063331", "user10063331")</f>
        <v>user10063331</v>
      </c>
      <c r="D13497" t="s">
        <v>55</v>
      </c>
      <c r="E13497">
        <v>1</v>
      </c>
    </row>
    <row r="13498" spans="1:5" x14ac:dyDescent="0.25">
      <c r="A13498">
        <v>13497</v>
      </c>
      <c r="B13498">
        <v>8247613</v>
      </c>
      <c r="C13498" s="1" t="str">
        <f>HYPERLINK("http://stackoverflow.com/users/8247613", "dorset")</f>
        <v>dorset</v>
      </c>
      <c r="D13498" t="s">
        <v>28</v>
      </c>
      <c r="E13498">
        <v>1</v>
      </c>
    </row>
    <row r="13499" spans="1:5" x14ac:dyDescent="0.25">
      <c r="A13499">
        <v>13498</v>
      </c>
      <c r="B13499">
        <v>8248244</v>
      </c>
      <c r="C13499" s="1" t="str">
        <f>HYPERLINK("http://stackoverflow.com/users/8248244", "Kai Fu")</f>
        <v>Kai Fu</v>
      </c>
      <c r="D13499" t="s">
        <v>5</v>
      </c>
      <c r="E13499">
        <v>1</v>
      </c>
    </row>
    <row r="13500" spans="1:5" x14ac:dyDescent="0.25">
      <c r="A13500">
        <v>13499</v>
      </c>
      <c r="B13500">
        <v>8248275</v>
      </c>
      <c r="C13500" s="1" t="str">
        <f>HYPERLINK("http://stackoverflow.com/users/8248275", "MattCoder")</f>
        <v>MattCoder</v>
      </c>
      <c r="D13500" t="s">
        <v>7</v>
      </c>
      <c r="E13500">
        <v>1</v>
      </c>
    </row>
    <row r="13501" spans="1:5" x14ac:dyDescent="0.25">
      <c r="A13501">
        <v>13500</v>
      </c>
      <c r="B13501">
        <v>4726494</v>
      </c>
      <c r="C13501" s="1" t="str">
        <f>HYPERLINK("http://stackoverflow.com/users/4726494", "Batmand")</f>
        <v>Batmand</v>
      </c>
      <c r="D13501" t="s">
        <v>37</v>
      </c>
      <c r="E13501">
        <v>1</v>
      </c>
    </row>
    <row r="13502" spans="1:5" x14ac:dyDescent="0.25">
      <c r="A13502">
        <v>13501</v>
      </c>
      <c r="B13502">
        <v>2888755</v>
      </c>
      <c r="C13502" s="1" t="str">
        <f>HYPERLINK("http://stackoverflow.com/users/2888755", "SteveHJ")</f>
        <v>SteveHJ</v>
      </c>
      <c r="D13502" t="s">
        <v>4</v>
      </c>
      <c r="E13502">
        <v>1</v>
      </c>
    </row>
    <row r="13503" spans="1:5" x14ac:dyDescent="0.25">
      <c r="A13503">
        <v>13502</v>
      </c>
      <c r="B13503">
        <v>2888920</v>
      </c>
      <c r="C13503" s="1" t="str">
        <f>HYPERLINK("http://stackoverflow.com/users/2888920", "Zane Yao")</f>
        <v>Zane Yao</v>
      </c>
      <c r="D13503" t="s">
        <v>4</v>
      </c>
      <c r="E13503">
        <v>1</v>
      </c>
    </row>
    <row r="13504" spans="1:5" x14ac:dyDescent="0.25">
      <c r="A13504">
        <v>13503</v>
      </c>
      <c r="B13504">
        <v>2888934</v>
      </c>
      <c r="C13504" s="1" t="str">
        <f>HYPERLINK("http://stackoverflow.com/users/2888934", "Jiaming Sun")</f>
        <v>Jiaming Sun</v>
      </c>
      <c r="D13504" t="s">
        <v>17</v>
      </c>
      <c r="E13504">
        <v>1</v>
      </c>
    </row>
    <row r="13505" spans="1:5" x14ac:dyDescent="0.25">
      <c r="A13505">
        <v>13504</v>
      </c>
      <c r="B13505">
        <v>2889255</v>
      </c>
      <c r="C13505" s="1" t="str">
        <f>HYPERLINK("http://stackoverflow.com/users/2889255", "lym406365619")</f>
        <v>lym406365619</v>
      </c>
      <c r="D13505" t="s">
        <v>12</v>
      </c>
      <c r="E13505">
        <v>1</v>
      </c>
    </row>
    <row r="13506" spans="1:5" x14ac:dyDescent="0.25">
      <c r="A13506">
        <v>13505</v>
      </c>
      <c r="B13506">
        <v>6455355</v>
      </c>
      <c r="C13506" s="1" t="str">
        <f>HYPERLINK("http://stackoverflow.com/users/6455355", "goodyboy6")</f>
        <v>goodyboy6</v>
      </c>
      <c r="D13506" t="s">
        <v>684</v>
      </c>
      <c r="E13506">
        <v>1</v>
      </c>
    </row>
    <row r="13507" spans="1:5" x14ac:dyDescent="0.25">
      <c r="A13507">
        <v>13506</v>
      </c>
      <c r="B13507">
        <v>8252018</v>
      </c>
      <c r="C13507" s="1" t="str">
        <f>HYPERLINK("http://stackoverflow.com/users/8252018", "x12jiang")</f>
        <v>x12jiang</v>
      </c>
      <c r="D13507" t="s">
        <v>5</v>
      </c>
      <c r="E13507">
        <v>1</v>
      </c>
    </row>
    <row r="13508" spans="1:5" x14ac:dyDescent="0.25">
      <c r="A13508">
        <v>13507</v>
      </c>
      <c r="B13508">
        <v>10067880</v>
      </c>
      <c r="C13508" s="1" t="str">
        <f>HYPERLINK("http://stackoverflow.com/users/10067880", "hlc metal parts ltd")</f>
        <v>hlc metal parts ltd</v>
      </c>
      <c r="D13508" t="s">
        <v>748</v>
      </c>
      <c r="E13508">
        <v>1</v>
      </c>
    </row>
    <row r="13509" spans="1:5" x14ac:dyDescent="0.25">
      <c r="A13509">
        <v>13508</v>
      </c>
      <c r="B13509">
        <v>815134</v>
      </c>
      <c r="C13509" s="1" t="str">
        <f>HYPERLINK("http://stackoverflow.com/users/815134", "sp42")</f>
        <v>sp42</v>
      </c>
      <c r="D13509" t="s">
        <v>41</v>
      </c>
      <c r="E13509">
        <v>1</v>
      </c>
    </row>
    <row r="13510" spans="1:5" x14ac:dyDescent="0.25">
      <c r="A13510">
        <v>13509</v>
      </c>
      <c r="B13510">
        <v>815284</v>
      </c>
      <c r="C13510" s="1" t="str">
        <f>HYPERLINK("http://stackoverflow.com/users/815284", "ranxiang")</f>
        <v>ranxiang</v>
      </c>
      <c r="D13510" t="s">
        <v>5</v>
      </c>
      <c r="E13510">
        <v>1</v>
      </c>
    </row>
    <row r="13511" spans="1:5" x14ac:dyDescent="0.25">
      <c r="A13511">
        <v>13510</v>
      </c>
      <c r="B13511">
        <v>822285</v>
      </c>
      <c r="C13511" s="1" t="str">
        <f>HYPERLINK("http://stackoverflow.com/users/822285", "Johnson")</f>
        <v>Johnson</v>
      </c>
      <c r="D13511" t="s">
        <v>4</v>
      </c>
      <c r="E13511">
        <v>1</v>
      </c>
    </row>
    <row r="13512" spans="1:5" x14ac:dyDescent="0.25">
      <c r="A13512">
        <v>13511</v>
      </c>
      <c r="B13512">
        <v>822517</v>
      </c>
      <c r="C13512" s="1" t="str">
        <f>HYPERLINK("http://stackoverflow.com/users/822517", "cxbig")</f>
        <v>cxbig</v>
      </c>
      <c r="D13512" t="s">
        <v>21</v>
      </c>
      <c r="E13512">
        <v>1</v>
      </c>
    </row>
    <row r="13513" spans="1:5" x14ac:dyDescent="0.25">
      <c r="A13513">
        <v>13512</v>
      </c>
      <c r="B13513">
        <v>6462834</v>
      </c>
      <c r="C13513" s="1" t="str">
        <f>HYPERLINK("http://stackoverflow.com/users/6462834", "rains")</f>
        <v>rains</v>
      </c>
      <c r="D13513" t="s">
        <v>5</v>
      </c>
      <c r="E13513">
        <v>1</v>
      </c>
    </row>
    <row r="13514" spans="1:5" x14ac:dyDescent="0.25">
      <c r="A13514">
        <v>13513</v>
      </c>
      <c r="B13514">
        <v>814995</v>
      </c>
      <c r="C13514" s="1" t="str">
        <f>HYPERLINK("http://stackoverflow.com/users/814995", "Jason Yu")</f>
        <v>Jason Yu</v>
      </c>
      <c r="D13514" t="s">
        <v>12</v>
      </c>
      <c r="E13514">
        <v>1</v>
      </c>
    </row>
    <row r="13515" spans="1:5" x14ac:dyDescent="0.25">
      <c r="A13515">
        <v>13514</v>
      </c>
      <c r="B13515">
        <v>807717</v>
      </c>
      <c r="C13515" s="1" t="str">
        <f>HYPERLINK("http://stackoverflow.com/users/807717", "Leon007")</f>
        <v>Leon007</v>
      </c>
      <c r="D13515" t="s">
        <v>5</v>
      </c>
      <c r="E13515">
        <v>1</v>
      </c>
    </row>
    <row r="13516" spans="1:5" x14ac:dyDescent="0.25">
      <c r="A13516">
        <v>13515</v>
      </c>
      <c r="B13516">
        <v>2897050</v>
      </c>
      <c r="C13516" s="1" t="str">
        <f>HYPERLINK("http://stackoverflow.com/users/2897050", "zed wilson")</f>
        <v>zed wilson</v>
      </c>
      <c r="D13516" t="s">
        <v>12</v>
      </c>
      <c r="E13516">
        <v>1</v>
      </c>
    </row>
    <row r="13517" spans="1:5" x14ac:dyDescent="0.25">
      <c r="A13517">
        <v>13516</v>
      </c>
      <c r="B13517">
        <v>2897638</v>
      </c>
      <c r="C13517" s="1" t="str">
        <f>HYPERLINK("http://stackoverflow.com/users/2897638", "Zuwei Zhao")</f>
        <v>Zuwei Zhao</v>
      </c>
      <c r="D13517" t="s">
        <v>43</v>
      </c>
      <c r="E13517">
        <v>1</v>
      </c>
    </row>
    <row r="13518" spans="1:5" x14ac:dyDescent="0.25">
      <c r="A13518">
        <v>13517</v>
      </c>
      <c r="B13518">
        <v>4741862</v>
      </c>
      <c r="C13518" s="1" t="str">
        <f>HYPERLINK("http://stackoverflow.com/users/4741862", "hao")</f>
        <v>hao</v>
      </c>
      <c r="D13518" t="s">
        <v>4</v>
      </c>
      <c r="E13518">
        <v>1</v>
      </c>
    </row>
    <row r="13519" spans="1:5" x14ac:dyDescent="0.25">
      <c r="A13519">
        <v>13518</v>
      </c>
      <c r="B13519">
        <v>6467301</v>
      </c>
      <c r="C13519" s="1" t="str">
        <f>HYPERLINK("http://stackoverflow.com/users/6467301", "Tajoy")</f>
        <v>Tajoy</v>
      </c>
      <c r="D13519" t="s">
        <v>270</v>
      </c>
      <c r="E13519">
        <v>1</v>
      </c>
    </row>
    <row r="13520" spans="1:5" x14ac:dyDescent="0.25">
      <c r="A13520">
        <v>13519</v>
      </c>
      <c r="B13520">
        <v>827855</v>
      </c>
      <c r="C13520" s="1" t="str">
        <f>HYPERLINK("http://stackoverflow.com/users/827855", "henry zhang")</f>
        <v>henry zhang</v>
      </c>
      <c r="D13520" t="s">
        <v>5</v>
      </c>
      <c r="E13520">
        <v>1</v>
      </c>
    </row>
    <row r="13521" spans="1:5" x14ac:dyDescent="0.25">
      <c r="A13521">
        <v>13520</v>
      </c>
      <c r="B13521">
        <v>10085717</v>
      </c>
      <c r="C13521" s="1" t="str">
        <f>HYPERLINK("http://stackoverflow.com/users/10085717", "Bella.Lee")</f>
        <v>Bella.Lee</v>
      </c>
      <c r="D13521" t="s">
        <v>4</v>
      </c>
      <c r="E13521">
        <v>1</v>
      </c>
    </row>
    <row r="13522" spans="1:5" x14ac:dyDescent="0.25">
      <c r="A13522">
        <v>13521</v>
      </c>
      <c r="B13522">
        <v>6463285</v>
      </c>
      <c r="C13522" s="1" t="str">
        <f>HYPERLINK("http://stackoverflow.com/users/6463285", "贺星伟")</f>
        <v>贺星伟</v>
      </c>
      <c r="D13522" t="s">
        <v>5</v>
      </c>
      <c r="E13522">
        <v>1</v>
      </c>
    </row>
    <row r="13523" spans="1:5" x14ac:dyDescent="0.25">
      <c r="A13523">
        <v>13522</v>
      </c>
      <c r="B13523">
        <v>2901685</v>
      </c>
      <c r="C13523" s="1" t="str">
        <f>HYPERLINK("http://stackoverflow.com/users/2901685", "YYY")</f>
        <v>YYY</v>
      </c>
      <c r="D13523" t="s">
        <v>4</v>
      </c>
      <c r="E13523">
        <v>1</v>
      </c>
    </row>
    <row r="13524" spans="1:5" x14ac:dyDescent="0.25">
      <c r="A13524">
        <v>13523</v>
      </c>
      <c r="B13524">
        <v>4737966</v>
      </c>
      <c r="C13524" s="1" t="str">
        <f>HYPERLINK("http://stackoverflow.com/users/4737966", "fantastycrane")</f>
        <v>fantastycrane</v>
      </c>
      <c r="D13524" t="s">
        <v>5</v>
      </c>
      <c r="E13524">
        <v>1</v>
      </c>
    </row>
    <row r="13525" spans="1:5" x14ac:dyDescent="0.25">
      <c r="A13525">
        <v>13524</v>
      </c>
      <c r="B13525">
        <v>2909313</v>
      </c>
      <c r="C13525" s="1" t="str">
        <f>HYPERLINK("http://stackoverflow.com/users/2909313", "pangee")</f>
        <v>pangee</v>
      </c>
      <c r="D13525" t="s">
        <v>5</v>
      </c>
      <c r="E13525">
        <v>1</v>
      </c>
    </row>
    <row r="13526" spans="1:5" x14ac:dyDescent="0.25">
      <c r="A13526">
        <v>13525</v>
      </c>
      <c r="B13526">
        <v>2909566</v>
      </c>
      <c r="C13526" s="1" t="str">
        <f>HYPERLINK("http://stackoverflow.com/users/2909566", "Rex")</f>
        <v>Rex</v>
      </c>
      <c r="D13526" t="s">
        <v>4</v>
      </c>
      <c r="E13526">
        <v>1</v>
      </c>
    </row>
    <row r="13527" spans="1:5" x14ac:dyDescent="0.25">
      <c r="A13527">
        <v>13526</v>
      </c>
      <c r="B13527">
        <v>8264301</v>
      </c>
      <c r="C13527" s="1" t="str">
        <f>HYPERLINK("http://stackoverflow.com/users/8264301", "freexiaohong Z")</f>
        <v>freexiaohong Z</v>
      </c>
      <c r="D13527" t="s">
        <v>5</v>
      </c>
      <c r="E13527">
        <v>1</v>
      </c>
    </row>
    <row r="13528" spans="1:5" x14ac:dyDescent="0.25">
      <c r="A13528">
        <v>13527</v>
      </c>
      <c r="B13528">
        <v>8264315</v>
      </c>
      <c r="C13528" s="1" t="str">
        <f>HYPERLINK("http://stackoverflow.com/users/8264315", "Alex Zhou")</f>
        <v>Alex Zhou</v>
      </c>
      <c r="D13528" t="s">
        <v>5</v>
      </c>
      <c r="E13528">
        <v>1</v>
      </c>
    </row>
    <row r="13529" spans="1:5" x14ac:dyDescent="0.25">
      <c r="A13529">
        <v>13528</v>
      </c>
      <c r="B13529">
        <v>8264333</v>
      </c>
      <c r="C13529" s="1" t="str">
        <f>HYPERLINK("http://stackoverflow.com/users/8264333", "Dailin")</f>
        <v>Dailin</v>
      </c>
      <c r="D13529" t="s">
        <v>357</v>
      </c>
      <c r="E13529">
        <v>1</v>
      </c>
    </row>
    <row r="13530" spans="1:5" x14ac:dyDescent="0.25">
      <c r="A13530">
        <v>13529</v>
      </c>
      <c r="B13530">
        <v>8264356</v>
      </c>
      <c r="C13530" s="1" t="str">
        <f>HYPERLINK("http://stackoverflow.com/users/8264356", "Kewings")</f>
        <v>Kewings</v>
      </c>
      <c r="D13530" t="s">
        <v>4</v>
      </c>
      <c r="E13530">
        <v>1</v>
      </c>
    </row>
    <row r="13531" spans="1:5" x14ac:dyDescent="0.25">
      <c r="A13531">
        <v>13530</v>
      </c>
      <c r="B13531">
        <v>8264678</v>
      </c>
      <c r="C13531" s="1" t="str">
        <f>HYPERLINK("http://stackoverflow.com/users/8264678", "Chen Hao")</f>
        <v>Chen Hao</v>
      </c>
      <c r="D13531" t="s">
        <v>108</v>
      </c>
      <c r="E13531">
        <v>1</v>
      </c>
    </row>
    <row r="13532" spans="1:5" x14ac:dyDescent="0.25">
      <c r="A13532">
        <v>13531</v>
      </c>
      <c r="B13532">
        <v>1106513</v>
      </c>
      <c r="C13532" s="1" t="str">
        <f>HYPERLINK("http://stackoverflow.com/users/1106513", "Frank")</f>
        <v>Frank</v>
      </c>
      <c r="D13532" t="s">
        <v>5</v>
      </c>
      <c r="E13532">
        <v>1</v>
      </c>
    </row>
    <row r="13533" spans="1:5" x14ac:dyDescent="0.25">
      <c r="A13533">
        <v>13532</v>
      </c>
      <c r="B13533">
        <v>3085171</v>
      </c>
      <c r="C13533" s="1" t="str">
        <f>HYPERLINK("http://stackoverflow.com/users/3085171", "yum")</f>
        <v>yum</v>
      </c>
      <c r="D13533" t="s">
        <v>662</v>
      </c>
      <c r="E13533">
        <v>1</v>
      </c>
    </row>
    <row r="13534" spans="1:5" x14ac:dyDescent="0.25">
      <c r="A13534">
        <v>13533</v>
      </c>
      <c r="B13534">
        <v>3085188</v>
      </c>
      <c r="C13534" s="1" t="str">
        <f>HYPERLINK("http://stackoverflow.com/users/3085188", "yanjie")</f>
        <v>yanjie</v>
      </c>
      <c r="D13534" t="s">
        <v>4</v>
      </c>
      <c r="E13534">
        <v>1</v>
      </c>
    </row>
    <row r="13535" spans="1:5" x14ac:dyDescent="0.25">
      <c r="A13535">
        <v>13534</v>
      </c>
      <c r="B13535">
        <v>6626294</v>
      </c>
      <c r="C13535" s="1" t="str">
        <f>HYPERLINK("http://stackoverflow.com/users/6626294", "刘俊良")</f>
        <v>刘俊良</v>
      </c>
      <c r="D13535" t="s">
        <v>87</v>
      </c>
      <c r="E13535">
        <v>1</v>
      </c>
    </row>
    <row r="13536" spans="1:5" x14ac:dyDescent="0.25">
      <c r="A13536">
        <v>13535</v>
      </c>
      <c r="B13536">
        <v>3089237</v>
      </c>
      <c r="C13536" s="1" t="str">
        <f>HYPERLINK("http://stackoverflow.com/users/3089237", "hixujin")</f>
        <v>hixujin</v>
      </c>
      <c r="D13536" t="s">
        <v>3</v>
      </c>
      <c r="E13536">
        <v>1</v>
      </c>
    </row>
    <row r="13537" spans="1:5" x14ac:dyDescent="0.25">
      <c r="A13537">
        <v>13536</v>
      </c>
      <c r="B13537">
        <v>3089262</v>
      </c>
      <c r="C13537" s="1" t="str">
        <f>HYPERLINK("http://stackoverflow.com/users/3089262", "wpLi")</f>
        <v>wpLi</v>
      </c>
      <c r="D13537" t="s">
        <v>21</v>
      </c>
      <c r="E13537">
        <v>1</v>
      </c>
    </row>
    <row r="13538" spans="1:5" x14ac:dyDescent="0.25">
      <c r="A13538">
        <v>13537</v>
      </c>
      <c r="B13538">
        <v>3089460</v>
      </c>
      <c r="C13538" s="1" t="str">
        <f>HYPERLINK("http://stackoverflow.com/users/3089460", "jimmykwong")</f>
        <v>jimmykwong</v>
      </c>
      <c r="D13538" t="s">
        <v>21</v>
      </c>
      <c r="E13538">
        <v>1</v>
      </c>
    </row>
    <row r="13539" spans="1:5" x14ac:dyDescent="0.25">
      <c r="A13539">
        <v>13538</v>
      </c>
      <c r="B13539">
        <v>1099213</v>
      </c>
      <c r="C13539" s="1" t="str">
        <f>HYPERLINK("http://stackoverflow.com/users/1099213", "RayJin")</f>
        <v>RayJin</v>
      </c>
      <c r="D13539" t="s">
        <v>4</v>
      </c>
      <c r="E13539">
        <v>1</v>
      </c>
    </row>
    <row r="13540" spans="1:5" x14ac:dyDescent="0.25">
      <c r="A13540">
        <v>13539</v>
      </c>
      <c r="B13540">
        <v>1099252</v>
      </c>
      <c r="C13540" s="1" t="str">
        <f>HYPERLINK("http://stackoverflow.com/users/1099252", "zhou")</f>
        <v>zhou</v>
      </c>
      <c r="D13540" t="s">
        <v>8</v>
      </c>
      <c r="E13540">
        <v>1</v>
      </c>
    </row>
    <row r="13541" spans="1:5" x14ac:dyDescent="0.25">
      <c r="A13541">
        <v>13540</v>
      </c>
      <c r="B13541">
        <v>10253487</v>
      </c>
      <c r="C13541" s="1" t="str">
        <f>HYPERLINK("http://stackoverflow.com/users/10253487", "xian")</f>
        <v>xian</v>
      </c>
      <c r="D13541" t="s">
        <v>5</v>
      </c>
      <c r="E13541">
        <v>1</v>
      </c>
    </row>
    <row r="13542" spans="1:5" x14ac:dyDescent="0.25">
      <c r="A13542">
        <v>13541</v>
      </c>
      <c r="B13542">
        <v>3085607</v>
      </c>
      <c r="C13542" s="1" t="str">
        <f>HYPERLINK("http://stackoverflow.com/users/3085607", "Evan")</f>
        <v>Evan</v>
      </c>
      <c r="D13542" t="s">
        <v>5</v>
      </c>
      <c r="E13542">
        <v>1</v>
      </c>
    </row>
    <row r="13543" spans="1:5" x14ac:dyDescent="0.25">
      <c r="A13543">
        <v>13542</v>
      </c>
      <c r="B13543">
        <v>3085793</v>
      </c>
      <c r="C13543" s="1" t="str">
        <f>HYPERLINK("http://stackoverflow.com/users/3085793", "Hantang Liu")</f>
        <v>Hantang Liu</v>
      </c>
      <c r="D13543" t="s">
        <v>12</v>
      </c>
      <c r="E13543">
        <v>1</v>
      </c>
    </row>
    <row r="13544" spans="1:5" x14ac:dyDescent="0.25">
      <c r="A13544">
        <v>13543</v>
      </c>
      <c r="B13544">
        <v>8444468</v>
      </c>
      <c r="C13544" s="1" t="str">
        <f>HYPERLINK("http://stackoverflow.com/users/8444468", "Daniel fan")</f>
        <v>Daniel fan</v>
      </c>
      <c r="D13544" t="s">
        <v>5</v>
      </c>
      <c r="E13544">
        <v>1</v>
      </c>
    </row>
    <row r="13545" spans="1:5" x14ac:dyDescent="0.25">
      <c r="A13545">
        <v>13544</v>
      </c>
      <c r="B13545">
        <v>1092315</v>
      </c>
      <c r="C13545" s="1" t="str">
        <f>HYPERLINK("http://stackoverflow.com/users/1092315", "youlingman")</f>
        <v>youlingman</v>
      </c>
      <c r="D13545" t="s">
        <v>5</v>
      </c>
      <c r="E13545">
        <v>1</v>
      </c>
    </row>
    <row r="13546" spans="1:5" x14ac:dyDescent="0.25">
      <c r="A13546">
        <v>13545</v>
      </c>
      <c r="B13546">
        <v>1091938</v>
      </c>
      <c r="C13546" s="1" t="str">
        <f>HYPERLINK("http://stackoverflow.com/users/1091938", "fang.hui.xing")</f>
        <v>fang.hui.xing</v>
      </c>
      <c r="D13546" t="s">
        <v>4</v>
      </c>
      <c r="E13546">
        <v>1</v>
      </c>
    </row>
    <row r="13547" spans="1:5" x14ac:dyDescent="0.25">
      <c r="A13547">
        <v>13546</v>
      </c>
      <c r="B13547">
        <v>10249546</v>
      </c>
      <c r="C13547" s="1" t="str">
        <f>HYPERLINK("http://stackoverflow.com/users/10249546", "Draymonder")</f>
        <v>Draymonder</v>
      </c>
      <c r="D13547" t="s">
        <v>135</v>
      </c>
      <c r="E13547">
        <v>1</v>
      </c>
    </row>
    <row r="13548" spans="1:5" x14ac:dyDescent="0.25">
      <c r="A13548">
        <v>13547</v>
      </c>
      <c r="B13548">
        <v>8439309</v>
      </c>
      <c r="C13548" s="1" t="str">
        <f>HYPERLINK("http://stackoverflow.com/users/8439309", "hanniko")</f>
        <v>hanniko</v>
      </c>
      <c r="D13548" t="s">
        <v>55</v>
      </c>
      <c r="E13548">
        <v>1</v>
      </c>
    </row>
    <row r="13549" spans="1:5" x14ac:dyDescent="0.25">
      <c r="A13549">
        <v>13548</v>
      </c>
      <c r="B13549">
        <v>8439670</v>
      </c>
      <c r="C13549" s="1" t="str">
        <f>HYPERLINK("http://stackoverflow.com/users/8439670", "GHLandy")</f>
        <v>GHLandy</v>
      </c>
      <c r="D13549" t="s">
        <v>25</v>
      </c>
      <c r="E13549">
        <v>1</v>
      </c>
    </row>
    <row r="13550" spans="1:5" x14ac:dyDescent="0.25">
      <c r="A13550">
        <v>13549</v>
      </c>
      <c r="B13550">
        <v>4898701</v>
      </c>
      <c r="C13550" s="1" t="str">
        <f>HYPERLINK("http://stackoverflow.com/users/4898701", "DavidYan")</f>
        <v>DavidYan</v>
      </c>
      <c r="D13550" t="s">
        <v>5</v>
      </c>
      <c r="E13550">
        <v>1</v>
      </c>
    </row>
    <row r="13551" spans="1:5" x14ac:dyDescent="0.25">
      <c r="A13551">
        <v>13550</v>
      </c>
      <c r="B13551">
        <v>1098436</v>
      </c>
      <c r="C13551" s="1" t="str">
        <f>HYPERLINK("http://stackoverflow.com/users/1098436", "zhulin")</f>
        <v>zhulin</v>
      </c>
      <c r="D13551" t="s">
        <v>5</v>
      </c>
      <c r="E13551">
        <v>1</v>
      </c>
    </row>
    <row r="13552" spans="1:5" x14ac:dyDescent="0.25">
      <c r="A13552">
        <v>13551</v>
      </c>
      <c r="B13552">
        <v>4915167</v>
      </c>
      <c r="C13552" s="1" t="str">
        <f>HYPERLINK("http://stackoverflow.com/users/4915167", "Wendy Hu")</f>
        <v>Wendy Hu</v>
      </c>
      <c r="D13552" t="s">
        <v>5</v>
      </c>
      <c r="E13552">
        <v>1</v>
      </c>
    </row>
    <row r="13553" spans="1:5" x14ac:dyDescent="0.25">
      <c r="A13553">
        <v>13552</v>
      </c>
      <c r="B13553">
        <v>4915200</v>
      </c>
      <c r="C13553" s="1" t="str">
        <f>HYPERLINK("http://stackoverflow.com/users/4915200", "mahong")</f>
        <v>mahong</v>
      </c>
      <c r="D13553" t="s">
        <v>37</v>
      </c>
      <c r="E13553">
        <v>1</v>
      </c>
    </row>
    <row r="13554" spans="1:5" x14ac:dyDescent="0.25">
      <c r="A13554">
        <v>13553</v>
      </c>
      <c r="B13554">
        <v>8456928</v>
      </c>
      <c r="C13554" s="1" t="str">
        <f>HYPERLINK("http://stackoverflow.com/users/8456928", "Bill Tao")</f>
        <v>Bill Tao</v>
      </c>
      <c r="D13554" t="s">
        <v>95</v>
      </c>
      <c r="E13554">
        <v>1</v>
      </c>
    </row>
    <row r="13555" spans="1:5" x14ac:dyDescent="0.25">
      <c r="A13555">
        <v>13554</v>
      </c>
      <c r="B13555">
        <v>8460986</v>
      </c>
      <c r="C13555" s="1" t="str">
        <f>HYPERLINK("http://stackoverflow.com/users/8460986", "Law Ben")</f>
        <v>Law Ben</v>
      </c>
      <c r="D13555" t="s">
        <v>27</v>
      </c>
      <c r="E13555">
        <v>1</v>
      </c>
    </row>
    <row r="13556" spans="1:5" x14ac:dyDescent="0.25">
      <c r="A13556">
        <v>13555</v>
      </c>
      <c r="B13556">
        <v>8461354</v>
      </c>
      <c r="C13556" s="1" t="str">
        <f>HYPERLINK("http://stackoverflow.com/users/8461354", "Chessboard")</f>
        <v>Chessboard</v>
      </c>
      <c r="D13556" t="s">
        <v>4</v>
      </c>
      <c r="E13556">
        <v>1</v>
      </c>
    </row>
    <row r="13557" spans="1:5" x14ac:dyDescent="0.25">
      <c r="A13557">
        <v>13556</v>
      </c>
      <c r="B13557">
        <v>4918925</v>
      </c>
      <c r="C13557" s="1" t="str">
        <f>HYPERLINK("http://stackoverflow.com/users/4918925", "Rongxin Zhang")</f>
        <v>Rongxin Zhang</v>
      </c>
      <c r="D13557" t="s">
        <v>4</v>
      </c>
      <c r="E13557">
        <v>1</v>
      </c>
    </row>
    <row r="13558" spans="1:5" x14ac:dyDescent="0.25">
      <c r="A13558">
        <v>13557</v>
      </c>
      <c r="B13558">
        <v>10273997</v>
      </c>
      <c r="C13558" s="1" t="str">
        <f>HYPERLINK("http://stackoverflow.com/users/10273997", "K Uzak")</f>
        <v>K Uzak</v>
      </c>
      <c r="D13558" t="s">
        <v>749</v>
      </c>
      <c r="E13558">
        <v>1</v>
      </c>
    </row>
    <row r="13559" spans="1:5" x14ac:dyDescent="0.25">
      <c r="A13559">
        <v>13558</v>
      </c>
      <c r="B13559">
        <v>8460581</v>
      </c>
      <c r="C13559" s="1" t="str">
        <f>HYPERLINK("http://stackoverflow.com/users/8460581", "William Liu")</f>
        <v>William Liu</v>
      </c>
      <c r="D13559" t="s">
        <v>5</v>
      </c>
      <c r="E13559">
        <v>1</v>
      </c>
    </row>
    <row r="13560" spans="1:5" x14ac:dyDescent="0.25">
      <c r="A13560">
        <v>13559</v>
      </c>
      <c r="B13560">
        <v>8460682</v>
      </c>
      <c r="C13560" s="1" t="str">
        <f>HYPERLINK("http://stackoverflow.com/users/8460682", "Jiacheng Yao")</f>
        <v>Jiacheng Yao</v>
      </c>
      <c r="D13560" t="s">
        <v>5</v>
      </c>
      <c r="E13560">
        <v>1</v>
      </c>
    </row>
    <row r="13561" spans="1:5" x14ac:dyDescent="0.25">
      <c r="A13561">
        <v>13560</v>
      </c>
      <c r="B13561">
        <v>8460798</v>
      </c>
      <c r="C13561" s="1" t="str">
        <f>HYPERLINK("http://stackoverflow.com/users/8460798", "W.Z")</f>
        <v>W.Z</v>
      </c>
      <c r="D13561" t="s">
        <v>5</v>
      </c>
      <c r="E13561">
        <v>1</v>
      </c>
    </row>
    <row r="13562" spans="1:5" x14ac:dyDescent="0.25">
      <c r="A13562">
        <v>13561</v>
      </c>
      <c r="B13562">
        <v>8460921</v>
      </c>
      <c r="C13562" s="1" t="str">
        <f>HYPERLINK("http://stackoverflow.com/users/8460921", "P.Baudin")</f>
        <v>P.Baudin</v>
      </c>
      <c r="D13562" t="s">
        <v>28</v>
      </c>
      <c r="E13562">
        <v>1</v>
      </c>
    </row>
    <row r="13563" spans="1:5" x14ac:dyDescent="0.25">
      <c r="A13563">
        <v>13562</v>
      </c>
      <c r="B13563">
        <v>6633527</v>
      </c>
      <c r="C13563" s="1" t="str">
        <f>HYPERLINK("http://stackoverflow.com/users/6633527", "Jimmy Lee")</f>
        <v>Jimmy Lee</v>
      </c>
      <c r="D13563" t="s">
        <v>96</v>
      </c>
      <c r="E13563">
        <v>1</v>
      </c>
    </row>
    <row r="13564" spans="1:5" x14ac:dyDescent="0.25">
      <c r="A13564">
        <v>13563</v>
      </c>
      <c r="B13564">
        <v>8453481</v>
      </c>
      <c r="C13564" s="1" t="str">
        <f>HYPERLINK("http://stackoverflow.com/users/8453481", "Jeaven Wong")</f>
        <v>Jeaven Wong</v>
      </c>
      <c r="D13564" t="s">
        <v>157</v>
      </c>
      <c r="E13564">
        <v>1</v>
      </c>
    </row>
    <row r="13565" spans="1:5" x14ac:dyDescent="0.25">
      <c r="A13565">
        <v>13564</v>
      </c>
      <c r="B13565">
        <v>8453595</v>
      </c>
      <c r="C13565" s="1" t="str">
        <f>HYPERLINK("http://stackoverflow.com/users/8453595", "Chiuchieh Hwang")</f>
        <v>Chiuchieh Hwang</v>
      </c>
      <c r="D13565" t="s">
        <v>28</v>
      </c>
      <c r="E13565">
        <v>1</v>
      </c>
    </row>
    <row r="13566" spans="1:5" x14ac:dyDescent="0.25">
      <c r="A13566">
        <v>13565</v>
      </c>
      <c r="B13566">
        <v>8456671</v>
      </c>
      <c r="C13566" s="1" t="str">
        <f>HYPERLINK("http://stackoverflow.com/users/8456671", "bee")</f>
        <v>bee</v>
      </c>
      <c r="D13566" t="s">
        <v>750</v>
      </c>
      <c r="E13566">
        <v>1</v>
      </c>
    </row>
    <row r="13567" spans="1:5" x14ac:dyDescent="0.25">
      <c r="A13567">
        <v>13566</v>
      </c>
      <c r="B13567">
        <v>8456738</v>
      </c>
      <c r="C13567" s="1" t="str">
        <f>HYPERLINK("http://stackoverflow.com/users/8456738", "Zephyr Hou")</f>
        <v>Zephyr Hou</v>
      </c>
      <c r="D13567" t="s">
        <v>442</v>
      </c>
      <c r="E13567">
        <v>1</v>
      </c>
    </row>
    <row r="13568" spans="1:5" x14ac:dyDescent="0.25">
      <c r="A13568">
        <v>13567</v>
      </c>
      <c r="B13568">
        <v>8456805</v>
      </c>
      <c r="C13568" s="1" t="str">
        <f>HYPERLINK("http://stackoverflow.com/users/8456805", "ccizm")</f>
        <v>ccizm</v>
      </c>
      <c r="D13568" t="s">
        <v>751</v>
      </c>
      <c r="E13568">
        <v>1</v>
      </c>
    </row>
    <row r="13569" spans="1:5" x14ac:dyDescent="0.25">
      <c r="A13569">
        <v>13568</v>
      </c>
      <c r="B13569">
        <v>8448878</v>
      </c>
      <c r="C13569" s="1" t="str">
        <f>HYPERLINK("http://stackoverflow.com/users/8448878", "JIE JIAO")</f>
        <v>JIE JIAO</v>
      </c>
      <c r="D13569" t="s">
        <v>5</v>
      </c>
      <c r="E13569">
        <v>1</v>
      </c>
    </row>
    <row r="13570" spans="1:5" x14ac:dyDescent="0.25">
      <c r="A13570">
        <v>13569</v>
      </c>
      <c r="B13570">
        <v>8449048</v>
      </c>
      <c r="C13570" s="1" t="str">
        <f>HYPERLINK("http://stackoverflow.com/users/8449048", "jupipe")</f>
        <v>jupipe</v>
      </c>
      <c r="D13570" t="s">
        <v>37</v>
      </c>
      <c r="E13570">
        <v>1</v>
      </c>
    </row>
    <row r="13571" spans="1:5" x14ac:dyDescent="0.25">
      <c r="A13571">
        <v>13570</v>
      </c>
      <c r="B13571">
        <v>8449179</v>
      </c>
      <c r="C13571" s="1" t="str">
        <f>HYPERLINK("http://stackoverflow.com/users/8449179", "Simon W.")</f>
        <v>Simon W.</v>
      </c>
      <c r="D13571" t="s">
        <v>4</v>
      </c>
      <c r="E13571">
        <v>1</v>
      </c>
    </row>
    <row r="13572" spans="1:5" x14ac:dyDescent="0.25">
      <c r="A13572">
        <v>13571</v>
      </c>
      <c r="B13572">
        <v>8449372</v>
      </c>
      <c r="C13572" s="1" t="str">
        <f>HYPERLINK("http://stackoverflow.com/users/8449372", "mn l")</f>
        <v>mn l</v>
      </c>
      <c r="D13572" t="s">
        <v>5</v>
      </c>
      <c r="E13572">
        <v>1</v>
      </c>
    </row>
    <row r="13573" spans="1:5" x14ac:dyDescent="0.25">
      <c r="A13573">
        <v>13572</v>
      </c>
      <c r="B13573">
        <v>4907190</v>
      </c>
      <c r="C13573" s="1" t="str">
        <f>HYPERLINK("http://stackoverflow.com/users/4907190", "Tonny")</f>
        <v>Tonny</v>
      </c>
      <c r="D13573" t="s">
        <v>5</v>
      </c>
      <c r="E13573">
        <v>1</v>
      </c>
    </row>
    <row r="13574" spans="1:5" x14ac:dyDescent="0.25">
      <c r="A13574">
        <v>13573</v>
      </c>
      <c r="B13574">
        <v>10262337</v>
      </c>
      <c r="C13574" s="1" t="str">
        <f>HYPERLINK("http://stackoverflow.com/users/10262337", "S.Doe")</f>
        <v>S.Doe</v>
      </c>
      <c r="D13574" t="s">
        <v>52</v>
      </c>
      <c r="E13574">
        <v>1</v>
      </c>
    </row>
    <row r="13575" spans="1:5" x14ac:dyDescent="0.25">
      <c r="A13575">
        <v>13574</v>
      </c>
      <c r="B13575">
        <v>10262587</v>
      </c>
      <c r="C13575" s="1" t="str">
        <f>HYPERLINK("http://stackoverflow.com/users/10262587", "Dejia Shang")</f>
        <v>Dejia Shang</v>
      </c>
      <c r="D13575" t="s">
        <v>4</v>
      </c>
      <c r="E13575">
        <v>1</v>
      </c>
    </row>
    <row r="13576" spans="1:5" x14ac:dyDescent="0.25">
      <c r="A13576">
        <v>13575</v>
      </c>
      <c r="B13576">
        <v>8448655</v>
      </c>
      <c r="C13576" s="1" t="str">
        <f>HYPERLINK("http://stackoverflow.com/users/8448655", "Cathayan")</f>
        <v>Cathayan</v>
      </c>
      <c r="D13576" t="s">
        <v>5</v>
      </c>
      <c r="E13576">
        <v>1</v>
      </c>
    </row>
    <row r="13577" spans="1:5" x14ac:dyDescent="0.25">
      <c r="A13577">
        <v>13576</v>
      </c>
      <c r="B13577">
        <v>1081691</v>
      </c>
      <c r="C13577" s="1" t="str">
        <f>HYPERLINK("http://stackoverflow.com/users/1081691", "Paracutin")</f>
        <v>Paracutin</v>
      </c>
      <c r="D13577" t="s">
        <v>5</v>
      </c>
      <c r="E13577">
        <v>1</v>
      </c>
    </row>
    <row r="13578" spans="1:5" x14ac:dyDescent="0.25">
      <c r="A13578">
        <v>13577</v>
      </c>
      <c r="B13578">
        <v>1081008</v>
      </c>
      <c r="C13578" s="1" t="str">
        <f>HYPERLINK("http://stackoverflow.com/users/1081008", "Zhao Renwei")</f>
        <v>Zhao Renwei</v>
      </c>
      <c r="D13578" t="s">
        <v>5</v>
      </c>
      <c r="E13578">
        <v>1</v>
      </c>
    </row>
    <row r="13579" spans="1:5" x14ac:dyDescent="0.25">
      <c r="A13579">
        <v>13578</v>
      </c>
      <c r="B13579">
        <v>1081068</v>
      </c>
      <c r="C13579" s="1" t="str">
        <f>HYPERLINK("http://stackoverflow.com/users/1081068", "jazzqi")</f>
        <v>jazzqi</v>
      </c>
      <c r="D13579" t="s">
        <v>4</v>
      </c>
      <c r="E13579">
        <v>1</v>
      </c>
    </row>
    <row r="13580" spans="1:5" x14ac:dyDescent="0.25">
      <c r="A13580">
        <v>13579</v>
      </c>
      <c r="B13580">
        <v>10241144</v>
      </c>
      <c r="C13580" s="1" t="str">
        <f>HYPERLINK("http://stackoverflow.com/users/10241144", "LuckyCharam88")</f>
        <v>LuckyCharam88</v>
      </c>
      <c r="D13580" t="s">
        <v>214</v>
      </c>
      <c r="E13580">
        <v>1</v>
      </c>
    </row>
    <row r="13581" spans="1:5" x14ac:dyDescent="0.25">
      <c r="A13581">
        <v>13580</v>
      </c>
      <c r="B13581">
        <v>8423587</v>
      </c>
      <c r="C13581" s="1" t="str">
        <f>HYPERLINK("http://stackoverflow.com/users/8423587", "Ian Young")</f>
        <v>Ian Young</v>
      </c>
      <c r="D13581" t="s">
        <v>4</v>
      </c>
      <c r="E13581">
        <v>1</v>
      </c>
    </row>
    <row r="13582" spans="1:5" x14ac:dyDescent="0.25">
      <c r="A13582">
        <v>13581</v>
      </c>
      <c r="B13582">
        <v>8423926</v>
      </c>
      <c r="C13582" s="1" t="str">
        <f>HYPERLINK("http://stackoverflow.com/users/8423926", "Z Ailike")</f>
        <v>Z Ailike</v>
      </c>
      <c r="D13582" t="s">
        <v>28</v>
      </c>
      <c r="E13582">
        <v>1</v>
      </c>
    </row>
    <row r="13583" spans="1:5" x14ac:dyDescent="0.25">
      <c r="A13583">
        <v>13582</v>
      </c>
      <c r="B13583">
        <v>4883553</v>
      </c>
      <c r="C13583" s="1" t="str">
        <f>HYPERLINK("http://stackoverflow.com/users/4883553", "arsdragonfly")</f>
        <v>arsdragonfly</v>
      </c>
      <c r="D13583" t="s">
        <v>4</v>
      </c>
      <c r="E13583">
        <v>1</v>
      </c>
    </row>
    <row r="13584" spans="1:5" x14ac:dyDescent="0.25">
      <c r="A13584">
        <v>13583</v>
      </c>
      <c r="B13584">
        <v>8423447</v>
      </c>
      <c r="C13584" s="1" t="str">
        <f>HYPERLINK("http://stackoverflow.com/users/8423447", "Skakagrall")</f>
        <v>Skakagrall</v>
      </c>
      <c r="D13584" t="s">
        <v>5</v>
      </c>
      <c r="E13584">
        <v>1</v>
      </c>
    </row>
    <row r="13585" spans="1:5" x14ac:dyDescent="0.25">
      <c r="A13585">
        <v>13584</v>
      </c>
      <c r="B13585">
        <v>4884066</v>
      </c>
      <c r="C13585" s="1" t="str">
        <f>HYPERLINK("http://stackoverflow.com/users/4884066", "itzcy")</f>
        <v>itzcy</v>
      </c>
      <c r="D13585" t="s">
        <v>410</v>
      </c>
      <c r="E13585">
        <v>1</v>
      </c>
    </row>
    <row r="13586" spans="1:5" x14ac:dyDescent="0.25">
      <c r="A13586">
        <v>13585</v>
      </c>
      <c r="B13586">
        <v>3065443</v>
      </c>
      <c r="C13586" s="1" t="str">
        <f>HYPERLINK("http://stackoverflow.com/users/3065443", "runnphoenix")</f>
        <v>runnphoenix</v>
      </c>
      <c r="D13586" t="s">
        <v>5</v>
      </c>
      <c r="E13586">
        <v>1</v>
      </c>
    </row>
    <row r="13587" spans="1:5" x14ac:dyDescent="0.25">
      <c r="A13587">
        <v>13586</v>
      </c>
      <c r="B13587">
        <v>8431522</v>
      </c>
      <c r="C13587" s="1" t="str">
        <f>HYPERLINK("http://stackoverflow.com/users/8431522", "wang harvey")</f>
        <v>wang harvey</v>
      </c>
      <c r="D13587" t="s">
        <v>4</v>
      </c>
      <c r="E13587">
        <v>1</v>
      </c>
    </row>
    <row r="13588" spans="1:5" x14ac:dyDescent="0.25">
      <c r="A13588">
        <v>13587</v>
      </c>
      <c r="B13588">
        <v>8432002</v>
      </c>
      <c r="C13588" s="1" t="str">
        <f>HYPERLINK("http://stackoverflow.com/users/8432002", "Haitao yu")</f>
        <v>Haitao yu</v>
      </c>
      <c r="D13588" t="s">
        <v>5</v>
      </c>
      <c r="E13588">
        <v>1</v>
      </c>
    </row>
    <row r="13589" spans="1:5" x14ac:dyDescent="0.25">
      <c r="A13589">
        <v>13588</v>
      </c>
      <c r="B13589">
        <v>3073193</v>
      </c>
      <c r="C13589" s="1" t="str">
        <f>HYPERLINK("http://stackoverflow.com/users/3073193", "ghsau")</f>
        <v>ghsau</v>
      </c>
      <c r="D13589" t="s">
        <v>5</v>
      </c>
      <c r="E13589">
        <v>1</v>
      </c>
    </row>
    <row r="13590" spans="1:5" x14ac:dyDescent="0.25">
      <c r="A13590">
        <v>13589</v>
      </c>
      <c r="B13590">
        <v>3069500</v>
      </c>
      <c r="C13590" s="1" t="str">
        <f>HYPERLINK("http://stackoverflow.com/users/3069500", "jdbrjsj")</f>
        <v>jdbrjsj</v>
      </c>
      <c r="D13590" t="s">
        <v>5</v>
      </c>
      <c r="E13590">
        <v>1</v>
      </c>
    </row>
    <row r="13591" spans="1:5" x14ac:dyDescent="0.25">
      <c r="A13591">
        <v>13590</v>
      </c>
      <c r="B13591">
        <v>3069511</v>
      </c>
      <c r="C13591" s="1" t="str">
        <f>HYPERLINK("http://stackoverflow.com/users/3069511", "Peng lu")</f>
        <v>Peng lu</v>
      </c>
      <c r="D13591" t="s">
        <v>5</v>
      </c>
      <c r="E13591">
        <v>1</v>
      </c>
    </row>
    <row r="13592" spans="1:5" x14ac:dyDescent="0.25">
      <c r="A13592">
        <v>13591</v>
      </c>
      <c r="B13592">
        <v>3069535</v>
      </c>
      <c r="C13592" s="1" t="str">
        <f>HYPERLINK("http://stackoverflow.com/users/3069535", "Droid.Breaker")</f>
        <v>Droid.Breaker</v>
      </c>
      <c r="D13592" t="s">
        <v>5</v>
      </c>
      <c r="E13592">
        <v>1</v>
      </c>
    </row>
    <row r="13593" spans="1:5" x14ac:dyDescent="0.25">
      <c r="A13593">
        <v>13592</v>
      </c>
      <c r="B13593">
        <v>4886853</v>
      </c>
      <c r="C13593" s="1" t="str">
        <f>HYPERLINK("http://stackoverflow.com/users/4886853", "taopier")</f>
        <v>taopier</v>
      </c>
      <c r="D13593" t="s">
        <v>5</v>
      </c>
      <c r="E13593">
        <v>1</v>
      </c>
    </row>
    <row r="13594" spans="1:5" x14ac:dyDescent="0.25">
      <c r="A13594">
        <v>13593</v>
      </c>
      <c r="B13594">
        <v>3073436</v>
      </c>
      <c r="C13594" s="1" t="str">
        <f>HYPERLINK("http://stackoverflow.com/users/3073436", "nora")</f>
        <v>nora</v>
      </c>
      <c r="D13594" t="s">
        <v>4</v>
      </c>
      <c r="E13594">
        <v>1</v>
      </c>
    </row>
    <row r="13595" spans="1:5" x14ac:dyDescent="0.25">
      <c r="A13595">
        <v>13594</v>
      </c>
      <c r="B13595">
        <v>3073674</v>
      </c>
      <c r="C13595" s="1" t="str">
        <f>HYPERLINK("http://stackoverflow.com/users/3073674", "Guangxing Han")</f>
        <v>Guangxing Han</v>
      </c>
      <c r="D13595" t="s">
        <v>5</v>
      </c>
      <c r="E13595">
        <v>1</v>
      </c>
    </row>
    <row r="13596" spans="1:5" x14ac:dyDescent="0.25">
      <c r="A13596">
        <v>13595</v>
      </c>
      <c r="B13596">
        <v>3074074</v>
      </c>
      <c r="C13596" s="1" t="str">
        <f>HYPERLINK("http://stackoverflow.com/users/3074074", "user3074074")</f>
        <v>user3074074</v>
      </c>
      <c r="D13596" t="s">
        <v>8</v>
      </c>
      <c r="E13596">
        <v>1</v>
      </c>
    </row>
    <row r="13597" spans="1:5" x14ac:dyDescent="0.25">
      <c r="A13597">
        <v>13596</v>
      </c>
      <c r="B13597">
        <v>3074100</v>
      </c>
      <c r="C13597" s="1" t="str">
        <f>HYPERLINK("http://stackoverflow.com/users/3074100", "RuiJanLee")</f>
        <v>RuiJanLee</v>
      </c>
      <c r="D13597" t="s">
        <v>59</v>
      </c>
      <c r="E13597">
        <v>1</v>
      </c>
    </row>
    <row r="13598" spans="1:5" x14ac:dyDescent="0.25">
      <c r="A13598">
        <v>13597</v>
      </c>
      <c r="B13598">
        <v>10245692</v>
      </c>
      <c r="C13598" s="1" t="str">
        <f>HYPERLINK("http://stackoverflow.com/users/10245692", "Jacob Li")</f>
        <v>Jacob Li</v>
      </c>
      <c r="D13598" t="s">
        <v>415</v>
      </c>
      <c r="E13598">
        <v>1</v>
      </c>
    </row>
    <row r="13599" spans="1:5" x14ac:dyDescent="0.25">
      <c r="A13599">
        <v>13598</v>
      </c>
      <c r="B13599">
        <v>10245926</v>
      </c>
      <c r="C13599" s="1" t="str">
        <f>HYPERLINK("http://stackoverflow.com/users/10245926", "Gavin")</f>
        <v>Gavin</v>
      </c>
      <c r="D13599" t="s">
        <v>5</v>
      </c>
      <c r="E13599">
        <v>1</v>
      </c>
    </row>
    <row r="13600" spans="1:5" x14ac:dyDescent="0.25">
      <c r="A13600">
        <v>13599</v>
      </c>
      <c r="B13600">
        <v>10246003</v>
      </c>
      <c r="C13600" s="1" t="str">
        <f>HYPERLINK("http://stackoverflow.com/users/10246003", "aojie654")</f>
        <v>aojie654</v>
      </c>
      <c r="D13600" t="s">
        <v>4</v>
      </c>
      <c r="E13600">
        <v>1</v>
      </c>
    </row>
    <row r="13601" spans="1:5" x14ac:dyDescent="0.25">
      <c r="A13601">
        <v>13600</v>
      </c>
      <c r="B13601">
        <v>10246294</v>
      </c>
      <c r="C13601" s="1" t="str">
        <f>HYPERLINK("http://stackoverflow.com/users/10246294", "Yiwen Xue")</f>
        <v>Yiwen Xue</v>
      </c>
      <c r="D13601" t="s">
        <v>114</v>
      </c>
      <c r="E13601">
        <v>1</v>
      </c>
    </row>
    <row r="13602" spans="1:5" x14ac:dyDescent="0.25">
      <c r="A13602">
        <v>13601</v>
      </c>
      <c r="B13602">
        <v>10249090</v>
      </c>
      <c r="C13602" s="1" t="str">
        <f>HYPERLINK("http://stackoverflow.com/users/10249090", "KevinAo")</f>
        <v>KevinAo</v>
      </c>
      <c r="D13602" t="s">
        <v>5</v>
      </c>
      <c r="E13602">
        <v>1</v>
      </c>
    </row>
    <row r="13603" spans="1:5" x14ac:dyDescent="0.25">
      <c r="A13603">
        <v>13602</v>
      </c>
      <c r="B13603">
        <v>4865089</v>
      </c>
      <c r="C13603" s="1" t="str">
        <f>HYPERLINK("http://stackoverflow.com/users/4865089", "lykeven")</f>
        <v>lykeven</v>
      </c>
      <c r="D13603" t="s">
        <v>5</v>
      </c>
      <c r="E13603">
        <v>1</v>
      </c>
    </row>
    <row r="13604" spans="1:5" x14ac:dyDescent="0.25">
      <c r="A13604">
        <v>13603</v>
      </c>
      <c r="B13604">
        <v>4864686</v>
      </c>
      <c r="C13604" s="1" t="str">
        <f>HYPERLINK("http://stackoverflow.com/users/4864686", "Hyung Won")</f>
        <v>Hyung Won</v>
      </c>
      <c r="D13604" t="s">
        <v>5</v>
      </c>
      <c r="E13604">
        <v>1</v>
      </c>
    </row>
    <row r="13605" spans="1:5" x14ac:dyDescent="0.25">
      <c r="A13605">
        <v>13604</v>
      </c>
      <c r="B13605">
        <v>4864765</v>
      </c>
      <c r="C13605" s="1" t="str">
        <f>HYPERLINK("http://stackoverflow.com/users/4864765", "Shi Duanguang")</f>
        <v>Shi Duanguang</v>
      </c>
      <c r="D13605" t="s">
        <v>5</v>
      </c>
      <c r="E13605">
        <v>1</v>
      </c>
    </row>
    <row r="13606" spans="1:5" x14ac:dyDescent="0.25">
      <c r="A13606">
        <v>13605</v>
      </c>
      <c r="B13606">
        <v>3044809</v>
      </c>
      <c r="C13606" s="1" t="str">
        <f>HYPERLINK("http://stackoverflow.com/users/3044809", "zdez")</f>
        <v>zdez</v>
      </c>
      <c r="D13606" t="s">
        <v>17</v>
      </c>
      <c r="E13606">
        <v>1</v>
      </c>
    </row>
    <row r="13607" spans="1:5" x14ac:dyDescent="0.25">
      <c r="A13607">
        <v>13606</v>
      </c>
      <c r="B13607">
        <v>10219471</v>
      </c>
      <c r="C13607" s="1" t="str">
        <f>HYPERLINK("http://stackoverflow.com/users/10219471", "Freya Liu")</f>
        <v>Freya Liu</v>
      </c>
      <c r="D13607" t="s">
        <v>43</v>
      </c>
      <c r="E13607">
        <v>1</v>
      </c>
    </row>
    <row r="13608" spans="1:5" x14ac:dyDescent="0.25">
      <c r="A13608">
        <v>13607</v>
      </c>
      <c r="B13608">
        <v>10219739</v>
      </c>
      <c r="C13608" s="1" t="str">
        <f>HYPERLINK("http://stackoverflow.com/users/10219739", "Logan Ma")</f>
        <v>Logan Ma</v>
      </c>
      <c r="D13608" t="s">
        <v>74</v>
      </c>
      <c r="E13608">
        <v>1</v>
      </c>
    </row>
    <row r="13609" spans="1:5" x14ac:dyDescent="0.25">
      <c r="A13609">
        <v>13608</v>
      </c>
      <c r="B13609">
        <v>8406344</v>
      </c>
      <c r="C13609" s="1" t="str">
        <f>HYPERLINK("http://stackoverflow.com/users/8406344", "Lorne")</f>
        <v>Lorne</v>
      </c>
      <c r="D13609" t="s">
        <v>57</v>
      </c>
      <c r="E13609">
        <v>1</v>
      </c>
    </row>
    <row r="13610" spans="1:5" x14ac:dyDescent="0.25">
      <c r="A13610">
        <v>13609</v>
      </c>
      <c r="B13610">
        <v>8406356</v>
      </c>
      <c r="C13610" s="1" t="str">
        <f>HYPERLINK("http://stackoverflow.com/users/8406356", "Eventory")</f>
        <v>Eventory</v>
      </c>
      <c r="D13610" t="s">
        <v>19</v>
      </c>
      <c r="E13610">
        <v>1</v>
      </c>
    </row>
    <row r="13611" spans="1:5" x14ac:dyDescent="0.25">
      <c r="A13611">
        <v>13610</v>
      </c>
      <c r="B13611">
        <v>3057101</v>
      </c>
      <c r="C13611" s="1" t="str">
        <f>HYPERLINK("http://stackoverflow.com/users/3057101", "Nicholas Lee")</f>
        <v>Nicholas Lee</v>
      </c>
      <c r="D13611" t="s">
        <v>5</v>
      </c>
      <c r="E13611">
        <v>1</v>
      </c>
    </row>
    <row r="13612" spans="1:5" x14ac:dyDescent="0.25">
      <c r="A13612">
        <v>13611</v>
      </c>
      <c r="B13612">
        <v>6594315</v>
      </c>
      <c r="C13612" s="1" t="str">
        <f>HYPERLINK("http://stackoverflow.com/users/6594315", "loubingfeng")</f>
        <v>loubingfeng</v>
      </c>
      <c r="D13612" t="s">
        <v>33</v>
      </c>
      <c r="E13612">
        <v>1</v>
      </c>
    </row>
    <row r="13613" spans="1:5" x14ac:dyDescent="0.25">
      <c r="A13613">
        <v>13612</v>
      </c>
      <c r="B13613">
        <v>8410211</v>
      </c>
      <c r="C13613" s="1" t="str">
        <f>HYPERLINK("http://stackoverflow.com/users/8410211", "Radium")</f>
        <v>Radium</v>
      </c>
      <c r="D13613" t="s">
        <v>12</v>
      </c>
      <c r="E13613">
        <v>1</v>
      </c>
    </row>
    <row r="13614" spans="1:5" x14ac:dyDescent="0.25">
      <c r="A13614">
        <v>13613</v>
      </c>
      <c r="B13614">
        <v>8410249</v>
      </c>
      <c r="C13614" s="1" t="str">
        <f>HYPERLINK("http://stackoverflow.com/users/8410249", "jasonliu19811229")</f>
        <v>jasonliu19811229</v>
      </c>
      <c r="D13614" t="s">
        <v>4</v>
      </c>
      <c r="E13614">
        <v>1</v>
      </c>
    </row>
    <row r="13615" spans="1:5" x14ac:dyDescent="0.25">
      <c r="A13615">
        <v>13614</v>
      </c>
      <c r="B13615">
        <v>8414609</v>
      </c>
      <c r="C13615" s="1" t="str">
        <f>HYPERLINK("http://stackoverflow.com/users/8414609", "Archangel Wu")</f>
        <v>Archangel Wu</v>
      </c>
      <c r="D13615" t="s">
        <v>7</v>
      </c>
      <c r="E13615">
        <v>1</v>
      </c>
    </row>
    <row r="13616" spans="1:5" x14ac:dyDescent="0.25">
      <c r="A13616">
        <v>13615</v>
      </c>
      <c r="B13616">
        <v>6606804</v>
      </c>
      <c r="C13616" s="1" t="str">
        <f>HYPERLINK("http://stackoverflow.com/users/6606804", "Demon404")</f>
        <v>Demon404</v>
      </c>
      <c r="D13616" t="s">
        <v>5</v>
      </c>
      <c r="E13616">
        <v>1</v>
      </c>
    </row>
    <row r="13617" spans="1:5" x14ac:dyDescent="0.25">
      <c r="A13617">
        <v>13616</v>
      </c>
      <c r="B13617">
        <v>10237879</v>
      </c>
      <c r="C13617" s="1" t="str">
        <f>HYPERLINK("http://stackoverflow.com/users/10237879", "Claude Jiang")</f>
        <v>Claude Jiang</v>
      </c>
      <c r="D13617" t="s">
        <v>15</v>
      </c>
      <c r="E13617">
        <v>1</v>
      </c>
    </row>
    <row r="13618" spans="1:5" x14ac:dyDescent="0.25">
      <c r="A13618">
        <v>13617</v>
      </c>
      <c r="B13618">
        <v>8423134</v>
      </c>
      <c r="C13618" s="1" t="str">
        <f>HYPERLINK("http://stackoverflow.com/users/8423134", "jack")</f>
        <v>jack</v>
      </c>
      <c r="D13618" t="s">
        <v>5</v>
      </c>
      <c r="E13618">
        <v>1</v>
      </c>
    </row>
    <row r="13619" spans="1:5" x14ac:dyDescent="0.25">
      <c r="A13619">
        <v>13618</v>
      </c>
      <c r="B13619">
        <v>8423135</v>
      </c>
      <c r="C13619" s="1" t="str">
        <f>HYPERLINK("http://stackoverflow.com/users/8423135", "Louis Fan")</f>
        <v>Louis Fan</v>
      </c>
      <c r="D13619" t="s">
        <v>4</v>
      </c>
      <c r="E13619">
        <v>1</v>
      </c>
    </row>
    <row r="13620" spans="1:5" x14ac:dyDescent="0.25">
      <c r="A13620">
        <v>13619</v>
      </c>
      <c r="B13620">
        <v>1067531</v>
      </c>
      <c r="C13620" s="1" t="str">
        <f>HYPERLINK("http://stackoverflow.com/users/1067531", "Runwei")</f>
        <v>Runwei</v>
      </c>
      <c r="D13620" t="s">
        <v>5</v>
      </c>
      <c r="E13620">
        <v>1</v>
      </c>
    </row>
    <row r="13621" spans="1:5" x14ac:dyDescent="0.25">
      <c r="A13621">
        <v>13620</v>
      </c>
      <c r="B13621">
        <v>3060579</v>
      </c>
      <c r="C13621" s="1" t="str">
        <f>HYPERLINK("http://stackoverflow.com/users/3060579", "Future")</f>
        <v>Future</v>
      </c>
      <c r="D13621" t="s">
        <v>5</v>
      </c>
      <c r="E13621">
        <v>1</v>
      </c>
    </row>
    <row r="13622" spans="1:5" x14ac:dyDescent="0.25">
      <c r="A13622">
        <v>13621</v>
      </c>
      <c r="B13622">
        <v>3060628</v>
      </c>
      <c r="C13622" s="1" t="str">
        <f>HYPERLINK("http://stackoverflow.com/users/3060628", "lifengdmu")</f>
        <v>lifengdmu</v>
      </c>
      <c r="D13622" t="s">
        <v>35</v>
      </c>
      <c r="E13622">
        <v>1</v>
      </c>
    </row>
    <row r="13623" spans="1:5" x14ac:dyDescent="0.25">
      <c r="A13623">
        <v>13622</v>
      </c>
      <c r="B13623">
        <v>8417494</v>
      </c>
      <c r="C13623" s="1" t="str">
        <f>HYPERLINK("http://stackoverflow.com/users/8417494", "Adam")</f>
        <v>Adam</v>
      </c>
      <c r="D13623" t="s">
        <v>15</v>
      </c>
      <c r="E13623">
        <v>1</v>
      </c>
    </row>
    <row r="13624" spans="1:5" x14ac:dyDescent="0.25">
      <c r="A13624">
        <v>13623</v>
      </c>
      <c r="B13624">
        <v>10231920</v>
      </c>
      <c r="C13624" s="1" t="str">
        <f>HYPERLINK("http://stackoverflow.com/users/10231920", "Bob Jia")</f>
        <v>Bob Jia</v>
      </c>
      <c r="D13624" t="s">
        <v>4</v>
      </c>
      <c r="E13624">
        <v>1</v>
      </c>
    </row>
    <row r="13625" spans="1:5" x14ac:dyDescent="0.25">
      <c r="A13625">
        <v>13624</v>
      </c>
      <c r="B13625">
        <v>10232110</v>
      </c>
      <c r="C13625" s="1" t="str">
        <f>HYPERLINK("http://stackoverflow.com/users/10232110", "wangwei1025")</f>
        <v>wangwei1025</v>
      </c>
      <c r="D13625" t="s">
        <v>78</v>
      </c>
      <c r="E13625">
        <v>1</v>
      </c>
    </row>
    <row r="13626" spans="1:5" x14ac:dyDescent="0.25">
      <c r="A13626">
        <v>13625</v>
      </c>
      <c r="B13626">
        <v>1066438</v>
      </c>
      <c r="C13626" s="1" t="str">
        <f>HYPERLINK("http://stackoverflow.com/users/1066438", "Lufang")</f>
        <v>Lufang</v>
      </c>
      <c r="D13626" t="s">
        <v>28</v>
      </c>
      <c r="E13626">
        <v>1</v>
      </c>
    </row>
    <row r="13627" spans="1:5" x14ac:dyDescent="0.25">
      <c r="A13627">
        <v>13626</v>
      </c>
      <c r="B13627">
        <v>1066464</v>
      </c>
      <c r="C13627" s="1" t="str">
        <f>HYPERLINK("http://stackoverflow.com/users/1066464", "coffeant")</f>
        <v>coffeant</v>
      </c>
      <c r="D13627" t="s">
        <v>5</v>
      </c>
      <c r="E13627">
        <v>1</v>
      </c>
    </row>
    <row r="13628" spans="1:5" x14ac:dyDescent="0.25">
      <c r="A13628">
        <v>13627</v>
      </c>
      <c r="B13628">
        <v>967399</v>
      </c>
      <c r="C13628" s="1" t="str">
        <f>HYPERLINK("http://stackoverflow.com/users/967399", "Liu Yongtai")</f>
        <v>Liu Yongtai</v>
      </c>
      <c r="D13628" t="s">
        <v>56</v>
      </c>
      <c r="E13628">
        <v>1</v>
      </c>
    </row>
    <row r="13629" spans="1:5" x14ac:dyDescent="0.25">
      <c r="A13629">
        <v>13628</v>
      </c>
      <c r="B13629">
        <v>2998633</v>
      </c>
      <c r="C13629" s="1" t="str">
        <f>HYPERLINK("http://stackoverflow.com/users/2998633", "lynn")</f>
        <v>lynn</v>
      </c>
      <c r="D13629" t="s">
        <v>5</v>
      </c>
      <c r="E13629">
        <v>1</v>
      </c>
    </row>
    <row r="13630" spans="1:5" x14ac:dyDescent="0.25">
      <c r="A13630">
        <v>13629</v>
      </c>
      <c r="B13630">
        <v>3001572</v>
      </c>
      <c r="C13630" s="1" t="str">
        <f>HYPERLINK("http://stackoverflow.com/users/3001572", "KOST")</f>
        <v>KOST</v>
      </c>
      <c r="D13630" t="s">
        <v>5</v>
      </c>
      <c r="E13630">
        <v>1</v>
      </c>
    </row>
    <row r="13631" spans="1:5" x14ac:dyDescent="0.25">
      <c r="A13631">
        <v>13630</v>
      </c>
      <c r="B13631">
        <v>6549478</v>
      </c>
      <c r="C13631" s="1" t="str">
        <f>HYPERLINK("http://stackoverflow.com/users/6549478", "alikesi90")</f>
        <v>alikesi90</v>
      </c>
      <c r="D13631" t="s">
        <v>4</v>
      </c>
      <c r="E13631">
        <v>1</v>
      </c>
    </row>
    <row r="13632" spans="1:5" x14ac:dyDescent="0.25">
      <c r="A13632">
        <v>13631</v>
      </c>
      <c r="B13632">
        <v>8361064</v>
      </c>
      <c r="C13632" s="1" t="str">
        <f>HYPERLINK("http://stackoverflow.com/users/8361064", "Yang Lu")</f>
        <v>Yang Lu</v>
      </c>
      <c r="D13632" t="s">
        <v>4</v>
      </c>
      <c r="E13632">
        <v>1</v>
      </c>
    </row>
    <row r="13633" spans="1:5" x14ac:dyDescent="0.25">
      <c r="A13633">
        <v>13632</v>
      </c>
      <c r="B13633">
        <v>8361083</v>
      </c>
      <c r="C13633" s="1" t="str">
        <f>HYPERLINK("http://stackoverflow.com/users/8361083", "Jingxuan.Chen")</f>
        <v>Jingxuan.Chen</v>
      </c>
      <c r="D13633" t="s">
        <v>5</v>
      </c>
      <c r="E13633">
        <v>1</v>
      </c>
    </row>
    <row r="13634" spans="1:5" x14ac:dyDescent="0.25">
      <c r="A13634">
        <v>13633</v>
      </c>
      <c r="B13634">
        <v>3001393</v>
      </c>
      <c r="C13634" s="1" t="str">
        <f>HYPERLINK("http://stackoverflow.com/users/3001393", "wacer")</f>
        <v>wacer</v>
      </c>
      <c r="D13634" t="s">
        <v>90</v>
      </c>
      <c r="E13634">
        <v>1</v>
      </c>
    </row>
    <row r="13635" spans="1:5" x14ac:dyDescent="0.25">
      <c r="A13635">
        <v>13634</v>
      </c>
      <c r="B13635">
        <v>2990554</v>
      </c>
      <c r="C13635" s="1" t="str">
        <f>HYPERLINK("http://stackoverflow.com/users/2990554", "yuxiang")</f>
        <v>yuxiang</v>
      </c>
      <c r="D13635" t="s">
        <v>5</v>
      </c>
      <c r="E13635">
        <v>1</v>
      </c>
    </row>
    <row r="13636" spans="1:5" x14ac:dyDescent="0.25">
      <c r="A13636">
        <v>13635</v>
      </c>
      <c r="B13636">
        <v>2990934</v>
      </c>
      <c r="C13636" s="1" t="str">
        <f>HYPERLINK("http://stackoverflow.com/users/2990934", "Lams")</f>
        <v>Lams</v>
      </c>
      <c r="D13636" t="s">
        <v>21</v>
      </c>
      <c r="E13636">
        <v>1</v>
      </c>
    </row>
    <row r="13637" spans="1:5" x14ac:dyDescent="0.25">
      <c r="A13637">
        <v>13636</v>
      </c>
      <c r="B13637">
        <v>8346531</v>
      </c>
      <c r="C13637" s="1" t="str">
        <f>HYPERLINK("http://stackoverflow.com/users/8346531", "noro")</f>
        <v>noro</v>
      </c>
      <c r="D13637" t="s">
        <v>36</v>
      </c>
      <c r="E13637">
        <v>1</v>
      </c>
    </row>
    <row r="13638" spans="1:5" x14ac:dyDescent="0.25">
      <c r="A13638">
        <v>13637</v>
      </c>
      <c r="B13638">
        <v>8351676</v>
      </c>
      <c r="C13638" s="1" t="str">
        <f>HYPERLINK("http://stackoverflow.com/users/8351676", "fenyan")</f>
        <v>fenyan</v>
      </c>
      <c r="D13638" t="s">
        <v>266</v>
      </c>
      <c r="E13638">
        <v>1</v>
      </c>
    </row>
    <row r="13639" spans="1:5" x14ac:dyDescent="0.25">
      <c r="A13639">
        <v>13638</v>
      </c>
      <c r="B13639">
        <v>8351794</v>
      </c>
      <c r="C13639" s="1" t="str">
        <f>HYPERLINK("http://stackoverflow.com/users/8351794", "jiaxing shi")</f>
        <v>jiaxing shi</v>
      </c>
      <c r="D13639" t="s">
        <v>131</v>
      </c>
      <c r="E13639">
        <v>1</v>
      </c>
    </row>
    <row r="13640" spans="1:5" x14ac:dyDescent="0.25">
      <c r="A13640">
        <v>13639</v>
      </c>
      <c r="B13640">
        <v>8351833</v>
      </c>
      <c r="C13640" s="1" t="str">
        <f>HYPERLINK("http://stackoverflow.com/users/8351833", "AmyW")</f>
        <v>AmyW</v>
      </c>
      <c r="D13640" t="s">
        <v>5</v>
      </c>
      <c r="E13640">
        <v>1</v>
      </c>
    </row>
    <row r="13641" spans="1:5" x14ac:dyDescent="0.25">
      <c r="A13641">
        <v>13640</v>
      </c>
      <c r="B13641">
        <v>952585</v>
      </c>
      <c r="C13641" s="1" t="str">
        <f>HYPERLINK("http://stackoverflow.com/users/952585", "chenghuaiyu")</f>
        <v>chenghuaiyu</v>
      </c>
      <c r="D13641" t="s">
        <v>5</v>
      </c>
      <c r="E13641">
        <v>1</v>
      </c>
    </row>
    <row r="13642" spans="1:5" x14ac:dyDescent="0.25">
      <c r="A13642">
        <v>13641</v>
      </c>
      <c r="B13642">
        <v>4817244</v>
      </c>
      <c r="C13642" s="1" t="str">
        <f>HYPERLINK("http://stackoverflow.com/users/4817244", "Jack Mi")</f>
        <v>Jack Mi</v>
      </c>
      <c r="D13642" t="s">
        <v>12</v>
      </c>
      <c r="E13642">
        <v>1</v>
      </c>
    </row>
    <row r="13643" spans="1:5" x14ac:dyDescent="0.25">
      <c r="A13643">
        <v>13642</v>
      </c>
      <c r="B13643">
        <v>4817247</v>
      </c>
      <c r="C13643" s="1" t="str">
        <f>HYPERLINK("http://stackoverflow.com/users/4817247", "dot")</f>
        <v>dot</v>
      </c>
      <c r="D13643" t="s">
        <v>5</v>
      </c>
      <c r="E13643">
        <v>1</v>
      </c>
    </row>
    <row r="13644" spans="1:5" x14ac:dyDescent="0.25">
      <c r="A13644">
        <v>13643</v>
      </c>
      <c r="B13644">
        <v>4817398</v>
      </c>
      <c r="C13644" s="1" t="str">
        <f>HYPERLINK("http://stackoverflow.com/users/4817398", "Yijie Wu")</f>
        <v>Yijie Wu</v>
      </c>
      <c r="D13644" t="s">
        <v>12</v>
      </c>
      <c r="E13644">
        <v>1</v>
      </c>
    </row>
    <row r="13645" spans="1:5" x14ac:dyDescent="0.25">
      <c r="A13645">
        <v>13644</v>
      </c>
      <c r="B13645">
        <v>8364203</v>
      </c>
      <c r="C13645" s="1" t="str">
        <f>HYPERLINK("http://stackoverflow.com/users/8364203", "Roger")</f>
        <v>Roger</v>
      </c>
      <c r="D13645" t="s">
        <v>7</v>
      </c>
      <c r="E13645">
        <v>1</v>
      </c>
    </row>
    <row r="13646" spans="1:5" x14ac:dyDescent="0.25">
      <c r="A13646">
        <v>13645</v>
      </c>
      <c r="B13646">
        <v>10178795</v>
      </c>
      <c r="C13646" s="1" t="str">
        <f>HYPERLINK("http://stackoverflow.com/users/10178795", "Invincible")</f>
        <v>Invincible</v>
      </c>
      <c r="D13646" t="s">
        <v>7</v>
      </c>
      <c r="E13646">
        <v>1</v>
      </c>
    </row>
    <row r="13647" spans="1:5" x14ac:dyDescent="0.25">
      <c r="A13647">
        <v>13646</v>
      </c>
      <c r="B13647">
        <v>10178807</v>
      </c>
      <c r="C13647" s="1" t="str">
        <f>HYPERLINK("http://stackoverflow.com/users/10178807", "郑炜程")</f>
        <v>郑炜程</v>
      </c>
      <c r="D13647" t="s">
        <v>24</v>
      </c>
      <c r="E13647">
        <v>1</v>
      </c>
    </row>
    <row r="13648" spans="1:5" x14ac:dyDescent="0.25">
      <c r="A13648">
        <v>13647</v>
      </c>
      <c r="B13648">
        <v>8366969</v>
      </c>
      <c r="C13648" s="1" t="str">
        <f>HYPERLINK("http://stackoverflow.com/users/8366969", "a. D")</f>
        <v>a. D</v>
      </c>
      <c r="D13648" t="s">
        <v>5</v>
      </c>
      <c r="E13648">
        <v>1</v>
      </c>
    </row>
    <row r="13649" spans="1:5" x14ac:dyDescent="0.25">
      <c r="A13649">
        <v>13648</v>
      </c>
      <c r="B13649">
        <v>8367048</v>
      </c>
      <c r="C13649" s="1" t="str">
        <f>HYPERLINK("http://stackoverflow.com/users/8367048", "Kananos")</f>
        <v>Kananos</v>
      </c>
      <c r="D13649" t="s">
        <v>22</v>
      </c>
      <c r="E13649">
        <v>1</v>
      </c>
    </row>
    <row r="13650" spans="1:5" x14ac:dyDescent="0.25">
      <c r="A13650">
        <v>13649</v>
      </c>
      <c r="B13650">
        <v>8367102</v>
      </c>
      <c r="C13650" s="1" t="str">
        <f>HYPERLINK("http://stackoverflow.com/users/8367102", "migrantdan")</f>
        <v>migrantdan</v>
      </c>
      <c r="D13650" t="s">
        <v>131</v>
      </c>
      <c r="E13650">
        <v>1</v>
      </c>
    </row>
    <row r="13651" spans="1:5" x14ac:dyDescent="0.25">
      <c r="A13651">
        <v>13650</v>
      </c>
      <c r="B13651">
        <v>8367466</v>
      </c>
      <c r="C13651" s="1" t="str">
        <f>HYPERLINK("http://stackoverflow.com/users/8367466", "Hospital Hippo")</f>
        <v>Hospital Hippo</v>
      </c>
      <c r="D13651" t="s">
        <v>5</v>
      </c>
      <c r="E13651">
        <v>1</v>
      </c>
    </row>
    <row r="13652" spans="1:5" x14ac:dyDescent="0.25">
      <c r="A13652">
        <v>13651</v>
      </c>
      <c r="B13652">
        <v>8367477</v>
      </c>
      <c r="C13652" s="1" t="str">
        <f>HYPERLINK("http://stackoverflow.com/users/8367477", "Allen")</f>
        <v>Allen</v>
      </c>
      <c r="D13652" t="s">
        <v>4</v>
      </c>
      <c r="E13652">
        <v>1</v>
      </c>
    </row>
    <row r="13653" spans="1:5" x14ac:dyDescent="0.25">
      <c r="A13653">
        <v>13652</v>
      </c>
      <c r="B13653">
        <v>4835403</v>
      </c>
      <c r="C13653" s="1" t="str">
        <f>HYPERLINK("http://stackoverflow.com/users/4835403", "Ahdim")</f>
        <v>Ahdim</v>
      </c>
      <c r="D13653" t="s">
        <v>635</v>
      </c>
      <c r="E13653">
        <v>1</v>
      </c>
    </row>
    <row r="13654" spans="1:5" x14ac:dyDescent="0.25">
      <c r="A13654">
        <v>13653</v>
      </c>
      <c r="B13654">
        <v>3007253</v>
      </c>
      <c r="C13654" s="1" t="str">
        <f>HYPERLINK("http://stackoverflow.com/users/3007253", "Bryan Deng")</f>
        <v>Bryan Deng</v>
      </c>
      <c r="D13654" t="s">
        <v>4</v>
      </c>
      <c r="E13654">
        <v>1</v>
      </c>
    </row>
    <row r="13655" spans="1:5" x14ac:dyDescent="0.25">
      <c r="A13655">
        <v>13654</v>
      </c>
      <c r="B13655">
        <v>3007358</v>
      </c>
      <c r="C13655" s="1" t="str">
        <f>HYPERLINK("http://stackoverflow.com/users/3007358", "aresli")</f>
        <v>aresli</v>
      </c>
      <c r="D13655" t="s">
        <v>4</v>
      </c>
      <c r="E13655">
        <v>1</v>
      </c>
    </row>
    <row r="13656" spans="1:5" x14ac:dyDescent="0.25">
      <c r="A13656">
        <v>13655</v>
      </c>
      <c r="B13656">
        <v>6554768</v>
      </c>
      <c r="C13656" s="1" t="str">
        <f>HYPERLINK("http://stackoverflow.com/users/6554768", "carrie")</f>
        <v>carrie</v>
      </c>
      <c r="D13656" t="s">
        <v>7</v>
      </c>
      <c r="E13656">
        <v>1</v>
      </c>
    </row>
    <row r="13657" spans="1:5" x14ac:dyDescent="0.25">
      <c r="A13657">
        <v>13656</v>
      </c>
      <c r="B13657">
        <v>6555044</v>
      </c>
      <c r="C13657" s="1" t="str">
        <f>HYPERLINK("http://stackoverflow.com/users/6555044", "poseidon")</f>
        <v>poseidon</v>
      </c>
      <c r="D13657" t="s">
        <v>16</v>
      </c>
      <c r="E13657">
        <v>1</v>
      </c>
    </row>
    <row r="13658" spans="1:5" x14ac:dyDescent="0.25">
      <c r="A13658">
        <v>13657</v>
      </c>
      <c r="B13658">
        <v>8375389</v>
      </c>
      <c r="C13658" s="1" t="str">
        <f>HYPERLINK("http://stackoverflow.com/users/8375389", "vurtne")</f>
        <v>vurtne</v>
      </c>
      <c r="D13658" t="s">
        <v>16</v>
      </c>
      <c r="E13658">
        <v>1</v>
      </c>
    </row>
    <row r="13659" spans="1:5" x14ac:dyDescent="0.25">
      <c r="A13659">
        <v>13658</v>
      </c>
      <c r="B13659">
        <v>8375433</v>
      </c>
      <c r="C13659" s="1" t="str">
        <f>HYPERLINK("http://stackoverflow.com/users/8375433", "caichao xu")</f>
        <v>caichao xu</v>
      </c>
      <c r="D13659" t="s">
        <v>16</v>
      </c>
      <c r="E13659">
        <v>1</v>
      </c>
    </row>
    <row r="13660" spans="1:5" x14ac:dyDescent="0.25">
      <c r="A13660">
        <v>13659</v>
      </c>
      <c r="B13660">
        <v>8375911</v>
      </c>
      <c r="C13660" s="1" t="str">
        <f>HYPERLINK("http://stackoverflow.com/users/8375911", "Malipalema")</f>
        <v>Malipalema</v>
      </c>
      <c r="D13660" t="s">
        <v>168</v>
      </c>
      <c r="E13660">
        <v>1</v>
      </c>
    </row>
    <row r="13661" spans="1:5" x14ac:dyDescent="0.25">
      <c r="A13661">
        <v>13660</v>
      </c>
      <c r="B13661">
        <v>3012400</v>
      </c>
      <c r="C13661" s="1" t="str">
        <f>HYPERLINK("http://stackoverflow.com/users/3012400", "jinjian")</f>
        <v>jinjian</v>
      </c>
      <c r="D13661" t="s">
        <v>5</v>
      </c>
      <c r="E13661">
        <v>1</v>
      </c>
    </row>
    <row r="13662" spans="1:5" x14ac:dyDescent="0.25">
      <c r="A13662">
        <v>13661</v>
      </c>
      <c r="B13662">
        <v>3012682</v>
      </c>
      <c r="C13662" s="1" t="str">
        <f>HYPERLINK("http://stackoverflow.com/users/3012682", "soldier")</f>
        <v>soldier</v>
      </c>
      <c r="D13662" t="s">
        <v>5</v>
      </c>
      <c r="E13662">
        <v>1</v>
      </c>
    </row>
    <row r="13663" spans="1:5" x14ac:dyDescent="0.25">
      <c r="A13663">
        <v>13662</v>
      </c>
      <c r="B13663">
        <v>3007820</v>
      </c>
      <c r="C13663" s="1" t="str">
        <f>HYPERLINK("http://stackoverflow.com/users/3007820", "Yin")</f>
        <v>Yin</v>
      </c>
      <c r="D13663" t="s">
        <v>5</v>
      </c>
      <c r="E13663">
        <v>1</v>
      </c>
    </row>
    <row r="13664" spans="1:5" x14ac:dyDescent="0.25">
      <c r="A13664">
        <v>13663</v>
      </c>
      <c r="B13664">
        <v>3007993</v>
      </c>
      <c r="C13664" s="1" t="str">
        <f>HYPERLINK("http://stackoverflow.com/users/3007993", "Jelly San")</f>
        <v>Jelly San</v>
      </c>
      <c r="D13664" t="s">
        <v>25</v>
      </c>
      <c r="E13664">
        <v>1</v>
      </c>
    </row>
    <row r="13665" spans="1:5" x14ac:dyDescent="0.25">
      <c r="A13665">
        <v>13664</v>
      </c>
      <c r="B13665">
        <v>3007996</v>
      </c>
      <c r="C13665" s="1" t="str">
        <f>HYPERLINK("http://stackoverflow.com/users/3007996", "zkai")</f>
        <v>zkai</v>
      </c>
      <c r="D13665" t="s">
        <v>752</v>
      </c>
      <c r="E13665">
        <v>1</v>
      </c>
    </row>
    <row r="13666" spans="1:5" x14ac:dyDescent="0.25">
      <c r="A13666">
        <v>13665</v>
      </c>
      <c r="B13666">
        <v>10181619</v>
      </c>
      <c r="C13666" s="1" t="str">
        <f>HYPERLINK("http://stackoverflow.com/users/10181619", "Jin ChongLin")</f>
        <v>Jin ChongLin</v>
      </c>
      <c r="D13666" t="s">
        <v>320</v>
      </c>
      <c r="E13666">
        <v>1</v>
      </c>
    </row>
    <row r="13667" spans="1:5" x14ac:dyDescent="0.25">
      <c r="A13667">
        <v>13666</v>
      </c>
      <c r="B13667">
        <v>8371486</v>
      </c>
      <c r="C13667" s="1" t="str">
        <f>HYPERLINK("http://stackoverflow.com/users/8371486", "张龙澎")</f>
        <v>张龙澎</v>
      </c>
      <c r="D13667" t="s">
        <v>120</v>
      </c>
      <c r="E13667">
        <v>1</v>
      </c>
    </row>
    <row r="13668" spans="1:5" x14ac:dyDescent="0.25">
      <c r="A13668">
        <v>13667</v>
      </c>
      <c r="B13668">
        <v>6561466</v>
      </c>
      <c r="C13668" s="1" t="str">
        <f>HYPERLINK("http://stackoverflow.com/users/6561466", "hanjm")</f>
        <v>hanjm</v>
      </c>
      <c r="D13668" t="s">
        <v>7</v>
      </c>
      <c r="E13668">
        <v>1</v>
      </c>
    </row>
    <row r="13669" spans="1:5" x14ac:dyDescent="0.25">
      <c r="A13669">
        <v>13668</v>
      </c>
      <c r="B13669">
        <v>4838431</v>
      </c>
      <c r="C13669" s="1" t="str">
        <f>HYPERLINK("http://stackoverflow.com/users/4838431", "chaos")</f>
        <v>chaos</v>
      </c>
      <c r="D13669" t="s">
        <v>16</v>
      </c>
      <c r="E13669">
        <v>1</v>
      </c>
    </row>
    <row r="13670" spans="1:5" x14ac:dyDescent="0.25">
      <c r="A13670">
        <v>13669</v>
      </c>
      <c r="B13670">
        <v>4857774</v>
      </c>
      <c r="C13670" s="1" t="str">
        <f>HYPERLINK("http://stackoverflow.com/users/4857774", "huapox")</f>
        <v>huapox</v>
      </c>
      <c r="D13670" t="s">
        <v>21</v>
      </c>
      <c r="E13670">
        <v>1</v>
      </c>
    </row>
    <row r="13671" spans="1:5" x14ac:dyDescent="0.25">
      <c r="A13671">
        <v>13670</v>
      </c>
      <c r="B13671">
        <v>8393113</v>
      </c>
      <c r="C13671" s="1" t="str">
        <f>HYPERLINK("http://stackoverflow.com/users/8393113", "denisloto")</f>
        <v>denisloto</v>
      </c>
      <c r="D13671" t="s">
        <v>4</v>
      </c>
      <c r="E13671">
        <v>1</v>
      </c>
    </row>
    <row r="13672" spans="1:5" x14ac:dyDescent="0.25">
      <c r="A13672">
        <v>13671</v>
      </c>
      <c r="B13672">
        <v>8393214</v>
      </c>
      <c r="C13672" s="1" t="str">
        <f>HYPERLINK("http://stackoverflow.com/users/8393214", "RTWest")</f>
        <v>RTWest</v>
      </c>
      <c r="D13672" t="s">
        <v>52</v>
      </c>
      <c r="E13672">
        <v>1</v>
      </c>
    </row>
    <row r="13673" spans="1:5" x14ac:dyDescent="0.25">
      <c r="A13673">
        <v>13672</v>
      </c>
      <c r="B13673">
        <v>8393346</v>
      </c>
      <c r="C13673" s="1" t="str">
        <f>HYPERLINK("http://stackoverflow.com/users/8393346", "Willis Young")</f>
        <v>Willis Young</v>
      </c>
      <c r="D13673" t="s">
        <v>5</v>
      </c>
      <c r="E13673">
        <v>1</v>
      </c>
    </row>
    <row r="13674" spans="1:5" x14ac:dyDescent="0.25">
      <c r="A13674">
        <v>13673</v>
      </c>
      <c r="B13674">
        <v>10211608</v>
      </c>
      <c r="C13674" s="1" t="str">
        <f>HYPERLINK("http://stackoverflow.com/users/10211608", "findmetalizedfilms")</f>
        <v>findmetalizedfilms</v>
      </c>
      <c r="D13674" t="s">
        <v>753</v>
      </c>
      <c r="E13674">
        <v>1</v>
      </c>
    </row>
    <row r="13675" spans="1:5" x14ac:dyDescent="0.25">
      <c r="A13675">
        <v>13674</v>
      </c>
      <c r="B13675">
        <v>8396973</v>
      </c>
      <c r="C13675" s="1" t="str">
        <f>HYPERLINK("http://stackoverflow.com/users/8396973", "Venli Li")</f>
        <v>Venli Li</v>
      </c>
      <c r="D13675" t="s">
        <v>7</v>
      </c>
      <c r="E13675">
        <v>1</v>
      </c>
    </row>
    <row r="13676" spans="1:5" x14ac:dyDescent="0.25">
      <c r="A13676">
        <v>13675</v>
      </c>
      <c r="B13676">
        <v>8397077</v>
      </c>
      <c r="C13676" s="1" t="str">
        <f>HYPERLINK("http://stackoverflow.com/users/8397077", "zhang")</f>
        <v>zhang</v>
      </c>
      <c r="D13676" t="s">
        <v>4</v>
      </c>
      <c r="E13676">
        <v>1</v>
      </c>
    </row>
    <row r="13677" spans="1:5" x14ac:dyDescent="0.25">
      <c r="A13677">
        <v>13676</v>
      </c>
      <c r="B13677">
        <v>8397559</v>
      </c>
      <c r="C13677" s="1" t="str">
        <f>HYPERLINK("http://stackoverflow.com/users/8397559", "YakekIng")</f>
        <v>YakekIng</v>
      </c>
      <c r="D13677" t="s">
        <v>25</v>
      </c>
      <c r="E13677">
        <v>1</v>
      </c>
    </row>
    <row r="13678" spans="1:5" x14ac:dyDescent="0.25">
      <c r="A13678">
        <v>13677</v>
      </c>
      <c r="B13678">
        <v>4860712</v>
      </c>
      <c r="C13678" s="1" t="str">
        <f>HYPERLINK("http://stackoverflow.com/users/4860712", "Roc Sheh")</f>
        <v>Roc Sheh</v>
      </c>
      <c r="D13678" t="s">
        <v>5</v>
      </c>
      <c r="E13678">
        <v>1</v>
      </c>
    </row>
    <row r="13679" spans="1:5" x14ac:dyDescent="0.25">
      <c r="A13679">
        <v>13678</v>
      </c>
      <c r="B13679">
        <v>4860810</v>
      </c>
      <c r="C13679" s="1" t="str">
        <f>HYPERLINK("http://stackoverflow.com/users/4860810", "CoderJee")</f>
        <v>CoderJee</v>
      </c>
      <c r="D13679" t="s">
        <v>5</v>
      </c>
      <c r="E13679">
        <v>1</v>
      </c>
    </row>
    <row r="13680" spans="1:5" x14ac:dyDescent="0.25">
      <c r="A13680">
        <v>13679</v>
      </c>
      <c r="B13680">
        <v>4861070</v>
      </c>
      <c r="C13680" s="1" t="str">
        <f>HYPERLINK("http://stackoverflow.com/users/4861070", "Lechao Cheng")</f>
        <v>Lechao Cheng</v>
      </c>
      <c r="D13680" t="s">
        <v>12</v>
      </c>
      <c r="E13680">
        <v>1</v>
      </c>
    </row>
    <row r="13681" spans="1:5" x14ac:dyDescent="0.25">
      <c r="A13681">
        <v>13680</v>
      </c>
      <c r="B13681">
        <v>4861143</v>
      </c>
      <c r="C13681" s="1" t="str">
        <f>HYPERLINK("http://stackoverflow.com/users/4861143", "aisolae")</f>
        <v>aisolae</v>
      </c>
      <c r="D13681" t="s">
        <v>15</v>
      </c>
      <c r="E13681">
        <v>1</v>
      </c>
    </row>
    <row r="13682" spans="1:5" x14ac:dyDescent="0.25">
      <c r="A13682">
        <v>13681</v>
      </c>
      <c r="B13682">
        <v>4861331</v>
      </c>
      <c r="C13682" s="1" t="str">
        <f>HYPERLINK("http://stackoverflow.com/users/4861331", "tty")</f>
        <v>tty</v>
      </c>
      <c r="D13682" t="s">
        <v>5</v>
      </c>
      <c r="E13682">
        <v>1</v>
      </c>
    </row>
    <row r="13683" spans="1:5" x14ac:dyDescent="0.25">
      <c r="A13683">
        <v>13682</v>
      </c>
      <c r="B13683">
        <v>3040412</v>
      </c>
      <c r="C13683" s="1" t="str">
        <f>HYPERLINK("http://stackoverflow.com/users/3040412", "Chen mw")</f>
        <v>Chen mw</v>
      </c>
      <c r="D13683" t="s">
        <v>4</v>
      </c>
      <c r="E13683">
        <v>1</v>
      </c>
    </row>
    <row r="13684" spans="1:5" x14ac:dyDescent="0.25">
      <c r="A13684">
        <v>13683</v>
      </c>
      <c r="B13684">
        <v>3040694</v>
      </c>
      <c r="C13684" s="1" t="str">
        <f>HYPERLINK("http://stackoverflow.com/users/3040694", "Joanna Wu")</f>
        <v>Joanna Wu</v>
      </c>
      <c r="D13684" t="s">
        <v>5</v>
      </c>
      <c r="E13684">
        <v>1</v>
      </c>
    </row>
    <row r="13685" spans="1:5" x14ac:dyDescent="0.25">
      <c r="A13685">
        <v>13684</v>
      </c>
      <c r="B13685">
        <v>3040619</v>
      </c>
      <c r="C13685" s="1" t="str">
        <f>HYPERLINK("http://stackoverflow.com/users/3040619", "Qingrong")</f>
        <v>Qingrong</v>
      </c>
      <c r="D13685" t="s">
        <v>4</v>
      </c>
      <c r="E13685">
        <v>1</v>
      </c>
    </row>
    <row r="13686" spans="1:5" x14ac:dyDescent="0.25">
      <c r="A13686">
        <v>13685</v>
      </c>
      <c r="B13686">
        <v>10207503</v>
      </c>
      <c r="C13686" s="1" t="str">
        <f>HYPERLINK("http://stackoverflow.com/users/10207503", "nii tettey")</f>
        <v>nii tettey</v>
      </c>
      <c r="D13686" t="s">
        <v>5</v>
      </c>
      <c r="E13686">
        <v>1</v>
      </c>
    </row>
    <row r="13687" spans="1:5" x14ac:dyDescent="0.25">
      <c r="A13687">
        <v>13686</v>
      </c>
      <c r="B13687">
        <v>3020014</v>
      </c>
      <c r="C13687" s="1" t="str">
        <f>HYPERLINK("http://stackoverflow.com/users/3020014", "Jeff Fu")</f>
        <v>Jeff Fu</v>
      </c>
      <c r="D13687" t="s">
        <v>5</v>
      </c>
      <c r="E13687">
        <v>1</v>
      </c>
    </row>
    <row r="13688" spans="1:5" x14ac:dyDescent="0.25">
      <c r="A13688">
        <v>13687</v>
      </c>
      <c r="B13688">
        <v>3020166</v>
      </c>
      <c r="C13688" s="1" t="str">
        <f>HYPERLINK("http://stackoverflow.com/users/3020166", "user3020166")</f>
        <v>user3020166</v>
      </c>
      <c r="D13688" t="s">
        <v>5</v>
      </c>
      <c r="E13688">
        <v>1</v>
      </c>
    </row>
    <row r="13689" spans="1:5" x14ac:dyDescent="0.25">
      <c r="A13689">
        <v>13688</v>
      </c>
      <c r="B13689">
        <v>8379514</v>
      </c>
      <c r="C13689" s="1" t="str">
        <f>HYPERLINK("http://stackoverflow.com/users/8379514", "Forrest")</f>
        <v>Forrest</v>
      </c>
      <c r="D13689" t="s">
        <v>5</v>
      </c>
      <c r="E13689">
        <v>1</v>
      </c>
    </row>
    <row r="13690" spans="1:5" x14ac:dyDescent="0.25">
      <c r="A13690">
        <v>13689</v>
      </c>
      <c r="B13690">
        <v>8379577</v>
      </c>
      <c r="C13690" s="1" t="str">
        <f>HYPERLINK("http://stackoverflow.com/users/8379577", "L.H. Xu")</f>
        <v>L.H. Xu</v>
      </c>
      <c r="D13690" t="s">
        <v>33</v>
      </c>
      <c r="E13690">
        <v>1</v>
      </c>
    </row>
    <row r="13691" spans="1:5" x14ac:dyDescent="0.25">
      <c r="A13691">
        <v>13690</v>
      </c>
      <c r="B13691">
        <v>8380039</v>
      </c>
      <c r="C13691" s="1" t="str">
        <f>HYPERLINK("http://stackoverflow.com/users/8380039", "Eminem Weng")</f>
        <v>Eminem Weng</v>
      </c>
      <c r="D13691" t="s">
        <v>5</v>
      </c>
      <c r="E13691">
        <v>1</v>
      </c>
    </row>
    <row r="13692" spans="1:5" x14ac:dyDescent="0.25">
      <c r="A13692">
        <v>13691</v>
      </c>
      <c r="B13692">
        <v>6569043</v>
      </c>
      <c r="C13692" s="1" t="str">
        <f>HYPERLINK("http://stackoverflow.com/users/6569043", "1p1pd")</f>
        <v>1p1pd</v>
      </c>
      <c r="D13692" t="s">
        <v>4</v>
      </c>
      <c r="E13692">
        <v>1</v>
      </c>
    </row>
    <row r="13693" spans="1:5" x14ac:dyDescent="0.25">
      <c r="A13693">
        <v>13692</v>
      </c>
      <c r="B13693">
        <v>6569054</v>
      </c>
      <c r="C13693" s="1" t="str">
        <f>HYPERLINK("http://stackoverflow.com/users/6569054", "Rayho")</f>
        <v>Rayho</v>
      </c>
      <c r="D13693" t="s">
        <v>21</v>
      </c>
      <c r="E13693">
        <v>1</v>
      </c>
    </row>
    <row r="13694" spans="1:5" x14ac:dyDescent="0.25">
      <c r="A13694">
        <v>13693</v>
      </c>
      <c r="B13694">
        <v>8384285</v>
      </c>
      <c r="C13694" s="1" t="str">
        <f>HYPERLINK("http://stackoverflow.com/users/8384285", "Jimmy")</f>
        <v>Jimmy</v>
      </c>
      <c r="D13694" t="s">
        <v>5</v>
      </c>
      <c r="E13694">
        <v>1</v>
      </c>
    </row>
    <row r="13695" spans="1:5" x14ac:dyDescent="0.25">
      <c r="A13695">
        <v>13694</v>
      </c>
      <c r="B13695">
        <v>8384373</v>
      </c>
      <c r="C13695" s="1" t="str">
        <f>HYPERLINK("http://stackoverflow.com/users/8384373", "macro")</f>
        <v>macro</v>
      </c>
      <c r="D13695" t="s">
        <v>367</v>
      </c>
      <c r="E13695">
        <v>1</v>
      </c>
    </row>
    <row r="13696" spans="1:5" x14ac:dyDescent="0.25">
      <c r="A13696">
        <v>13695</v>
      </c>
      <c r="B13696">
        <v>8384491</v>
      </c>
      <c r="C13696" s="1" t="str">
        <f>HYPERLINK("http://stackoverflow.com/users/8384491", "Horror Kwan")</f>
        <v>Horror Kwan</v>
      </c>
      <c r="D13696" t="s">
        <v>25</v>
      </c>
      <c r="E13696">
        <v>1</v>
      </c>
    </row>
    <row r="13697" spans="1:5" x14ac:dyDescent="0.25">
      <c r="A13697">
        <v>13696</v>
      </c>
      <c r="B13697">
        <v>8384501</v>
      </c>
      <c r="C13697" s="1" t="str">
        <f>HYPERLINK("http://stackoverflow.com/users/8384501", "Jenny HiFi")</f>
        <v>Jenny HiFi</v>
      </c>
      <c r="D13697" t="s">
        <v>4</v>
      </c>
      <c r="E13697">
        <v>1</v>
      </c>
    </row>
    <row r="13698" spans="1:5" x14ac:dyDescent="0.25">
      <c r="A13698">
        <v>13697</v>
      </c>
      <c r="B13698">
        <v>8384630</v>
      </c>
      <c r="C13698" s="1" t="str">
        <f>HYPERLINK("http://stackoverflow.com/users/8384630", "Kevin_ma")</f>
        <v>Kevin_ma</v>
      </c>
      <c r="D13698" t="s">
        <v>55</v>
      </c>
      <c r="E13698">
        <v>1</v>
      </c>
    </row>
    <row r="13699" spans="1:5" x14ac:dyDescent="0.25">
      <c r="A13699">
        <v>13698</v>
      </c>
      <c r="B13699">
        <v>8384752</v>
      </c>
      <c r="C13699" s="1" t="str">
        <f>HYPERLINK("http://stackoverflow.com/users/8384752", "hugo")</f>
        <v>hugo</v>
      </c>
      <c r="D13699" t="s">
        <v>28</v>
      </c>
      <c r="E13699">
        <v>1</v>
      </c>
    </row>
    <row r="13700" spans="1:5" x14ac:dyDescent="0.25">
      <c r="A13700">
        <v>13699</v>
      </c>
      <c r="B13700">
        <v>8388460</v>
      </c>
      <c r="C13700" s="1" t="str">
        <f>HYPERLINK("http://stackoverflow.com/users/8388460", "zhiyong")</f>
        <v>zhiyong</v>
      </c>
      <c r="D13700" t="s">
        <v>168</v>
      </c>
      <c r="E13700">
        <v>1</v>
      </c>
    </row>
    <row r="13701" spans="1:5" x14ac:dyDescent="0.25">
      <c r="A13701">
        <v>13700</v>
      </c>
      <c r="B13701">
        <v>8388968</v>
      </c>
      <c r="C13701" s="1" t="str">
        <f>HYPERLINK("http://stackoverflow.com/users/8388968", "Eric Ho")</f>
        <v>Eric Ho</v>
      </c>
      <c r="D13701" t="s">
        <v>754</v>
      </c>
      <c r="E13701">
        <v>1</v>
      </c>
    </row>
    <row r="13702" spans="1:5" x14ac:dyDescent="0.25">
      <c r="A13702">
        <v>13701</v>
      </c>
      <c r="B13702">
        <v>8389105</v>
      </c>
      <c r="C13702" s="1" t="str">
        <f>HYPERLINK("http://stackoverflow.com/users/8389105", "NekodRider")</f>
        <v>NekodRider</v>
      </c>
      <c r="D13702" t="s">
        <v>52</v>
      </c>
      <c r="E13702">
        <v>1</v>
      </c>
    </row>
    <row r="13703" spans="1:5" x14ac:dyDescent="0.25">
      <c r="A13703">
        <v>13702</v>
      </c>
      <c r="B13703">
        <v>8389160</v>
      </c>
      <c r="C13703" s="1" t="str">
        <f>HYPERLINK("http://stackoverflow.com/users/8389160", "Garrett He")</f>
        <v>Garrett He</v>
      </c>
      <c r="D13703" t="s">
        <v>7</v>
      </c>
      <c r="E13703">
        <v>1</v>
      </c>
    </row>
    <row r="13704" spans="1:5" x14ac:dyDescent="0.25">
      <c r="A13704">
        <v>13703</v>
      </c>
      <c r="B13704">
        <v>1019800</v>
      </c>
      <c r="C13704" s="1" t="str">
        <f>HYPERLINK("http://stackoverflow.com/users/1019800", "Dong")</f>
        <v>Dong</v>
      </c>
      <c r="D13704" t="s">
        <v>3</v>
      </c>
      <c r="E13704">
        <v>1</v>
      </c>
    </row>
    <row r="13705" spans="1:5" x14ac:dyDescent="0.25">
      <c r="A13705">
        <v>13704</v>
      </c>
      <c r="B13705">
        <v>10198950</v>
      </c>
      <c r="C13705" s="1" t="str">
        <f>HYPERLINK("http://stackoverflow.com/users/10198950", "Andrew van Nostrand")</f>
        <v>Andrew van Nostrand</v>
      </c>
      <c r="D13705" t="s">
        <v>25</v>
      </c>
      <c r="E13705">
        <v>1</v>
      </c>
    </row>
    <row r="13706" spans="1:5" x14ac:dyDescent="0.25">
      <c r="A13706">
        <v>13705</v>
      </c>
      <c r="B13706">
        <v>6572684</v>
      </c>
      <c r="C13706" s="1" t="str">
        <f>HYPERLINK("http://stackoverflow.com/users/6572684", "Law Yan")</f>
        <v>Law Yan</v>
      </c>
      <c r="D13706" t="s">
        <v>7</v>
      </c>
      <c r="E13706">
        <v>1</v>
      </c>
    </row>
    <row r="13707" spans="1:5" x14ac:dyDescent="0.25">
      <c r="A13707">
        <v>13706</v>
      </c>
      <c r="B13707">
        <v>4850169</v>
      </c>
      <c r="C13707" s="1" t="str">
        <f>HYPERLINK("http://stackoverflow.com/users/4850169", "davy zhang")</f>
        <v>davy zhang</v>
      </c>
      <c r="D13707" t="s">
        <v>5</v>
      </c>
      <c r="E13707">
        <v>1</v>
      </c>
    </row>
    <row r="13708" spans="1:5" x14ac:dyDescent="0.25">
      <c r="A13708">
        <v>13707</v>
      </c>
      <c r="B13708">
        <v>3029899</v>
      </c>
      <c r="C13708" s="1" t="str">
        <f>HYPERLINK("http://stackoverflow.com/users/3029899", "Vennie Do")</f>
        <v>Vennie Do</v>
      </c>
      <c r="D13708" t="s">
        <v>4</v>
      </c>
      <c r="E13708">
        <v>1</v>
      </c>
    </row>
    <row r="13709" spans="1:5" x14ac:dyDescent="0.25">
      <c r="A13709">
        <v>13708</v>
      </c>
      <c r="B13709">
        <v>3030033</v>
      </c>
      <c r="C13709" s="1" t="str">
        <f>HYPERLINK("http://stackoverflow.com/users/3030033", "DayBreak")</f>
        <v>DayBreak</v>
      </c>
      <c r="D13709" t="s">
        <v>755</v>
      </c>
      <c r="E13709">
        <v>1</v>
      </c>
    </row>
    <row r="13710" spans="1:5" x14ac:dyDescent="0.25">
      <c r="A13710">
        <v>13709</v>
      </c>
      <c r="B13710">
        <v>3030083</v>
      </c>
      <c r="C13710" s="1" t="str">
        <f>HYPERLINK("http://stackoverflow.com/users/3030083", "ringlog")</f>
        <v>ringlog</v>
      </c>
      <c r="D13710" t="s">
        <v>5</v>
      </c>
      <c r="E13710">
        <v>1</v>
      </c>
    </row>
    <row r="13711" spans="1:5" x14ac:dyDescent="0.25">
      <c r="A13711">
        <v>13710</v>
      </c>
      <c r="B13711">
        <v>3030180</v>
      </c>
      <c r="C13711" s="1" t="str">
        <f>HYPERLINK("http://stackoverflow.com/users/3030180", "HenryLeung")</f>
        <v>HenryLeung</v>
      </c>
      <c r="D13711" t="s">
        <v>21</v>
      </c>
      <c r="E13711">
        <v>1</v>
      </c>
    </row>
    <row r="13712" spans="1:5" x14ac:dyDescent="0.25">
      <c r="A13712">
        <v>13711</v>
      </c>
      <c r="B13712">
        <v>3030262</v>
      </c>
      <c r="C13712" s="1" t="str">
        <f>HYPERLINK("http://stackoverflow.com/users/3030262", "Dastan")</f>
        <v>Dastan</v>
      </c>
      <c r="D13712" t="s">
        <v>5</v>
      </c>
      <c r="E13712">
        <v>1</v>
      </c>
    </row>
    <row r="13713" spans="1:5" x14ac:dyDescent="0.25">
      <c r="A13713">
        <v>13712</v>
      </c>
      <c r="B13713">
        <v>4458299</v>
      </c>
      <c r="C13713" s="1" t="str">
        <f>HYPERLINK("http://stackoverflow.com/users/4458299", "Zhixiong Cai")</f>
        <v>Zhixiong Cai</v>
      </c>
      <c r="D13713" t="s">
        <v>756</v>
      </c>
      <c r="E13713">
        <v>1</v>
      </c>
    </row>
    <row r="13714" spans="1:5" x14ac:dyDescent="0.25">
      <c r="A13714">
        <v>13713</v>
      </c>
      <c r="B13714">
        <v>7961732</v>
      </c>
      <c r="C13714" s="1" t="str">
        <f>HYPERLINK("http://stackoverflow.com/users/7961732", "Andres Wang")</f>
        <v>Andres Wang</v>
      </c>
      <c r="D13714" t="s">
        <v>79</v>
      </c>
      <c r="E13714">
        <v>1</v>
      </c>
    </row>
    <row r="13715" spans="1:5" x14ac:dyDescent="0.25">
      <c r="A13715">
        <v>13714</v>
      </c>
      <c r="B13715">
        <v>339764</v>
      </c>
      <c r="C13715" s="1" t="str">
        <f>HYPERLINK("http://stackoverflow.com/users/339764", "lqik2004")</f>
        <v>lqik2004</v>
      </c>
      <c r="D13715" t="s">
        <v>5</v>
      </c>
      <c r="E13715">
        <v>1</v>
      </c>
    </row>
    <row r="13716" spans="1:5" x14ac:dyDescent="0.25">
      <c r="A13716">
        <v>13715</v>
      </c>
      <c r="B13716">
        <v>6187166</v>
      </c>
      <c r="C13716" s="1" t="str">
        <f>HYPERLINK("http://stackoverflow.com/users/6187166", "XuCanHui")</f>
        <v>XuCanHui</v>
      </c>
      <c r="D13716" t="s">
        <v>15</v>
      </c>
      <c r="E13716">
        <v>1</v>
      </c>
    </row>
    <row r="13717" spans="1:5" x14ac:dyDescent="0.25">
      <c r="A13717">
        <v>13716</v>
      </c>
      <c r="B13717">
        <v>318214</v>
      </c>
      <c r="C13717" s="1" t="str">
        <f>HYPERLINK("http://stackoverflow.com/users/318214", "Jerry Chou")</f>
        <v>Jerry Chou</v>
      </c>
      <c r="D13717" t="s">
        <v>3</v>
      </c>
      <c r="E13717">
        <v>1</v>
      </c>
    </row>
    <row r="13718" spans="1:5" x14ac:dyDescent="0.25">
      <c r="A13718">
        <v>13717</v>
      </c>
      <c r="B13718">
        <v>9757499</v>
      </c>
      <c r="C13718" s="1" t="str">
        <f>HYPERLINK("http://stackoverflow.com/users/9757499", "Terry Nong")</f>
        <v>Terry Nong</v>
      </c>
      <c r="D13718" t="s">
        <v>36</v>
      </c>
      <c r="E13718">
        <v>1</v>
      </c>
    </row>
    <row r="13719" spans="1:5" x14ac:dyDescent="0.25">
      <c r="A13719">
        <v>13718</v>
      </c>
      <c r="B13719">
        <v>6180295</v>
      </c>
      <c r="C13719" s="1" t="str">
        <f>HYPERLINK("http://stackoverflow.com/users/6180295", "陈昊喆")</f>
        <v>陈昊喆</v>
      </c>
      <c r="D13719" t="s">
        <v>108</v>
      </c>
      <c r="E13719">
        <v>1</v>
      </c>
    </row>
    <row r="13720" spans="1:5" x14ac:dyDescent="0.25">
      <c r="A13720">
        <v>13719</v>
      </c>
      <c r="B13720">
        <v>6180572</v>
      </c>
      <c r="C13720" s="1" t="str">
        <f>HYPERLINK("http://stackoverflow.com/users/6180572", "kingxxx123")</f>
        <v>kingxxx123</v>
      </c>
      <c r="D13720" t="s">
        <v>16</v>
      </c>
      <c r="E13720">
        <v>1</v>
      </c>
    </row>
    <row r="13721" spans="1:5" x14ac:dyDescent="0.25">
      <c r="A13721">
        <v>13720</v>
      </c>
      <c r="B13721">
        <v>9764923</v>
      </c>
      <c r="C13721" s="1" t="str">
        <f>HYPERLINK("http://stackoverflow.com/users/9764923", "Alex Wen")</f>
        <v>Alex Wen</v>
      </c>
      <c r="D13721" t="s">
        <v>178</v>
      </c>
      <c r="E13721">
        <v>1</v>
      </c>
    </row>
    <row r="13722" spans="1:5" x14ac:dyDescent="0.25">
      <c r="A13722">
        <v>13721</v>
      </c>
      <c r="B13722">
        <v>4452099</v>
      </c>
      <c r="C13722" s="1" t="str">
        <f>HYPERLINK("http://stackoverflow.com/users/4452099", "TinySha")</f>
        <v>TinySha</v>
      </c>
      <c r="D13722" t="s">
        <v>16</v>
      </c>
      <c r="E13722">
        <v>1</v>
      </c>
    </row>
    <row r="13723" spans="1:5" x14ac:dyDescent="0.25">
      <c r="A13723">
        <v>13722</v>
      </c>
      <c r="B13723">
        <v>7969885</v>
      </c>
      <c r="C13723" s="1" t="str">
        <f>HYPERLINK("http://stackoverflow.com/users/7969885", "user7969885")</f>
        <v>user7969885</v>
      </c>
      <c r="D13723" t="s">
        <v>4</v>
      </c>
      <c r="E13723">
        <v>1</v>
      </c>
    </row>
    <row r="13724" spans="1:5" x14ac:dyDescent="0.25">
      <c r="A13724">
        <v>13723</v>
      </c>
      <c r="B13724">
        <v>7976220</v>
      </c>
      <c r="C13724" s="1" t="str">
        <f>HYPERLINK("http://stackoverflow.com/users/7976220", "YunpanWang")</f>
        <v>YunpanWang</v>
      </c>
      <c r="D13724" t="s">
        <v>33</v>
      </c>
      <c r="E13724">
        <v>1</v>
      </c>
    </row>
    <row r="13725" spans="1:5" x14ac:dyDescent="0.25">
      <c r="A13725">
        <v>13724</v>
      </c>
      <c r="B13725">
        <v>7976293</v>
      </c>
      <c r="C13725" s="1" t="str">
        <f>HYPERLINK("http://stackoverflow.com/users/7976293", "david wang")</f>
        <v>david wang</v>
      </c>
      <c r="D13725" t="s">
        <v>5</v>
      </c>
      <c r="E13725">
        <v>1</v>
      </c>
    </row>
    <row r="13726" spans="1:5" x14ac:dyDescent="0.25">
      <c r="A13726">
        <v>13725</v>
      </c>
      <c r="B13726">
        <v>9788188</v>
      </c>
      <c r="C13726" s="1" t="str">
        <f>HYPERLINK("http://stackoverflow.com/users/9788188", "zhl")</f>
        <v>zhl</v>
      </c>
      <c r="D13726" t="s">
        <v>22</v>
      </c>
      <c r="E13726">
        <v>1</v>
      </c>
    </row>
    <row r="13727" spans="1:5" x14ac:dyDescent="0.25">
      <c r="A13727">
        <v>13726</v>
      </c>
      <c r="B13727">
        <v>2620847</v>
      </c>
      <c r="C13727" s="1" t="str">
        <f>HYPERLINK("http://stackoverflow.com/users/2620847", "snake9906")</f>
        <v>snake9906</v>
      </c>
      <c r="D13727" t="s">
        <v>37</v>
      </c>
      <c r="E13727">
        <v>1</v>
      </c>
    </row>
    <row r="13728" spans="1:5" x14ac:dyDescent="0.25">
      <c r="A13728">
        <v>13727</v>
      </c>
      <c r="B13728">
        <v>2620948</v>
      </c>
      <c r="C13728" s="1" t="str">
        <f>HYPERLINK("http://stackoverflow.com/users/2620948", "leejan")</f>
        <v>leejan</v>
      </c>
      <c r="D13728" t="s">
        <v>4</v>
      </c>
      <c r="E13728">
        <v>1</v>
      </c>
    </row>
    <row r="13729" spans="1:5" x14ac:dyDescent="0.25">
      <c r="A13729">
        <v>13728</v>
      </c>
      <c r="B13729">
        <v>2631062</v>
      </c>
      <c r="C13729" s="1" t="str">
        <f>HYPERLINK("http://stackoverflow.com/users/2631062", "Shawn")</f>
        <v>Shawn</v>
      </c>
      <c r="D13729" t="s">
        <v>5</v>
      </c>
      <c r="E13729">
        <v>1</v>
      </c>
    </row>
    <row r="13730" spans="1:5" x14ac:dyDescent="0.25">
      <c r="A13730">
        <v>13729</v>
      </c>
      <c r="B13730">
        <v>7984223</v>
      </c>
      <c r="C13730" s="1" t="str">
        <f>HYPERLINK("http://stackoverflow.com/users/7984223", "Quincy")</f>
        <v>Quincy</v>
      </c>
      <c r="D13730" t="s">
        <v>757</v>
      </c>
      <c r="E13730">
        <v>1</v>
      </c>
    </row>
    <row r="13731" spans="1:5" x14ac:dyDescent="0.25">
      <c r="A13731">
        <v>13730</v>
      </c>
      <c r="B13731">
        <v>7984601</v>
      </c>
      <c r="C13731" s="1" t="str">
        <f>HYPERLINK("http://stackoverflow.com/users/7984601", "BOURAS Mohamed Amine")</f>
        <v>BOURAS Mohamed Amine</v>
      </c>
      <c r="D13731" t="s">
        <v>5</v>
      </c>
      <c r="E13731">
        <v>1</v>
      </c>
    </row>
    <row r="13732" spans="1:5" x14ac:dyDescent="0.25">
      <c r="A13732">
        <v>13731</v>
      </c>
      <c r="B13732">
        <v>2620978</v>
      </c>
      <c r="C13732" s="1" t="str">
        <f>HYPERLINK("http://stackoverflow.com/users/2620978", "sealon")</f>
        <v>sealon</v>
      </c>
      <c r="D13732" t="s">
        <v>5</v>
      </c>
      <c r="E13732">
        <v>1</v>
      </c>
    </row>
    <row r="13733" spans="1:5" x14ac:dyDescent="0.25">
      <c r="A13733">
        <v>13732</v>
      </c>
      <c r="B13733">
        <v>2621127</v>
      </c>
      <c r="C13733" s="1" t="str">
        <f>HYPERLINK("http://stackoverflow.com/users/2621127", "sparkhoom")</f>
        <v>sparkhoom</v>
      </c>
      <c r="D13733" t="s">
        <v>758</v>
      </c>
      <c r="E13733">
        <v>1</v>
      </c>
    </row>
    <row r="13734" spans="1:5" x14ac:dyDescent="0.25">
      <c r="A13734">
        <v>13733</v>
      </c>
      <c r="B13734">
        <v>2621946</v>
      </c>
      <c r="C13734" s="1" t="str">
        <f>HYPERLINK("http://stackoverflow.com/users/2621946", "malasang")</f>
        <v>malasang</v>
      </c>
      <c r="D13734" t="s">
        <v>5</v>
      </c>
      <c r="E13734">
        <v>1</v>
      </c>
    </row>
    <row r="13735" spans="1:5" x14ac:dyDescent="0.25">
      <c r="A13735">
        <v>13734</v>
      </c>
      <c r="B13735">
        <v>2622256</v>
      </c>
      <c r="C13735" s="1" t="str">
        <f>HYPERLINK("http://stackoverflow.com/users/2622256", "ZhaoTing")</f>
        <v>ZhaoTing</v>
      </c>
      <c r="D13735" t="s">
        <v>5</v>
      </c>
      <c r="E13735">
        <v>1</v>
      </c>
    </row>
    <row r="13736" spans="1:5" x14ac:dyDescent="0.25">
      <c r="A13736">
        <v>13735</v>
      </c>
      <c r="B13736">
        <v>2630578</v>
      </c>
      <c r="C13736" s="1" t="str">
        <f>HYPERLINK("http://stackoverflow.com/users/2630578", "wangyang")</f>
        <v>wangyang</v>
      </c>
      <c r="D13736" t="s">
        <v>194</v>
      </c>
      <c r="E13736">
        <v>1</v>
      </c>
    </row>
    <row r="13737" spans="1:5" x14ac:dyDescent="0.25">
      <c r="A13737">
        <v>13736</v>
      </c>
      <c r="B13737">
        <v>7997261</v>
      </c>
      <c r="C13737" s="1" t="str">
        <f>HYPERLINK("http://stackoverflow.com/users/7997261", "Hansey Lee")</f>
        <v>Hansey Lee</v>
      </c>
      <c r="D13737" t="s">
        <v>4</v>
      </c>
      <c r="E13737">
        <v>1</v>
      </c>
    </row>
    <row r="13738" spans="1:5" x14ac:dyDescent="0.25">
      <c r="A13738">
        <v>13737</v>
      </c>
      <c r="B13738">
        <v>7997322</v>
      </c>
      <c r="C13738" s="1" t="str">
        <f>HYPERLINK("http://stackoverflow.com/users/7997322", "Chand")</f>
        <v>Chand</v>
      </c>
      <c r="D13738" t="s">
        <v>15</v>
      </c>
      <c r="E13738">
        <v>1</v>
      </c>
    </row>
    <row r="13739" spans="1:5" x14ac:dyDescent="0.25">
      <c r="A13739">
        <v>13738</v>
      </c>
      <c r="B13739">
        <v>7997762</v>
      </c>
      <c r="C13739" s="1" t="str">
        <f>HYPERLINK("http://stackoverflow.com/users/7997762", "Jackdaw")</f>
        <v>Jackdaw</v>
      </c>
      <c r="D13739" t="s">
        <v>118</v>
      </c>
      <c r="E13739">
        <v>1</v>
      </c>
    </row>
    <row r="13740" spans="1:5" x14ac:dyDescent="0.25">
      <c r="A13740">
        <v>13739</v>
      </c>
      <c r="B13740">
        <v>7997880</v>
      </c>
      <c r="C13740" s="1" t="str">
        <f>HYPERLINK("http://stackoverflow.com/users/7997880", "shuliang")</f>
        <v>shuliang</v>
      </c>
      <c r="D13740" t="s">
        <v>5</v>
      </c>
      <c r="E13740">
        <v>1</v>
      </c>
    </row>
    <row r="13741" spans="1:5" x14ac:dyDescent="0.25">
      <c r="A13741">
        <v>13740</v>
      </c>
      <c r="B13741">
        <v>6213474</v>
      </c>
      <c r="C13741" s="1" t="str">
        <f>HYPERLINK("http://stackoverflow.com/users/6213474", "Woo Snow")</f>
        <v>Woo Snow</v>
      </c>
      <c r="D13741" t="s">
        <v>5</v>
      </c>
      <c r="E13741">
        <v>1</v>
      </c>
    </row>
    <row r="13742" spans="1:5" x14ac:dyDescent="0.25">
      <c r="A13742">
        <v>13741</v>
      </c>
      <c r="B13742">
        <v>9803415</v>
      </c>
      <c r="C13742" s="1" t="str">
        <f>HYPERLINK("http://stackoverflow.com/users/9803415", "Zane")</f>
        <v>Zane</v>
      </c>
      <c r="D13742" t="s">
        <v>5</v>
      </c>
      <c r="E13742">
        <v>1</v>
      </c>
    </row>
    <row r="13743" spans="1:5" x14ac:dyDescent="0.25">
      <c r="A13743">
        <v>13742</v>
      </c>
      <c r="B13743">
        <v>9803439</v>
      </c>
      <c r="C13743" s="1" t="str">
        <f>HYPERLINK("http://stackoverflow.com/users/9803439", "黄玉梅")</f>
        <v>黄玉梅</v>
      </c>
      <c r="D13743" t="s">
        <v>21</v>
      </c>
      <c r="E13743">
        <v>1</v>
      </c>
    </row>
    <row r="13744" spans="1:5" x14ac:dyDescent="0.25">
      <c r="A13744">
        <v>13743</v>
      </c>
      <c r="B13744">
        <v>9803442</v>
      </c>
      <c r="C13744" s="1" t="str">
        <f>HYPERLINK("http://stackoverflow.com/users/9803442", "bugang")</f>
        <v>bugang</v>
      </c>
      <c r="D13744" t="s">
        <v>133</v>
      </c>
      <c r="E13744">
        <v>1</v>
      </c>
    </row>
    <row r="13745" spans="1:5" x14ac:dyDescent="0.25">
      <c r="A13745">
        <v>13744</v>
      </c>
      <c r="B13745">
        <v>9803452</v>
      </c>
      <c r="C13745" s="1" t="str">
        <f>HYPERLINK("http://stackoverflow.com/users/9803452", "xuan hu")</f>
        <v>xuan hu</v>
      </c>
      <c r="D13745" t="s">
        <v>241</v>
      </c>
      <c r="E13745">
        <v>1</v>
      </c>
    </row>
    <row r="13746" spans="1:5" x14ac:dyDescent="0.25">
      <c r="A13746">
        <v>13745</v>
      </c>
      <c r="B13746">
        <v>9803727</v>
      </c>
      <c r="C13746" s="1" t="str">
        <f>HYPERLINK("http://stackoverflow.com/users/9803727", "J.Echo")</f>
        <v>J.Echo</v>
      </c>
      <c r="D13746" t="s">
        <v>4</v>
      </c>
      <c r="E13746">
        <v>1</v>
      </c>
    </row>
    <row r="13747" spans="1:5" x14ac:dyDescent="0.25">
      <c r="A13747">
        <v>13746</v>
      </c>
      <c r="B13747">
        <v>9803783</v>
      </c>
      <c r="C13747" s="1" t="str">
        <f>HYPERLINK("http://stackoverflow.com/users/9803783", "H.Yalin")</f>
        <v>H.Yalin</v>
      </c>
      <c r="D13747" t="s">
        <v>242</v>
      </c>
      <c r="E13747">
        <v>1</v>
      </c>
    </row>
    <row r="13748" spans="1:5" x14ac:dyDescent="0.25">
      <c r="A13748">
        <v>13747</v>
      </c>
      <c r="B13748">
        <v>9803869</v>
      </c>
      <c r="C13748" s="1" t="str">
        <f>HYPERLINK("http://stackoverflow.com/users/9803869", "Guangqian Ren")</f>
        <v>Guangqian Ren</v>
      </c>
      <c r="D13748" t="s">
        <v>5</v>
      </c>
      <c r="E13748">
        <v>1</v>
      </c>
    </row>
    <row r="13749" spans="1:5" x14ac:dyDescent="0.25">
      <c r="A13749">
        <v>13748</v>
      </c>
      <c r="B13749">
        <v>8006753</v>
      </c>
      <c r="C13749" s="1" t="str">
        <f>HYPERLINK("http://stackoverflow.com/users/8006753", "Allen")</f>
        <v>Allen</v>
      </c>
      <c r="D13749" t="s">
        <v>52</v>
      </c>
      <c r="E13749">
        <v>1</v>
      </c>
    </row>
    <row r="13750" spans="1:5" x14ac:dyDescent="0.25">
      <c r="A13750">
        <v>13749</v>
      </c>
      <c r="B13750">
        <v>9825460</v>
      </c>
      <c r="C13750" s="1" t="str">
        <f>HYPERLINK("http://stackoverflow.com/users/9825460", "WebDevStar")</f>
        <v>WebDevStar</v>
      </c>
      <c r="D13750" t="s">
        <v>214</v>
      </c>
      <c r="E13750">
        <v>1</v>
      </c>
    </row>
    <row r="13751" spans="1:5" x14ac:dyDescent="0.25">
      <c r="A13751">
        <v>13750</v>
      </c>
      <c r="B13751">
        <v>9825598</v>
      </c>
      <c r="C13751" s="1" t="str">
        <f>HYPERLINK("http://stackoverflow.com/users/9825598", "Lizy")</f>
        <v>Lizy</v>
      </c>
      <c r="D13751" t="s">
        <v>5</v>
      </c>
      <c r="E13751">
        <v>1</v>
      </c>
    </row>
    <row r="13752" spans="1:5" x14ac:dyDescent="0.25">
      <c r="A13752">
        <v>13751</v>
      </c>
      <c r="B13752">
        <v>8013358</v>
      </c>
      <c r="C13752" s="1" t="str">
        <f>HYPERLINK("http://stackoverflow.com/users/8013358", "Lyndon")</f>
        <v>Lyndon</v>
      </c>
      <c r="D13752" t="s">
        <v>759</v>
      </c>
      <c r="E13752">
        <v>1</v>
      </c>
    </row>
    <row r="13753" spans="1:5" x14ac:dyDescent="0.25">
      <c r="A13753">
        <v>13752</v>
      </c>
      <c r="B13753">
        <v>8013414</v>
      </c>
      <c r="C13753" s="1" t="str">
        <f>HYPERLINK("http://stackoverflow.com/users/8013414", "chaofan")</f>
        <v>chaofan</v>
      </c>
      <c r="D13753" t="s">
        <v>399</v>
      </c>
      <c r="E13753">
        <v>1</v>
      </c>
    </row>
    <row r="13754" spans="1:5" x14ac:dyDescent="0.25">
      <c r="A13754">
        <v>13753</v>
      </c>
      <c r="B13754">
        <v>423629</v>
      </c>
      <c r="C13754" s="1" t="str">
        <f>HYPERLINK("http://stackoverflow.com/users/423629", "Andy")</f>
        <v>Andy</v>
      </c>
      <c r="D13754" t="s">
        <v>5</v>
      </c>
      <c r="E13754">
        <v>1</v>
      </c>
    </row>
    <row r="13755" spans="1:5" x14ac:dyDescent="0.25">
      <c r="A13755">
        <v>13754</v>
      </c>
      <c r="B13755">
        <v>9809801</v>
      </c>
      <c r="C13755" s="1" t="str">
        <f>HYPERLINK("http://stackoverflow.com/users/9809801", "Y.Fynn")</f>
        <v>Y.Fynn</v>
      </c>
      <c r="D13755" t="s">
        <v>5</v>
      </c>
      <c r="E13755">
        <v>1</v>
      </c>
    </row>
    <row r="13756" spans="1:5" x14ac:dyDescent="0.25">
      <c r="A13756">
        <v>13755</v>
      </c>
      <c r="B13756">
        <v>6218820</v>
      </c>
      <c r="C13756" s="1" t="str">
        <f>HYPERLINK("http://stackoverflow.com/users/6218820", "DeeWu")</f>
        <v>DeeWu</v>
      </c>
      <c r="D13756" t="s">
        <v>7</v>
      </c>
      <c r="E13756">
        <v>1</v>
      </c>
    </row>
    <row r="13757" spans="1:5" x14ac:dyDescent="0.25">
      <c r="A13757">
        <v>13756</v>
      </c>
      <c r="B13757">
        <v>6218843</v>
      </c>
      <c r="C13757" s="1" t="str">
        <f>HYPERLINK("http://stackoverflow.com/users/6218843", "dicky0621")</f>
        <v>dicky0621</v>
      </c>
      <c r="D13757" t="s">
        <v>5</v>
      </c>
      <c r="E13757">
        <v>1</v>
      </c>
    </row>
    <row r="13758" spans="1:5" x14ac:dyDescent="0.25">
      <c r="A13758">
        <v>13757</v>
      </c>
      <c r="B13758">
        <v>6219137</v>
      </c>
      <c r="C13758" s="1" t="str">
        <f>HYPERLINK("http://stackoverflow.com/users/6219137", "凌 风")</f>
        <v>凌 风</v>
      </c>
      <c r="D13758" t="s">
        <v>4</v>
      </c>
      <c r="E13758">
        <v>1</v>
      </c>
    </row>
    <row r="13759" spans="1:5" x14ac:dyDescent="0.25">
      <c r="A13759">
        <v>13758</v>
      </c>
      <c r="B13759">
        <v>6219394</v>
      </c>
      <c r="C13759" s="1" t="str">
        <f>HYPERLINK("http://stackoverflow.com/users/6219394", "Chih Philips")</f>
        <v>Chih Philips</v>
      </c>
      <c r="D13759" t="s">
        <v>29</v>
      </c>
      <c r="E13759">
        <v>1</v>
      </c>
    </row>
    <row r="13760" spans="1:5" x14ac:dyDescent="0.25">
      <c r="A13760">
        <v>13759</v>
      </c>
      <c r="B13760">
        <v>8006042</v>
      </c>
      <c r="C13760" s="1" t="str">
        <f>HYPERLINK("http://stackoverflow.com/users/8006042", "Xikai Huang")</f>
        <v>Xikai Huang</v>
      </c>
      <c r="D13760" t="s">
        <v>16</v>
      </c>
      <c r="E13760">
        <v>1</v>
      </c>
    </row>
    <row r="13761" spans="1:5" x14ac:dyDescent="0.25">
      <c r="A13761">
        <v>13760</v>
      </c>
      <c r="B13761">
        <v>8006412</v>
      </c>
      <c r="C13761" s="1" t="str">
        <f>HYPERLINK("http://stackoverflow.com/users/8006412", "summertian")</f>
        <v>summertian</v>
      </c>
      <c r="D13761" t="s">
        <v>4</v>
      </c>
      <c r="E13761">
        <v>1</v>
      </c>
    </row>
    <row r="13762" spans="1:5" x14ac:dyDescent="0.25">
      <c r="A13762">
        <v>13761</v>
      </c>
      <c r="B13762">
        <v>8006440</v>
      </c>
      <c r="C13762" s="1" t="str">
        <f>HYPERLINK("http://stackoverflow.com/users/8006440", "livEEvil")</f>
        <v>livEEvil</v>
      </c>
      <c r="D13762" t="s">
        <v>5</v>
      </c>
      <c r="E13762">
        <v>1</v>
      </c>
    </row>
    <row r="13763" spans="1:5" x14ac:dyDescent="0.25">
      <c r="A13763">
        <v>13762</v>
      </c>
      <c r="B13763">
        <v>6264327</v>
      </c>
      <c r="C13763" s="1" t="str">
        <f>HYPERLINK("http://stackoverflow.com/users/6264327", "EmceeinPRC")</f>
        <v>EmceeinPRC</v>
      </c>
      <c r="D13763" t="s">
        <v>5</v>
      </c>
      <c r="E13763">
        <v>1</v>
      </c>
    </row>
    <row r="13764" spans="1:5" x14ac:dyDescent="0.25">
      <c r="A13764">
        <v>13763</v>
      </c>
      <c r="B13764">
        <v>6264372</v>
      </c>
      <c r="C13764" s="1" t="str">
        <f>HYPERLINK("http://stackoverflow.com/users/6264372", "jiangfang cheung")</f>
        <v>jiangfang cheung</v>
      </c>
      <c r="D13764" t="s">
        <v>7</v>
      </c>
      <c r="E13764">
        <v>1</v>
      </c>
    </row>
    <row r="13765" spans="1:5" x14ac:dyDescent="0.25">
      <c r="A13765">
        <v>13764</v>
      </c>
      <c r="B13765">
        <v>6264571</v>
      </c>
      <c r="C13765" s="1" t="str">
        <f>HYPERLINK("http://stackoverflow.com/users/6264571", "Fergus")</f>
        <v>Fergus</v>
      </c>
      <c r="D13765" t="s">
        <v>4</v>
      </c>
      <c r="E13765">
        <v>1</v>
      </c>
    </row>
    <row r="13766" spans="1:5" x14ac:dyDescent="0.25">
      <c r="A13766">
        <v>13765</v>
      </c>
      <c r="B13766">
        <v>6264754</v>
      </c>
      <c r="C13766" s="1" t="str">
        <f>HYPERLINK("http://stackoverflow.com/users/6264754", "Vince.Xu")</f>
        <v>Vince.Xu</v>
      </c>
      <c r="D13766" t="s">
        <v>25</v>
      </c>
      <c r="E13766">
        <v>1</v>
      </c>
    </row>
    <row r="13767" spans="1:5" x14ac:dyDescent="0.25">
      <c r="A13767">
        <v>13766</v>
      </c>
      <c r="B13767">
        <v>8047150</v>
      </c>
      <c r="C13767" s="1" t="str">
        <f>HYPERLINK("http://stackoverflow.com/users/8047150", "Jim")</f>
        <v>Jim</v>
      </c>
      <c r="D13767" t="s">
        <v>55</v>
      </c>
      <c r="E13767">
        <v>1</v>
      </c>
    </row>
    <row r="13768" spans="1:5" x14ac:dyDescent="0.25">
      <c r="A13768">
        <v>13767</v>
      </c>
      <c r="B13768">
        <v>2689829</v>
      </c>
      <c r="C13768" s="1" t="str">
        <f>HYPERLINK("http://stackoverflow.com/users/2689829", "Rabo Xie")</f>
        <v>Rabo Xie</v>
      </c>
      <c r="D13768" t="s">
        <v>22</v>
      </c>
      <c r="E13768">
        <v>1</v>
      </c>
    </row>
    <row r="13769" spans="1:5" x14ac:dyDescent="0.25">
      <c r="A13769">
        <v>13768</v>
      </c>
      <c r="B13769">
        <v>9856606</v>
      </c>
      <c r="C13769" s="1" t="str">
        <f>HYPERLINK("http://stackoverflow.com/users/9856606", "33zhen")</f>
        <v>33zhen</v>
      </c>
      <c r="D13769" t="s">
        <v>760</v>
      </c>
      <c r="E13769">
        <v>1</v>
      </c>
    </row>
    <row r="13770" spans="1:5" x14ac:dyDescent="0.25">
      <c r="A13770">
        <v>13769</v>
      </c>
      <c r="B13770">
        <v>8039887</v>
      </c>
      <c r="C13770" s="1" t="str">
        <f>HYPERLINK("http://stackoverflow.com/users/8039887", "dotNetDR_")</f>
        <v>dotNetDR_</v>
      </c>
      <c r="D13770" t="s">
        <v>5</v>
      </c>
      <c r="E13770">
        <v>1</v>
      </c>
    </row>
    <row r="13771" spans="1:5" x14ac:dyDescent="0.25">
      <c r="A13771">
        <v>13770</v>
      </c>
      <c r="B13771">
        <v>8040001</v>
      </c>
      <c r="C13771" s="1" t="str">
        <f>HYPERLINK("http://stackoverflow.com/users/8040001", "Lu Ran")</f>
        <v>Lu Ran</v>
      </c>
      <c r="D13771" t="s">
        <v>62</v>
      </c>
      <c r="E13771">
        <v>1</v>
      </c>
    </row>
    <row r="13772" spans="1:5" x14ac:dyDescent="0.25">
      <c r="A13772">
        <v>13771</v>
      </c>
      <c r="B13772">
        <v>8042793</v>
      </c>
      <c r="C13772" s="1" t="str">
        <f>HYPERLINK("http://stackoverflow.com/users/8042793", "Colin Lee")</f>
        <v>Colin Lee</v>
      </c>
      <c r="D13772" t="s">
        <v>35</v>
      </c>
      <c r="E13772">
        <v>1</v>
      </c>
    </row>
    <row r="13773" spans="1:5" x14ac:dyDescent="0.25">
      <c r="A13773">
        <v>13772</v>
      </c>
      <c r="B13773">
        <v>9860180</v>
      </c>
      <c r="C13773" s="1" t="str">
        <f>HYPERLINK("http://stackoverflow.com/users/9860180", "Paul.W")</f>
        <v>Paul.W</v>
      </c>
      <c r="D13773" t="s">
        <v>33</v>
      </c>
      <c r="E13773">
        <v>1</v>
      </c>
    </row>
    <row r="13774" spans="1:5" x14ac:dyDescent="0.25">
      <c r="A13774">
        <v>13773</v>
      </c>
      <c r="B13774">
        <v>4542495</v>
      </c>
      <c r="C13774" s="1" t="str">
        <f>HYPERLINK("http://stackoverflow.com/users/4542495", "洪建喜")</f>
        <v>洪建喜</v>
      </c>
      <c r="D13774" t="s">
        <v>25</v>
      </c>
      <c r="E13774">
        <v>1</v>
      </c>
    </row>
    <row r="13775" spans="1:5" x14ac:dyDescent="0.25">
      <c r="A13775">
        <v>13774</v>
      </c>
      <c r="B13775">
        <v>6269408</v>
      </c>
      <c r="C13775" s="1" t="str">
        <f>HYPERLINK("http://stackoverflow.com/users/6269408", "gc5p")</f>
        <v>gc5p</v>
      </c>
      <c r="D13775" t="s">
        <v>118</v>
      </c>
      <c r="E13775">
        <v>1</v>
      </c>
    </row>
    <row r="13776" spans="1:5" x14ac:dyDescent="0.25">
      <c r="A13776">
        <v>13775</v>
      </c>
      <c r="B13776">
        <v>8052237</v>
      </c>
      <c r="C13776" s="1" t="str">
        <f>HYPERLINK("http://stackoverflow.com/users/8052237", "刘向龙")</f>
        <v>刘向龙</v>
      </c>
      <c r="D13776" t="s">
        <v>5</v>
      </c>
      <c r="E13776">
        <v>1</v>
      </c>
    </row>
    <row r="13777" spans="1:5" x14ac:dyDescent="0.25">
      <c r="A13777">
        <v>13776</v>
      </c>
      <c r="B13777">
        <v>8052443</v>
      </c>
      <c r="C13777" s="1" t="str">
        <f>HYPERLINK("http://stackoverflow.com/users/8052443", "Jingfeng Guo")</f>
        <v>Jingfeng Guo</v>
      </c>
      <c r="D13777" t="s">
        <v>17</v>
      </c>
      <c r="E13777">
        <v>1</v>
      </c>
    </row>
    <row r="13778" spans="1:5" x14ac:dyDescent="0.25">
      <c r="A13778">
        <v>13777</v>
      </c>
      <c r="B13778">
        <v>2701205</v>
      </c>
      <c r="C13778" s="1" t="str">
        <f>HYPERLINK("http://stackoverflow.com/users/2701205", "Yuhang")</f>
        <v>Yuhang</v>
      </c>
      <c r="D13778" t="s">
        <v>5</v>
      </c>
      <c r="E13778">
        <v>1</v>
      </c>
    </row>
    <row r="13779" spans="1:5" x14ac:dyDescent="0.25">
      <c r="A13779">
        <v>13778</v>
      </c>
      <c r="B13779">
        <v>8056092</v>
      </c>
      <c r="C13779" s="1" t="str">
        <f>HYPERLINK("http://stackoverflow.com/users/8056092", "Rollo Castel")</f>
        <v>Rollo Castel</v>
      </c>
      <c r="D13779" t="s">
        <v>7</v>
      </c>
      <c r="E13779">
        <v>1</v>
      </c>
    </row>
    <row r="13780" spans="1:5" x14ac:dyDescent="0.25">
      <c r="A13780">
        <v>13779</v>
      </c>
      <c r="B13780">
        <v>8056404</v>
      </c>
      <c r="C13780" s="1" t="str">
        <f>HYPERLINK("http://stackoverflow.com/users/8056404", "Rui LIU")</f>
        <v>Rui LIU</v>
      </c>
      <c r="D13780" t="s">
        <v>114</v>
      </c>
      <c r="E13780">
        <v>1</v>
      </c>
    </row>
    <row r="13781" spans="1:5" x14ac:dyDescent="0.25">
      <c r="A13781">
        <v>13780</v>
      </c>
      <c r="B13781">
        <v>8056763</v>
      </c>
      <c r="C13781" s="1" t="str">
        <f>HYPERLINK("http://stackoverflow.com/users/8056763", "William")</f>
        <v>William</v>
      </c>
      <c r="D13781" t="s">
        <v>4</v>
      </c>
      <c r="E13781">
        <v>1</v>
      </c>
    </row>
    <row r="13782" spans="1:5" x14ac:dyDescent="0.25">
      <c r="A13782">
        <v>13781</v>
      </c>
      <c r="B13782">
        <v>4518844</v>
      </c>
      <c r="C13782" s="1" t="str">
        <f>HYPERLINK("http://stackoverflow.com/users/4518844", "fengzhao")</f>
        <v>fengzhao</v>
      </c>
      <c r="D13782" t="s">
        <v>17</v>
      </c>
      <c r="E13782">
        <v>1</v>
      </c>
    </row>
    <row r="13783" spans="1:5" x14ac:dyDescent="0.25">
      <c r="A13783">
        <v>13782</v>
      </c>
      <c r="B13783">
        <v>9833613</v>
      </c>
      <c r="C13783" s="1" t="str">
        <f>HYPERLINK("http://stackoverflow.com/users/9833613", "weiguang wang")</f>
        <v>weiguang wang</v>
      </c>
      <c r="D13783" t="s">
        <v>28</v>
      </c>
      <c r="E13783">
        <v>1</v>
      </c>
    </row>
    <row r="13784" spans="1:5" x14ac:dyDescent="0.25">
      <c r="A13784">
        <v>13783</v>
      </c>
      <c r="B13784">
        <v>6241261</v>
      </c>
      <c r="C13784" s="1" t="str">
        <f>HYPERLINK("http://stackoverflow.com/users/6241261", "Xiaosen Zheng")</f>
        <v>Xiaosen Zheng</v>
      </c>
      <c r="D13784" t="s">
        <v>29</v>
      </c>
      <c r="E13784">
        <v>1</v>
      </c>
    </row>
    <row r="13785" spans="1:5" x14ac:dyDescent="0.25">
      <c r="A13785">
        <v>13784</v>
      </c>
      <c r="B13785">
        <v>6241443</v>
      </c>
      <c r="C13785" s="1" t="str">
        <f>HYPERLINK("http://stackoverflow.com/users/6241443", "conan.eos")</f>
        <v>conan.eos</v>
      </c>
      <c r="D13785" t="s">
        <v>4</v>
      </c>
      <c r="E13785">
        <v>1</v>
      </c>
    </row>
    <row r="13786" spans="1:5" x14ac:dyDescent="0.25">
      <c r="A13786">
        <v>13785</v>
      </c>
      <c r="B13786">
        <v>6241461</v>
      </c>
      <c r="C13786" s="1" t="str">
        <f>HYPERLINK("http://stackoverflow.com/users/6241461", "Greytailang")</f>
        <v>Greytailang</v>
      </c>
      <c r="D13786" t="s">
        <v>25</v>
      </c>
      <c r="E13786">
        <v>1</v>
      </c>
    </row>
    <row r="13787" spans="1:5" x14ac:dyDescent="0.25">
      <c r="A13787">
        <v>13786</v>
      </c>
      <c r="B13787">
        <v>2663782</v>
      </c>
      <c r="C13787" s="1" t="str">
        <f>HYPERLINK("http://stackoverflow.com/users/2663782", "raymond_yang")</f>
        <v>raymond_yang</v>
      </c>
      <c r="D13787" t="s">
        <v>12</v>
      </c>
      <c r="E13787">
        <v>1</v>
      </c>
    </row>
    <row r="13788" spans="1:5" x14ac:dyDescent="0.25">
      <c r="A13788">
        <v>13787</v>
      </c>
      <c r="B13788">
        <v>2663886</v>
      </c>
      <c r="C13788" s="1" t="str">
        <f>HYPERLINK("http://stackoverflow.com/users/2663886", "xujingreate")</f>
        <v>xujingreate</v>
      </c>
      <c r="D13788" t="s">
        <v>5</v>
      </c>
      <c r="E13788">
        <v>1</v>
      </c>
    </row>
    <row r="13789" spans="1:5" x14ac:dyDescent="0.25">
      <c r="A13789">
        <v>13788</v>
      </c>
      <c r="B13789">
        <v>2664361</v>
      </c>
      <c r="C13789" s="1" t="str">
        <f>HYPERLINK("http://stackoverflow.com/users/2664361", "ywx217")</f>
        <v>ywx217</v>
      </c>
      <c r="D13789" t="s">
        <v>5</v>
      </c>
      <c r="E13789">
        <v>1</v>
      </c>
    </row>
    <row r="13790" spans="1:5" x14ac:dyDescent="0.25">
      <c r="A13790">
        <v>13789</v>
      </c>
      <c r="B13790">
        <v>2662962</v>
      </c>
      <c r="C13790" s="1" t="str">
        <f>HYPERLINK("http://stackoverflow.com/users/2662962", "yolynn")</f>
        <v>yolynn</v>
      </c>
      <c r="D13790" t="s">
        <v>17</v>
      </c>
      <c r="E13790">
        <v>1</v>
      </c>
    </row>
    <row r="13791" spans="1:5" x14ac:dyDescent="0.25">
      <c r="A13791">
        <v>13790</v>
      </c>
      <c r="B13791">
        <v>2663008</v>
      </c>
      <c r="C13791" s="1" t="str">
        <f>HYPERLINK("http://stackoverflow.com/users/2663008", "TigerXiao")</f>
        <v>TigerXiao</v>
      </c>
      <c r="D13791" t="s">
        <v>4</v>
      </c>
      <c r="E13791">
        <v>1</v>
      </c>
    </row>
    <row r="13792" spans="1:5" x14ac:dyDescent="0.25">
      <c r="A13792">
        <v>13791</v>
      </c>
      <c r="B13792">
        <v>9839826</v>
      </c>
      <c r="C13792" s="1" t="str">
        <f>HYPERLINK("http://stackoverflow.com/users/9839826", "josec")</f>
        <v>josec</v>
      </c>
      <c r="D13792" t="s">
        <v>4</v>
      </c>
      <c r="E13792">
        <v>1</v>
      </c>
    </row>
    <row r="13793" spans="1:5" x14ac:dyDescent="0.25">
      <c r="A13793">
        <v>13792</v>
      </c>
      <c r="B13793">
        <v>8034715</v>
      </c>
      <c r="C13793" s="1" t="str">
        <f>HYPERLINK("http://stackoverflow.com/users/8034715", "rkTerence")</f>
        <v>rkTerence</v>
      </c>
      <c r="D13793" t="s">
        <v>16</v>
      </c>
      <c r="E13793">
        <v>1</v>
      </c>
    </row>
    <row r="13794" spans="1:5" x14ac:dyDescent="0.25">
      <c r="A13794">
        <v>13793</v>
      </c>
      <c r="B13794">
        <v>8034816</v>
      </c>
      <c r="C13794" s="1" t="str">
        <f>HYPERLINK("http://stackoverflow.com/users/8034816", "lizengtao")</f>
        <v>lizengtao</v>
      </c>
      <c r="D13794" t="s">
        <v>4</v>
      </c>
      <c r="E13794">
        <v>1</v>
      </c>
    </row>
    <row r="13795" spans="1:5" x14ac:dyDescent="0.25">
      <c r="A13795">
        <v>13794</v>
      </c>
      <c r="B13795">
        <v>8035282</v>
      </c>
      <c r="C13795" s="1" t="str">
        <f>HYPERLINK("http://stackoverflow.com/users/8035282", "Aamir Alizai")</f>
        <v>Aamir Alizai</v>
      </c>
      <c r="D13795" t="s">
        <v>761</v>
      </c>
      <c r="E13795">
        <v>1</v>
      </c>
    </row>
    <row r="13796" spans="1:5" x14ac:dyDescent="0.25">
      <c r="A13796">
        <v>13795</v>
      </c>
      <c r="B13796">
        <v>9847943</v>
      </c>
      <c r="C13796" s="1" t="str">
        <f>HYPERLINK("http://stackoverflow.com/users/9847943", "keithxiaoa")</f>
        <v>keithxiaoa</v>
      </c>
      <c r="D13796" t="s">
        <v>269</v>
      </c>
      <c r="E13796">
        <v>1</v>
      </c>
    </row>
    <row r="13797" spans="1:5" x14ac:dyDescent="0.25">
      <c r="A13797">
        <v>13796</v>
      </c>
      <c r="B13797">
        <v>6254013</v>
      </c>
      <c r="C13797" s="1" t="str">
        <f>HYPERLINK("http://stackoverflow.com/users/6254013", "maylv")</f>
        <v>maylv</v>
      </c>
      <c r="D13797" t="s">
        <v>5</v>
      </c>
      <c r="E13797">
        <v>1</v>
      </c>
    </row>
    <row r="13798" spans="1:5" x14ac:dyDescent="0.25">
      <c r="A13798">
        <v>13797</v>
      </c>
      <c r="B13798">
        <v>8039285</v>
      </c>
      <c r="C13798" s="1" t="str">
        <f>HYPERLINK("http://stackoverflow.com/users/8039285", "IAMEVANHE")</f>
        <v>IAMEVANHE</v>
      </c>
      <c r="D13798" t="s">
        <v>7</v>
      </c>
      <c r="E13798">
        <v>1</v>
      </c>
    </row>
    <row r="13799" spans="1:5" x14ac:dyDescent="0.25">
      <c r="A13799">
        <v>13798</v>
      </c>
      <c r="B13799">
        <v>9852823</v>
      </c>
      <c r="C13799" s="1" t="str">
        <f>HYPERLINK("http://stackoverflow.com/users/9852823", "zhang mei-ling")</f>
        <v>zhang mei-ling</v>
      </c>
      <c r="D13799" t="s">
        <v>4</v>
      </c>
      <c r="E13799">
        <v>1</v>
      </c>
    </row>
    <row r="13800" spans="1:5" x14ac:dyDescent="0.25">
      <c r="A13800">
        <v>13799</v>
      </c>
      <c r="B13800">
        <v>9852896</v>
      </c>
      <c r="C13800" s="1" t="str">
        <f>HYPERLINK("http://stackoverflow.com/users/9852896", "Cano")</f>
        <v>Cano</v>
      </c>
      <c r="D13800" t="s">
        <v>5</v>
      </c>
      <c r="E13800">
        <v>1</v>
      </c>
    </row>
    <row r="13801" spans="1:5" x14ac:dyDescent="0.25">
      <c r="A13801">
        <v>13800</v>
      </c>
      <c r="B13801">
        <v>7887144</v>
      </c>
      <c r="C13801" s="1" t="str">
        <f>HYPERLINK("http://stackoverflow.com/users/7887144", "Jianyong Wu")</f>
        <v>Jianyong Wu</v>
      </c>
      <c r="D13801" t="s">
        <v>4</v>
      </c>
      <c r="E13801">
        <v>1</v>
      </c>
    </row>
    <row r="13802" spans="1:5" x14ac:dyDescent="0.25">
      <c r="A13802">
        <v>13801</v>
      </c>
      <c r="B13802">
        <v>7887192</v>
      </c>
      <c r="C13802" s="1" t="str">
        <f>HYPERLINK("http://stackoverflow.com/users/7887192", "Moral")</f>
        <v>Moral</v>
      </c>
      <c r="D13802" t="s">
        <v>25</v>
      </c>
      <c r="E13802">
        <v>1</v>
      </c>
    </row>
    <row r="13803" spans="1:5" x14ac:dyDescent="0.25">
      <c r="A13803">
        <v>13802</v>
      </c>
      <c r="B13803">
        <v>4388832</v>
      </c>
      <c r="C13803" s="1" t="str">
        <f>HYPERLINK("http://stackoverflow.com/users/4388832", "李明起")</f>
        <v>李明起</v>
      </c>
      <c r="D13803" t="s">
        <v>7</v>
      </c>
      <c r="E13803">
        <v>1</v>
      </c>
    </row>
    <row r="13804" spans="1:5" x14ac:dyDescent="0.25">
      <c r="A13804">
        <v>13803</v>
      </c>
      <c r="B13804">
        <v>2522539</v>
      </c>
      <c r="C13804" s="1" t="str">
        <f>HYPERLINK("http://stackoverflow.com/users/2522539", "Seth Feng")</f>
        <v>Seth Feng</v>
      </c>
      <c r="D13804" t="s">
        <v>12</v>
      </c>
      <c r="E13804">
        <v>1</v>
      </c>
    </row>
    <row r="13805" spans="1:5" x14ac:dyDescent="0.25">
      <c r="A13805">
        <v>13804</v>
      </c>
      <c r="B13805">
        <v>2522571</v>
      </c>
      <c r="C13805" s="1" t="str">
        <f>HYPERLINK("http://stackoverflow.com/users/2522571", "user2522571")</f>
        <v>user2522571</v>
      </c>
      <c r="D13805" t="s">
        <v>4</v>
      </c>
      <c r="E13805">
        <v>1</v>
      </c>
    </row>
    <row r="13806" spans="1:5" x14ac:dyDescent="0.25">
      <c r="A13806">
        <v>13805</v>
      </c>
      <c r="B13806">
        <v>2522686</v>
      </c>
      <c r="C13806" s="1" t="str">
        <f>HYPERLINK("http://stackoverflow.com/users/2522686", "Hardy")</f>
        <v>Hardy</v>
      </c>
      <c r="D13806" t="s">
        <v>22</v>
      </c>
      <c r="E13806">
        <v>1</v>
      </c>
    </row>
    <row r="13807" spans="1:5" x14ac:dyDescent="0.25">
      <c r="A13807">
        <v>13806</v>
      </c>
      <c r="B13807">
        <v>2528346</v>
      </c>
      <c r="C13807" s="1" t="str">
        <f>HYPERLINK("http://stackoverflow.com/users/2528346", "Techni")</f>
        <v>Techni</v>
      </c>
      <c r="D13807" t="s">
        <v>17</v>
      </c>
      <c r="E13807">
        <v>1</v>
      </c>
    </row>
    <row r="13808" spans="1:5" x14ac:dyDescent="0.25">
      <c r="A13808">
        <v>13807</v>
      </c>
      <c r="B13808">
        <v>9704583</v>
      </c>
      <c r="C13808" s="1" t="str">
        <f>HYPERLINK("http://stackoverflow.com/users/9704583", "Bruce Wang")</f>
        <v>Bruce Wang</v>
      </c>
      <c r="D13808" t="s">
        <v>762</v>
      </c>
      <c r="E13808">
        <v>1</v>
      </c>
    </row>
    <row r="13809" spans="1:5" x14ac:dyDescent="0.25">
      <c r="A13809">
        <v>13808</v>
      </c>
      <c r="B13809">
        <v>7900565</v>
      </c>
      <c r="C13809" s="1" t="str">
        <f>HYPERLINK("http://stackoverflow.com/users/7900565", "Jeffy Fu")</f>
        <v>Jeffy Fu</v>
      </c>
      <c r="D13809" t="s">
        <v>5</v>
      </c>
      <c r="E13809">
        <v>1</v>
      </c>
    </row>
    <row r="13810" spans="1:5" x14ac:dyDescent="0.25">
      <c r="A13810">
        <v>13809</v>
      </c>
      <c r="B13810">
        <v>7900567</v>
      </c>
      <c r="C13810" s="1" t="str">
        <f>HYPERLINK("http://stackoverflow.com/users/7900567", "smallDice")</f>
        <v>smallDice</v>
      </c>
      <c r="D13810" t="s">
        <v>4</v>
      </c>
      <c r="E13810">
        <v>1</v>
      </c>
    </row>
    <row r="13811" spans="1:5" x14ac:dyDescent="0.25">
      <c r="A13811">
        <v>13810</v>
      </c>
      <c r="B13811">
        <v>256394</v>
      </c>
      <c r="C13811" s="1" t="str">
        <f>HYPERLINK("http://stackoverflow.com/users/256394", "zffl")</f>
        <v>zffl</v>
      </c>
      <c r="D13811" t="s">
        <v>4</v>
      </c>
      <c r="E13811">
        <v>1</v>
      </c>
    </row>
    <row r="13812" spans="1:5" x14ac:dyDescent="0.25">
      <c r="A13812">
        <v>13811</v>
      </c>
      <c r="B13812">
        <v>4402300</v>
      </c>
      <c r="C13812" s="1" t="str">
        <f>HYPERLINK("http://stackoverflow.com/users/4402300", "Huixiao")</f>
        <v>Huixiao</v>
      </c>
      <c r="D13812" t="s">
        <v>12</v>
      </c>
      <c r="E13812">
        <v>1</v>
      </c>
    </row>
    <row r="13813" spans="1:5" x14ac:dyDescent="0.25">
      <c r="A13813">
        <v>13812</v>
      </c>
      <c r="B13813">
        <v>6139277</v>
      </c>
      <c r="C13813" s="1" t="str">
        <f>HYPERLINK("http://stackoverflow.com/users/6139277", "Kiwilyc")</f>
        <v>Kiwilyc</v>
      </c>
      <c r="D13813" t="s">
        <v>11</v>
      </c>
      <c r="E13813">
        <v>1</v>
      </c>
    </row>
    <row r="13814" spans="1:5" x14ac:dyDescent="0.25">
      <c r="A13814">
        <v>13813</v>
      </c>
      <c r="B13814">
        <v>6139464</v>
      </c>
      <c r="C13814" s="1" t="str">
        <f>HYPERLINK("http://stackoverflow.com/users/6139464", "GuffyCocos")</f>
        <v>GuffyCocos</v>
      </c>
      <c r="D13814" t="s">
        <v>55</v>
      </c>
      <c r="E13814">
        <v>1</v>
      </c>
    </row>
    <row r="13815" spans="1:5" x14ac:dyDescent="0.25">
      <c r="A13815">
        <v>13814</v>
      </c>
      <c r="B13815">
        <v>7881345</v>
      </c>
      <c r="C13815" s="1" t="str">
        <f>HYPERLINK("http://stackoverflow.com/users/7881345", "Shennong")</f>
        <v>Shennong</v>
      </c>
      <c r="D13815" t="s">
        <v>57</v>
      </c>
      <c r="E13815">
        <v>1</v>
      </c>
    </row>
    <row r="13816" spans="1:5" x14ac:dyDescent="0.25">
      <c r="A13816">
        <v>13815</v>
      </c>
      <c r="B13816">
        <v>7881443</v>
      </c>
      <c r="C13816" s="1" t="str">
        <f>HYPERLINK("http://stackoverflow.com/users/7881443", "bee")</f>
        <v>bee</v>
      </c>
      <c r="D13816" t="s">
        <v>5</v>
      </c>
      <c r="E13816">
        <v>1</v>
      </c>
    </row>
    <row r="13817" spans="1:5" x14ac:dyDescent="0.25">
      <c r="A13817">
        <v>13816</v>
      </c>
      <c r="B13817">
        <v>7881689</v>
      </c>
      <c r="C13817" s="1" t="str">
        <f>HYPERLINK("http://stackoverflow.com/users/7881689", "xyzmst")</f>
        <v>xyzmst</v>
      </c>
      <c r="D13817" t="s">
        <v>5</v>
      </c>
      <c r="E13817">
        <v>1</v>
      </c>
    </row>
    <row r="13818" spans="1:5" x14ac:dyDescent="0.25">
      <c r="A13818">
        <v>13817</v>
      </c>
      <c r="B13818">
        <v>7881744</v>
      </c>
      <c r="C13818" s="1" t="str">
        <f>HYPERLINK("http://stackoverflow.com/users/7881744", "Yiting Chen")</f>
        <v>Yiting Chen</v>
      </c>
      <c r="D13818" t="s">
        <v>16</v>
      </c>
      <c r="E13818">
        <v>1</v>
      </c>
    </row>
    <row r="13819" spans="1:5" x14ac:dyDescent="0.25">
      <c r="A13819">
        <v>13818</v>
      </c>
      <c r="B13819">
        <v>7881745</v>
      </c>
      <c r="C13819" s="1" t="str">
        <f>HYPERLINK("http://stackoverflow.com/users/7881745", "norwegianwod")</f>
        <v>norwegianwod</v>
      </c>
      <c r="D13819" t="s">
        <v>4</v>
      </c>
      <c r="E13819">
        <v>1</v>
      </c>
    </row>
    <row r="13820" spans="1:5" x14ac:dyDescent="0.25">
      <c r="A13820">
        <v>13819</v>
      </c>
      <c r="B13820">
        <v>7881812</v>
      </c>
      <c r="C13820" s="1" t="str">
        <f>HYPERLINK("http://stackoverflow.com/users/7881812", "Hugo.Chen")</f>
        <v>Hugo.Chen</v>
      </c>
      <c r="D13820" t="s">
        <v>21</v>
      </c>
      <c r="E13820">
        <v>1</v>
      </c>
    </row>
    <row r="13821" spans="1:5" x14ac:dyDescent="0.25">
      <c r="A13821">
        <v>13820</v>
      </c>
      <c r="B13821">
        <v>7881844</v>
      </c>
      <c r="C13821" s="1" t="str">
        <f>HYPERLINK("http://stackoverflow.com/users/7881844", "KingsleyChung")</f>
        <v>KingsleyChung</v>
      </c>
      <c r="D13821" t="s">
        <v>25</v>
      </c>
      <c r="E13821">
        <v>1</v>
      </c>
    </row>
    <row r="13822" spans="1:5" x14ac:dyDescent="0.25">
      <c r="A13822">
        <v>13821</v>
      </c>
      <c r="B13822">
        <v>6112482</v>
      </c>
      <c r="C13822" s="1" t="str">
        <f>HYPERLINK("http://stackoverflow.com/users/6112482", "suifengdeshitou")</f>
        <v>suifengdeshitou</v>
      </c>
      <c r="D13822" t="s">
        <v>4</v>
      </c>
      <c r="E13822">
        <v>1</v>
      </c>
    </row>
    <row r="13823" spans="1:5" x14ac:dyDescent="0.25">
      <c r="A13823">
        <v>13822</v>
      </c>
      <c r="B13823">
        <v>9690353</v>
      </c>
      <c r="C13823" s="1" t="str">
        <f>HYPERLINK("http://stackoverflow.com/users/9690353", "C. Shikali")</f>
        <v>C. Shikali</v>
      </c>
      <c r="D13823" t="s">
        <v>28</v>
      </c>
      <c r="E13823">
        <v>1</v>
      </c>
    </row>
    <row r="13824" spans="1:5" x14ac:dyDescent="0.25">
      <c r="A13824">
        <v>13823</v>
      </c>
      <c r="B13824">
        <v>6112692</v>
      </c>
      <c r="C13824" s="1" t="str">
        <f>HYPERLINK("http://stackoverflow.com/users/6112692", "T.Bruce")</f>
        <v>T.Bruce</v>
      </c>
      <c r="D13824" t="s">
        <v>4</v>
      </c>
      <c r="E13824">
        <v>1</v>
      </c>
    </row>
    <row r="13825" spans="1:5" x14ac:dyDescent="0.25">
      <c r="A13825">
        <v>13824</v>
      </c>
      <c r="B13825">
        <v>6112790</v>
      </c>
      <c r="C13825" s="1" t="str">
        <f>HYPERLINK("http://stackoverflow.com/users/6112790", "Hanpei")</f>
        <v>Hanpei</v>
      </c>
      <c r="D13825" t="s">
        <v>67</v>
      </c>
      <c r="E13825">
        <v>1</v>
      </c>
    </row>
    <row r="13826" spans="1:5" x14ac:dyDescent="0.25">
      <c r="A13826">
        <v>13825</v>
      </c>
      <c r="B13826">
        <v>6113333</v>
      </c>
      <c r="C13826" s="1" t="str">
        <f>HYPERLINK("http://stackoverflow.com/users/6113333", "user6113333")</f>
        <v>user6113333</v>
      </c>
      <c r="D13826" t="s">
        <v>5</v>
      </c>
      <c r="E13826">
        <v>1</v>
      </c>
    </row>
    <row r="13827" spans="1:5" x14ac:dyDescent="0.25">
      <c r="A13827">
        <v>13826</v>
      </c>
      <c r="B13827">
        <v>9743951</v>
      </c>
      <c r="C13827" s="1" t="str">
        <f>HYPERLINK("http://stackoverflow.com/users/9743951", "torange")</f>
        <v>torange</v>
      </c>
      <c r="D13827" t="s">
        <v>5</v>
      </c>
      <c r="E13827">
        <v>1</v>
      </c>
    </row>
    <row r="13828" spans="1:5" x14ac:dyDescent="0.25">
      <c r="A13828">
        <v>13827</v>
      </c>
      <c r="B13828">
        <v>9744087</v>
      </c>
      <c r="C13828" s="1" t="str">
        <f>HYPERLINK("http://stackoverflow.com/users/9744087", "Shijie Xu")</f>
        <v>Shijie Xu</v>
      </c>
      <c r="D13828" t="s">
        <v>118</v>
      </c>
      <c r="E13828">
        <v>1</v>
      </c>
    </row>
    <row r="13829" spans="1:5" x14ac:dyDescent="0.25">
      <c r="A13829">
        <v>13828</v>
      </c>
      <c r="B13829">
        <v>6167002</v>
      </c>
      <c r="C13829" s="1" t="str">
        <f>HYPERLINK("http://stackoverflow.com/users/6167002", "木自离")</f>
        <v>木自离</v>
      </c>
      <c r="D13829" t="s">
        <v>52</v>
      </c>
      <c r="E13829">
        <v>1</v>
      </c>
    </row>
    <row r="13830" spans="1:5" x14ac:dyDescent="0.25">
      <c r="A13830">
        <v>13829</v>
      </c>
      <c r="B13830">
        <v>4439991</v>
      </c>
      <c r="C13830" s="1" t="str">
        <f>HYPERLINK("http://stackoverflow.com/users/4439991", "Haozi.Zou")</f>
        <v>Haozi.Zou</v>
      </c>
      <c r="D13830" t="s">
        <v>12</v>
      </c>
      <c r="E13830">
        <v>1</v>
      </c>
    </row>
    <row r="13831" spans="1:5" x14ac:dyDescent="0.25">
      <c r="A13831">
        <v>13830</v>
      </c>
      <c r="B13831">
        <v>4440427</v>
      </c>
      <c r="C13831" s="1" t="str">
        <f>HYPERLINK("http://stackoverflow.com/users/4440427", "Lu Liu")</f>
        <v>Lu Liu</v>
      </c>
      <c r="D13831" t="s">
        <v>130</v>
      </c>
      <c r="E13831">
        <v>1</v>
      </c>
    </row>
    <row r="13832" spans="1:5" x14ac:dyDescent="0.25">
      <c r="A13832">
        <v>13831</v>
      </c>
      <c r="B13832">
        <v>6161173</v>
      </c>
      <c r="C13832" s="1" t="str">
        <f>HYPERLINK("http://stackoverflow.com/users/6161173", "Henson Han")</f>
        <v>Henson Han</v>
      </c>
      <c r="D13832" t="s">
        <v>4</v>
      </c>
      <c r="E13832">
        <v>1</v>
      </c>
    </row>
    <row r="13833" spans="1:5" x14ac:dyDescent="0.25">
      <c r="A13833">
        <v>13832</v>
      </c>
      <c r="B13833">
        <v>6161468</v>
      </c>
      <c r="C13833" s="1" t="str">
        <f>HYPERLINK("http://stackoverflow.com/users/6161468", "xmaple")</f>
        <v>xmaple</v>
      </c>
      <c r="D13833" t="s">
        <v>5</v>
      </c>
      <c r="E13833">
        <v>1</v>
      </c>
    </row>
    <row r="13834" spans="1:5" x14ac:dyDescent="0.25">
      <c r="A13834">
        <v>13833</v>
      </c>
      <c r="B13834">
        <v>9756847</v>
      </c>
      <c r="C13834" s="1" t="str">
        <f>HYPERLINK("http://stackoverflow.com/users/9756847", "Junhong Wu")</f>
        <v>Junhong Wu</v>
      </c>
      <c r="D13834" t="s">
        <v>7</v>
      </c>
      <c r="E13834">
        <v>1</v>
      </c>
    </row>
    <row r="13835" spans="1:5" x14ac:dyDescent="0.25">
      <c r="A13835">
        <v>13834</v>
      </c>
      <c r="B13835">
        <v>9756871</v>
      </c>
      <c r="C13835" s="1" t="str">
        <f>HYPERLINK("http://stackoverflow.com/users/9756871", "Zzzzz....John")</f>
        <v>Zzzzz....John</v>
      </c>
      <c r="D13835" t="s">
        <v>4</v>
      </c>
      <c r="E13835">
        <v>1</v>
      </c>
    </row>
    <row r="13836" spans="1:5" x14ac:dyDescent="0.25">
      <c r="A13836">
        <v>13835</v>
      </c>
      <c r="B13836">
        <v>9756927</v>
      </c>
      <c r="C13836" s="1" t="str">
        <f>HYPERLINK("http://stackoverflow.com/users/9756927", "ChristianT")</f>
        <v>ChristianT</v>
      </c>
      <c r="D13836" t="s">
        <v>4</v>
      </c>
      <c r="E13836">
        <v>1</v>
      </c>
    </row>
    <row r="13837" spans="1:5" x14ac:dyDescent="0.25">
      <c r="A13837">
        <v>13836</v>
      </c>
      <c r="B13837">
        <v>9757216</v>
      </c>
      <c r="C13837" s="1" t="str">
        <f>HYPERLINK("http://stackoverflow.com/users/9757216", "葛贵荣")</f>
        <v>葛贵荣</v>
      </c>
      <c r="D13837" t="s">
        <v>16</v>
      </c>
      <c r="E13837">
        <v>1</v>
      </c>
    </row>
    <row r="13838" spans="1:5" x14ac:dyDescent="0.25">
      <c r="A13838">
        <v>13837</v>
      </c>
      <c r="B13838">
        <v>7946362</v>
      </c>
      <c r="C13838" s="1" t="str">
        <f>HYPERLINK("http://stackoverflow.com/users/7946362", "Rachel Jin")</f>
        <v>Rachel Jin</v>
      </c>
      <c r="D13838" t="s">
        <v>4</v>
      </c>
      <c r="E13838">
        <v>1</v>
      </c>
    </row>
    <row r="13839" spans="1:5" x14ac:dyDescent="0.25">
      <c r="A13839">
        <v>13838</v>
      </c>
      <c r="B13839">
        <v>2562872</v>
      </c>
      <c r="C13839" s="1" t="str">
        <f>HYPERLINK("http://stackoverflow.com/users/2562872", "Gamewolf")</f>
        <v>Gamewolf</v>
      </c>
      <c r="D13839" t="s">
        <v>4</v>
      </c>
      <c r="E13839">
        <v>1</v>
      </c>
    </row>
    <row r="13840" spans="1:5" x14ac:dyDescent="0.25">
      <c r="A13840">
        <v>13839</v>
      </c>
      <c r="B13840">
        <v>7924544</v>
      </c>
      <c r="C13840" s="1" t="str">
        <f>HYPERLINK("http://stackoverflow.com/users/7924544", "xiaowenchang")</f>
        <v>xiaowenchang</v>
      </c>
      <c r="D13840" t="s">
        <v>763</v>
      </c>
      <c r="E13840">
        <v>1</v>
      </c>
    </row>
    <row r="13841" spans="1:5" x14ac:dyDescent="0.25">
      <c r="A13841">
        <v>13840</v>
      </c>
      <c r="B13841">
        <v>9720980</v>
      </c>
      <c r="C13841" s="1" t="str">
        <f>HYPERLINK("http://stackoverflow.com/users/9720980", "Aleksandra Ikonomova")</f>
        <v>Aleksandra Ikonomova</v>
      </c>
      <c r="D13841" t="s">
        <v>5</v>
      </c>
      <c r="E13841">
        <v>1</v>
      </c>
    </row>
    <row r="13842" spans="1:5" x14ac:dyDescent="0.25">
      <c r="A13842">
        <v>13841</v>
      </c>
      <c r="B13842">
        <v>4417411</v>
      </c>
      <c r="C13842" s="1" t="str">
        <f>HYPERLINK("http://stackoverflow.com/users/4417411", "vicky")</f>
        <v>vicky</v>
      </c>
      <c r="D13842" t="s">
        <v>4</v>
      </c>
      <c r="E13842">
        <v>1</v>
      </c>
    </row>
    <row r="13843" spans="1:5" x14ac:dyDescent="0.25">
      <c r="A13843">
        <v>13842</v>
      </c>
      <c r="B13843">
        <v>7916600</v>
      </c>
      <c r="C13843" s="1" t="str">
        <f>HYPERLINK("http://stackoverflow.com/users/7916600", "Hale lv")</f>
        <v>Hale lv</v>
      </c>
      <c r="D13843" t="s">
        <v>759</v>
      </c>
      <c r="E13843">
        <v>1</v>
      </c>
    </row>
    <row r="13844" spans="1:5" x14ac:dyDescent="0.25">
      <c r="A13844">
        <v>13843</v>
      </c>
      <c r="B13844">
        <v>7916707</v>
      </c>
      <c r="C13844" s="1" t="str">
        <f>HYPERLINK("http://stackoverflow.com/users/7916707", "Charles Wong")</f>
        <v>Charles Wong</v>
      </c>
      <c r="D13844" t="s">
        <v>131</v>
      </c>
      <c r="E13844">
        <v>1</v>
      </c>
    </row>
    <row r="13845" spans="1:5" x14ac:dyDescent="0.25">
      <c r="A13845">
        <v>13844</v>
      </c>
      <c r="B13845">
        <v>7916722</v>
      </c>
      <c r="C13845" s="1" t="str">
        <f>HYPERLINK("http://stackoverflow.com/users/7916722", "jionie")</f>
        <v>jionie</v>
      </c>
      <c r="D13845" t="s">
        <v>4</v>
      </c>
      <c r="E13845">
        <v>1</v>
      </c>
    </row>
    <row r="13846" spans="1:5" x14ac:dyDescent="0.25">
      <c r="A13846">
        <v>13845</v>
      </c>
      <c r="B13846">
        <v>7917309</v>
      </c>
      <c r="C13846" s="1" t="str">
        <f>HYPERLINK("http://stackoverflow.com/users/7917309", "chen.liu")</f>
        <v>chen.liu</v>
      </c>
      <c r="D13846" t="s">
        <v>5</v>
      </c>
      <c r="E13846">
        <v>1</v>
      </c>
    </row>
    <row r="13847" spans="1:5" x14ac:dyDescent="0.25">
      <c r="A13847">
        <v>13846</v>
      </c>
      <c r="B13847">
        <v>9728143</v>
      </c>
      <c r="C13847" s="1" t="str">
        <f>HYPERLINK("http://stackoverflow.com/users/9728143", "Yuk.Ding")</f>
        <v>Yuk.Ding</v>
      </c>
      <c r="D13847" t="s">
        <v>10</v>
      </c>
      <c r="E13847">
        <v>1</v>
      </c>
    </row>
    <row r="13848" spans="1:5" x14ac:dyDescent="0.25">
      <c r="A13848">
        <v>13847</v>
      </c>
      <c r="B13848">
        <v>9728230</v>
      </c>
      <c r="C13848" s="1" t="str">
        <f>HYPERLINK("http://stackoverflow.com/users/9728230", "Charles.M")</f>
        <v>Charles.M</v>
      </c>
      <c r="D13848" t="s">
        <v>5</v>
      </c>
      <c r="E13848">
        <v>1</v>
      </c>
    </row>
    <row r="13849" spans="1:5" x14ac:dyDescent="0.25">
      <c r="A13849">
        <v>13848</v>
      </c>
      <c r="B13849">
        <v>9728366</v>
      </c>
      <c r="C13849" s="1" t="str">
        <f>HYPERLINK("http://stackoverflow.com/users/9728366", "Quinn Fook")</f>
        <v>Quinn Fook</v>
      </c>
      <c r="D13849" t="s">
        <v>52</v>
      </c>
      <c r="E13849">
        <v>1</v>
      </c>
    </row>
    <row r="13850" spans="1:5" x14ac:dyDescent="0.25">
      <c r="A13850">
        <v>13849</v>
      </c>
      <c r="B13850">
        <v>2562680</v>
      </c>
      <c r="C13850" s="1" t="str">
        <f>HYPERLINK("http://stackoverflow.com/users/2562680", "Andrew Lee")</f>
        <v>Andrew Lee</v>
      </c>
      <c r="D13850" t="s">
        <v>5</v>
      </c>
      <c r="E13850">
        <v>1</v>
      </c>
    </row>
    <row r="13851" spans="1:5" x14ac:dyDescent="0.25">
      <c r="A13851">
        <v>13850</v>
      </c>
      <c r="B13851">
        <v>2562734</v>
      </c>
      <c r="C13851" s="1" t="str">
        <f>HYPERLINK("http://stackoverflow.com/users/2562734", "zouivex")</f>
        <v>zouivex</v>
      </c>
      <c r="D13851" t="s">
        <v>5</v>
      </c>
      <c r="E13851">
        <v>1</v>
      </c>
    </row>
    <row r="13852" spans="1:5" x14ac:dyDescent="0.25">
      <c r="A13852">
        <v>13851</v>
      </c>
      <c r="B13852">
        <v>6080433</v>
      </c>
      <c r="C13852" s="1" t="str">
        <f>HYPERLINK("http://stackoverflow.com/users/6080433", "Whoateme")</f>
        <v>Whoateme</v>
      </c>
      <c r="D13852" t="s">
        <v>25</v>
      </c>
      <c r="E13852">
        <v>1</v>
      </c>
    </row>
    <row r="13853" spans="1:5" x14ac:dyDescent="0.25">
      <c r="A13853">
        <v>13852</v>
      </c>
      <c r="B13853">
        <v>6080450</v>
      </c>
      <c r="C13853" s="1" t="str">
        <f>HYPERLINK("http://stackoverflow.com/users/6080450", "Zxw")</f>
        <v>Zxw</v>
      </c>
      <c r="D13853" t="s">
        <v>25</v>
      </c>
      <c r="E13853">
        <v>1</v>
      </c>
    </row>
    <row r="13854" spans="1:5" x14ac:dyDescent="0.25">
      <c r="A13854">
        <v>13853</v>
      </c>
      <c r="B13854">
        <v>6080469</v>
      </c>
      <c r="C13854" s="1" t="str">
        <f>HYPERLINK("http://stackoverflow.com/users/6080469", "alex chih")</f>
        <v>alex chih</v>
      </c>
      <c r="D13854" t="s">
        <v>5</v>
      </c>
      <c r="E13854">
        <v>1</v>
      </c>
    </row>
    <row r="13855" spans="1:5" x14ac:dyDescent="0.25">
      <c r="A13855">
        <v>13854</v>
      </c>
      <c r="B13855">
        <v>6080553</v>
      </c>
      <c r="C13855" s="1" t="str">
        <f>HYPERLINK("http://stackoverflow.com/users/6080553", "Brian")</f>
        <v>Brian</v>
      </c>
      <c r="D13855" t="s">
        <v>7</v>
      </c>
      <c r="E13855">
        <v>1</v>
      </c>
    </row>
    <row r="13856" spans="1:5" x14ac:dyDescent="0.25">
      <c r="A13856">
        <v>13855</v>
      </c>
      <c r="B13856">
        <v>6080636</v>
      </c>
      <c r="C13856" s="1" t="str">
        <f>HYPERLINK("http://stackoverflow.com/users/6080636", "puguohong")</f>
        <v>puguohong</v>
      </c>
      <c r="D13856" t="s">
        <v>367</v>
      </c>
      <c r="E13856">
        <v>1</v>
      </c>
    </row>
    <row r="13857" spans="1:5" x14ac:dyDescent="0.25">
      <c r="A13857">
        <v>13856</v>
      </c>
      <c r="B13857">
        <v>6080726</v>
      </c>
      <c r="C13857" s="1" t="str">
        <f>HYPERLINK("http://stackoverflow.com/users/6080726", "Yonse")</f>
        <v>Yonse</v>
      </c>
      <c r="D13857" t="s">
        <v>5</v>
      </c>
      <c r="E13857">
        <v>1</v>
      </c>
    </row>
    <row r="13858" spans="1:5" x14ac:dyDescent="0.25">
      <c r="A13858">
        <v>13857</v>
      </c>
      <c r="B13858">
        <v>6080849</v>
      </c>
      <c r="C13858" s="1" t="str">
        <f>HYPERLINK("http://stackoverflow.com/users/6080849", "ryanxu")</f>
        <v>ryanxu</v>
      </c>
      <c r="D13858" t="s">
        <v>7</v>
      </c>
      <c r="E13858">
        <v>1</v>
      </c>
    </row>
    <row r="13859" spans="1:5" x14ac:dyDescent="0.25">
      <c r="A13859">
        <v>13858</v>
      </c>
      <c r="B13859">
        <v>6080966</v>
      </c>
      <c r="C13859" s="1" t="str">
        <f>HYPERLINK("http://stackoverflow.com/users/6080966", "dandan wu")</f>
        <v>dandan wu</v>
      </c>
      <c r="D13859" t="s">
        <v>7</v>
      </c>
      <c r="E13859">
        <v>1</v>
      </c>
    </row>
    <row r="13860" spans="1:5" x14ac:dyDescent="0.25">
      <c r="A13860">
        <v>13859</v>
      </c>
      <c r="B13860">
        <v>4343877</v>
      </c>
      <c r="C13860" s="1" t="str">
        <f>HYPERLINK("http://stackoverflow.com/users/4343877", "user4343877")</f>
        <v>user4343877</v>
      </c>
      <c r="D13860" t="s">
        <v>4</v>
      </c>
      <c r="E13860">
        <v>1</v>
      </c>
    </row>
    <row r="13861" spans="1:5" x14ac:dyDescent="0.25">
      <c r="A13861">
        <v>13860</v>
      </c>
      <c r="B13861">
        <v>2485623</v>
      </c>
      <c r="C13861" s="1" t="str">
        <f>HYPERLINK("http://stackoverflow.com/users/2485623", "qizhen cai")</f>
        <v>qizhen cai</v>
      </c>
      <c r="D13861" t="s">
        <v>17</v>
      </c>
      <c r="E13861">
        <v>1</v>
      </c>
    </row>
    <row r="13862" spans="1:5" x14ac:dyDescent="0.25">
      <c r="A13862">
        <v>13861</v>
      </c>
      <c r="B13862">
        <v>6086725</v>
      </c>
      <c r="C13862" s="1" t="str">
        <f>HYPERLINK("http://stackoverflow.com/users/6086725", "Jeffrey Zhang")</f>
        <v>Jeffrey Zhang</v>
      </c>
      <c r="D13862" t="s">
        <v>764</v>
      </c>
      <c r="E13862">
        <v>1</v>
      </c>
    </row>
    <row r="13863" spans="1:5" x14ac:dyDescent="0.25">
      <c r="A13863">
        <v>13862</v>
      </c>
      <c r="B13863">
        <v>9661970</v>
      </c>
      <c r="C13863" s="1" t="str">
        <f>HYPERLINK("http://stackoverflow.com/users/9661970", "Roman")</f>
        <v>Roman</v>
      </c>
      <c r="D13863" t="s">
        <v>7</v>
      </c>
      <c r="E13863">
        <v>1</v>
      </c>
    </row>
    <row r="13864" spans="1:5" x14ac:dyDescent="0.25">
      <c r="A13864">
        <v>13863</v>
      </c>
      <c r="B13864">
        <v>9667260</v>
      </c>
      <c r="C13864" s="1" t="str">
        <f>HYPERLINK("http://stackoverflow.com/users/9667260", "Jerry Ji")</f>
        <v>Jerry Ji</v>
      </c>
      <c r="D13864" t="s">
        <v>5</v>
      </c>
      <c r="E13864">
        <v>1</v>
      </c>
    </row>
    <row r="13865" spans="1:5" x14ac:dyDescent="0.25">
      <c r="A13865">
        <v>13864</v>
      </c>
      <c r="B13865">
        <v>9667543</v>
      </c>
      <c r="C13865" s="1" t="str">
        <f>HYPERLINK("http://stackoverflow.com/users/9667543", "张庆磊")</f>
        <v>张庆磊</v>
      </c>
      <c r="D13865" t="s">
        <v>5</v>
      </c>
      <c r="E13865">
        <v>1</v>
      </c>
    </row>
    <row r="13866" spans="1:5" x14ac:dyDescent="0.25">
      <c r="A13866">
        <v>13865</v>
      </c>
      <c r="B13866">
        <v>9667779</v>
      </c>
      <c r="C13866" s="1" t="str">
        <f>HYPERLINK("http://stackoverflow.com/users/9667779", "songzekun")</f>
        <v>songzekun</v>
      </c>
      <c r="D13866" t="s">
        <v>5</v>
      </c>
      <c r="E13866">
        <v>1</v>
      </c>
    </row>
    <row r="13867" spans="1:5" x14ac:dyDescent="0.25">
      <c r="A13867">
        <v>13866</v>
      </c>
      <c r="B13867">
        <v>2484521</v>
      </c>
      <c r="C13867" s="1" t="str">
        <f>HYPERLINK("http://stackoverflow.com/users/2484521", "Hans")</f>
        <v>Hans</v>
      </c>
      <c r="D13867" t="s">
        <v>113</v>
      </c>
      <c r="E13867">
        <v>1</v>
      </c>
    </row>
    <row r="13868" spans="1:5" x14ac:dyDescent="0.25">
      <c r="A13868">
        <v>13867</v>
      </c>
      <c r="B13868">
        <v>7866480</v>
      </c>
      <c r="C13868" s="1" t="str">
        <f>HYPERLINK("http://stackoverflow.com/users/7866480", "吴斌清")</f>
        <v>吴斌清</v>
      </c>
      <c r="D13868" t="s">
        <v>52</v>
      </c>
      <c r="E13868">
        <v>1</v>
      </c>
    </row>
    <row r="13869" spans="1:5" x14ac:dyDescent="0.25">
      <c r="A13869">
        <v>13868</v>
      </c>
      <c r="B13869">
        <v>7866502</v>
      </c>
      <c r="C13869" s="1" t="str">
        <f>HYPERLINK("http://stackoverflow.com/users/7866502", "mg.1292")</f>
        <v>mg.1292</v>
      </c>
      <c r="D13869" t="s">
        <v>434</v>
      </c>
      <c r="E13869">
        <v>1</v>
      </c>
    </row>
    <row r="13870" spans="1:5" x14ac:dyDescent="0.25">
      <c r="A13870">
        <v>13869</v>
      </c>
      <c r="B13870">
        <v>7866537</v>
      </c>
      <c r="C13870" s="1" t="str">
        <f>HYPERLINK("http://stackoverflow.com/users/7866537", "xudong")</f>
        <v>xudong</v>
      </c>
      <c r="D13870" t="s">
        <v>765</v>
      </c>
      <c r="E13870">
        <v>1</v>
      </c>
    </row>
    <row r="13871" spans="1:5" x14ac:dyDescent="0.25">
      <c r="A13871">
        <v>13870</v>
      </c>
      <c r="B13871">
        <v>7866737</v>
      </c>
      <c r="C13871" s="1" t="str">
        <f>HYPERLINK("http://stackoverflow.com/users/7866737", "K.Wang")</f>
        <v>K.Wang</v>
      </c>
      <c r="D13871" t="s">
        <v>4</v>
      </c>
      <c r="E13871">
        <v>1</v>
      </c>
    </row>
    <row r="13872" spans="1:5" x14ac:dyDescent="0.25">
      <c r="A13872">
        <v>13871</v>
      </c>
      <c r="B13872">
        <v>7866830</v>
      </c>
      <c r="C13872" s="1" t="str">
        <f>HYPERLINK("http://stackoverflow.com/users/7866830", "M Yasir ali")</f>
        <v>M Yasir ali</v>
      </c>
      <c r="D13872" t="s">
        <v>5</v>
      </c>
      <c r="E13872">
        <v>1</v>
      </c>
    </row>
    <row r="13873" spans="1:5" x14ac:dyDescent="0.25">
      <c r="A13873">
        <v>13872</v>
      </c>
      <c r="B13873">
        <v>6099741</v>
      </c>
      <c r="C13873" s="1" t="str">
        <f>HYPERLINK("http://stackoverflow.com/users/6099741", "K.Wang")</f>
        <v>K.Wang</v>
      </c>
      <c r="D13873" t="s">
        <v>168</v>
      </c>
      <c r="E13873">
        <v>1</v>
      </c>
    </row>
    <row r="13874" spans="1:5" x14ac:dyDescent="0.25">
      <c r="A13874">
        <v>13873</v>
      </c>
      <c r="B13874">
        <v>9683838</v>
      </c>
      <c r="C13874" s="1" t="str">
        <f>HYPERLINK("http://stackoverflow.com/users/9683838", "周贤望")</f>
        <v>周贤望</v>
      </c>
      <c r="D13874" t="s">
        <v>7</v>
      </c>
      <c r="E13874">
        <v>1</v>
      </c>
    </row>
    <row r="13875" spans="1:5" x14ac:dyDescent="0.25">
      <c r="A13875">
        <v>13874</v>
      </c>
      <c r="B13875">
        <v>9684035</v>
      </c>
      <c r="C13875" s="1" t="str">
        <f>HYPERLINK("http://stackoverflow.com/users/9684035", "Chennan")</f>
        <v>Chennan</v>
      </c>
      <c r="D13875" t="s">
        <v>5</v>
      </c>
      <c r="E13875">
        <v>1</v>
      </c>
    </row>
    <row r="13876" spans="1:5" x14ac:dyDescent="0.25">
      <c r="A13876">
        <v>13875</v>
      </c>
      <c r="B13876">
        <v>9684255</v>
      </c>
      <c r="C13876" s="1" t="str">
        <f>HYPERLINK("http://stackoverflow.com/users/9684255", "Jinfeng.Huang")</f>
        <v>Jinfeng.Huang</v>
      </c>
      <c r="D13876" t="s">
        <v>7</v>
      </c>
      <c r="E13876">
        <v>1</v>
      </c>
    </row>
    <row r="13877" spans="1:5" x14ac:dyDescent="0.25">
      <c r="A13877">
        <v>13876</v>
      </c>
      <c r="B13877">
        <v>2490283</v>
      </c>
      <c r="C13877" s="1" t="str">
        <f>HYPERLINK("http://stackoverflow.com/users/2490283", "KanTian")</f>
        <v>KanTian</v>
      </c>
      <c r="D13877" t="s">
        <v>12</v>
      </c>
      <c r="E13877">
        <v>1</v>
      </c>
    </row>
    <row r="13878" spans="1:5" x14ac:dyDescent="0.25">
      <c r="A13878">
        <v>13877</v>
      </c>
      <c r="B13878">
        <v>2490675</v>
      </c>
      <c r="C13878" s="1" t="str">
        <f>HYPERLINK("http://stackoverflow.com/users/2490675", "Benny")</f>
        <v>Benny</v>
      </c>
      <c r="D13878" t="s">
        <v>17</v>
      </c>
      <c r="E13878">
        <v>1</v>
      </c>
    </row>
    <row r="13879" spans="1:5" x14ac:dyDescent="0.25">
      <c r="A13879">
        <v>13878</v>
      </c>
      <c r="B13879">
        <v>2491121</v>
      </c>
      <c r="C13879" s="1" t="str">
        <f>HYPERLINK("http://stackoverflow.com/users/2491121", "richard1122")</f>
        <v>richard1122</v>
      </c>
      <c r="D13879" t="s">
        <v>12</v>
      </c>
      <c r="E13879">
        <v>1</v>
      </c>
    </row>
    <row r="13880" spans="1:5" x14ac:dyDescent="0.25">
      <c r="A13880">
        <v>13879</v>
      </c>
      <c r="B13880">
        <v>160518</v>
      </c>
      <c r="C13880" s="1" t="str">
        <f>HYPERLINK("http://stackoverflow.com/users/160518", "Longchao Dong")</f>
        <v>Longchao Dong</v>
      </c>
      <c r="D13880" t="s">
        <v>37</v>
      </c>
      <c r="E13880">
        <v>1</v>
      </c>
    </row>
    <row r="13881" spans="1:5" x14ac:dyDescent="0.25">
      <c r="A13881">
        <v>13880</v>
      </c>
      <c r="B13881">
        <v>7803341</v>
      </c>
      <c r="C13881" s="1" t="str">
        <f>HYPERLINK("http://stackoverflow.com/users/7803341", "CornOld")</f>
        <v>CornOld</v>
      </c>
      <c r="D13881" t="s">
        <v>266</v>
      </c>
      <c r="E13881">
        <v>1</v>
      </c>
    </row>
    <row r="13882" spans="1:5" x14ac:dyDescent="0.25">
      <c r="A13882">
        <v>13881</v>
      </c>
      <c r="B13882">
        <v>9611746</v>
      </c>
      <c r="C13882" s="1" t="str">
        <f>HYPERLINK("http://stackoverflow.com/users/9611746", "刘志伟")</f>
        <v>刘志伟</v>
      </c>
      <c r="D13882" t="s">
        <v>4</v>
      </c>
      <c r="E13882">
        <v>1</v>
      </c>
    </row>
    <row r="13883" spans="1:5" x14ac:dyDescent="0.25">
      <c r="A13883">
        <v>13882</v>
      </c>
      <c r="B13883">
        <v>9611993</v>
      </c>
      <c r="C13883" s="1" t="str">
        <f>HYPERLINK("http://stackoverflow.com/users/9611993", "XiaoDong Wang")</f>
        <v>XiaoDong Wang</v>
      </c>
      <c r="D13883" t="s">
        <v>5</v>
      </c>
      <c r="E13883">
        <v>1</v>
      </c>
    </row>
    <row r="13884" spans="1:5" x14ac:dyDescent="0.25">
      <c r="A13884">
        <v>13883</v>
      </c>
      <c r="B13884">
        <v>9612145</v>
      </c>
      <c r="C13884" s="1" t="str">
        <f>HYPERLINK("http://stackoverflow.com/users/9612145", "李永胜")</f>
        <v>李永胜</v>
      </c>
      <c r="D13884" t="s">
        <v>4</v>
      </c>
      <c r="E13884">
        <v>1</v>
      </c>
    </row>
    <row r="13885" spans="1:5" x14ac:dyDescent="0.25">
      <c r="A13885">
        <v>13884</v>
      </c>
      <c r="B13885">
        <v>6042931</v>
      </c>
      <c r="C13885" s="1" t="str">
        <f>HYPERLINK("http://stackoverflow.com/users/6042931", "devpaopao")</f>
        <v>devpaopao</v>
      </c>
      <c r="D13885" t="s">
        <v>5</v>
      </c>
      <c r="E13885">
        <v>1</v>
      </c>
    </row>
    <row r="13886" spans="1:5" x14ac:dyDescent="0.25">
      <c r="A13886">
        <v>13885</v>
      </c>
      <c r="B13886">
        <v>2444518</v>
      </c>
      <c r="C13886" s="1" t="str">
        <f>HYPERLINK("http://stackoverflow.com/users/2444518", "xuhongfeng")</f>
        <v>xuhongfeng</v>
      </c>
      <c r="D13886" t="s">
        <v>5</v>
      </c>
      <c r="E13886">
        <v>1</v>
      </c>
    </row>
    <row r="13887" spans="1:5" x14ac:dyDescent="0.25">
      <c r="A13887">
        <v>13886</v>
      </c>
      <c r="B13887">
        <v>2444550</v>
      </c>
      <c r="C13887" s="1" t="str">
        <f>HYPERLINK("http://stackoverflow.com/users/2444550", "Ewan")</f>
        <v>Ewan</v>
      </c>
      <c r="D13887" t="s">
        <v>35</v>
      </c>
      <c r="E13887">
        <v>1</v>
      </c>
    </row>
    <row r="13888" spans="1:5" x14ac:dyDescent="0.25">
      <c r="A13888">
        <v>13887</v>
      </c>
      <c r="B13888">
        <v>2444987</v>
      </c>
      <c r="C13888" s="1" t="str">
        <f>HYPERLINK("http://stackoverflow.com/users/2444987", "JingJingRao")</f>
        <v>JingJingRao</v>
      </c>
      <c r="D13888" t="s">
        <v>8</v>
      </c>
      <c r="E13888">
        <v>1</v>
      </c>
    </row>
    <row r="13889" spans="1:5" x14ac:dyDescent="0.25">
      <c r="A13889">
        <v>13888</v>
      </c>
      <c r="B13889">
        <v>7816116</v>
      </c>
      <c r="C13889" s="1" t="str">
        <f>HYPERLINK("http://stackoverflow.com/users/7816116", "Alex Kong")</f>
        <v>Alex Kong</v>
      </c>
      <c r="D13889" t="s">
        <v>74</v>
      </c>
      <c r="E13889">
        <v>1</v>
      </c>
    </row>
    <row r="13890" spans="1:5" x14ac:dyDescent="0.25">
      <c r="A13890">
        <v>13889</v>
      </c>
      <c r="B13890">
        <v>9624142</v>
      </c>
      <c r="C13890" s="1" t="str">
        <f>HYPERLINK("http://stackoverflow.com/users/9624142", "Jason Yang")</f>
        <v>Jason Yang</v>
      </c>
      <c r="D13890" t="s">
        <v>4</v>
      </c>
      <c r="E13890">
        <v>1</v>
      </c>
    </row>
    <row r="13891" spans="1:5" x14ac:dyDescent="0.25">
      <c r="A13891">
        <v>13890</v>
      </c>
      <c r="B13891">
        <v>9631291</v>
      </c>
      <c r="C13891" s="1" t="str">
        <f>HYPERLINK("http://stackoverflow.com/users/9631291", "Mermew")</f>
        <v>Mermew</v>
      </c>
      <c r="D13891" t="s">
        <v>4</v>
      </c>
      <c r="E13891">
        <v>1</v>
      </c>
    </row>
    <row r="13892" spans="1:5" x14ac:dyDescent="0.25">
      <c r="A13892">
        <v>13891</v>
      </c>
      <c r="B13892">
        <v>4327773</v>
      </c>
      <c r="C13892" s="1" t="str">
        <f>HYPERLINK("http://stackoverflow.com/users/4327773", "ByYou")</f>
        <v>ByYou</v>
      </c>
      <c r="D13892" t="s">
        <v>4</v>
      </c>
      <c r="E13892">
        <v>1</v>
      </c>
    </row>
    <row r="13893" spans="1:5" x14ac:dyDescent="0.25">
      <c r="A13893">
        <v>13892</v>
      </c>
      <c r="B13893">
        <v>4327783</v>
      </c>
      <c r="C13893" s="1" t="str">
        <f>HYPERLINK("http://stackoverflow.com/users/4327783", "DwDc")</f>
        <v>DwDc</v>
      </c>
      <c r="D13893" t="s">
        <v>5</v>
      </c>
      <c r="E13893">
        <v>1</v>
      </c>
    </row>
    <row r="13894" spans="1:5" x14ac:dyDescent="0.25">
      <c r="A13894">
        <v>13893</v>
      </c>
      <c r="B13894">
        <v>4328091</v>
      </c>
      <c r="C13894" s="1" t="str">
        <f>HYPERLINK("http://stackoverflow.com/users/4328091", "7Zhang")</f>
        <v>7Zhang</v>
      </c>
      <c r="D13894" t="s">
        <v>5</v>
      </c>
      <c r="E13894">
        <v>1</v>
      </c>
    </row>
    <row r="13895" spans="1:5" x14ac:dyDescent="0.25">
      <c r="A13895">
        <v>13894</v>
      </c>
      <c r="B13895">
        <v>6042423</v>
      </c>
      <c r="C13895" s="1" t="str">
        <f>HYPERLINK("http://stackoverflow.com/users/6042423", "Caitlin.Y")</f>
        <v>Caitlin.Y</v>
      </c>
      <c r="D13895" t="s">
        <v>74</v>
      </c>
      <c r="E13895">
        <v>1</v>
      </c>
    </row>
    <row r="13896" spans="1:5" x14ac:dyDescent="0.25">
      <c r="A13896">
        <v>13895</v>
      </c>
      <c r="B13896">
        <v>6042513</v>
      </c>
      <c r="C13896" s="1" t="str">
        <f>HYPERLINK("http://stackoverflow.com/users/6042513", "Sven")</f>
        <v>Sven</v>
      </c>
      <c r="D13896" t="s">
        <v>55</v>
      </c>
      <c r="E13896">
        <v>1</v>
      </c>
    </row>
    <row r="13897" spans="1:5" x14ac:dyDescent="0.25">
      <c r="A13897">
        <v>13896</v>
      </c>
      <c r="B13897">
        <v>6042555</v>
      </c>
      <c r="C13897" s="1" t="str">
        <f>HYPERLINK("http://stackoverflow.com/users/6042555", "Kevin0223")</f>
        <v>Kevin0223</v>
      </c>
      <c r="D13897" t="s">
        <v>5</v>
      </c>
      <c r="E13897">
        <v>1</v>
      </c>
    </row>
    <row r="13898" spans="1:5" x14ac:dyDescent="0.25">
      <c r="A13898">
        <v>13897</v>
      </c>
      <c r="B13898">
        <v>9648207</v>
      </c>
      <c r="C13898" s="1" t="str">
        <f>HYPERLINK("http://stackoverflow.com/users/9648207", "Jelly Tea")</f>
        <v>Jelly Tea</v>
      </c>
      <c r="D13898" t="s">
        <v>13</v>
      </c>
      <c r="E13898">
        <v>1</v>
      </c>
    </row>
    <row r="13899" spans="1:5" x14ac:dyDescent="0.25">
      <c r="A13899">
        <v>13898</v>
      </c>
      <c r="B13899">
        <v>9648214</v>
      </c>
      <c r="C13899" s="1" t="str">
        <f>HYPERLINK("http://stackoverflow.com/users/9648214", "dieonsun")</f>
        <v>dieonsun</v>
      </c>
      <c r="D13899" t="s">
        <v>57</v>
      </c>
      <c r="E13899">
        <v>1</v>
      </c>
    </row>
    <row r="13900" spans="1:5" x14ac:dyDescent="0.25">
      <c r="A13900">
        <v>13899</v>
      </c>
      <c r="B13900">
        <v>6067632</v>
      </c>
      <c r="C13900" s="1" t="str">
        <f>HYPERLINK("http://stackoverflow.com/users/6067632", "del")</f>
        <v>del</v>
      </c>
      <c r="D13900" t="s">
        <v>5</v>
      </c>
      <c r="E13900">
        <v>1</v>
      </c>
    </row>
    <row r="13901" spans="1:5" x14ac:dyDescent="0.25">
      <c r="A13901">
        <v>13900</v>
      </c>
      <c r="B13901">
        <v>7831994</v>
      </c>
      <c r="C13901" s="1" t="str">
        <f>HYPERLINK("http://stackoverflow.com/users/7831994", "collen")</f>
        <v>collen</v>
      </c>
      <c r="D13901" t="s">
        <v>28</v>
      </c>
      <c r="E13901">
        <v>1</v>
      </c>
    </row>
    <row r="13902" spans="1:5" x14ac:dyDescent="0.25">
      <c r="A13902">
        <v>13901</v>
      </c>
      <c r="B13902">
        <v>7832035</v>
      </c>
      <c r="C13902" s="1" t="str">
        <f>HYPERLINK("http://stackoverflow.com/users/7832035", "何志伟")</f>
        <v>何志伟</v>
      </c>
      <c r="D13902" t="s">
        <v>4</v>
      </c>
      <c r="E13902">
        <v>1</v>
      </c>
    </row>
    <row r="13903" spans="1:5" x14ac:dyDescent="0.25">
      <c r="A13903">
        <v>13902</v>
      </c>
      <c r="B13903">
        <v>8129332</v>
      </c>
      <c r="C13903" s="1" t="str">
        <f>HYPERLINK("http://stackoverflow.com/users/8129332", "Michael.Zou")</f>
        <v>Michael.Zou</v>
      </c>
      <c r="D13903" t="s">
        <v>4</v>
      </c>
      <c r="E13903">
        <v>1</v>
      </c>
    </row>
    <row r="13904" spans="1:5" x14ac:dyDescent="0.25">
      <c r="A13904">
        <v>13903</v>
      </c>
      <c r="B13904">
        <v>8129363</v>
      </c>
      <c r="C13904" s="1" t="str">
        <f>HYPERLINK("http://stackoverflow.com/users/8129363", "Stone")</f>
        <v>Stone</v>
      </c>
      <c r="D13904" t="s">
        <v>43</v>
      </c>
      <c r="E13904">
        <v>1</v>
      </c>
    </row>
    <row r="13905" spans="1:5" x14ac:dyDescent="0.25">
      <c r="A13905">
        <v>13904</v>
      </c>
      <c r="B13905">
        <v>8129650</v>
      </c>
      <c r="C13905" s="1" t="str">
        <f>HYPERLINK("http://stackoverflow.com/users/8129650", "playHing")</f>
        <v>playHing</v>
      </c>
      <c r="D13905" t="s">
        <v>4</v>
      </c>
      <c r="E13905">
        <v>1</v>
      </c>
    </row>
    <row r="13906" spans="1:5" x14ac:dyDescent="0.25">
      <c r="A13906">
        <v>13905</v>
      </c>
      <c r="B13906">
        <v>8129667</v>
      </c>
      <c r="C13906" s="1" t="str">
        <f>HYPERLINK("http://stackoverflow.com/users/8129667", "J.Hao")</f>
        <v>J.Hao</v>
      </c>
      <c r="D13906" t="s">
        <v>766</v>
      </c>
      <c r="E13906">
        <v>1</v>
      </c>
    </row>
    <row r="13907" spans="1:5" x14ac:dyDescent="0.25">
      <c r="A13907">
        <v>13906</v>
      </c>
      <c r="B13907">
        <v>6344015</v>
      </c>
      <c r="C13907" s="1" t="str">
        <f>HYPERLINK("http://stackoverflow.com/users/6344015", "Julian Hu")</f>
        <v>Julian Hu</v>
      </c>
      <c r="D13907" t="s">
        <v>43</v>
      </c>
      <c r="E13907">
        <v>1</v>
      </c>
    </row>
    <row r="13908" spans="1:5" x14ac:dyDescent="0.25">
      <c r="A13908">
        <v>13907</v>
      </c>
      <c r="B13908">
        <v>6344231</v>
      </c>
      <c r="C13908" s="1" t="str">
        <f>HYPERLINK("http://stackoverflow.com/users/6344231", "user6344231")</f>
        <v>user6344231</v>
      </c>
      <c r="D13908" t="s">
        <v>47</v>
      </c>
      <c r="E13908">
        <v>1</v>
      </c>
    </row>
    <row r="13909" spans="1:5" x14ac:dyDescent="0.25">
      <c r="A13909">
        <v>13908</v>
      </c>
      <c r="B13909">
        <v>2783315</v>
      </c>
      <c r="C13909" s="1" t="str">
        <f>HYPERLINK("http://stackoverflow.com/users/2783315", "weijie shi")</f>
        <v>weijie shi</v>
      </c>
      <c r="D13909" t="s">
        <v>5</v>
      </c>
      <c r="E13909">
        <v>1</v>
      </c>
    </row>
    <row r="13910" spans="1:5" x14ac:dyDescent="0.25">
      <c r="A13910">
        <v>13909</v>
      </c>
      <c r="B13910">
        <v>2771487</v>
      </c>
      <c r="C13910" s="1" t="str">
        <f>HYPERLINK("http://stackoverflow.com/users/2771487", "user2771487")</f>
        <v>user2771487</v>
      </c>
      <c r="D13910" t="s">
        <v>21</v>
      </c>
      <c r="E13910">
        <v>1</v>
      </c>
    </row>
    <row r="13911" spans="1:5" x14ac:dyDescent="0.25">
      <c r="A13911">
        <v>13910</v>
      </c>
      <c r="B13911">
        <v>2775429</v>
      </c>
      <c r="C13911" s="1" t="str">
        <f>HYPERLINK("http://stackoverflow.com/users/2775429", "Craft.Sun")</f>
        <v>Craft.Sun</v>
      </c>
      <c r="D13911" t="s">
        <v>4</v>
      </c>
      <c r="E13911">
        <v>1</v>
      </c>
    </row>
    <row r="13912" spans="1:5" x14ac:dyDescent="0.25">
      <c r="A13912">
        <v>13911</v>
      </c>
      <c r="B13912">
        <v>8124838</v>
      </c>
      <c r="C13912" s="1" t="str">
        <f>HYPERLINK("http://stackoverflow.com/users/8124838", "nurmemet")</f>
        <v>nurmemet</v>
      </c>
      <c r="D13912" t="s">
        <v>767</v>
      </c>
      <c r="E13912">
        <v>1</v>
      </c>
    </row>
    <row r="13913" spans="1:5" x14ac:dyDescent="0.25">
      <c r="A13913">
        <v>13912</v>
      </c>
      <c r="B13913">
        <v>4610600</v>
      </c>
      <c r="C13913" s="1" t="str">
        <f>HYPERLINK("http://stackoverflow.com/users/4610600", "Sanmy")</f>
        <v>Sanmy</v>
      </c>
      <c r="D13913" t="s">
        <v>5</v>
      </c>
      <c r="E13913">
        <v>1</v>
      </c>
    </row>
    <row r="13914" spans="1:5" x14ac:dyDescent="0.25">
      <c r="A13914">
        <v>13913</v>
      </c>
      <c r="B13914">
        <v>6340151</v>
      </c>
      <c r="C13914" s="1" t="str">
        <f>HYPERLINK("http://stackoverflow.com/users/6340151", "lijun gao")</f>
        <v>lijun gao</v>
      </c>
      <c r="D13914" t="s">
        <v>5</v>
      </c>
      <c r="E13914">
        <v>1</v>
      </c>
    </row>
    <row r="13915" spans="1:5" x14ac:dyDescent="0.25">
      <c r="A13915">
        <v>13914</v>
      </c>
      <c r="B13915">
        <v>8129917</v>
      </c>
      <c r="C13915" s="1" t="str">
        <f>HYPERLINK("http://stackoverflow.com/users/8129917", "xinwei")</f>
        <v>xinwei</v>
      </c>
      <c r="D13915" t="s">
        <v>5</v>
      </c>
      <c r="E13915">
        <v>1</v>
      </c>
    </row>
    <row r="13916" spans="1:5" x14ac:dyDescent="0.25">
      <c r="A13916">
        <v>13915</v>
      </c>
      <c r="B13916">
        <v>8130042</v>
      </c>
      <c r="C13916" s="1" t="str">
        <f>HYPERLINK("http://stackoverflow.com/users/8130042", "xybsos")</f>
        <v>xybsos</v>
      </c>
      <c r="D13916" t="s">
        <v>5</v>
      </c>
      <c r="E13916">
        <v>1</v>
      </c>
    </row>
    <row r="13917" spans="1:5" x14ac:dyDescent="0.25">
      <c r="A13917">
        <v>13916</v>
      </c>
      <c r="B13917">
        <v>2783368</v>
      </c>
      <c r="C13917" s="1" t="str">
        <f>HYPERLINK("http://stackoverflow.com/users/2783368", "Gengsheng Liu")</f>
        <v>Gengsheng Liu</v>
      </c>
      <c r="D13917" t="s">
        <v>5</v>
      </c>
      <c r="E13917">
        <v>1</v>
      </c>
    </row>
    <row r="13918" spans="1:5" x14ac:dyDescent="0.25">
      <c r="A13918">
        <v>13917</v>
      </c>
      <c r="B13918">
        <v>2783432</v>
      </c>
      <c r="C13918" s="1" t="str">
        <f>HYPERLINK("http://stackoverflow.com/users/2783432", "Mr_BackKom")</f>
        <v>Mr_BackKom</v>
      </c>
      <c r="D13918" t="s">
        <v>5</v>
      </c>
      <c r="E13918">
        <v>1</v>
      </c>
    </row>
    <row r="13919" spans="1:5" x14ac:dyDescent="0.25">
      <c r="A13919">
        <v>13918</v>
      </c>
      <c r="B13919">
        <v>9951834</v>
      </c>
      <c r="C13919" s="1" t="str">
        <f>HYPERLINK("http://stackoverflow.com/users/9951834", "又双叒叕")</f>
        <v>又双叒叕</v>
      </c>
      <c r="D13919" t="s">
        <v>57</v>
      </c>
      <c r="E13919">
        <v>1</v>
      </c>
    </row>
    <row r="13920" spans="1:5" x14ac:dyDescent="0.25">
      <c r="A13920">
        <v>13919</v>
      </c>
      <c r="B13920">
        <v>4630424</v>
      </c>
      <c r="C13920" s="1" t="str">
        <f>HYPERLINK("http://stackoverflow.com/users/4630424", "yangl1996")</f>
        <v>yangl1996</v>
      </c>
      <c r="D13920" t="s">
        <v>12</v>
      </c>
      <c r="E13920">
        <v>1</v>
      </c>
    </row>
    <row r="13921" spans="1:5" x14ac:dyDescent="0.25">
      <c r="A13921">
        <v>13920</v>
      </c>
      <c r="B13921">
        <v>6356505</v>
      </c>
      <c r="C13921" s="1" t="str">
        <f>HYPERLINK("http://stackoverflow.com/users/6356505", "Jilil Rahmat")</f>
        <v>Jilil Rahmat</v>
      </c>
      <c r="D13921" t="s">
        <v>4</v>
      </c>
      <c r="E13921">
        <v>1</v>
      </c>
    </row>
    <row r="13922" spans="1:5" x14ac:dyDescent="0.25">
      <c r="A13922">
        <v>13921</v>
      </c>
      <c r="B13922">
        <v>6356773</v>
      </c>
      <c r="C13922" s="1" t="str">
        <f>HYPERLINK("http://stackoverflow.com/users/6356773", "Hieast")</f>
        <v>Hieast</v>
      </c>
      <c r="D13922" t="s">
        <v>4</v>
      </c>
      <c r="E13922">
        <v>1</v>
      </c>
    </row>
    <row r="13923" spans="1:5" x14ac:dyDescent="0.25">
      <c r="A13923">
        <v>13922</v>
      </c>
      <c r="B13923">
        <v>8146392</v>
      </c>
      <c r="C13923" s="1" t="str">
        <f>HYPERLINK("http://stackoverflow.com/users/8146392", "G.Wang")</f>
        <v>G.Wang</v>
      </c>
      <c r="D13923" t="s">
        <v>5</v>
      </c>
      <c r="E13923">
        <v>1</v>
      </c>
    </row>
    <row r="13924" spans="1:5" x14ac:dyDescent="0.25">
      <c r="A13924">
        <v>13923</v>
      </c>
      <c r="B13924">
        <v>8141499</v>
      </c>
      <c r="C13924" s="1" t="str">
        <f>HYPERLINK("http://stackoverflow.com/users/8141499", "斯东卫")</f>
        <v>斯东卫</v>
      </c>
      <c r="D13924" t="s">
        <v>52</v>
      </c>
      <c r="E13924">
        <v>1</v>
      </c>
    </row>
    <row r="13925" spans="1:5" x14ac:dyDescent="0.25">
      <c r="A13925">
        <v>13924</v>
      </c>
      <c r="B13925">
        <v>9955500</v>
      </c>
      <c r="C13925" s="1" t="str">
        <f>HYPERLINK("http://stackoverflow.com/users/9955500", "Steven")</f>
        <v>Steven</v>
      </c>
      <c r="D13925" t="s">
        <v>22</v>
      </c>
      <c r="E13925">
        <v>1</v>
      </c>
    </row>
    <row r="13926" spans="1:5" x14ac:dyDescent="0.25">
      <c r="A13926">
        <v>13925</v>
      </c>
      <c r="B13926">
        <v>8146867</v>
      </c>
      <c r="C13926" s="1" t="str">
        <f>HYPERLINK("http://stackoverflow.com/users/8146867", "Eric")</f>
        <v>Eric</v>
      </c>
      <c r="D13926" t="s">
        <v>5</v>
      </c>
      <c r="E13926">
        <v>1</v>
      </c>
    </row>
    <row r="13927" spans="1:5" x14ac:dyDescent="0.25">
      <c r="A13927">
        <v>13926</v>
      </c>
      <c r="B13927">
        <v>2790553</v>
      </c>
      <c r="C13927" s="1" t="str">
        <f>HYPERLINK("http://stackoverflow.com/users/2790553", "rhtsjz")</f>
        <v>rhtsjz</v>
      </c>
      <c r="D13927" t="s">
        <v>5</v>
      </c>
      <c r="E13927">
        <v>1</v>
      </c>
    </row>
    <row r="13928" spans="1:5" x14ac:dyDescent="0.25">
      <c r="A13928">
        <v>13927</v>
      </c>
      <c r="B13928">
        <v>6364048</v>
      </c>
      <c r="C13928" s="1" t="str">
        <f>HYPERLINK("http://stackoverflow.com/users/6364048", "oven zhang")</f>
        <v>oven zhang</v>
      </c>
      <c r="D13928" t="s">
        <v>91</v>
      </c>
      <c r="E13928">
        <v>1</v>
      </c>
    </row>
    <row r="13929" spans="1:5" x14ac:dyDescent="0.25">
      <c r="A13929">
        <v>13928</v>
      </c>
      <c r="B13929">
        <v>646681</v>
      </c>
      <c r="C13929" s="1" t="str">
        <f>HYPERLINK("http://stackoverflow.com/users/646681", "linvar")</f>
        <v>linvar</v>
      </c>
      <c r="D13929" t="s">
        <v>47</v>
      </c>
      <c r="E13929">
        <v>1</v>
      </c>
    </row>
    <row r="13930" spans="1:5" x14ac:dyDescent="0.25">
      <c r="A13930">
        <v>13929</v>
      </c>
      <c r="B13930">
        <v>654977</v>
      </c>
      <c r="C13930" s="1" t="str">
        <f>HYPERLINK("http://stackoverflow.com/users/654977", "Pele")</f>
        <v>Pele</v>
      </c>
      <c r="D13930" t="s">
        <v>5</v>
      </c>
      <c r="E13930">
        <v>1</v>
      </c>
    </row>
    <row r="13931" spans="1:5" x14ac:dyDescent="0.25">
      <c r="A13931">
        <v>13930</v>
      </c>
      <c r="B13931">
        <v>9970573</v>
      </c>
      <c r="C13931" s="1" t="str">
        <f>HYPERLINK("http://stackoverflow.com/users/9970573", "Jingxin Fu")</f>
        <v>Jingxin Fu</v>
      </c>
      <c r="D13931" t="s">
        <v>4</v>
      </c>
      <c r="E13931">
        <v>1</v>
      </c>
    </row>
    <row r="13932" spans="1:5" x14ac:dyDescent="0.25">
      <c r="A13932">
        <v>13931</v>
      </c>
      <c r="B13932">
        <v>9970713</v>
      </c>
      <c r="C13932" s="1" t="str">
        <f>HYPERLINK("http://stackoverflow.com/users/9970713", "ziliang han")</f>
        <v>ziliang han</v>
      </c>
      <c r="D13932" t="s">
        <v>4</v>
      </c>
      <c r="E13932">
        <v>1</v>
      </c>
    </row>
    <row r="13933" spans="1:5" x14ac:dyDescent="0.25">
      <c r="A13933">
        <v>13932</v>
      </c>
      <c r="B13933">
        <v>8161028</v>
      </c>
      <c r="C13933" s="1" t="str">
        <f>HYPERLINK("http://stackoverflow.com/users/8161028", "Jayden")</f>
        <v>Jayden</v>
      </c>
      <c r="D13933" t="s">
        <v>5</v>
      </c>
      <c r="E13933">
        <v>1</v>
      </c>
    </row>
    <row r="13934" spans="1:5" x14ac:dyDescent="0.25">
      <c r="A13934">
        <v>13933</v>
      </c>
      <c r="B13934">
        <v>2809393</v>
      </c>
      <c r="C13934" s="1" t="str">
        <f>HYPERLINK("http://stackoverflow.com/users/2809393", "gray_ash")</f>
        <v>gray_ash</v>
      </c>
      <c r="D13934" t="s">
        <v>12</v>
      </c>
      <c r="E13934">
        <v>1</v>
      </c>
    </row>
    <row r="13935" spans="1:5" x14ac:dyDescent="0.25">
      <c r="A13935">
        <v>13934</v>
      </c>
      <c r="B13935">
        <v>2809467</v>
      </c>
      <c r="C13935" s="1" t="str">
        <f>HYPERLINK("http://stackoverflow.com/users/2809467", "吕杨鹏")</f>
        <v>吕杨鹏</v>
      </c>
      <c r="D13935" t="s">
        <v>5</v>
      </c>
      <c r="E13935">
        <v>1</v>
      </c>
    </row>
    <row r="13936" spans="1:5" x14ac:dyDescent="0.25">
      <c r="A13936">
        <v>13935</v>
      </c>
      <c r="B13936">
        <v>2809566</v>
      </c>
      <c r="C13936" s="1" t="str">
        <f>HYPERLINK("http://stackoverflow.com/users/2809566", "zorchen")</f>
        <v>zorchen</v>
      </c>
      <c r="D13936" t="s">
        <v>390</v>
      </c>
      <c r="E13936">
        <v>1</v>
      </c>
    </row>
    <row r="13937" spans="1:5" x14ac:dyDescent="0.25">
      <c r="A13937">
        <v>13936</v>
      </c>
      <c r="B13937">
        <v>8193217</v>
      </c>
      <c r="C13937" s="1" t="str">
        <f>HYPERLINK("http://stackoverflow.com/users/8193217", "sspan")</f>
        <v>sspan</v>
      </c>
      <c r="D13937" t="s">
        <v>42</v>
      </c>
      <c r="E13937">
        <v>1</v>
      </c>
    </row>
    <row r="13938" spans="1:5" x14ac:dyDescent="0.25">
      <c r="A13938">
        <v>13937</v>
      </c>
      <c r="B13938">
        <v>8193313</v>
      </c>
      <c r="C13938" s="1" t="str">
        <f>HYPERLINK("http://stackoverflow.com/users/8193313", "zhangqq")</f>
        <v>zhangqq</v>
      </c>
      <c r="D13938" t="s">
        <v>5</v>
      </c>
      <c r="E13938">
        <v>1</v>
      </c>
    </row>
    <row r="13939" spans="1:5" x14ac:dyDescent="0.25">
      <c r="A13939">
        <v>13938</v>
      </c>
      <c r="B13939">
        <v>4674608</v>
      </c>
      <c r="C13939" s="1" t="str">
        <f>HYPERLINK("http://stackoverflow.com/users/4674608", "zchan0")</f>
        <v>zchan0</v>
      </c>
      <c r="D13939" t="s">
        <v>31</v>
      </c>
      <c r="E13939">
        <v>1</v>
      </c>
    </row>
    <row r="13940" spans="1:5" x14ac:dyDescent="0.25">
      <c r="A13940">
        <v>13939</v>
      </c>
      <c r="B13940">
        <v>8197551</v>
      </c>
      <c r="C13940" s="1" t="str">
        <f>HYPERLINK("http://stackoverflow.com/users/8197551", "沈开明")</f>
        <v>沈开明</v>
      </c>
      <c r="D13940" t="s">
        <v>5</v>
      </c>
      <c r="E13940">
        <v>1</v>
      </c>
    </row>
    <row r="13941" spans="1:5" x14ac:dyDescent="0.25">
      <c r="A13941">
        <v>13940</v>
      </c>
      <c r="B13941">
        <v>8197606</v>
      </c>
      <c r="C13941" s="1" t="str">
        <f>HYPERLINK("http://stackoverflow.com/users/8197606", "Hoiban Ng")</f>
        <v>Hoiban Ng</v>
      </c>
      <c r="D13941" t="s">
        <v>4</v>
      </c>
      <c r="E13941">
        <v>1</v>
      </c>
    </row>
    <row r="13942" spans="1:5" x14ac:dyDescent="0.25">
      <c r="A13942">
        <v>13941</v>
      </c>
      <c r="B13942">
        <v>8198012</v>
      </c>
      <c r="C13942" s="1" t="str">
        <f>HYPERLINK("http://stackoverflow.com/users/8198012", "kelly xiao")</f>
        <v>kelly xiao</v>
      </c>
      <c r="D13942" t="s">
        <v>768</v>
      </c>
      <c r="E13942">
        <v>1</v>
      </c>
    </row>
    <row r="13943" spans="1:5" x14ac:dyDescent="0.25">
      <c r="A13943">
        <v>13942</v>
      </c>
      <c r="B13943">
        <v>6394533</v>
      </c>
      <c r="C13943" s="1" t="str">
        <f>HYPERLINK("http://stackoverflow.com/users/6394533", "Peter Ch")</f>
        <v>Peter Ch</v>
      </c>
      <c r="D13943" t="s">
        <v>5</v>
      </c>
      <c r="E13943">
        <v>1</v>
      </c>
    </row>
    <row r="13944" spans="1:5" x14ac:dyDescent="0.25">
      <c r="A13944">
        <v>13943</v>
      </c>
      <c r="B13944">
        <v>8188123</v>
      </c>
      <c r="C13944" s="1" t="str">
        <f>HYPERLINK("http://stackoverflow.com/users/8188123", "Klong")</f>
        <v>Klong</v>
      </c>
      <c r="D13944" t="s">
        <v>25</v>
      </c>
      <c r="E13944">
        <v>1</v>
      </c>
    </row>
    <row r="13945" spans="1:5" x14ac:dyDescent="0.25">
      <c r="A13945">
        <v>13944</v>
      </c>
      <c r="B13945">
        <v>703447</v>
      </c>
      <c r="C13945" s="1" t="str">
        <f>HYPERLINK("http://stackoverflow.com/users/703447", "kaneboy")</f>
        <v>kaneboy</v>
      </c>
      <c r="D13945" t="s">
        <v>5</v>
      </c>
      <c r="E13945">
        <v>1</v>
      </c>
    </row>
    <row r="13946" spans="1:5" x14ac:dyDescent="0.25">
      <c r="A13946">
        <v>13945</v>
      </c>
      <c r="B13946">
        <v>703653</v>
      </c>
      <c r="C13946" s="1" t="str">
        <f>HYPERLINK("http://stackoverflow.com/users/703653", "taberh")</f>
        <v>taberh</v>
      </c>
      <c r="D13946" t="s">
        <v>12</v>
      </c>
      <c r="E13946">
        <v>1</v>
      </c>
    </row>
    <row r="13947" spans="1:5" x14ac:dyDescent="0.25">
      <c r="A13947">
        <v>13946</v>
      </c>
      <c r="B13947">
        <v>704076</v>
      </c>
      <c r="C13947" s="1" t="str">
        <f>HYPERLINK("http://stackoverflow.com/users/704076", "cashplk")</f>
        <v>cashplk</v>
      </c>
      <c r="D13947" t="s">
        <v>12</v>
      </c>
      <c r="E13947">
        <v>1</v>
      </c>
    </row>
    <row r="13948" spans="1:5" x14ac:dyDescent="0.25">
      <c r="A13948">
        <v>13947</v>
      </c>
      <c r="B13948">
        <v>2834433</v>
      </c>
      <c r="C13948" s="1" t="str">
        <f>HYPERLINK("http://stackoverflow.com/users/2834433", "Hu Haibo")</f>
        <v>Hu Haibo</v>
      </c>
      <c r="D13948" t="s">
        <v>56</v>
      </c>
      <c r="E13948">
        <v>1</v>
      </c>
    </row>
    <row r="13949" spans="1:5" x14ac:dyDescent="0.25">
      <c r="A13949">
        <v>13948</v>
      </c>
      <c r="B13949">
        <v>2828588</v>
      </c>
      <c r="C13949" s="1" t="str">
        <f>HYPERLINK("http://stackoverflow.com/users/2828588", "paly76")</f>
        <v>paly76</v>
      </c>
      <c r="D13949" t="s">
        <v>21</v>
      </c>
      <c r="E13949">
        <v>1</v>
      </c>
    </row>
    <row r="13950" spans="1:5" x14ac:dyDescent="0.25">
      <c r="A13950">
        <v>13949</v>
      </c>
      <c r="B13950">
        <v>2828928</v>
      </c>
      <c r="C13950" s="1" t="str">
        <f>HYPERLINK("http://stackoverflow.com/users/2828928", "yangzhe1991")</f>
        <v>yangzhe1991</v>
      </c>
      <c r="D13950" t="s">
        <v>5</v>
      </c>
      <c r="E13950">
        <v>1</v>
      </c>
    </row>
    <row r="13951" spans="1:5" x14ac:dyDescent="0.25">
      <c r="A13951">
        <v>13950</v>
      </c>
      <c r="B13951">
        <v>694185</v>
      </c>
      <c r="C13951" s="1" t="str">
        <f>HYPERLINK("http://stackoverflow.com/users/694185", "mendaxia")</f>
        <v>mendaxia</v>
      </c>
      <c r="D13951" t="s">
        <v>5</v>
      </c>
      <c r="E13951">
        <v>1</v>
      </c>
    </row>
    <row r="13952" spans="1:5" x14ac:dyDescent="0.25">
      <c r="A13952">
        <v>13951</v>
      </c>
      <c r="B13952">
        <v>694383</v>
      </c>
      <c r="C13952" s="1" t="str">
        <f>HYPERLINK("http://stackoverflow.com/users/694383", "John")</f>
        <v>John</v>
      </c>
      <c r="D13952" t="s">
        <v>37</v>
      </c>
      <c r="E13952">
        <v>1</v>
      </c>
    </row>
    <row r="13953" spans="1:5" x14ac:dyDescent="0.25">
      <c r="A13953">
        <v>13952</v>
      </c>
      <c r="B13953">
        <v>689501</v>
      </c>
      <c r="C13953" s="1" t="str">
        <f>HYPERLINK("http://stackoverflow.com/users/689501", "Sosi")</f>
        <v>Sosi</v>
      </c>
      <c r="D13953" t="s">
        <v>5</v>
      </c>
      <c r="E13953">
        <v>1</v>
      </c>
    </row>
    <row r="13954" spans="1:5" x14ac:dyDescent="0.25">
      <c r="A13954">
        <v>13953</v>
      </c>
      <c r="B13954">
        <v>6373872</v>
      </c>
      <c r="C13954" s="1" t="str">
        <f>HYPERLINK("http://stackoverflow.com/users/6373872", "高旭蓉")</f>
        <v>高旭蓉</v>
      </c>
      <c r="D13954" t="s">
        <v>5</v>
      </c>
      <c r="E13954">
        <v>1</v>
      </c>
    </row>
    <row r="13955" spans="1:5" x14ac:dyDescent="0.25">
      <c r="A13955">
        <v>13954</v>
      </c>
      <c r="B13955">
        <v>6373883</v>
      </c>
      <c r="C13955" s="1" t="str">
        <f>HYPERLINK("http://stackoverflow.com/users/6373883", "solarqiang")</f>
        <v>solarqiang</v>
      </c>
      <c r="D13955" t="s">
        <v>55</v>
      </c>
      <c r="E13955">
        <v>1</v>
      </c>
    </row>
    <row r="13956" spans="1:5" x14ac:dyDescent="0.25">
      <c r="A13956">
        <v>13955</v>
      </c>
      <c r="B13956">
        <v>8166431</v>
      </c>
      <c r="C13956" s="1" t="str">
        <f>HYPERLINK("http://stackoverflow.com/users/8166431", "jason zhang ")</f>
        <v xml:space="preserve">jason zhang </v>
      </c>
      <c r="D13956" t="s">
        <v>4</v>
      </c>
      <c r="E13956">
        <v>1</v>
      </c>
    </row>
    <row r="13957" spans="1:5" x14ac:dyDescent="0.25">
      <c r="A13957">
        <v>13956</v>
      </c>
      <c r="B13957">
        <v>4648953</v>
      </c>
      <c r="C13957" s="1" t="str">
        <f>HYPERLINK("http://stackoverflow.com/users/4648953", "littleYX")</f>
        <v>littleYX</v>
      </c>
      <c r="D13957" t="s">
        <v>12</v>
      </c>
      <c r="E13957">
        <v>1</v>
      </c>
    </row>
    <row r="13958" spans="1:5" x14ac:dyDescent="0.25">
      <c r="A13958">
        <v>13957</v>
      </c>
      <c r="B13958">
        <v>4649220</v>
      </c>
      <c r="C13958" s="1" t="str">
        <f>HYPERLINK("http://stackoverflow.com/users/4649220", "Brian")</f>
        <v>Brian</v>
      </c>
      <c r="D13958" t="s">
        <v>5</v>
      </c>
      <c r="E13958">
        <v>1</v>
      </c>
    </row>
    <row r="13959" spans="1:5" x14ac:dyDescent="0.25">
      <c r="A13959">
        <v>13958</v>
      </c>
      <c r="B13959">
        <v>2814259</v>
      </c>
      <c r="C13959" s="1" t="str">
        <f>HYPERLINK("http://stackoverflow.com/users/2814259", "orient")</f>
        <v>orient</v>
      </c>
      <c r="D13959" t="s">
        <v>5</v>
      </c>
      <c r="E13959">
        <v>1</v>
      </c>
    </row>
    <row r="13960" spans="1:5" x14ac:dyDescent="0.25">
      <c r="A13960">
        <v>13959</v>
      </c>
      <c r="B13960">
        <v>2810232</v>
      </c>
      <c r="C13960" s="1" t="str">
        <f>HYPERLINK("http://stackoverflow.com/users/2810232", "edgardo")</f>
        <v>edgardo</v>
      </c>
      <c r="D13960" t="s">
        <v>5</v>
      </c>
      <c r="E13960">
        <v>1</v>
      </c>
    </row>
    <row r="13961" spans="1:5" x14ac:dyDescent="0.25">
      <c r="A13961">
        <v>13960</v>
      </c>
      <c r="B13961">
        <v>2810257</v>
      </c>
      <c r="C13961" s="1" t="str">
        <f>HYPERLINK("http://stackoverflow.com/users/2810257", "splinzer")</f>
        <v>splinzer</v>
      </c>
      <c r="D13961" t="s">
        <v>131</v>
      </c>
      <c r="E13961">
        <v>1</v>
      </c>
    </row>
    <row r="13962" spans="1:5" x14ac:dyDescent="0.25">
      <c r="A13962">
        <v>13961</v>
      </c>
      <c r="B13962">
        <v>2810372</v>
      </c>
      <c r="C13962" s="1" t="str">
        <f>HYPERLINK("http://stackoverflow.com/users/2810372", "ios_game_developer")</f>
        <v>ios_game_developer</v>
      </c>
      <c r="D13962" t="s">
        <v>17</v>
      </c>
      <c r="E13962">
        <v>1</v>
      </c>
    </row>
    <row r="13963" spans="1:5" x14ac:dyDescent="0.25">
      <c r="A13963">
        <v>13962</v>
      </c>
      <c r="B13963">
        <v>664520</v>
      </c>
      <c r="C13963" s="1" t="str">
        <f>HYPERLINK("http://stackoverflow.com/users/664520", "shengdong")</f>
        <v>shengdong</v>
      </c>
      <c r="D13963" t="s">
        <v>5</v>
      </c>
      <c r="E13963">
        <v>1</v>
      </c>
    </row>
    <row r="13964" spans="1:5" x14ac:dyDescent="0.25">
      <c r="A13964">
        <v>13963</v>
      </c>
      <c r="B13964">
        <v>9975789</v>
      </c>
      <c r="C13964" s="1" t="str">
        <f>HYPERLINK("http://stackoverflow.com/users/9975789", "Lyceum")</f>
        <v>Lyceum</v>
      </c>
      <c r="D13964" t="s">
        <v>21</v>
      </c>
      <c r="E13964">
        <v>1</v>
      </c>
    </row>
    <row r="13965" spans="1:5" x14ac:dyDescent="0.25">
      <c r="A13965">
        <v>13964</v>
      </c>
      <c r="B13965">
        <v>9976043</v>
      </c>
      <c r="C13965" s="1" t="str">
        <f>HYPERLINK("http://stackoverflow.com/users/9976043", "lexindd")</f>
        <v>lexindd</v>
      </c>
      <c r="D13965" t="s">
        <v>5</v>
      </c>
      <c r="E13965">
        <v>1</v>
      </c>
    </row>
    <row r="13966" spans="1:5" x14ac:dyDescent="0.25">
      <c r="A13966">
        <v>13965</v>
      </c>
      <c r="B13966">
        <v>6373704</v>
      </c>
      <c r="C13966" s="1" t="str">
        <f>HYPERLINK("http://stackoverflow.com/users/6373704", "AlbertZhu")</f>
        <v>AlbertZhu</v>
      </c>
      <c r="D13966" t="s">
        <v>97</v>
      </c>
      <c r="E13966">
        <v>1</v>
      </c>
    </row>
    <row r="13967" spans="1:5" x14ac:dyDescent="0.25">
      <c r="A13967">
        <v>13966</v>
      </c>
      <c r="B13967">
        <v>6381468</v>
      </c>
      <c r="C13967" s="1" t="str">
        <f>HYPERLINK("http://stackoverflow.com/users/6381468", "eternaltreesnow")</f>
        <v>eternaltreesnow</v>
      </c>
      <c r="D13967" t="s">
        <v>351</v>
      </c>
      <c r="E13967">
        <v>1</v>
      </c>
    </row>
    <row r="13968" spans="1:5" x14ac:dyDescent="0.25">
      <c r="A13968">
        <v>13967</v>
      </c>
      <c r="B13968">
        <v>9992106</v>
      </c>
      <c r="C13968" s="1" t="str">
        <f>HYPERLINK("http://stackoverflow.com/users/9992106", "Janezh")</f>
        <v>Janezh</v>
      </c>
      <c r="D13968" t="s">
        <v>52</v>
      </c>
      <c r="E13968">
        <v>1</v>
      </c>
    </row>
    <row r="13969" spans="1:5" x14ac:dyDescent="0.25">
      <c r="A13969">
        <v>13968</v>
      </c>
      <c r="B13969">
        <v>8174235</v>
      </c>
      <c r="C13969" s="1" t="str">
        <f>HYPERLINK("http://stackoverflow.com/users/8174235", "叶张程")</f>
        <v>叶张程</v>
      </c>
      <c r="D13969" t="s">
        <v>52</v>
      </c>
      <c r="E13969">
        <v>1</v>
      </c>
    </row>
    <row r="13970" spans="1:5" x14ac:dyDescent="0.25">
      <c r="A13970">
        <v>13969</v>
      </c>
      <c r="B13970">
        <v>8170437</v>
      </c>
      <c r="C13970" s="1" t="str">
        <f>HYPERLINK("http://stackoverflow.com/users/8170437", "user8170437")</f>
        <v>user8170437</v>
      </c>
      <c r="D13970" t="s">
        <v>7</v>
      </c>
      <c r="E13970">
        <v>1</v>
      </c>
    </row>
    <row r="13971" spans="1:5" x14ac:dyDescent="0.25">
      <c r="A13971">
        <v>13970</v>
      </c>
      <c r="B13971">
        <v>2814632</v>
      </c>
      <c r="C13971" s="1" t="str">
        <f>HYPERLINK("http://stackoverflow.com/users/2814632", "user2814632")</f>
        <v>user2814632</v>
      </c>
      <c r="D13971" t="s">
        <v>5</v>
      </c>
      <c r="E13971">
        <v>1</v>
      </c>
    </row>
    <row r="13972" spans="1:5" x14ac:dyDescent="0.25">
      <c r="A13972">
        <v>13971</v>
      </c>
      <c r="B13972">
        <v>688810</v>
      </c>
      <c r="C13972" s="1" t="str">
        <f>HYPERLINK("http://stackoverflow.com/users/688810", "zd987")</f>
        <v>zd987</v>
      </c>
      <c r="D13972" t="s">
        <v>5</v>
      </c>
      <c r="E13972">
        <v>1</v>
      </c>
    </row>
    <row r="13973" spans="1:5" x14ac:dyDescent="0.25">
      <c r="A13973">
        <v>13972</v>
      </c>
      <c r="B13973">
        <v>6385153</v>
      </c>
      <c r="C13973" s="1" t="str">
        <f>HYPERLINK("http://stackoverflow.com/users/6385153", "bgl")</f>
        <v>bgl</v>
      </c>
      <c r="D13973" t="s">
        <v>332</v>
      </c>
      <c r="E13973">
        <v>1</v>
      </c>
    </row>
    <row r="13974" spans="1:5" x14ac:dyDescent="0.25">
      <c r="A13974">
        <v>13973</v>
      </c>
      <c r="B13974">
        <v>8178370</v>
      </c>
      <c r="C13974" s="1" t="str">
        <f>HYPERLINK("http://stackoverflow.com/users/8178370", "Xi. Chen")</f>
        <v>Xi. Chen</v>
      </c>
      <c r="D13974" t="s">
        <v>4</v>
      </c>
      <c r="E13974">
        <v>1</v>
      </c>
    </row>
    <row r="13975" spans="1:5" x14ac:dyDescent="0.25">
      <c r="A13975">
        <v>13974</v>
      </c>
      <c r="B13975">
        <v>8178825</v>
      </c>
      <c r="C13975" s="1" t="str">
        <f>HYPERLINK("http://stackoverflow.com/users/8178825", "Y.Salad")</f>
        <v>Y.Salad</v>
      </c>
      <c r="D13975" t="s">
        <v>420</v>
      </c>
      <c r="E13975">
        <v>1</v>
      </c>
    </row>
    <row r="13976" spans="1:5" x14ac:dyDescent="0.25">
      <c r="A13976">
        <v>13975</v>
      </c>
      <c r="B13976">
        <v>6309440</v>
      </c>
      <c r="C13976" s="1" t="str">
        <f>HYPERLINK("http://stackoverflow.com/users/6309440", "黄谷歌")</f>
        <v>黄谷歌</v>
      </c>
      <c r="D13976" t="s">
        <v>62</v>
      </c>
      <c r="E13976">
        <v>1</v>
      </c>
    </row>
    <row r="13977" spans="1:5" x14ac:dyDescent="0.25">
      <c r="A13977">
        <v>13976</v>
      </c>
      <c r="B13977">
        <v>2749756</v>
      </c>
      <c r="C13977" s="1" t="str">
        <f>HYPERLINK("http://stackoverflow.com/users/2749756", "fry fan")</f>
        <v>fry fan</v>
      </c>
      <c r="D13977" t="s">
        <v>21</v>
      </c>
      <c r="E13977">
        <v>1</v>
      </c>
    </row>
    <row r="13978" spans="1:5" x14ac:dyDescent="0.25">
      <c r="A13978">
        <v>13977</v>
      </c>
      <c r="B13978">
        <v>9906539</v>
      </c>
      <c r="C13978" s="1" t="str">
        <f>HYPERLINK("http://stackoverflow.com/users/9906539", "40404")</f>
        <v>40404</v>
      </c>
      <c r="D13978" t="s">
        <v>5</v>
      </c>
      <c r="E13978">
        <v>1</v>
      </c>
    </row>
    <row r="13979" spans="1:5" x14ac:dyDescent="0.25">
      <c r="A13979">
        <v>13978</v>
      </c>
      <c r="B13979">
        <v>9914065</v>
      </c>
      <c r="C13979" s="1" t="str">
        <f>HYPERLINK("http://stackoverflow.com/users/9914065", "Chen")</f>
        <v>Chen</v>
      </c>
      <c r="D13979" t="s">
        <v>19</v>
      </c>
      <c r="E13979">
        <v>1</v>
      </c>
    </row>
    <row r="13980" spans="1:5" x14ac:dyDescent="0.25">
      <c r="A13980">
        <v>13979</v>
      </c>
      <c r="B13980">
        <v>8092166</v>
      </c>
      <c r="C13980" s="1" t="str">
        <f>HYPERLINK("http://stackoverflow.com/users/8092166", "Easy Wang")</f>
        <v>Easy Wang</v>
      </c>
      <c r="D13980" t="s">
        <v>5</v>
      </c>
      <c r="E13980">
        <v>1</v>
      </c>
    </row>
    <row r="13981" spans="1:5" x14ac:dyDescent="0.25">
      <c r="A13981">
        <v>13980</v>
      </c>
      <c r="B13981">
        <v>6308543</v>
      </c>
      <c r="C13981" s="1" t="str">
        <f>HYPERLINK("http://stackoverflow.com/users/6308543", "abe360")</f>
        <v>abe360</v>
      </c>
      <c r="D13981" t="s">
        <v>490</v>
      </c>
      <c r="E13981">
        <v>1</v>
      </c>
    </row>
    <row r="13982" spans="1:5" x14ac:dyDescent="0.25">
      <c r="A13982">
        <v>13981</v>
      </c>
      <c r="B13982">
        <v>6308547</v>
      </c>
      <c r="C13982" s="1" t="str">
        <f>HYPERLINK("http://stackoverflow.com/users/6308547", "Felixglow")</f>
        <v>Felixglow</v>
      </c>
      <c r="D13982" t="s">
        <v>4</v>
      </c>
      <c r="E13982">
        <v>1</v>
      </c>
    </row>
    <row r="13983" spans="1:5" x14ac:dyDescent="0.25">
      <c r="A13983">
        <v>13982</v>
      </c>
      <c r="B13983">
        <v>6308683</v>
      </c>
      <c r="C13983" s="1" t="str">
        <f>HYPERLINK("http://stackoverflow.com/users/6308683", "cz000")</f>
        <v>cz000</v>
      </c>
      <c r="D13983" t="s">
        <v>55</v>
      </c>
      <c r="E13983">
        <v>1</v>
      </c>
    </row>
    <row r="13984" spans="1:5" x14ac:dyDescent="0.25">
      <c r="A13984">
        <v>13983</v>
      </c>
      <c r="B13984">
        <v>6308804</v>
      </c>
      <c r="C13984" s="1" t="str">
        <f>HYPERLINK("http://stackoverflow.com/users/6308804", "BBcaptain")</f>
        <v>BBcaptain</v>
      </c>
      <c r="D13984" t="s">
        <v>118</v>
      </c>
      <c r="E13984">
        <v>1</v>
      </c>
    </row>
    <row r="13985" spans="1:5" x14ac:dyDescent="0.25">
      <c r="A13985">
        <v>13984</v>
      </c>
      <c r="B13985">
        <v>9917896</v>
      </c>
      <c r="C13985" s="1" t="str">
        <f>HYPERLINK("http://stackoverflow.com/users/9917896", "size43")</f>
        <v>size43</v>
      </c>
      <c r="D13985" t="s">
        <v>5</v>
      </c>
      <c r="E13985">
        <v>1</v>
      </c>
    </row>
    <row r="13986" spans="1:5" x14ac:dyDescent="0.25">
      <c r="A13986">
        <v>13985</v>
      </c>
      <c r="B13986">
        <v>8103448</v>
      </c>
      <c r="C13986" s="1" t="str">
        <f>HYPERLINK("http://stackoverflow.com/users/8103448", "David Zhang")</f>
        <v>David Zhang</v>
      </c>
      <c r="D13986" t="s">
        <v>769</v>
      </c>
      <c r="E13986">
        <v>1</v>
      </c>
    </row>
    <row r="13987" spans="1:5" x14ac:dyDescent="0.25">
      <c r="A13987">
        <v>13986</v>
      </c>
      <c r="B13987">
        <v>6316152</v>
      </c>
      <c r="C13987" s="1" t="str">
        <f>HYPERLINK("http://stackoverflow.com/users/6316152", "sugaE")</f>
        <v>sugaE</v>
      </c>
      <c r="D13987" t="s">
        <v>4</v>
      </c>
      <c r="E13987">
        <v>1</v>
      </c>
    </row>
    <row r="13988" spans="1:5" x14ac:dyDescent="0.25">
      <c r="A13988">
        <v>13987</v>
      </c>
      <c r="B13988">
        <v>9918245</v>
      </c>
      <c r="C13988" s="1" t="str">
        <f>HYPERLINK("http://stackoverflow.com/users/9918245", "CC He")</f>
        <v>CC He</v>
      </c>
      <c r="D13988" t="s">
        <v>5</v>
      </c>
      <c r="E13988">
        <v>1</v>
      </c>
    </row>
    <row r="13989" spans="1:5" x14ac:dyDescent="0.25">
      <c r="A13989">
        <v>13988</v>
      </c>
      <c r="B13989">
        <v>2758750</v>
      </c>
      <c r="C13989" s="1" t="str">
        <f>HYPERLINK("http://stackoverflow.com/users/2758750", "Tijs van Raaij")</f>
        <v>Tijs van Raaij</v>
      </c>
      <c r="D13989" t="s">
        <v>4</v>
      </c>
      <c r="E13989">
        <v>1</v>
      </c>
    </row>
    <row r="13990" spans="1:5" x14ac:dyDescent="0.25">
      <c r="A13990">
        <v>13989</v>
      </c>
      <c r="B13990">
        <v>2758824</v>
      </c>
      <c r="C13990" s="1" t="str">
        <f>HYPERLINK("http://stackoverflow.com/users/2758824", "Johnson Liu")</f>
        <v>Johnson Liu</v>
      </c>
      <c r="D13990" t="s">
        <v>5</v>
      </c>
      <c r="E13990">
        <v>1</v>
      </c>
    </row>
    <row r="13991" spans="1:5" x14ac:dyDescent="0.25">
      <c r="A13991">
        <v>13990</v>
      </c>
      <c r="B13991">
        <v>2758959</v>
      </c>
      <c r="C13991" s="1" t="str">
        <f>HYPERLINK("http://stackoverflow.com/users/2758959", "jizhenfang")</f>
        <v>jizhenfang</v>
      </c>
      <c r="D13991" t="s">
        <v>37</v>
      </c>
      <c r="E13991">
        <v>1</v>
      </c>
    </row>
    <row r="13992" spans="1:5" x14ac:dyDescent="0.25">
      <c r="A13992">
        <v>13991</v>
      </c>
      <c r="B13992">
        <v>2759039</v>
      </c>
      <c r="C13992" s="1" t="str">
        <f>HYPERLINK("http://stackoverflow.com/users/2759039", "cacaxi")</f>
        <v>cacaxi</v>
      </c>
      <c r="D13992" t="s">
        <v>12</v>
      </c>
      <c r="E13992">
        <v>1</v>
      </c>
    </row>
    <row r="13993" spans="1:5" x14ac:dyDescent="0.25">
      <c r="A13993">
        <v>13992</v>
      </c>
      <c r="B13993">
        <v>2759161</v>
      </c>
      <c r="C13993" s="1" t="str">
        <f>HYPERLINK("http://stackoverflow.com/users/2759161", "Kevin")</f>
        <v>Kevin</v>
      </c>
      <c r="D13993" t="s">
        <v>770</v>
      </c>
      <c r="E13993">
        <v>1</v>
      </c>
    </row>
    <row r="13994" spans="1:5" x14ac:dyDescent="0.25">
      <c r="A13994">
        <v>13993</v>
      </c>
      <c r="B13994">
        <v>9923234</v>
      </c>
      <c r="C13994" s="1" t="str">
        <f>HYPERLINK("http://stackoverflow.com/users/9923234", "AZMDDY")</f>
        <v>AZMDDY</v>
      </c>
      <c r="D13994" t="s">
        <v>52</v>
      </c>
      <c r="E13994">
        <v>1</v>
      </c>
    </row>
    <row r="13995" spans="1:5" x14ac:dyDescent="0.25">
      <c r="A13995">
        <v>13994</v>
      </c>
      <c r="B13995">
        <v>8108702</v>
      </c>
      <c r="C13995" s="1" t="str">
        <f>HYPERLINK("http://stackoverflow.com/users/8108702", "DevChache")</f>
        <v>DevChache</v>
      </c>
      <c r="D13995" t="s">
        <v>25</v>
      </c>
      <c r="E13995">
        <v>1</v>
      </c>
    </row>
    <row r="13996" spans="1:5" x14ac:dyDescent="0.25">
      <c r="A13996">
        <v>13995</v>
      </c>
      <c r="B13996">
        <v>8109109</v>
      </c>
      <c r="C13996" s="1" t="str">
        <f>HYPERLINK("http://stackoverflow.com/users/8109109", "mingming shao")</f>
        <v>mingming shao</v>
      </c>
      <c r="D13996" t="s">
        <v>52</v>
      </c>
      <c r="E13996">
        <v>1</v>
      </c>
    </row>
    <row r="13997" spans="1:5" x14ac:dyDescent="0.25">
      <c r="A13997">
        <v>13996</v>
      </c>
      <c r="B13997">
        <v>8109177</v>
      </c>
      <c r="C13997" s="1" t="str">
        <f>HYPERLINK("http://stackoverflow.com/users/8109177", "Chong")</f>
        <v>Chong</v>
      </c>
      <c r="D13997" t="s">
        <v>5</v>
      </c>
      <c r="E13997">
        <v>1</v>
      </c>
    </row>
    <row r="13998" spans="1:5" x14ac:dyDescent="0.25">
      <c r="A13998">
        <v>13997</v>
      </c>
      <c r="B13998">
        <v>8117271</v>
      </c>
      <c r="C13998" s="1" t="str">
        <f>HYPERLINK("http://stackoverflow.com/users/8117271", "Michael Kang")</f>
        <v>Michael Kang</v>
      </c>
      <c r="D13998" t="s">
        <v>5</v>
      </c>
      <c r="E13998">
        <v>1</v>
      </c>
    </row>
    <row r="13999" spans="1:5" x14ac:dyDescent="0.25">
      <c r="A13999">
        <v>13998</v>
      </c>
      <c r="B13999">
        <v>8117288</v>
      </c>
      <c r="C13999" s="1" t="str">
        <f>HYPERLINK("http://stackoverflow.com/users/8117288", "user158315")</f>
        <v>user158315</v>
      </c>
      <c r="D13999" t="s">
        <v>4</v>
      </c>
      <c r="E13999">
        <v>1</v>
      </c>
    </row>
    <row r="14000" spans="1:5" x14ac:dyDescent="0.25">
      <c r="A14000">
        <v>13999</v>
      </c>
      <c r="B14000">
        <v>8117074</v>
      </c>
      <c r="C14000" s="1" t="str">
        <f>HYPERLINK("http://stackoverflow.com/users/8117074", "Jason wei")</f>
        <v>Jason wei</v>
      </c>
      <c r="D14000" t="s">
        <v>7</v>
      </c>
      <c r="E14000">
        <v>1</v>
      </c>
    </row>
    <row r="14001" spans="1:5" x14ac:dyDescent="0.25">
      <c r="A14001">
        <v>14000</v>
      </c>
      <c r="B14001">
        <v>8117141</v>
      </c>
      <c r="C14001" s="1" t="str">
        <f>HYPERLINK("http://stackoverflow.com/users/8117141", "aolaitberry")</f>
        <v>aolaitberry</v>
      </c>
      <c r="D14001" t="s">
        <v>25</v>
      </c>
      <c r="E14001">
        <v>1</v>
      </c>
    </row>
    <row r="14002" spans="1:5" x14ac:dyDescent="0.25">
      <c r="A14002">
        <v>14001</v>
      </c>
      <c r="B14002">
        <v>8121047</v>
      </c>
      <c r="C14002" s="1" t="str">
        <f>HYPERLINK("http://stackoverflow.com/users/8121047", "concertino")</f>
        <v>concertino</v>
      </c>
      <c r="D14002" t="s">
        <v>4</v>
      </c>
      <c r="E14002">
        <v>1</v>
      </c>
    </row>
    <row r="14003" spans="1:5" x14ac:dyDescent="0.25">
      <c r="A14003">
        <v>14002</v>
      </c>
      <c r="B14003">
        <v>9939785</v>
      </c>
      <c r="C14003" s="1" t="str">
        <f>HYPERLINK("http://stackoverflow.com/users/9939785", "NexLiang")</f>
        <v>NexLiang</v>
      </c>
      <c r="D14003" t="s">
        <v>16</v>
      </c>
      <c r="E14003">
        <v>1</v>
      </c>
    </row>
    <row r="14004" spans="1:5" x14ac:dyDescent="0.25">
      <c r="A14004">
        <v>14003</v>
      </c>
      <c r="B14004">
        <v>9939861</v>
      </c>
      <c r="C14004" s="1" t="str">
        <f>HYPERLINK("http://stackoverflow.com/users/9939861", "Harry")</f>
        <v>Harry</v>
      </c>
      <c r="D14004" t="s">
        <v>4</v>
      </c>
      <c r="E14004">
        <v>1</v>
      </c>
    </row>
    <row r="14005" spans="1:5" x14ac:dyDescent="0.25">
      <c r="A14005">
        <v>14004</v>
      </c>
      <c r="B14005">
        <v>6328936</v>
      </c>
      <c r="C14005" s="1" t="str">
        <f>HYPERLINK("http://stackoverflow.com/users/6328936", "luoyiyong")</f>
        <v>luoyiyong</v>
      </c>
      <c r="D14005" t="s">
        <v>771</v>
      </c>
      <c r="E14005">
        <v>1</v>
      </c>
    </row>
    <row r="14006" spans="1:5" x14ac:dyDescent="0.25">
      <c r="A14006">
        <v>14005</v>
      </c>
      <c r="B14006">
        <v>6332942</v>
      </c>
      <c r="C14006" s="1" t="str">
        <f>HYPERLINK("http://stackoverflow.com/users/6332942", "zerak")</f>
        <v>zerak</v>
      </c>
      <c r="D14006" t="s">
        <v>5</v>
      </c>
      <c r="E14006">
        <v>1</v>
      </c>
    </row>
    <row r="14007" spans="1:5" x14ac:dyDescent="0.25">
      <c r="A14007">
        <v>14006</v>
      </c>
      <c r="B14007">
        <v>6333047</v>
      </c>
      <c r="C14007" s="1" t="str">
        <f>HYPERLINK("http://stackoverflow.com/users/6333047", "GoodBoyth")</f>
        <v>GoodBoyth</v>
      </c>
      <c r="D14007" t="s">
        <v>28</v>
      </c>
      <c r="E14007">
        <v>1</v>
      </c>
    </row>
    <row r="14008" spans="1:5" x14ac:dyDescent="0.25">
      <c r="A14008">
        <v>14007</v>
      </c>
      <c r="B14008">
        <v>6333054</v>
      </c>
      <c r="C14008" s="1" t="str">
        <f>HYPERLINK("http://stackoverflow.com/users/6333054", "Hypogaea")</f>
        <v>Hypogaea</v>
      </c>
      <c r="D14008" t="s">
        <v>682</v>
      </c>
      <c r="E14008">
        <v>1</v>
      </c>
    </row>
    <row r="14009" spans="1:5" x14ac:dyDescent="0.25">
      <c r="A14009">
        <v>14008</v>
      </c>
      <c r="B14009">
        <v>9931335</v>
      </c>
      <c r="C14009" s="1" t="str">
        <f>HYPERLINK("http://stackoverflow.com/users/9931335", "Parasomnia")</f>
        <v>Parasomnia</v>
      </c>
      <c r="D14009" t="s">
        <v>52</v>
      </c>
      <c r="E14009">
        <v>1</v>
      </c>
    </row>
    <row r="14010" spans="1:5" x14ac:dyDescent="0.25">
      <c r="A14010">
        <v>14009</v>
      </c>
      <c r="B14010">
        <v>8116923</v>
      </c>
      <c r="C14010" s="1" t="str">
        <f>HYPERLINK("http://stackoverflow.com/users/8116923", "ZenanXu")</f>
        <v>ZenanXu</v>
      </c>
      <c r="D14010" t="s">
        <v>25</v>
      </c>
      <c r="E14010">
        <v>1</v>
      </c>
    </row>
    <row r="14011" spans="1:5" x14ac:dyDescent="0.25">
      <c r="A14011">
        <v>14010</v>
      </c>
      <c r="B14011">
        <v>8112300</v>
      </c>
      <c r="C14011" s="1" t="str">
        <f>HYPERLINK("http://stackoverflow.com/users/8112300", "ssls18years")</f>
        <v>ssls18years</v>
      </c>
      <c r="D14011" t="s">
        <v>131</v>
      </c>
      <c r="E14011">
        <v>1</v>
      </c>
    </row>
    <row r="14012" spans="1:5" x14ac:dyDescent="0.25">
      <c r="A14012">
        <v>14011</v>
      </c>
      <c r="B14012">
        <v>8112306</v>
      </c>
      <c r="C14012" s="1" t="str">
        <f>HYPERLINK("http://stackoverflow.com/users/8112306", "Eason_Lee")</f>
        <v>Eason_Lee</v>
      </c>
      <c r="D14012" t="s">
        <v>4</v>
      </c>
      <c r="E14012">
        <v>1</v>
      </c>
    </row>
    <row r="14013" spans="1:5" x14ac:dyDescent="0.25">
      <c r="A14013">
        <v>14012</v>
      </c>
      <c r="B14013">
        <v>8112403</v>
      </c>
      <c r="C14013" s="1" t="str">
        <f>HYPERLINK("http://stackoverflow.com/users/8112403", "Dkonchokgyamtso ")</f>
        <v xml:space="preserve">Dkonchokgyamtso </v>
      </c>
      <c r="D14013" t="s">
        <v>119</v>
      </c>
      <c r="E14013">
        <v>1</v>
      </c>
    </row>
    <row r="14014" spans="1:5" x14ac:dyDescent="0.25">
      <c r="A14014">
        <v>14013</v>
      </c>
      <c r="B14014">
        <v>8112508</v>
      </c>
      <c r="C14014" s="1" t="str">
        <f>HYPERLINK("http://stackoverflow.com/users/8112508", "PENGFEI XIAN")</f>
        <v>PENGFEI XIAN</v>
      </c>
      <c r="D14014" t="s">
        <v>4</v>
      </c>
      <c r="E14014">
        <v>1</v>
      </c>
    </row>
    <row r="14015" spans="1:5" x14ac:dyDescent="0.25">
      <c r="A14015">
        <v>14014</v>
      </c>
      <c r="B14015">
        <v>8113084</v>
      </c>
      <c r="C14015" s="1" t="str">
        <f>HYPERLINK("http://stackoverflow.com/users/8113084", "杨庆林")</f>
        <v>杨庆林</v>
      </c>
      <c r="D14015" t="s">
        <v>5</v>
      </c>
      <c r="E14015">
        <v>1</v>
      </c>
    </row>
    <row r="14016" spans="1:5" x14ac:dyDescent="0.25">
      <c r="A14016">
        <v>14015</v>
      </c>
      <c r="B14016">
        <v>2763266</v>
      </c>
      <c r="C14016" s="1" t="str">
        <f>HYPERLINK("http://stackoverflow.com/users/2763266", "liumm")</f>
        <v>liumm</v>
      </c>
      <c r="D14016" t="s">
        <v>5</v>
      </c>
      <c r="E14016">
        <v>1</v>
      </c>
    </row>
    <row r="14017" spans="1:5" x14ac:dyDescent="0.25">
      <c r="A14017">
        <v>14016</v>
      </c>
      <c r="B14017">
        <v>2763382</v>
      </c>
      <c r="C14017" s="1" t="str">
        <f>HYPERLINK("http://stackoverflow.com/users/2763382", "Justin Tsui")</f>
        <v>Justin Tsui</v>
      </c>
      <c r="D14017" t="s">
        <v>5</v>
      </c>
      <c r="E14017">
        <v>1</v>
      </c>
    </row>
    <row r="14018" spans="1:5" x14ac:dyDescent="0.25">
      <c r="A14018">
        <v>14017</v>
      </c>
      <c r="B14018">
        <v>2763407</v>
      </c>
      <c r="C14018" s="1" t="str">
        <f>HYPERLINK("http://stackoverflow.com/users/2763407", "Alpha")</f>
        <v>Alpha</v>
      </c>
      <c r="D14018" t="s">
        <v>5</v>
      </c>
      <c r="E14018">
        <v>1</v>
      </c>
    </row>
    <row r="14019" spans="1:5" x14ac:dyDescent="0.25">
      <c r="A14019">
        <v>14018</v>
      </c>
      <c r="B14019">
        <v>2738881</v>
      </c>
      <c r="C14019" s="1" t="str">
        <f>HYPERLINK("http://stackoverflow.com/users/2738881", "Aaron Yuan")</f>
        <v>Aaron Yuan</v>
      </c>
      <c r="D14019" t="s">
        <v>4</v>
      </c>
      <c r="E14019">
        <v>1</v>
      </c>
    </row>
    <row r="14020" spans="1:5" x14ac:dyDescent="0.25">
      <c r="A14020">
        <v>14019</v>
      </c>
      <c r="B14020">
        <v>8088020</v>
      </c>
      <c r="C14020" s="1" t="str">
        <f>HYPERLINK("http://stackoverflow.com/users/8088020", "Jun Li")</f>
        <v>Jun Li</v>
      </c>
      <c r="D14020" t="s">
        <v>5</v>
      </c>
      <c r="E14020">
        <v>1</v>
      </c>
    </row>
    <row r="14021" spans="1:5" x14ac:dyDescent="0.25">
      <c r="A14021">
        <v>14020</v>
      </c>
      <c r="B14021">
        <v>9906346</v>
      </c>
      <c r="C14021" s="1" t="str">
        <f>HYPERLINK("http://stackoverflow.com/users/9906346", "gary he")</f>
        <v>gary he</v>
      </c>
      <c r="D14021" t="s">
        <v>29</v>
      </c>
      <c r="E14021">
        <v>1</v>
      </c>
    </row>
    <row r="14022" spans="1:5" x14ac:dyDescent="0.25">
      <c r="A14022">
        <v>14021</v>
      </c>
      <c r="B14022">
        <v>9906446</v>
      </c>
      <c r="C14022" s="1" t="str">
        <f>HYPERLINK("http://stackoverflow.com/users/9906446", "Peter S")</f>
        <v>Peter S</v>
      </c>
      <c r="D14022" t="s">
        <v>7</v>
      </c>
      <c r="E14022">
        <v>1</v>
      </c>
    </row>
    <row r="14023" spans="1:5" x14ac:dyDescent="0.25">
      <c r="A14023">
        <v>14022</v>
      </c>
      <c r="B14023">
        <v>2729781</v>
      </c>
      <c r="C14023" s="1" t="str">
        <f>HYPERLINK("http://stackoverflow.com/users/2729781", "coeus.chen")</f>
        <v>coeus.chen</v>
      </c>
      <c r="D14023" t="s">
        <v>5</v>
      </c>
      <c r="E14023">
        <v>1</v>
      </c>
    </row>
    <row r="14024" spans="1:5" x14ac:dyDescent="0.25">
      <c r="A14024">
        <v>14023</v>
      </c>
      <c r="B14024">
        <v>9893285</v>
      </c>
      <c r="C14024" s="1" t="str">
        <f>HYPERLINK("http://stackoverflow.com/users/9893285", "Roy Zhang")</f>
        <v>Roy Zhang</v>
      </c>
      <c r="D14024" t="s">
        <v>12</v>
      </c>
      <c r="E14024">
        <v>1</v>
      </c>
    </row>
    <row r="14025" spans="1:5" x14ac:dyDescent="0.25">
      <c r="A14025">
        <v>14024</v>
      </c>
      <c r="B14025">
        <v>6293494</v>
      </c>
      <c r="C14025" s="1" t="str">
        <f>HYPERLINK("http://stackoverflow.com/users/6293494", "Keen_Team")</f>
        <v>Keen_Team</v>
      </c>
      <c r="D14025" t="s">
        <v>772</v>
      </c>
      <c r="E14025">
        <v>1</v>
      </c>
    </row>
    <row r="14026" spans="1:5" x14ac:dyDescent="0.25">
      <c r="A14026">
        <v>14025</v>
      </c>
      <c r="B14026">
        <v>6293653</v>
      </c>
      <c r="C14026" s="1" t="str">
        <f>HYPERLINK("http://stackoverflow.com/users/6293653", "veronica")</f>
        <v>veronica</v>
      </c>
      <c r="D14026" t="s">
        <v>4</v>
      </c>
      <c r="E14026">
        <v>1</v>
      </c>
    </row>
    <row r="14027" spans="1:5" x14ac:dyDescent="0.25">
      <c r="A14027">
        <v>14026</v>
      </c>
      <c r="B14027">
        <v>9901997</v>
      </c>
      <c r="C14027" s="1" t="str">
        <f>HYPERLINK("http://stackoverflow.com/users/9901997", "liupu")</f>
        <v>liupu</v>
      </c>
      <c r="D14027" t="s">
        <v>131</v>
      </c>
      <c r="E14027">
        <v>1</v>
      </c>
    </row>
    <row r="14028" spans="1:5" x14ac:dyDescent="0.25">
      <c r="A14028">
        <v>14027</v>
      </c>
      <c r="B14028">
        <v>517081</v>
      </c>
      <c r="C14028" s="1" t="str">
        <f>HYPERLINK("http://stackoverflow.com/users/517081", "Kevin Li")</f>
        <v>Kevin Li</v>
      </c>
      <c r="D14028" t="s">
        <v>5</v>
      </c>
      <c r="E14028">
        <v>1</v>
      </c>
    </row>
    <row r="14029" spans="1:5" x14ac:dyDescent="0.25">
      <c r="A14029">
        <v>14028</v>
      </c>
      <c r="B14029">
        <v>2720972</v>
      </c>
      <c r="C14029" s="1" t="str">
        <f>HYPERLINK("http://stackoverflow.com/users/2720972", "b166er")</f>
        <v>b166er</v>
      </c>
      <c r="D14029" t="s">
        <v>5</v>
      </c>
      <c r="E14029">
        <v>1</v>
      </c>
    </row>
    <row r="14030" spans="1:5" x14ac:dyDescent="0.25">
      <c r="A14030">
        <v>14029</v>
      </c>
      <c r="B14030">
        <v>2725283</v>
      </c>
      <c r="C14030" s="1" t="str">
        <f>HYPERLINK("http://stackoverflow.com/users/2725283", "HUANGZhi")</f>
        <v>HUANGZhi</v>
      </c>
      <c r="D14030" t="s">
        <v>5</v>
      </c>
      <c r="E14030">
        <v>1</v>
      </c>
    </row>
    <row r="14031" spans="1:5" x14ac:dyDescent="0.25">
      <c r="A14031">
        <v>14030</v>
      </c>
      <c r="B14031">
        <v>6290491</v>
      </c>
      <c r="C14031" s="1" t="str">
        <f>HYPERLINK("http://stackoverflow.com/users/6290491", "Samuel Ye")</f>
        <v>Samuel Ye</v>
      </c>
      <c r="D14031" t="s">
        <v>16</v>
      </c>
      <c r="E14031">
        <v>1</v>
      </c>
    </row>
    <row r="14032" spans="1:5" x14ac:dyDescent="0.25">
      <c r="A14032">
        <v>14031</v>
      </c>
      <c r="B14032">
        <v>523657</v>
      </c>
      <c r="C14032" s="1" t="str">
        <f>HYPERLINK("http://stackoverflow.com/users/523657", "Fangyuan")</f>
        <v>Fangyuan</v>
      </c>
      <c r="D14032" t="s">
        <v>4</v>
      </c>
      <c r="E14032">
        <v>1</v>
      </c>
    </row>
    <row r="14033" spans="1:5" x14ac:dyDescent="0.25">
      <c r="A14033">
        <v>14032</v>
      </c>
      <c r="B14033">
        <v>523518</v>
      </c>
      <c r="C14033" s="1" t="str">
        <f>HYPERLINK("http://stackoverflow.com/users/523518", "michaelwang2012")</f>
        <v>michaelwang2012</v>
      </c>
      <c r="D14033" t="s">
        <v>5</v>
      </c>
      <c r="E14033">
        <v>1</v>
      </c>
    </row>
    <row r="14034" spans="1:5" x14ac:dyDescent="0.25">
      <c r="A14034">
        <v>14033</v>
      </c>
      <c r="B14034">
        <v>2720908</v>
      </c>
      <c r="C14034" s="1" t="str">
        <f>HYPERLINK("http://stackoverflow.com/users/2720908", "FindiX")</f>
        <v>FindiX</v>
      </c>
      <c r="D14034" t="s">
        <v>4</v>
      </c>
      <c r="E14034">
        <v>1</v>
      </c>
    </row>
    <row r="14035" spans="1:5" x14ac:dyDescent="0.25">
      <c r="A14035">
        <v>14034</v>
      </c>
      <c r="B14035">
        <v>9880049</v>
      </c>
      <c r="C14035" s="1" t="str">
        <f>HYPERLINK("http://stackoverflow.com/users/9880049", "J.Bo")</f>
        <v>J.Bo</v>
      </c>
      <c r="D14035" t="s">
        <v>4</v>
      </c>
      <c r="E14035">
        <v>1</v>
      </c>
    </row>
    <row r="14036" spans="1:5" x14ac:dyDescent="0.25">
      <c r="A14036">
        <v>14035</v>
      </c>
      <c r="B14036">
        <v>6286905</v>
      </c>
      <c r="C14036" s="1" t="str">
        <f>HYPERLINK("http://stackoverflow.com/users/6286905", "miner")</f>
        <v>miner</v>
      </c>
      <c r="D14036" t="s">
        <v>4</v>
      </c>
      <c r="E14036">
        <v>1</v>
      </c>
    </row>
    <row r="14037" spans="1:5" x14ac:dyDescent="0.25">
      <c r="A14037">
        <v>14036</v>
      </c>
      <c r="B14037">
        <v>2720679</v>
      </c>
      <c r="C14037" s="1" t="str">
        <f>HYPERLINK("http://stackoverflow.com/users/2720679", "WongKit")</f>
        <v>WongKit</v>
      </c>
      <c r="D14037" t="s">
        <v>12</v>
      </c>
      <c r="E14037">
        <v>1</v>
      </c>
    </row>
    <row r="14038" spans="1:5" x14ac:dyDescent="0.25">
      <c r="A14038">
        <v>14037</v>
      </c>
      <c r="B14038">
        <v>2709728</v>
      </c>
      <c r="C14038" s="1" t="str">
        <f>HYPERLINK("http://stackoverflow.com/users/2709728", "bbsang")</f>
        <v>bbsang</v>
      </c>
      <c r="D14038" t="s">
        <v>4</v>
      </c>
      <c r="E14038">
        <v>1</v>
      </c>
    </row>
    <row r="14039" spans="1:5" x14ac:dyDescent="0.25">
      <c r="A14039">
        <v>14038</v>
      </c>
      <c r="B14039">
        <v>2709822</v>
      </c>
      <c r="C14039" s="1" t="str">
        <f>HYPERLINK("http://stackoverflow.com/users/2709822", "Jeffery Li")</f>
        <v>Jeffery Li</v>
      </c>
      <c r="D14039" t="s">
        <v>5</v>
      </c>
      <c r="E14039">
        <v>1</v>
      </c>
    </row>
    <row r="14040" spans="1:5" x14ac:dyDescent="0.25">
      <c r="A14040">
        <v>14039</v>
      </c>
      <c r="B14040">
        <v>2709926</v>
      </c>
      <c r="C14040" s="1" t="str">
        <f>HYPERLINK("http://stackoverflow.com/users/2709926", "mollychen89")</f>
        <v>mollychen89</v>
      </c>
      <c r="D14040" t="s">
        <v>5</v>
      </c>
      <c r="E14040">
        <v>1</v>
      </c>
    </row>
    <row r="14041" spans="1:5" x14ac:dyDescent="0.25">
      <c r="A14041">
        <v>14040</v>
      </c>
      <c r="B14041">
        <v>4545653</v>
      </c>
      <c r="C14041" s="1" t="str">
        <f>HYPERLINK("http://stackoverflow.com/users/4545653", "Eddie Dai")</f>
        <v>Eddie Dai</v>
      </c>
      <c r="D14041" t="s">
        <v>5</v>
      </c>
      <c r="E14041">
        <v>1</v>
      </c>
    </row>
    <row r="14042" spans="1:5" x14ac:dyDescent="0.25">
      <c r="A14042">
        <v>14041</v>
      </c>
      <c r="B14042">
        <v>8056832</v>
      </c>
      <c r="C14042" s="1" t="str">
        <f>HYPERLINK("http://stackoverflow.com/users/8056832", "E. Tang")</f>
        <v>E. Tang</v>
      </c>
      <c r="D14042" t="s">
        <v>4</v>
      </c>
      <c r="E14042">
        <v>1</v>
      </c>
    </row>
    <row r="14043" spans="1:5" x14ac:dyDescent="0.25">
      <c r="A14043">
        <v>14042</v>
      </c>
      <c r="B14043">
        <v>8057279</v>
      </c>
      <c r="C14043" s="1" t="str">
        <f>HYPERLINK("http://stackoverflow.com/users/8057279", "Moic")</f>
        <v>Moic</v>
      </c>
      <c r="D14043" t="s">
        <v>4</v>
      </c>
      <c r="E14043">
        <v>1</v>
      </c>
    </row>
    <row r="14044" spans="1:5" x14ac:dyDescent="0.25">
      <c r="A14044">
        <v>14043</v>
      </c>
      <c r="B14044">
        <v>8057289</v>
      </c>
      <c r="C14044" s="1" t="str">
        <f>HYPERLINK("http://stackoverflow.com/users/8057289", "user8057289")</f>
        <v>user8057289</v>
      </c>
      <c r="D14044" t="s">
        <v>12</v>
      </c>
      <c r="E14044">
        <v>1</v>
      </c>
    </row>
    <row r="14045" spans="1:5" x14ac:dyDescent="0.25">
      <c r="A14045">
        <v>14044</v>
      </c>
      <c r="B14045">
        <v>8060863</v>
      </c>
      <c r="C14045" s="1" t="str">
        <f>HYPERLINK("http://stackoverflow.com/users/8060863", "ddayzzz")</f>
        <v>ddayzzz</v>
      </c>
      <c r="D14045" t="s">
        <v>57</v>
      </c>
      <c r="E14045">
        <v>1</v>
      </c>
    </row>
    <row r="14046" spans="1:5" x14ac:dyDescent="0.25">
      <c r="A14046">
        <v>14045</v>
      </c>
      <c r="B14046">
        <v>9874260</v>
      </c>
      <c r="C14046" s="1" t="str">
        <f>HYPERLINK("http://stackoverflow.com/users/9874260", "Dunk")</f>
        <v>Dunk</v>
      </c>
      <c r="D14046" t="s">
        <v>5</v>
      </c>
      <c r="E14046">
        <v>1</v>
      </c>
    </row>
    <row r="14047" spans="1:5" x14ac:dyDescent="0.25">
      <c r="A14047">
        <v>14046</v>
      </c>
      <c r="B14047">
        <v>9874362</v>
      </c>
      <c r="C14047" s="1" t="str">
        <f>HYPERLINK("http://stackoverflow.com/users/9874362", "Eli Vidal")</f>
        <v>Eli Vidal</v>
      </c>
      <c r="D14047" t="s">
        <v>773</v>
      </c>
      <c r="E14047">
        <v>1</v>
      </c>
    </row>
    <row r="14048" spans="1:5" x14ac:dyDescent="0.25">
      <c r="A14048">
        <v>14047</v>
      </c>
      <c r="B14048">
        <v>9874716</v>
      </c>
      <c r="C14048" s="1" t="str">
        <f>HYPERLINK("http://stackoverflow.com/users/9874716", "Joe Ji")</f>
        <v>Joe Ji</v>
      </c>
      <c r="D14048" t="s">
        <v>5</v>
      </c>
      <c r="E14048">
        <v>1</v>
      </c>
    </row>
    <row r="14049" spans="1:5" x14ac:dyDescent="0.25">
      <c r="A14049">
        <v>14048</v>
      </c>
      <c r="B14049">
        <v>8603487</v>
      </c>
      <c r="C14049" s="1" t="str">
        <f>HYPERLINK("http://stackoverflow.com/users/8603487", "雪ノ下陽乃")</f>
        <v>雪ノ下陽乃</v>
      </c>
      <c r="D14049" t="s">
        <v>6</v>
      </c>
      <c r="E14049">
        <v>1</v>
      </c>
    </row>
    <row r="14050" spans="1:5" x14ac:dyDescent="0.25">
      <c r="A14050">
        <v>14049</v>
      </c>
      <c r="B14050">
        <v>8603589</v>
      </c>
      <c r="C14050" s="1" t="str">
        <f>HYPERLINK("http://stackoverflow.com/users/8603589", "chaos Flow")</f>
        <v>chaos Flow</v>
      </c>
      <c r="D14050" t="s">
        <v>7</v>
      </c>
      <c r="E14050">
        <v>1</v>
      </c>
    </row>
    <row r="14051" spans="1:5" x14ac:dyDescent="0.25">
      <c r="A14051">
        <v>14050</v>
      </c>
      <c r="B14051">
        <v>8604079</v>
      </c>
      <c r="C14051" s="1" t="str">
        <f>HYPERLINK("http://stackoverflow.com/users/8604079", "Tata Tang")</f>
        <v>Tata Tang</v>
      </c>
      <c r="D14051" t="s">
        <v>5</v>
      </c>
      <c r="E14051">
        <v>1</v>
      </c>
    </row>
    <row r="14052" spans="1:5" x14ac:dyDescent="0.25">
      <c r="A14052">
        <v>14051</v>
      </c>
      <c r="B14052">
        <v>10413077</v>
      </c>
      <c r="C14052" s="1" t="str">
        <f>HYPERLINK("http://stackoverflow.com/users/10413077", "debin")</f>
        <v>debin</v>
      </c>
      <c r="D14052" t="s">
        <v>91</v>
      </c>
      <c r="E14052">
        <v>1</v>
      </c>
    </row>
    <row r="14053" spans="1:5" x14ac:dyDescent="0.25">
      <c r="A14053">
        <v>14052</v>
      </c>
      <c r="B14053">
        <v>6766354</v>
      </c>
      <c r="C14053" s="1" t="str">
        <f>HYPERLINK("http://stackoverflow.com/users/6766354", "Michael Du")</f>
        <v>Michael Du</v>
      </c>
      <c r="D14053" t="s">
        <v>62</v>
      </c>
      <c r="E14053">
        <v>1</v>
      </c>
    </row>
    <row r="14054" spans="1:5" x14ac:dyDescent="0.25">
      <c r="A14054">
        <v>14053</v>
      </c>
      <c r="B14054">
        <v>5042867</v>
      </c>
      <c r="C14054" s="1" t="str">
        <f>HYPERLINK("http://stackoverflow.com/users/5042867", "LinH")</f>
        <v>LinH</v>
      </c>
      <c r="D14054" t="s">
        <v>25</v>
      </c>
      <c r="E14054">
        <v>1</v>
      </c>
    </row>
    <row r="14055" spans="1:5" x14ac:dyDescent="0.25">
      <c r="A14055">
        <v>14054</v>
      </c>
      <c r="B14055">
        <v>10416384</v>
      </c>
      <c r="C14055" s="1" t="str">
        <f>HYPERLINK("http://stackoverflow.com/users/10416384", "Wio Ponsen")</f>
        <v>Wio Ponsen</v>
      </c>
      <c r="D14055" t="s">
        <v>55</v>
      </c>
      <c r="E14055">
        <v>1</v>
      </c>
    </row>
    <row r="14056" spans="1:5" x14ac:dyDescent="0.25">
      <c r="A14056">
        <v>14055</v>
      </c>
      <c r="B14056">
        <v>10416414</v>
      </c>
      <c r="C14056" s="1" t="str">
        <f>HYPERLINK("http://stackoverflow.com/users/10416414", "王泽惠")</f>
        <v>王泽惠</v>
      </c>
      <c r="D14056" t="s">
        <v>774</v>
      </c>
      <c r="E14056">
        <v>1</v>
      </c>
    </row>
    <row r="14057" spans="1:5" x14ac:dyDescent="0.25">
      <c r="A14057">
        <v>14056</v>
      </c>
      <c r="B14057">
        <v>10416579</v>
      </c>
      <c r="C14057" s="1" t="str">
        <f>HYPERLINK("http://stackoverflow.com/users/10416579", "Jiang Yu")</f>
        <v>Jiang Yu</v>
      </c>
      <c r="D14057" t="s">
        <v>4</v>
      </c>
      <c r="E14057">
        <v>1</v>
      </c>
    </row>
    <row r="14058" spans="1:5" x14ac:dyDescent="0.25">
      <c r="A14058">
        <v>14057</v>
      </c>
      <c r="B14058">
        <v>10416745</v>
      </c>
      <c r="C14058" s="1" t="str">
        <f>HYPERLINK("http://stackoverflow.com/users/10416745", "Jack Chen")</f>
        <v>Jack Chen</v>
      </c>
      <c r="D14058" t="s">
        <v>4</v>
      </c>
      <c r="E14058">
        <v>1</v>
      </c>
    </row>
    <row r="14059" spans="1:5" x14ac:dyDescent="0.25">
      <c r="A14059">
        <v>14058</v>
      </c>
      <c r="B14059">
        <v>1349045</v>
      </c>
      <c r="C14059" s="1" t="str">
        <f>HYPERLINK("http://stackoverflow.com/users/1349045", "Not")</f>
        <v>Not</v>
      </c>
      <c r="D14059" t="s">
        <v>8</v>
      </c>
      <c r="E14059">
        <v>1</v>
      </c>
    </row>
    <row r="14060" spans="1:5" x14ac:dyDescent="0.25">
      <c r="A14060">
        <v>14059</v>
      </c>
      <c r="B14060">
        <v>1335385</v>
      </c>
      <c r="C14060" s="1" t="str">
        <f>HYPERLINK("http://stackoverflow.com/users/1335385", "fixme")</f>
        <v>fixme</v>
      </c>
      <c r="D14060" t="s">
        <v>4</v>
      </c>
      <c r="E14060">
        <v>1</v>
      </c>
    </row>
    <row r="14061" spans="1:5" x14ac:dyDescent="0.25">
      <c r="A14061">
        <v>14060</v>
      </c>
      <c r="B14061">
        <v>3212097</v>
      </c>
      <c r="C14061" s="1" t="str">
        <f>HYPERLINK("http://stackoverflow.com/users/3212097", "Devin")</f>
        <v>Devin</v>
      </c>
      <c r="D14061" t="s">
        <v>4</v>
      </c>
      <c r="E14061">
        <v>1</v>
      </c>
    </row>
    <row r="14062" spans="1:5" x14ac:dyDescent="0.25">
      <c r="A14062">
        <v>14061</v>
      </c>
      <c r="B14062">
        <v>10403768</v>
      </c>
      <c r="C14062" s="1" t="str">
        <f>HYPERLINK("http://stackoverflow.com/users/10403768", "stan")</f>
        <v>stan</v>
      </c>
      <c r="D14062" t="s">
        <v>17</v>
      </c>
      <c r="E14062">
        <v>1</v>
      </c>
    </row>
    <row r="14063" spans="1:5" x14ac:dyDescent="0.25">
      <c r="A14063">
        <v>14062</v>
      </c>
      <c r="B14063">
        <v>10404051</v>
      </c>
      <c r="C14063" s="1" t="str">
        <f>HYPERLINK("http://stackoverflow.com/users/10404051", "guolong zhu")</f>
        <v>guolong zhu</v>
      </c>
      <c r="D14063" t="s">
        <v>4</v>
      </c>
      <c r="E14063">
        <v>1</v>
      </c>
    </row>
    <row r="14064" spans="1:5" x14ac:dyDescent="0.25">
      <c r="A14064">
        <v>14063</v>
      </c>
      <c r="B14064">
        <v>8594512</v>
      </c>
      <c r="C14064" s="1" t="str">
        <f>HYPERLINK("http://stackoverflow.com/users/8594512", "SureHow")</f>
        <v>SureHow</v>
      </c>
      <c r="D14064" t="s">
        <v>131</v>
      </c>
      <c r="E14064">
        <v>1</v>
      </c>
    </row>
    <row r="14065" spans="1:5" x14ac:dyDescent="0.25">
      <c r="A14065">
        <v>14064</v>
      </c>
      <c r="B14065">
        <v>1305955</v>
      </c>
      <c r="C14065" s="1" t="str">
        <f>HYPERLINK("http://stackoverflow.com/users/1305955", "visayafan")</f>
        <v>visayafan</v>
      </c>
      <c r="D14065" t="s">
        <v>54</v>
      </c>
      <c r="E14065">
        <v>1</v>
      </c>
    </row>
    <row r="14066" spans="1:5" x14ac:dyDescent="0.25">
      <c r="A14066">
        <v>14065</v>
      </c>
      <c r="B14066">
        <v>1306010</v>
      </c>
      <c r="C14066" s="1" t="str">
        <f>HYPERLINK("http://stackoverflow.com/users/1306010", "Liwei")</f>
        <v>Liwei</v>
      </c>
      <c r="D14066" t="s">
        <v>4</v>
      </c>
      <c r="E14066">
        <v>1</v>
      </c>
    </row>
    <row r="14067" spans="1:5" x14ac:dyDescent="0.25">
      <c r="A14067">
        <v>14066</v>
      </c>
      <c r="B14067">
        <v>1307107</v>
      </c>
      <c r="C14067" s="1" t="str">
        <f>HYPERLINK("http://stackoverflow.com/users/1307107", "jackchen")</f>
        <v>jackchen</v>
      </c>
      <c r="D14067" t="s">
        <v>4</v>
      </c>
      <c r="E14067">
        <v>1</v>
      </c>
    </row>
    <row r="14068" spans="1:5" x14ac:dyDescent="0.25">
      <c r="A14068">
        <v>14067</v>
      </c>
      <c r="B14068">
        <v>8574545</v>
      </c>
      <c r="C14068" s="1" t="str">
        <f>HYPERLINK("http://stackoverflow.com/users/8574545", "A.Lee")</f>
        <v>A.Lee</v>
      </c>
      <c r="D14068" t="s">
        <v>4</v>
      </c>
      <c r="E14068">
        <v>1</v>
      </c>
    </row>
    <row r="14069" spans="1:5" x14ac:dyDescent="0.25">
      <c r="A14069">
        <v>14068</v>
      </c>
      <c r="B14069">
        <v>8574904</v>
      </c>
      <c r="C14069" s="1" t="str">
        <f>HYPERLINK("http://stackoverflow.com/users/8574904", "Perfec")</f>
        <v>Perfec</v>
      </c>
      <c r="D14069" t="s">
        <v>5</v>
      </c>
      <c r="E14069">
        <v>1</v>
      </c>
    </row>
    <row r="14070" spans="1:5" x14ac:dyDescent="0.25">
      <c r="A14070">
        <v>14069</v>
      </c>
      <c r="B14070">
        <v>8574958</v>
      </c>
      <c r="C14070" s="1" t="str">
        <f>HYPERLINK("http://stackoverflow.com/users/8574958", "haohaobaozhi")</f>
        <v>haohaobaozhi</v>
      </c>
      <c r="D14070" t="s">
        <v>5</v>
      </c>
      <c r="E14070">
        <v>1</v>
      </c>
    </row>
    <row r="14071" spans="1:5" x14ac:dyDescent="0.25">
      <c r="A14071">
        <v>14070</v>
      </c>
      <c r="B14071">
        <v>8578634</v>
      </c>
      <c r="C14071" s="1" t="str">
        <f>HYPERLINK("http://stackoverflow.com/users/8578634", "Zim")</f>
        <v>Zim</v>
      </c>
      <c r="D14071" t="s">
        <v>56</v>
      </c>
      <c r="E14071">
        <v>1</v>
      </c>
    </row>
    <row r="14072" spans="1:5" x14ac:dyDescent="0.25">
      <c r="A14072">
        <v>14071</v>
      </c>
      <c r="B14072">
        <v>8578715</v>
      </c>
      <c r="C14072" s="1" t="str">
        <f>HYPERLINK("http://stackoverflow.com/users/8578715", "YCQ")</f>
        <v>YCQ</v>
      </c>
      <c r="D14072" t="s">
        <v>457</v>
      </c>
      <c r="E14072">
        <v>1</v>
      </c>
    </row>
    <row r="14073" spans="1:5" x14ac:dyDescent="0.25">
      <c r="A14073">
        <v>14072</v>
      </c>
      <c r="B14073">
        <v>8578738</v>
      </c>
      <c r="C14073" s="1" t="str">
        <f>HYPERLINK("http://stackoverflow.com/users/8578738", "Zhong Yu")</f>
        <v>Zhong Yu</v>
      </c>
      <c r="D14073" t="s">
        <v>775</v>
      </c>
      <c r="E14073">
        <v>1</v>
      </c>
    </row>
    <row r="14074" spans="1:5" x14ac:dyDescent="0.25">
      <c r="A14074">
        <v>14073</v>
      </c>
      <c r="B14074">
        <v>8578861</v>
      </c>
      <c r="C14074" s="1" t="str">
        <f>HYPERLINK("http://stackoverflow.com/users/8578861", "解思思")</f>
        <v>解思思</v>
      </c>
      <c r="D14074" t="s">
        <v>5</v>
      </c>
      <c r="E14074">
        <v>1</v>
      </c>
    </row>
    <row r="14075" spans="1:5" x14ac:dyDescent="0.25">
      <c r="A14075">
        <v>14074</v>
      </c>
      <c r="B14075">
        <v>3211758</v>
      </c>
      <c r="C14075" s="1" t="str">
        <f>HYPERLINK("http://stackoverflow.com/users/3211758", "avalonzhang")</f>
        <v>avalonzhang</v>
      </c>
      <c r="D14075" t="s">
        <v>4</v>
      </c>
      <c r="E14075">
        <v>1</v>
      </c>
    </row>
    <row r="14076" spans="1:5" x14ac:dyDescent="0.25">
      <c r="A14076">
        <v>14075</v>
      </c>
      <c r="B14076">
        <v>8590349</v>
      </c>
      <c r="C14076" s="1" t="str">
        <f>HYPERLINK("http://stackoverflow.com/users/8590349", "Yaman Maarrawi")</f>
        <v>Yaman Maarrawi</v>
      </c>
      <c r="D14076" t="s">
        <v>4</v>
      </c>
      <c r="E14076">
        <v>1</v>
      </c>
    </row>
    <row r="14077" spans="1:5" x14ac:dyDescent="0.25">
      <c r="A14077">
        <v>14076</v>
      </c>
      <c r="B14077">
        <v>8590469</v>
      </c>
      <c r="C14077" s="1" t="str">
        <f>HYPERLINK("http://stackoverflow.com/users/8590469", "Y.Flora")</f>
        <v>Y.Flora</v>
      </c>
      <c r="D14077" t="s">
        <v>28</v>
      </c>
      <c r="E14077">
        <v>1</v>
      </c>
    </row>
    <row r="14078" spans="1:5" x14ac:dyDescent="0.25">
      <c r="A14078">
        <v>14077</v>
      </c>
      <c r="B14078">
        <v>5033632</v>
      </c>
      <c r="C14078" s="1" t="str">
        <f>HYPERLINK("http://stackoverflow.com/users/5033632", "david 胡")</f>
        <v>david 胡</v>
      </c>
      <c r="D14078" t="s">
        <v>776</v>
      </c>
      <c r="E14078">
        <v>1</v>
      </c>
    </row>
    <row r="14079" spans="1:5" x14ac:dyDescent="0.25">
      <c r="A14079">
        <v>14078</v>
      </c>
      <c r="B14079">
        <v>10399348</v>
      </c>
      <c r="C14079" s="1" t="str">
        <f>HYPERLINK("http://stackoverflow.com/users/10399348", "J.Y.Chiu")</f>
        <v>J.Y.Chiu</v>
      </c>
      <c r="D14079" t="s">
        <v>25</v>
      </c>
      <c r="E14079">
        <v>1</v>
      </c>
    </row>
    <row r="14080" spans="1:5" x14ac:dyDescent="0.25">
      <c r="A14080">
        <v>14079</v>
      </c>
      <c r="B14080">
        <v>10399708</v>
      </c>
      <c r="C14080" s="1" t="str">
        <f>HYPERLINK("http://stackoverflow.com/users/10399708", "rduan")</f>
        <v>rduan</v>
      </c>
      <c r="D14080" t="s">
        <v>97</v>
      </c>
      <c r="E14080">
        <v>1</v>
      </c>
    </row>
    <row r="14081" spans="1:5" x14ac:dyDescent="0.25">
      <c r="A14081">
        <v>14080</v>
      </c>
      <c r="B14081">
        <v>10399834</v>
      </c>
      <c r="C14081" s="1" t="str">
        <f>HYPERLINK("http://stackoverflow.com/users/10399834", "Michael Wang")</f>
        <v>Michael Wang</v>
      </c>
      <c r="D14081" t="s">
        <v>5</v>
      </c>
      <c r="E14081">
        <v>1</v>
      </c>
    </row>
    <row r="14082" spans="1:5" x14ac:dyDescent="0.25">
      <c r="A14082">
        <v>14081</v>
      </c>
      <c r="B14082">
        <v>8586867</v>
      </c>
      <c r="C14082" s="1" t="str">
        <f>HYPERLINK("http://stackoverflow.com/users/8586867", "dqwyy")</f>
        <v>dqwyy</v>
      </c>
      <c r="D14082" t="s">
        <v>47</v>
      </c>
      <c r="E14082">
        <v>1</v>
      </c>
    </row>
    <row r="14083" spans="1:5" x14ac:dyDescent="0.25">
      <c r="A14083">
        <v>14082</v>
      </c>
      <c r="B14083">
        <v>5030567</v>
      </c>
      <c r="C14083" s="1" t="str">
        <f>HYPERLINK("http://stackoverflow.com/users/5030567", "Ashiqul Habib")</f>
        <v>Ashiqul Habib</v>
      </c>
      <c r="D14083" t="s">
        <v>777</v>
      </c>
      <c r="E14083">
        <v>1</v>
      </c>
    </row>
    <row r="14084" spans="1:5" x14ac:dyDescent="0.25">
      <c r="A14084">
        <v>14083</v>
      </c>
      <c r="B14084">
        <v>6756471</v>
      </c>
      <c r="C14084" s="1" t="str">
        <f>HYPERLINK("http://stackoverflow.com/users/6756471", "Alex 023")</f>
        <v>Alex 023</v>
      </c>
      <c r="D14084" t="s">
        <v>5</v>
      </c>
      <c r="E14084">
        <v>1</v>
      </c>
    </row>
    <row r="14085" spans="1:5" x14ac:dyDescent="0.25">
      <c r="A14085">
        <v>14084</v>
      </c>
      <c r="B14085">
        <v>5023057</v>
      </c>
      <c r="C14085" s="1" t="str">
        <f>HYPERLINK("http://stackoverflow.com/users/5023057", "jeff.yu")</f>
        <v>jeff.yu</v>
      </c>
      <c r="D14085" t="s">
        <v>4</v>
      </c>
      <c r="E14085">
        <v>1</v>
      </c>
    </row>
    <row r="14086" spans="1:5" x14ac:dyDescent="0.25">
      <c r="A14086">
        <v>14085</v>
      </c>
      <c r="B14086">
        <v>10391943</v>
      </c>
      <c r="C14086" s="1" t="str">
        <f>HYPERLINK("http://stackoverflow.com/users/10391943", "Song Cheng")</f>
        <v>Song Cheng</v>
      </c>
      <c r="D14086" t="s">
        <v>5</v>
      </c>
      <c r="E14086">
        <v>1</v>
      </c>
    </row>
    <row r="14087" spans="1:5" x14ac:dyDescent="0.25">
      <c r="A14087">
        <v>14086</v>
      </c>
      <c r="B14087">
        <v>6747703</v>
      </c>
      <c r="C14087" s="1" t="str">
        <f>HYPERLINK("http://stackoverflow.com/users/6747703", "witt")</f>
        <v>witt</v>
      </c>
      <c r="D14087" t="s">
        <v>778</v>
      </c>
      <c r="E14087">
        <v>1</v>
      </c>
    </row>
    <row r="14088" spans="1:5" x14ac:dyDescent="0.25">
      <c r="A14088">
        <v>14087</v>
      </c>
      <c r="B14088">
        <v>10394965</v>
      </c>
      <c r="C14088" s="1" t="str">
        <f>HYPERLINK("http://stackoverflow.com/users/10394965", "HesNobi")</f>
        <v>HesNobi</v>
      </c>
      <c r="D14088" t="s">
        <v>55</v>
      </c>
      <c r="E14088">
        <v>1</v>
      </c>
    </row>
    <row r="14089" spans="1:5" x14ac:dyDescent="0.25">
      <c r="A14089">
        <v>14088</v>
      </c>
      <c r="B14089">
        <v>1316681</v>
      </c>
      <c r="C14089" s="1" t="str">
        <f>HYPERLINK("http://stackoverflow.com/users/1316681", "Bob Wang")</f>
        <v>Bob Wang</v>
      </c>
      <c r="D14089" t="s">
        <v>5</v>
      </c>
      <c r="E14089">
        <v>1</v>
      </c>
    </row>
    <row r="14090" spans="1:5" x14ac:dyDescent="0.25">
      <c r="A14090">
        <v>14089</v>
      </c>
      <c r="B14090">
        <v>1286050</v>
      </c>
      <c r="C14090" s="1" t="str">
        <f>HYPERLINK("http://stackoverflow.com/users/1286050", "Yi-Xin Liu")</f>
        <v>Yi-Xin Liu</v>
      </c>
      <c r="D14090" t="s">
        <v>4</v>
      </c>
      <c r="E14090">
        <v>1</v>
      </c>
    </row>
    <row r="14091" spans="1:5" x14ac:dyDescent="0.25">
      <c r="A14091">
        <v>14090</v>
      </c>
      <c r="B14091">
        <v>10373750</v>
      </c>
      <c r="C14091" s="1" t="str">
        <f>HYPERLINK("http://stackoverflow.com/users/10373750", "comma")</f>
        <v>comma</v>
      </c>
      <c r="D14091" t="s">
        <v>16</v>
      </c>
      <c r="E14091">
        <v>1</v>
      </c>
    </row>
    <row r="14092" spans="1:5" x14ac:dyDescent="0.25">
      <c r="A14092">
        <v>14091</v>
      </c>
      <c r="B14092">
        <v>10373839</v>
      </c>
      <c r="C14092" s="1" t="str">
        <f>HYPERLINK("http://stackoverflow.com/users/10373839", "CaoFeng")</f>
        <v>CaoFeng</v>
      </c>
      <c r="D14092" t="s">
        <v>5</v>
      </c>
      <c r="E14092">
        <v>1</v>
      </c>
    </row>
    <row r="14093" spans="1:5" x14ac:dyDescent="0.25">
      <c r="A14093">
        <v>14092</v>
      </c>
      <c r="B14093">
        <v>10373956</v>
      </c>
      <c r="C14093" s="1" t="str">
        <f>HYPERLINK("http://stackoverflow.com/users/10373956", "Nero Lee")</f>
        <v>Nero Lee</v>
      </c>
      <c r="D14093" t="s">
        <v>5</v>
      </c>
      <c r="E14093">
        <v>1</v>
      </c>
    </row>
    <row r="14094" spans="1:5" x14ac:dyDescent="0.25">
      <c r="A14094">
        <v>14093</v>
      </c>
      <c r="B14094">
        <v>10374076</v>
      </c>
      <c r="C14094" s="1" t="str">
        <f>HYPERLINK("http://stackoverflow.com/users/10374076", "user10374076")</f>
        <v>user10374076</v>
      </c>
      <c r="D14094" t="s">
        <v>5</v>
      </c>
      <c r="E14094">
        <v>1</v>
      </c>
    </row>
    <row r="14095" spans="1:5" x14ac:dyDescent="0.25">
      <c r="A14095">
        <v>14094</v>
      </c>
      <c r="B14095">
        <v>10374202</v>
      </c>
      <c r="C14095" s="1" t="str">
        <f>HYPERLINK("http://stackoverflow.com/users/10374202", "Bob Jia")</f>
        <v>Bob Jia</v>
      </c>
      <c r="D14095" t="s">
        <v>4</v>
      </c>
      <c r="E14095">
        <v>1</v>
      </c>
    </row>
    <row r="14096" spans="1:5" x14ac:dyDescent="0.25">
      <c r="A14096">
        <v>14095</v>
      </c>
      <c r="B14096">
        <v>1292319</v>
      </c>
      <c r="C14096" s="1" t="str">
        <f>HYPERLINK("http://stackoverflow.com/users/1292319", "phpcxy")</f>
        <v>phpcxy</v>
      </c>
      <c r="D14096" t="s">
        <v>21</v>
      </c>
      <c r="E14096">
        <v>1</v>
      </c>
    </row>
    <row r="14097" spans="1:5" x14ac:dyDescent="0.25">
      <c r="A14097">
        <v>14096</v>
      </c>
      <c r="B14097">
        <v>1292768</v>
      </c>
      <c r="C14097" s="1" t="str">
        <f>HYPERLINK("http://stackoverflow.com/users/1292768", "onlyme")</f>
        <v>onlyme</v>
      </c>
      <c r="D14097" t="s">
        <v>4</v>
      </c>
      <c r="E14097">
        <v>1</v>
      </c>
    </row>
    <row r="14098" spans="1:5" x14ac:dyDescent="0.25">
      <c r="A14098">
        <v>14097</v>
      </c>
      <c r="B14098">
        <v>1305758</v>
      </c>
      <c r="C14098" s="1" t="str">
        <f>HYPERLINK("http://stackoverflow.com/users/1305758", "user1305758")</f>
        <v>user1305758</v>
      </c>
      <c r="D14098" t="s">
        <v>5</v>
      </c>
      <c r="E14098">
        <v>1</v>
      </c>
    </row>
    <row r="14099" spans="1:5" x14ac:dyDescent="0.25">
      <c r="A14099">
        <v>14098</v>
      </c>
      <c r="B14099">
        <v>1305759</v>
      </c>
      <c r="C14099" s="1" t="str">
        <f>HYPERLINK("http://stackoverflow.com/users/1305759", "Dylan.Lew")</f>
        <v>Dylan.Lew</v>
      </c>
      <c r="D14099" t="s">
        <v>5</v>
      </c>
      <c r="E14099">
        <v>1</v>
      </c>
    </row>
    <row r="14100" spans="1:5" x14ac:dyDescent="0.25">
      <c r="A14100">
        <v>14099</v>
      </c>
      <c r="B14100">
        <v>5018846</v>
      </c>
      <c r="C14100" s="1" t="str">
        <f>HYPERLINK("http://stackoverflow.com/users/5018846", "user5018846")</f>
        <v>user5018846</v>
      </c>
      <c r="D14100" t="s">
        <v>4</v>
      </c>
      <c r="E14100">
        <v>1</v>
      </c>
    </row>
    <row r="14101" spans="1:5" x14ac:dyDescent="0.25">
      <c r="A14101">
        <v>14100</v>
      </c>
      <c r="B14101">
        <v>1299741</v>
      </c>
      <c r="C14101" s="1" t="str">
        <f>HYPERLINK("http://stackoverflow.com/users/1299741", "nervending")</f>
        <v>nervending</v>
      </c>
      <c r="D14101" t="s">
        <v>5</v>
      </c>
      <c r="E14101">
        <v>1</v>
      </c>
    </row>
    <row r="14102" spans="1:5" x14ac:dyDescent="0.25">
      <c r="A14102">
        <v>14101</v>
      </c>
      <c r="B14102">
        <v>1299917</v>
      </c>
      <c r="C14102" s="1" t="str">
        <f>HYPERLINK("http://stackoverflow.com/users/1299917", "David Wu")</f>
        <v>David Wu</v>
      </c>
      <c r="D14102" t="s">
        <v>4</v>
      </c>
      <c r="E14102">
        <v>1</v>
      </c>
    </row>
    <row r="14103" spans="1:5" x14ac:dyDescent="0.25">
      <c r="A14103">
        <v>14102</v>
      </c>
      <c r="B14103">
        <v>5018605</v>
      </c>
      <c r="C14103" s="1" t="str">
        <f>HYPERLINK("http://stackoverflow.com/users/5018605", "yixiaozi")</f>
        <v>yixiaozi</v>
      </c>
      <c r="D14103" t="s">
        <v>5</v>
      </c>
      <c r="E14103">
        <v>1</v>
      </c>
    </row>
    <row r="14104" spans="1:5" x14ac:dyDescent="0.25">
      <c r="A14104">
        <v>14103</v>
      </c>
      <c r="B14104">
        <v>1293265</v>
      </c>
      <c r="C14104" s="1" t="str">
        <f>HYPERLINK("http://stackoverflow.com/users/1293265", "sean")</f>
        <v>sean</v>
      </c>
      <c r="D14104" t="s">
        <v>6</v>
      </c>
      <c r="E14104">
        <v>1</v>
      </c>
    </row>
    <row r="14105" spans="1:5" x14ac:dyDescent="0.25">
      <c r="A14105">
        <v>14104</v>
      </c>
      <c r="B14105">
        <v>1299583</v>
      </c>
      <c r="C14105" s="1" t="str">
        <f>HYPERLINK("http://stackoverflow.com/users/1299583", "xuweiqiang")</f>
        <v>xuweiqiang</v>
      </c>
      <c r="D14105" t="s">
        <v>4</v>
      </c>
      <c r="E14105">
        <v>1</v>
      </c>
    </row>
    <row r="14106" spans="1:5" x14ac:dyDescent="0.25">
      <c r="A14106">
        <v>14105</v>
      </c>
      <c r="B14106">
        <v>8556565</v>
      </c>
      <c r="C14106" s="1" t="str">
        <f>HYPERLINK("http://stackoverflow.com/users/8556565", "JunDai")</f>
        <v>JunDai</v>
      </c>
      <c r="D14106" t="s">
        <v>4</v>
      </c>
      <c r="E14106">
        <v>1</v>
      </c>
    </row>
    <row r="14107" spans="1:5" x14ac:dyDescent="0.25">
      <c r="A14107">
        <v>14106</v>
      </c>
      <c r="B14107">
        <v>8556729</v>
      </c>
      <c r="C14107" s="1" t="str">
        <f>HYPERLINK("http://stackoverflow.com/users/8556729", "Xiao Sun")</f>
        <v>Xiao Sun</v>
      </c>
      <c r="D14107" t="s">
        <v>55</v>
      </c>
      <c r="E14107">
        <v>1</v>
      </c>
    </row>
    <row r="14108" spans="1:5" x14ac:dyDescent="0.25">
      <c r="A14108">
        <v>14107</v>
      </c>
      <c r="B14108">
        <v>1273843</v>
      </c>
      <c r="C14108" s="1" t="str">
        <f>HYPERLINK("http://stackoverflow.com/users/1273843", "Darter")</f>
        <v>Darter</v>
      </c>
      <c r="D14108" t="s">
        <v>5</v>
      </c>
      <c r="E14108">
        <v>1</v>
      </c>
    </row>
    <row r="14109" spans="1:5" x14ac:dyDescent="0.25">
      <c r="A14109">
        <v>14108</v>
      </c>
      <c r="B14109">
        <v>10369573</v>
      </c>
      <c r="C14109" s="1" t="str">
        <f>HYPERLINK("http://stackoverflow.com/users/10369573", "NotWizard")</f>
        <v>NotWizard</v>
      </c>
      <c r="D14109" t="s">
        <v>16</v>
      </c>
      <c r="E14109">
        <v>1</v>
      </c>
    </row>
    <row r="14110" spans="1:5" x14ac:dyDescent="0.25">
      <c r="A14110">
        <v>14109</v>
      </c>
      <c r="B14110">
        <v>8561055</v>
      </c>
      <c r="C14110" s="1" t="str">
        <f>HYPERLINK("http://stackoverflow.com/users/8561055", "Mike")</f>
        <v>Mike</v>
      </c>
      <c r="D14110" t="s">
        <v>4</v>
      </c>
      <c r="E14110">
        <v>1</v>
      </c>
    </row>
    <row r="14111" spans="1:5" x14ac:dyDescent="0.25">
      <c r="A14111">
        <v>14110</v>
      </c>
      <c r="B14111">
        <v>1284820</v>
      </c>
      <c r="C14111" s="1" t="str">
        <f>HYPERLINK("http://stackoverflow.com/users/1284820", "user315")</f>
        <v>user315</v>
      </c>
      <c r="D14111" t="s">
        <v>56</v>
      </c>
      <c r="E14111">
        <v>1</v>
      </c>
    </row>
    <row r="14112" spans="1:5" x14ac:dyDescent="0.25">
      <c r="A14112">
        <v>14111</v>
      </c>
      <c r="B14112">
        <v>1284944</v>
      </c>
      <c r="C14112" s="1" t="str">
        <f>HYPERLINK("http://stackoverflow.com/users/1284944", "Movingcity")</f>
        <v>Movingcity</v>
      </c>
      <c r="D14112" t="s">
        <v>5</v>
      </c>
      <c r="E14112">
        <v>1</v>
      </c>
    </row>
    <row r="14113" spans="1:5" x14ac:dyDescent="0.25">
      <c r="A14113">
        <v>14112</v>
      </c>
      <c r="B14113">
        <v>1265947</v>
      </c>
      <c r="C14113" s="1" t="str">
        <f>HYPERLINK("http://stackoverflow.com/users/1265947", "android121")</f>
        <v>android121</v>
      </c>
      <c r="D14113" t="s">
        <v>5</v>
      </c>
      <c r="E14113">
        <v>1</v>
      </c>
    </row>
    <row r="14114" spans="1:5" x14ac:dyDescent="0.25">
      <c r="A14114">
        <v>14113</v>
      </c>
      <c r="B14114">
        <v>1266101</v>
      </c>
      <c r="C14114" s="1" t="str">
        <f>HYPERLINK("http://stackoverflow.com/users/1266101", "Leo")</f>
        <v>Leo</v>
      </c>
      <c r="D14114" t="s">
        <v>4</v>
      </c>
      <c r="E14114">
        <v>1</v>
      </c>
    </row>
    <row r="14115" spans="1:5" x14ac:dyDescent="0.25">
      <c r="A14115">
        <v>14114</v>
      </c>
      <c r="B14115">
        <v>10357104</v>
      </c>
      <c r="C14115" s="1" t="str">
        <f>HYPERLINK("http://stackoverflow.com/users/10357104", "Matthew Shen")</f>
        <v>Matthew Shen</v>
      </c>
      <c r="D14115" t="s">
        <v>4</v>
      </c>
      <c r="E14115">
        <v>1</v>
      </c>
    </row>
    <row r="14116" spans="1:5" x14ac:dyDescent="0.25">
      <c r="A14116">
        <v>14115</v>
      </c>
      <c r="B14116">
        <v>4988931</v>
      </c>
      <c r="C14116" s="1" t="str">
        <f>HYPERLINK("http://stackoverflow.com/users/4988931", "于自水")</f>
        <v>于自水</v>
      </c>
      <c r="D14116" t="s">
        <v>57</v>
      </c>
      <c r="E14116">
        <v>1</v>
      </c>
    </row>
    <row r="14117" spans="1:5" x14ac:dyDescent="0.25">
      <c r="A14117">
        <v>14116</v>
      </c>
      <c r="B14117">
        <v>4988961</v>
      </c>
      <c r="C14117" s="1" t="str">
        <f>HYPERLINK("http://stackoverflow.com/users/4988961", "Faust Kwan")</f>
        <v>Faust Kwan</v>
      </c>
      <c r="D14117" t="s">
        <v>21</v>
      </c>
      <c r="E14117">
        <v>1</v>
      </c>
    </row>
    <row r="14118" spans="1:5" x14ac:dyDescent="0.25">
      <c r="A14118">
        <v>14117</v>
      </c>
      <c r="B14118">
        <v>6645036</v>
      </c>
      <c r="C14118" s="1" t="str">
        <f>HYPERLINK("http://stackoverflow.com/users/6645036", "Gao Xiang")</f>
        <v>Gao Xiang</v>
      </c>
      <c r="D14118" t="s">
        <v>5</v>
      </c>
      <c r="E14118">
        <v>1</v>
      </c>
    </row>
    <row r="14119" spans="1:5" x14ac:dyDescent="0.25">
      <c r="A14119">
        <v>14118</v>
      </c>
      <c r="B14119">
        <v>8482205</v>
      </c>
      <c r="C14119" s="1" t="str">
        <f>HYPERLINK("http://stackoverflow.com/users/8482205", "qtz")</f>
        <v>qtz</v>
      </c>
      <c r="D14119" t="s">
        <v>5</v>
      </c>
      <c r="E14119">
        <v>1</v>
      </c>
    </row>
    <row r="14120" spans="1:5" x14ac:dyDescent="0.25">
      <c r="A14120">
        <v>14119</v>
      </c>
      <c r="B14120">
        <v>1177516</v>
      </c>
      <c r="C14120" s="1" t="str">
        <f>HYPERLINK("http://stackoverflow.com/users/1177516", "Jackie.Qi")</f>
        <v>Jackie.Qi</v>
      </c>
      <c r="D14120" t="s">
        <v>5</v>
      </c>
      <c r="E14120">
        <v>1</v>
      </c>
    </row>
    <row r="14121" spans="1:5" x14ac:dyDescent="0.25">
      <c r="A14121">
        <v>14120</v>
      </c>
      <c r="B14121">
        <v>1178651</v>
      </c>
      <c r="C14121" s="1" t="str">
        <f>HYPERLINK("http://stackoverflow.com/users/1178651", "Jeff Weng")</f>
        <v>Jeff Weng</v>
      </c>
      <c r="D14121" t="s">
        <v>4</v>
      </c>
      <c r="E14121">
        <v>1</v>
      </c>
    </row>
    <row r="14122" spans="1:5" x14ac:dyDescent="0.25">
      <c r="A14122">
        <v>14121</v>
      </c>
      <c r="B14122">
        <v>1198694</v>
      </c>
      <c r="C14122" s="1" t="str">
        <f>HYPERLINK("http://stackoverflow.com/users/1198694", "chengcheng222e")</f>
        <v>chengcheng222e</v>
      </c>
      <c r="D14122" t="s">
        <v>17</v>
      </c>
      <c r="E14122">
        <v>1</v>
      </c>
    </row>
    <row r="14123" spans="1:5" x14ac:dyDescent="0.25">
      <c r="A14123">
        <v>14122</v>
      </c>
      <c r="B14123">
        <v>4956062</v>
      </c>
      <c r="C14123" s="1" t="str">
        <f>HYPERLINK("http://stackoverflow.com/users/4956062", "iVan")</f>
        <v>iVan</v>
      </c>
      <c r="D14123" t="s">
        <v>4</v>
      </c>
      <c r="E14123">
        <v>1</v>
      </c>
    </row>
    <row r="14124" spans="1:5" x14ac:dyDescent="0.25">
      <c r="A14124">
        <v>14123</v>
      </c>
      <c r="B14124">
        <v>4956280</v>
      </c>
      <c r="C14124" s="1" t="str">
        <f>HYPERLINK("http://stackoverflow.com/users/4956280", "Guangming Zhang")</f>
        <v>Guangming Zhang</v>
      </c>
      <c r="D14124" t="s">
        <v>5</v>
      </c>
      <c r="E14124">
        <v>1</v>
      </c>
    </row>
    <row r="14125" spans="1:5" x14ac:dyDescent="0.25">
      <c r="A14125">
        <v>14124</v>
      </c>
      <c r="B14125">
        <v>8499792</v>
      </c>
      <c r="C14125" s="1" t="str">
        <f>HYPERLINK("http://stackoverflow.com/users/8499792", "Grace Wong")</f>
        <v>Grace Wong</v>
      </c>
      <c r="D14125" t="s">
        <v>5</v>
      </c>
      <c r="E14125">
        <v>1</v>
      </c>
    </row>
    <row r="14126" spans="1:5" x14ac:dyDescent="0.25">
      <c r="A14126">
        <v>14125</v>
      </c>
      <c r="B14126">
        <v>6672245</v>
      </c>
      <c r="C14126" s="1" t="str">
        <f>HYPERLINK("http://stackoverflow.com/users/6672245", "sudheer tangellapelly")</f>
        <v>sudheer tangellapelly</v>
      </c>
      <c r="D14126" t="s">
        <v>4</v>
      </c>
      <c r="E14126">
        <v>1</v>
      </c>
    </row>
    <row r="14127" spans="1:5" x14ac:dyDescent="0.25">
      <c r="A14127">
        <v>14126</v>
      </c>
      <c r="B14127">
        <v>8494873</v>
      </c>
      <c r="C14127" s="1" t="str">
        <f>HYPERLINK("http://stackoverflow.com/users/8494873", "chao wu")</f>
        <v>chao wu</v>
      </c>
      <c r="D14127" t="s">
        <v>779</v>
      </c>
      <c r="E14127">
        <v>1</v>
      </c>
    </row>
    <row r="14128" spans="1:5" x14ac:dyDescent="0.25">
      <c r="A14128">
        <v>14127</v>
      </c>
      <c r="B14128">
        <v>1185097</v>
      </c>
      <c r="C14128" s="1" t="str">
        <f>HYPERLINK("http://stackoverflow.com/users/1185097", "kimi")</f>
        <v>kimi</v>
      </c>
      <c r="D14128" t="s">
        <v>5</v>
      </c>
      <c r="E14128">
        <v>1</v>
      </c>
    </row>
    <row r="14129" spans="1:5" x14ac:dyDescent="0.25">
      <c r="A14129">
        <v>14128</v>
      </c>
      <c r="B14129">
        <v>8490254</v>
      </c>
      <c r="C14129" s="1" t="str">
        <f>HYPERLINK("http://stackoverflow.com/users/8490254", "Andy Chung")</f>
        <v>Andy Chung</v>
      </c>
      <c r="D14129" t="s">
        <v>7</v>
      </c>
      <c r="E14129">
        <v>1</v>
      </c>
    </row>
    <row r="14130" spans="1:5" x14ac:dyDescent="0.25">
      <c r="A14130">
        <v>14129</v>
      </c>
      <c r="B14130">
        <v>10278184</v>
      </c>
      <c r="C14130" s="1" t="str">
        <f>HYPERLINK("http://stackoverflow.com/users/10278184", "Yang Sun")</f>
        <v>Yang Sun</v>
      </c>
      <c r="D14130" t="s">
        <v>5</v>
      </c>
      <c r="E14130">
        <v>1</v>
      </c>
    </row>
    <row r="14131" spans="1:5" x14ac:dyDescent="0.25">
      <c r="A14131">
        <v>14130</v>
      </c>
      <c r="B14131">
        <v>10278378</v>
      </c>
      <c r="C14131" s="1" t="str">
        <f>HYPERLINK("http://stackoverflow.com/users/10278378", "Kai Li")</f>
        <v>Kai Li</v>
      </c>
      <c r="D14131" t="s">
        <v>21</v>
      </c>
      <c r="E14131">
        <v>1</v>
      </c>
    </row>
    <row r="14132" spans="1:5" x14ac:dyDescent="0.25">
      <c r="A14132">
        <v>14131</v>
      </c>
      <c r="B14132">
        <v>10278491</v>
      </c>
      <c r="C14132" s="1" t="str">
        <f>HYPERLINK("http://stackoverflow.com/users/10278491", "nanhuirong")</f>
        <v>nanhuirong</v>
      </c>
      <c r="D14132" t="s">
        <v>91</v>
      </c>
      <c r="E14132">
        <v>1</v>
      </c>
    </row>
    <row r="14133" spans="1:5" x14ac:dyDescent="0.25">
      <c r="A14133">
        <v>14132</v>
      </c>
      <c r="B14133">
        <v>10278707</v>
      </c>
      <c r="C14133" s="1" t="str">
        <f>HYPERLINK("http://stackoverflow.com/users/10278707", "Chin Wong")</f>
        <v>Chin Wong</v>
      </c>
      <c r="D14133" t="s">
        <v>5</v>
      </c>
      <c r="E14133">
        <v>1</v>
      </c>
    </row>
    <row r="14134" spans="1:5" x14ac:dyDescent="0.25">
      <c r="A14134">
        <v>14133</v>
      </c>
      <c r="B14134">
        <v>8465044</v>
      </c>
      <c r="C14134" s="1" t="str">
        <f>HYPERLINK("http://stackoverflow.com/users/8465044", "She Checking")</f>
        <v>She Checking</v>
      </c>
      <c r="D14134" t="s">
        <v>114</v>
      </c>
      <c r="E14134">
        <v>1</v>
      </c>
    </row>
    <row r="14135" spans="1:5" x14ac:dyDescent="0.25">
      <c r="A14135">
        <v>14134</v>
      </c>
      <c r="B14135">
        <v>8465079</v>
      </c>
      <c r="C14135" s="1" t="str">
        <f>HYPERLINK("http://stackoverflow.com/users/8465079", "Yujia Huo")</f>
        <v>Yujia Huo</v>
      </c>
      <c r="D14135" t="s">
        <v>33</v>
      </c>
      <c r="E14135">
        <v>1</v>
      </c>
    </row>
    <row r="14136" spans="1:5" x14ac:dyDescent="0.25">
      <c r="A14136">
        <v>14135</v>
      </c>
      <c r="B14136">
        <v>8465253</v>
      </c>
      <c r="C14136" s="1" t="str">
        <f>HYPERLINK("http://stackoverflow.com/users/8465253", "Chaofeng Jiang")</f>
        <v>Chaofeng Jiang</v>
      </c>
      <c r="D14136" t="s">
        <v>780</v>
      </c>
      <c r="E14136">
        <v>1</v>
      </c>
    </row>
    <row r="14137" spans="1:5" x14ac:dyDescent="0.25">
      <c r="A14137">
        <v>14136</v>
      </c>
      <c r="B14137">
        <v>3111089</v>
      </c>
      <c r="C14137" s="1" t="str">
        <f>HYPERLINK("http://stackoverflow.com/users/3111089", "gavinli")</f>
        <v>gavinli</v>
      </c>
      <c r="D14137" t="s">
        <v>17</v>
      </c>
      <c r="E14137">
        <v>1</v>
      </c>
    </row>
    <row r="14138" spans="1:5" x14ac:dyDescent="0.25">
      <c r="A14138">
        <v>14137</v>
      </c>
      <c r="B14138">
        <v>3111141</v>
      </c>
      <c r="C14138" s="1" t="str">
        <f>HYPERLINK("http://stackoverflow.com/users/3111141", "terry")</f>
        <v>terry</v>
      </c>
      <c r="D14138" t="s">
        <v>5</v>
      </c>
      <c r="E14138">
        <v>1</v>
      </c>
    </row>
    <row r="14139" spans="1:5" x14ac:dyDescent="0.25">
      <c r="A14139">
        <v>14138</v>
      </c>
      <c r="B14139">
        <v>3111220</v>
      </c>
      <c r="C14139" s="1" t="str">
        <f>HYPERLINK("http://stackoverflow.com/users/3111220", "Book")</f>
        <v>Book</v>
      </c>
      <c r="D14139" t="s">
        <v>5</v>
      </c>
      <c r="E14139">
        <v>1</v>
      </c>
    </row>
    <row r="14140" spans="1:5" x14ac:dyDescent="0.25">
      <c r="A14140">
        <v>14139</v>
      </c>
      <c r="B14140">
        <v>3107714</v>
      </c>
      <c r="C14140" s="1" t="str">
        <f>HYPERLINK("http://stackoverflow.com/users/3107714", "nkscorpion")</f>
        <v>nkscorpion</v>
      </c>
      <c r="D14140" t="s">
        <v>5</v>
      </c>
      <c r="E14140">
        <v>1</v>
      </c>
    </row>
    <row r="14141" spans="1:5" x14ac:dyDescent="0.25">
      <c r="A14141">
        <v>14140</v>
      </c>
      <c r="B14141">
        <v>10282883</v>
      </c>
      <c r="C14141" s="1" t="str">
        <f>HYPERLINK("http://stackoverflow.com/users/10282883", "mintsweet")</f>
        <v>mintsweet</v>
      </c>
      <c r="D14141" t="s">
        <v>22</v>
      </c>
      <c r="E14141">
        <v>1</v>
      </c>
    </row>
    <row r="14142" spans="1:5" x14ac:dyDescent="0.25">
      <c r="A14142">
        <v>14141</v>
      </c>
      <c r="B14142">
        <v>8469297</v>
      </c>
      <c r="C14142" s="1" t="str">
        <f>HYPERLINK("http://stackoverflow.com/users/8469297", "Leon Dawn")</f>
        <v>Leon Dawn</v>
      </c>
      <c r="D14142" t="s">
        <v>19</v>
      </c>
      <c r="E14142">
        <v>1</v>
      </c>
    </row>
    <row r="14143" spans="1:5" x14ac:dyDescent="0.25">
      <c r="A14143">
        <v>14142</v>
      </c>
      <c r="B14143">
        <v>8469352</v>
      </c>
      <c r="C14143" s="1" t="str">
        <f>HYPERLINK("http://stackoverflow.com/users/8469352", "Dayang Li")</f>
        <v>Dayang Li</v>
      </c>
      <c r="D14143" t="s">
        <v>5</v>
      </c>
      <c r="E14143">
        <v>1</v>
      </c>
    </row>
    <row r="14144" spans="1:5" x14ac:dyDescent="0.25">
      <c r="A14144">
        <v>14143</v>
      </c>
      <c r="B14144">
        <v>8469655</v>
      </c>
      <c r="C14144" s="1" t="str">
        <f>HYPERLINK("http://stackoverflow.com/users/8469655", "user8469655")</f>
        <v>user8469655</v>
      </c>
      <c r="D14144" t="s">
        <v>16</v>
      </c>
      <c r="E14144">
        <v>1</v>
      </c>
    </row>
    <row r="14145" spans="1:5" x14ac:dyDescent="0.25">
      <c r="A14145">
        <v>14144</v>
      </c>
      <c r="B14145">
        <v>8477259</v>
      </c>
      <c r="C14145" s="1" t="str">
        <f>HYPERLINK("http://stackoverflow.com/users/8477259", "user8477259")</f>
        <v>user8477259</v>
      </c>
      <c r="D14145" t="s">
        <v>67</v>
      </c>
      <c r="E14145">
        <v>1</v>
      </c>
    </row>
    <row r="14146" spans="1:5" x14ac:dyDescent="0.25">
      <c r="A14146">
        <v>14145</v>
      </c>
      <c r="B14146">
        <v>8477379</v>
      </c>
      <c r="C14146" s="1" t="str">
        <f>HYPERLINK("http://stackoverflow.com/users/8477379", "andrewgreve")</f>
        <v>andrewgreve</v>
      </c>
      <c r="D14146" t="s">
        <v>15</v>
      </c>
      <c r="E14146">
        <v>1</v>
      </c>
    </row>
    <row r="14147" spans="1:5" x14ac:dyDescent="0.25">
      <c r="A14147">
        <v>14146</v>
      </c>
      <c r="B14147">
        <v>8477421</v>
      </c>
      <c r="C14147" s="1" t="str">
        <f>HYPERLINK("http://stackoverflow.com/users/8477421", "Guanghui Wang")</f>
        <v>Guanghui Wang</v>
      </c>
      <c r="D14147" t="s">
        <v>4</v>
      </c>
      <c r="E14147">
        <v>1</v>
      </c>
    </row>
    <row r="14148" spans="1:5" x14ac:dyDescent="0.25">
      <c r="A14148">
        <v>14147</v>
      </c>
      <c r="B14148">
        <v>10290551</v>
      </c>
      <c r="C14148" s="1" t="str">
        <f>HYPERLINK("http://stackoverflow.com/users/10290551", "Yangzhou Chen")</f>
        <v>Yangzhou Chen</v>
      </c>
      <c r="D14148" t="s">
        <v>15</v>
      </c>
      <c r="E14148">
        <v>1</v>
      </c>
    </row>
    <row r="14149" spans="1:5" x14ac:dyDescent="0.25">
      <c r="A14149">
        <v>14148</v>
      </c>
      <c r="B14149">
        <v>10290720</v>
      </c>
      <c r="C14149" s="1" t="str">
        <f>HYPERLINK("http://stackoverflow.com/users/10290720", "zhongyuan shen")</f>
        <v>zhongyuan shen</v>
      </c>
      <c r="D14149" t="s">
        <v>135</v>
      </c>
      <c r="E14149">
        <v>1</v>
      </c>
    </row>
    <row r="14150" spans="1:5" x14ac:dyDescent="0.25">
      <c r="A14150">
        <v>14149</v>
      </c>
      <c r="B14150">
        <v>3115482</v>
      </c>
      <c r="C14150" s="1" t="str">
        <f>HYPERLINK("http://stackoverflow.com/users/3115482", "永之兴")</f>
        <v>永之兴</v>
      </c>
      <c r="D14150" t="s">
        <v>3</v>
      </c>
      <c r="E14150">
        <v>1</v>
      </c>
    </row>
    <row r="14151" spans="1:5" x14ac:dyDescent="0.25">
      <c r="A14151">
        <v>14150</v>
      </c>
      <c r="B14151">
        <v>4935390</v>
      </c>
      <c r="C14151" s="1" t="str">
        <f>HYPERLINK("http://stackoverflow.com/users/4935390", "mccrms")</f>
        <v>mccrms</v>
      </c>
      <c r="D14151" t="s">
        <v>5</v>
      </c>
      <c r="E14151">
        <v>1</v>
      </c>
    </row>
    <row r="14152" spans="1:5" x14ac:dyDescent="0.25">
      <c r="A14152">
        <v>14151</v>
      </c>
      <c r="B14152">
        <v>6656183</v>
      </c>
      <c r="C14152" s="1" t="str">
        <f>HYPERLINK("http://stackoverflow.com/users/6656183", "Abnerfang")</f>
        <v>Abnerfang</v>
      </c>
      <c r="D14152" t="s">
        <v>5</v>
      </c>
      <c r="E14152">
        <v>1</v>
      </c>
    </row>
    <row r="14153" spans="1:5" x14ac:dyDescent="0.25">
      <c r="A14153">
        <v>14152</v>
      </c>
      <c r="B14153">
        <v>3119715</v>
      </c>
      <c r="C14153" s="1" t="str">
        <f>HYPERLINK("http://stackoverflow.com/users/3119715", "sand")</f>
        <v>sand</v>
      </c>
      <c r="D14153" t="s">
        <v>38</v>
      </c>
      <c r="E14153">
        <v>1</v>
      </c>
    </row>
    <row r="14154" spans="1:5" x14ac:dyDescent="0.25">
      <c r="A14154">
        <v>14153</v>
      </c>
      <c r="B14154">
        <v>3119761</v>
      </c>
      <c r="C14154" s="1" t="str">
        <f>HYPERLINK("http://stackoverflow.com/users/3119761", "NoBubble")</f>
        <v>NoBubble</v>
      </c>
      <c r="D14154" t="s">
        <v>5</v>
      </c>
      <c r="E14154">
        <v>1</v>
      </c>
    </row>
    <row r="14155" spans="1:5" x14ac:dyDescent="0.25">
      <c r="A14155">
        <v>14154</v>
      </c>
      <c r="B14155">
        <v>8481539</v>
      </c>
      <c r="C14155" s="1" t="str">
        <f>HYPERLINK("http://stackoverflow.com/users/8481539", "Mariner")</f>
        <v>Mariner</v>
      </c>
      <c r="D14155" t="s">
        <v>5</v>
      </c>
      <c r="E14155">
        <v>1</v>
      </c>
    </row>
    <row r="14156" spans="1:5" x14ac:dyDescent="0.25">
      <c r="A14156">
        <v>14155</v>
      </c>
      <c r="B14156">
        <v>8481695</v>
      </c>
      <c r="C14156" s="1" t="str">
        <f>HYPERLINK("http://stackoverflow.com/users/8481695", "ce zhao")</f>
        <v>ce zhao</v>
      </c>
      <c r="D14156" t="s">
        <v>91</v>
      </c>
      <c r="E14156">
        <v>1</v>
      </c>
    </row>
    <row r="14157" spans="1:5" x14ac:dyDescent="0.25">
      <c r="A14157">
        <v>14156</v>
      </c>
      <c r="B14157">
        <v>10298561</v>
      </c>
      <c r="C14157" s="1" t="str">
        <f>HYPERLINK("http://stackoverflow.com/users/10298561", "JudyZ")</f>
        <v>JudyZ</v>
      </c>
      <c r="D14157" t="s">
        <v>5</v>
      </c>
      <c r="E14157">
        <v>1</v>
      </c>
    </row>
    <row r="14158" spans="1:5" x14ac:dyDescent="0.25">
      <c r="A14158">
        <v>14157</v>
      </c>
      <c r="B14158">
        <v>10298703</v>
      </c>
      <c r="C14158" s="1" t="str">
        <f>HYPERLINK("http://stackoverflow.com/users/10298703", "HowieLau")</f>
        <v>HowieLau</v>
      </c>
      <c r="D14158" t="s">
        <v>7</v>
      </c>
      <c r="E14158">
        <v>1</v>
      </c>
    </row>
    <row r="14159" spans="1:5" x14ac:dyDescent="0.25">
      <c r="A14159">
        <v>14158</v>
      </c>
      <c r="B14159">
        <v>10298720</v>
      </c>
      <c r="C14159" s="1" t="str">
        <f>HYPERLINK("http://stackoverflow.com/users/10298720", "Kerry Wang")</f>
        <v>Kerry Wang</v>
      </c>
      <c r="D14159" t="s">
        <v>4</v>
      </c>
      <c r="E14159">
        <v>1</v>
      </c>
    </row>
    <row r="14160" spans="1:5" x14ac:dyDescent="0.25">
      <c r="A14160">
        <v>14159</v>
      </c>
      <c r="B14160">
        <v>10298929</v>
      </c>
      <c r="C14160" s="1" t="str">
        <f>HYPERLINK("http://stackoverflow.com/users/10298929", "syyongx")</f>
        <v>syyongx</v>
      </c>
      <c r="D14160" t="s">
        <v>22</v>
      </c>
      <c r="E14160">
        <v>1</v>
      </c>
    </row>
    <row r="14161" spans="1:5" x14ac:dyDescent="0.25">
      <c r="A14161">
        <v>14160</v>
      </c>
      <c r="B14161">
        <v>8486044</v>
      </c>
      <c r="C14161" s="1" t="str">
        <f>HYPERLINK("http://stackoverflow.com/users/8486044", "mofeng")</f>
        <v>mofeng</v>
      </c>
      <c r="D14161" t="s">
        <v>739</v>
      </c>
      <c r="E14161">
        <v>1</v>
      </c>
    </row>
    <row r="14162" spans="1:5" x14ac:dyDescent="0.25">
      <c r="A14162">
        <v>14161</v>
      </c>
      <c r="B14162">
        <v>8486105</v>
      </c>
      <c r="C14162" s="1" t="str">
        <f>HYPERLINK("http://stackoverflow.com/users/8486105", "Tao.JianPing")</f>
        <v>Tao.JianPing</v>
      </c>
      <c r="D14162" t="s">
        <v>4</v>
      </c>
      <c r="E14162">
        <v>1</v>
      </c>
    </row>
    <row r="14163" spans="1:5" x14ac:dyDescent="0.25">
      <c r="A14163">
        <v>14162</v>
      </c>
      <c r="B14163">
        <v>8486159</v>
      </c>
      <c r="C14163" s="1" t="str">
        <f>HYPERLINK("http://stackoverflow.com/users/8486159", "Justin Chen")</f>
        <v>Justin Chen</v>
      </c>
      <c r="D14163" t="s">
        <v>781</v>
      </c>
      <c r="E14163">
        <v>1</v>
      </c>
    </row>
    <row r="14164" spans="1:5" x14ac:dyDescent="0.25">
      <c r="A14164">
        <v>14163</v>
      </c>
      <c r="B14164">
        <v>10303285</v>
      </c>
      <c r="C14164" s="1" t="str">
        <f>HYPERLINK("http://stackoverflow.com/users/10303285", "xiangabcgao")</f>
        <v>xiangabcgao</v>
      </c>
      <c r="D14164" t="s">
        <v>5</v>
      </c>
      <c r="E14164">
        <v>1</v>
      </c>
    </row>
    <row r="14165" spans="1:5" x14ac:dyDescent="0.25">
      <c r="A14165">
        <v>14164</v>
      </c>
      <c r="B14165">
        <v>10303320</v>
      </c>
      <c r="C14165" s="1" t="str">
        <f>HYPERLINK("http://stackoverflow.com/users/10303320", "Jie Gao")</f>
        <v>Jie Gao</v>
      </c>
      <c r="D14165" t="s">
        <v>5</v>
      </c>
      <c r="E14165">
        <v>1</v>
      </c>
    </row>
    <row r="14166" spans="1:5" x14ac:dyDescent="0.25">
      <c r="A14166">
        <v>14165</v>
      </c>
      <c r="B14166">
        <v>6687014</v>
      </c>
      <c r="C14166" s="1" t="str">
        <f>HYPERLINK("http://stackoverflow.com/users/6687014", "Alice Lee")</f>
        <v>Alice Lee</v>
      </c>
      <c r="D14166" t="s">
        <v>52</v>
      </c>
      <c r="E14166">
        <v>1</v>
      </c>
    </row>
    <row r="14167" spans="1:5" x14ac:dyDescent="0.25">
      <c r="A14167">
        <v>14166</v>
      </c>
      <c r="B14167">
        <v>6687507</v>
      </c>
      <c r="C14167" s="1" t="str">
        <f>HYPERLINK("http://stackoverflow.com/users/6687507", "Sili Tian")</f>
        <v>Sili Tian</v>
      </c>
      <c r="D14167" t="s">
        <v>4</v>
      </c>
      <c r="E14167">
        <v>1</v>
      </c>
    </row>
    <row r="14168" spans="1:5" x14ac:dyDescent="0.25">
      <c r="A14168">
        <v>14167</v>
      </c>
      <c r="B14168">
        <v>10324397</v>
      </c>
      <c r="C14168" s="1" t="str">
        <f>HYPERLINK("http://stackoverflow.com/users/10324397", "Tiger52030")</f>
        <v>Tiger52030</v>
      </c>
      <c r="D14168" t="s">
        <v>4</v>
      </c>
      <c r="E14168">
        <v>1</v>
      </c>
    </row>
    <row r="14169" spans="1:5" x14ac:dyDescent="0.25">
      <c r="A14169">
        <v>14168</v>
      </c>
      <c r="B14169">
        <v>10324650</v>
      </c>
      <c r="C14169" s="1" t="str">
        <f>HYPERLINK("http://stackoverflow.com/users/10324650", "R.XianXing")</f>
        <v>R.XianXing</v>
      </c>
      <c r="D14169" t="s">
        <v>5</v>
      </c>
      <c r="E14169">
        <v>1</v>
      </c>
    </row>
    <row r="14170" spans="1:5" x14ac:dyDescent="0.25">
      <c r="A14170">
        <v>14169</v>
      </c>
      <c r="B14170">
        <v>10325003</v>
      </c>
      <c r="C14170" s="1" t="str">
        <f>HYPERLINK("http://stackoverflow.com/users/10325003", "ziqi HUANG")</f>
        <v>ziqi HUANG</v>
      </c>
      <c r="D14170" t="s">
        <v>25</v>
      </c>
      <c r="E14170">
        <v>1</v>
      </c>
    </row>
    <row r="14171" spans="1:5" x14ac:dyDescent="0.25">
      <c r="A14171">
        <v>14170</v>
      </c>
      <c r="B14171">
        <v>10317161</v>
      </c>
      <c r="C14171" s="1" t="str">
        <f>HYPERLINK("http://stackoverflow.com/users/10317161", "tim")</f>
        <v>tim</v>
      </c>
      <c r="D14171" t="s">
        <v>43</v>
      </c>
      <c r="E14171">
        <v>1</v>
      </c>
    </row>
    <row r="14172" spans="1:5" x14ac:dyDescent="0.25">
      <c r="A14172">
        <v>14171</v>
      </c>
      <c r="B14172">
        <v>10320340</v>
      </c>
      <c r="C14172" s="1" t="str">
        <f>HYPERLINK("http://stackoverflow.com/users/10320340", "Yaser")</f>
        <v>Yaser</v>
      </c>
      <c r="D14172" t="s">
        <v>97</v>
      </c>
      <c r="E14172">
        <v>1</v>
      </c>
    </row>
    <row r="14173" spans="1:5" x14ac:dyDescent="0.25">
      <c r="A14173">
        <v>14172</v>
      </c>
      <c r="B14173">
        <v>3143862</v>
      </c>
      <c r="C14173" s="1" t="str">
        <f>HYPERLINK("http://stackoverflow.com/users/3143862", "AaronChan")</f>
        <v>AaronChan</v>
      </c>
      <c r="D14173" t="s">
        <v>5</v>
      </c>
      <c r="E14173">
        <v>1</v>
      </c>
    </row>
    <row r="14174" spans="1:5" x14ac:dyDescent="0.25">
      <c r="A14174">
        <v>14173</v>
      </c>
      <c r="B14174">
        <v>10324152</v>
      </c>
      <c r="C14174" s="1" t="str">
        <f>HYPERLINK("http://stackoverflow.com/users/10324152", "Huan WANG")</f>
        <v>Huan WANG</v>
      </c>
      <c r="D14174" t="s">
        <v>7</v>
      </c>
      <c r="E14174">
        <v>1</v>
      </c>
    </row>
    <row r="14175" spans="1:5" x14ac:dyDescent="0.25">
      <c r="A14175">
        <v>14174</v>
      </c>
      <c r="B14175">
        <v>1215698</v>
      </c>
      <c r="C14175" s="1" t="str">
        <f>HYPERLINK("http://stackoverflow.com/users/1215698", "Jimmy-Yin")</f>
        <v>Jimmy-Yin</v>
      </c>
      <c r="D14175" t="s">
        <v>5</v>
      </c>
      <c r="E14175">
        <v>1</v>
      </c>
    </row>
    <row r="14176" spans="1:5" x14ac:dyDescent="0.25">
      <c r="A14176">
        <v>14175</v>
      </c>
      <c r="B14176">
        <v>4968213</v>
      </c>
      <c r="C14176" s="1" t="str">
        <f>HYPERLINK("http://stackoverflow.com/users/4968213", "Shawn")</f>
        <v>Shawn</v>
      </c>
      <c r="D14176" t="s">
        <v>4</v>
      </c>
      <c r="E14176">
        <v>1</v>
      </c>
    </row>
    <row r="14177" spans="1:5" x14ac:dyDescent="0.25">
      <c r="A14177">
        <v>14176</v>
      </c>
      <c r="B14177">
        <v>4968248</v>
      </c>
      <c r="C14177" s="1" t="str">
        <f>HYPERLINK("http://stackoverflow.com/users/4968248", "xiayong")</f>
        <v>xiayong</v>
      </c>
      <c r="D14177" t="s">
        <v>5</v>
      </c>
      <c r="E14177">
        <v>1</v>
      </c>
    </row>
    <row r="14178" spans="1:5" x14ac:dyDescent="0.25">
      <c r="A14178">
        <v>14177</v>
      </c>
      <c r="B14178">
        <v>4968261</v>
      </c>
      <c r="C14178" s="1" t="str">
        <f>HYPERLINK("http://stackoverflow.com/users/4968261", "Qixuan")</f>
        <v>Qixuan</v>
      </c>
      <c r="D14178" t="s">
        <v>5</v>
      </c>
      <c r="E14178">
        <v>1</v>
      </c>
    </row>
    <row r="14179" spans="1:5" x14ac:dyDescent="0.25">
      <c r="A14179">
        <v>14178</v>
      </c>
      <c r="B14179">
        <v>10328515</v>
      </c>
      <c r="C14179" s="1" t="str">
        <f>HYPERLINK("http://stackoverflow.com/users/10328515", "gk j")</f>
        <v>gk j</v>
      </c>
      <c r="D14179" t="s">
        <v>62</v>
      </c>
      <c r="E14179">
        <v>1</v>
      </c>
    </row>
    <row r="14180" spans="1:5" x14ac:dyDescent="0.25">
      <c r="A14180">
        <v>14179</v>
      </c>
      <c r="B14180">
        <v>10328626</v>
      </c>
      <c r="C14180" s="1" t="str">
        <f>HYPERLINK("http://stackoverflow.com/users/10328626", "themoldmanufacturers")</f>
        <v>themoldmanufacturers</v>
      </c>
      <c r="D14180" t="s">
        <v>782</v>
      </c>
      <c r="E14180">
        <v>1</v>
      </c>
    </row>
    <row r="14181" spans="1:5" x14ac:dyDescent="0.25">
      <c r="A14181">
        <v>14180</v>
      </c>
      <c r="B14181">
        <v>1215236</v>
      </c>
      <c r="C14181" s="1" t="str">
        <f>HYPERLINK("http://stackoverflow.com/users/1215236", "javafuns")</f>
        <v>javafuns</v>
      </c>
      <c r="D14181" t="s">
        <v>5</v>
      </c>
      <c r="E14181">
        <v>1</v>
      </c>
    </row>
    <row r="14182" spans="1:5" x14ac:dyDescent="0.25">
      <c r="A14182">
        <v>14181</v>
      </c>
      <c r="B14182">
        <v>6693597</v>
      </c>
      <c r="C14182" s="1" t="str">
        <f>HYPERLINK("http://stackoverflow.com/users/6693597", "Howard Loe")</f>
        <v>Howard Loe</v>
      </c>
      <c r="D14182" t="s">
        <v>328</v>
      </c>
      <c r="E14182">
        <v>1</v>
      </c>
    </row>
    <row r="14183" spans="1:5" x14ac:dyDescent="0.25">
      <c r="A14183">
        <v>14182</v>
      </c>
      <c r="B14183">
        <v>4972212</v>
      </c>
      <c r="C14183" s="1" t="str">
        <f>HYPERLINK("http://stackoverflow.com/users/4972212", "shujie wang")</f>
        <v>shujie wang</v>
      </c>
      <c r="D14183" t="s">
        <v>5</v>
      </c>
      <c r="E14183">
        <v>1</v>
      </c>
    </row>
    <row r="14184" spans="1:5" x14ac:dyDescent="0.25">
      <c r="A14184">
        <v>14183</v>
      </c>
      <c r="B14184">
        <v>4972262</v>
      </c>
      <c r="C14184" s="1" t="str">
        <f>HYPERLINK("http://stackoverflow.com/users/4972262", "Jason Cheng")</f>
        <v>Jason Cheng</v>
      </c>
      <c r="D14184" t="s">
        <v>5</v>
      </c>
      <c r="E14184">
        <v>1</v>
      </c>
    </row>
    <row r="14185" spans="1:5" x14ac:dyDescent="0.25">
      <c r="A14185">
        <v>14184</v>
      </c>
      <c r="B14185">
        <v>4972463</v>
      </c>
      <c r="C14185" s="1" t="str">
        <f>HYPERLINK("http://stackoverflow.com/users/4972463", "Wang Alan")</f>
        <v>Wang Alan</v>
      </c>
      <c r="D14185" t="s">
        <v>17</v>
      </c>
      <c r="E14185">
        <v>1</v>
      </c>
    </row>
    <row r="14186" spans="1:5" x14ac:dyDescent="0.25">
      <c r="A14186">
        <v>14185</v>
      </c>
      <c r="B14186">
        <v>10336541</v>
      </c>
      <c r="C14186" s="1" t="str">
        <f>HYPERLINK("http://stackoverflow.com/users/10336541", "Meng Xu")</f>
        <v>Meng Xu</v>
      </c>
      <c r="D14186" t="s">
        <v>415</v>
      </c>
      <c r="E14186">
        <v>1</v>
      </c>
    </row>
    <row r="14187" spans="1:5" x14ac:dyDescent="0.25">
      <c r="A14187">
        <v>14186</v>
      </c>
      <c r="B14187">
        <v>8522995</v>
      </c>
      <c r="C14187" s="1" t="str">
        <f>HYPERLINK("http://stackoverflow.com/users/8522995", "webkf")</f>
        <v>webkf</v>
      </c>
      <c r="D14187" t="s">
        <v>783</v>
      </c>
      <c r="E14187">
        <v>1</v>
      </c>
    </row>
    <row r="14188" spans="1:5" x14ac:dyDescent="0.25">
      <c r="A14188">
        <v>14187</v>
      </c>
      <c r="B14188">
        <v>8523388</v>
      </c>
      <c r="C14188" s="1" t="str">
        <f>HYPERLINK("http://stackoverflow.com/users/8523388", "GuangZhun Jin")</f>
        <v>GuangZhun Jin</v>
      </c>
      <c r="D14188" t="s">
        <v>133</v>
      </c>
      <c r="E14188">
        <v>1</v>
      </c>
    </row>
    <row r="14189" spans="1:5" x14ac:dyDescent="0.25">
      <c r="A14189">
        <v>14188</v>
      </c>
      <c r="B14189">
        <v>1216167</v>
      </c>
      <c r="C14189" s="1" t="str">
        <f>HYPERLINK("http://stackoverflow.com/users/1216167", "sammy")</f>
        <v>sammy</v>
      </c>
      <c r="D14189" t="s">
        <v>17</v>
      </c>
      <c r="E14189">
        <v>1</v>
      </c>
    </row>
    <row r="14190" spans="1:5" x14ac:dyDescent="0.25">
      <c r="A14190">
        <v>14189</v>
      </c>
      <c r="B14190">
        <v>8514978</v>
      </c>
      <c r="C14190" s="1" t="str">
        <f>HYPERLINK("http://stackoverflow.com/users/8514978", "Jack")</f>
        <v>Jack</v>
      </c>
      <c r="D14190" t="s">
        <v>4</v>
      </c>
      <c r="E14190">
        <v>1</v>
      </c>
    </row>
    <row r="14191" spans="1:5" x14ac:dyDescent="0.25">
      <c r="A14191">
        <v>14190</v>
      </c>
      <c r="B14191">
        <v>8515012</v>
      </c>
      <c r="C14191" s="1" t="str">
        <f>HYPERLINK("http://stackoverflow.com/users/8515012", "qf129")</f>
        <v>qf129</v>
      </c>
      <c r="D14191" t="s">
        <v>37</v>
      </c>
      <c r="E14191">
        <v>1</v>
      </c>
    </row>
    <row r="14192" spans="1:5" x14ac:dyDescent="0.25">
      <c r="A14192">
        <v>14191</v>
      </c>
      <c r="B14192">
        <v>8515013</v>
      </c>
      <c r="C14192" s="1" t="str">
        <f>HYPERLINK("http://stackoverflow.com/users/8515013", "lake.hu")</f>
        <v>lake.hu</v>
      </c>
      <c r="D14192" t="s">
        <v>52</v>
      </c>
      <c r="E14192">
        <v>1</v>
      </c>
    </row>
    <row r="14193" spans="1:5" x14ac:dyDescent="0.25">
      <c r="A14193">
        <v>14192</v>
      </c>
      <c r="B14193">
        <v>8515140</v>
      </c>
      <c r="C14193" s="1" t="str">
        <f>HYPERLINK("http://stackoverflow.com/users/8515140", "Nicholas Benjamin")</f>
        <v>Nicholas Benjamin</v>
      </c>
      <c r="D14193" t="s">
        <v>265</v>
      </c>
      <c r="E14193">
        <v>1</v>
      </c>
    </row>
    <row r="14194" spans="1:5" x14ac:dyDescent="0.25">
      <c r="A14194">
        <v>14193</v>
      </c>
      <c r="B14194">
        <v>8515327</v>
      </c>
      <c r="C14194" s="1" t="str">
        <f>HYPERLINK("http://stackoverflow.com/users/8515327", "Jimmystrong")</f>
        <v>Jimmystrong</v>
      </c>
      <c r="D14194" t="s">
        <v>4</v>
      </c>
      <c r="E14194">
        <v>1</v>
      </c>
    </row>
    <row r="14195" spans="1:5" x14ac:dyDescent="0.25">
      <c r="A14195">
        <v>14194</v>
      </c>
      <c r="B14195">
        <v>8518926</v>
      </c>
      <c r="C14195" s="1" t="str">
        <f>HYPERLINK("http://stackoverflow.com/users/8518926", "HUanzhang.Zhao")</f>
        <v>HUanzhang.Zhao</v>
      </c>
      <c r="D14195" t="s">
        <v>131</v>
      </c>
      <c r="E14195">
        <v>1</v>
      </c>
    </row>
    <row r="14196" spans="1:5" x14ac:dyDescent="0.25">
      <c r="A14196">
        <v>14195</v>
      </c>
      <c r="B14196">
        <v>4971852</v>
      </c>
      <c r="C14196" s="1" t="str">
        <f>HYPERLINK("http://stackoverflow.com/users/4971852", "pistolove")</f>
        <v>pistolove</v>
      </c>
      <c r="D14196" t="s">
        <v>5</v>
      </c>
      <c r="E14196">
        <v>1</v>
      </c>
    </row>
    <row r="14197" spans="1:5" x14ac:dyDescent="0.25">
      <c r="A14197">
        <v>14196</v>
      </c>
      <c r="B14197">
        <v>4971978</v>
      </c>
      <c r="C14197" s="1" t="str">
        <f>HYPERLINK("http://stackoverflow.com/users/4971978", "dantsinghua")</f>
        <v>dantsinghua</v>
      </c>
      <c r="D14197" t="s">
        <v>17</v>
      </c>
      <c r="E14197">
        <v>1</v>
      </c>
    </row>
    <row r="14198" spans="1:5" x14ac:dyDescent="0.25">
      <c r="A14198">
        <v>14197</v>
      </c>
      <c r="B14198">
        <v>3171389</v>
      </c>
      <c r="C14198" s="1" t="str">
        <f>HYPERLINK("http://stackoverflow.com/users/3171389", "pengc_2012")</f>
        <v>pengc_2012</v>
      </c>
      <c r="D14198" t="s">
        <v>35</v>
      </c>
      <c r="E14198">
        <v>1</v>
      </c>
    </row>
    <row r="14199" spans="1:5" x14ac:dyDescent="0.25">
      <c r="A14199">
        <v>14198</v>
      </c>
      <c r="B14199">
        <v>3175584</v>
      </c>
      <c r="C14199" s="1" t="str">
        <f>HYPERLINK("http://stackoverflow.com/users/3175584", "zhxq")</f>
        <v>zhxq</v>
      </c>
      <c r="D14199" t="s">
        <v>5</v>
      </c>
      <c r="E14199">
        <v>1</v>
      </c>
    </row>
    <row r="14200" spans="1:5" x14ac:dyDescent="0.25">
      <c r="A14200">
        <v>14199</v>
      </c>
      <c r="B14200">
        <v>1239452</v>
      </c>
      <c r="C14200" s="1" t="str">
        <f>HYPERLINK("http://stackoverflow.com/users/1239452", "Jason")</f>
        <v>Jason</v>
      </c>
      <c r="D14200" t="s">
        <v>5</v>
      </c>
      <c r="E14200">
        <v>1</v>
      </c>
    </row>
    <row r="14201" spans="1:5" x14ac:dyDescent="0.25">
      <c r="A14201">
        <v>14200</v>
      </c>
      <c r="B14201">
        <v>8544053</v>
      </c>
      <c r="C14201" s="1" t="str">
        <f>HYPERLINK("http://stackoverflow.com/users/8544053", "C.Aron")</f>
        <v>C.Aron</v>
      </c>
      <c r="D14201" t="s">
        <v>33</v>
      </c>
      <c r="E14201">
        <v>1</v>
      </c>
    </row>
    <row r="14202" spans="1:5" x14ac:dyDescent="0.25">
      <c r="A14202">
        <v>14201</v>
      </c>
      <c r="B14202">
        <v>8544117</v>
      </c>
      <c r="C14202" s="1" t="str">
        <f>HYPERLINK("http://stackoverflow.com/users/8544117", "Masoud Ahmed")</f>
        <v>Masoud Ahmed</v>
      </c>
      <c r="D14202" t="s">
        <v>784</v>
      </c>
      <c r="E14202">
        <v>1</v>
      </c>
    </row>
    <row r="14203" spans="1:5" x14ac:dyDescent="0.25">
      <c r="A14203">
        <v>14202</v>
      </c>
      <c r="B14203">
        <v>8544120</v>
      </c>
      <c r="C14203" s="1" t="str">
        <f>HYPERLINK("http://stackoverflow.com/users/8544120", "SunRuyi")</f>
        <v>SunRuyi</v>
      </c>
      <c r="D14203" t="s">
        <v>33</v>
      </c>
      <c r="E14203">
        <v>1</v>
      </c>
    </row>
    <row r="14204" spans="1:5" x14ac:dyDescent="0.25">
      <c r="A14204">
        <v>14203</v>
      </c>
      <c r="B14204">
        <v>8544469</v>
      </c>
      <c r="C14204" s="1" t="str">
        <f>HYPERLINK("http://stackoverflow.com/users/8544469", "Chen Dong")</f>
        <v>Chen Dong</v>
      </c>
      <c r="D14204" t="s">
        <v>7</v>
      </c>
      <c r="E14204">
        <v>1</v>
      </c>
    </row>
    <row r="14205" spans="1:5" x14ac:dyDescent="0.25">
      <c r="A14205">
        <v>14204</v>
      </c>
      <c r="B14205">
        <v>1260541</v>
      </c>
      <c r="C14205" s="1" t="str">
        <f>HYPERLINK("http://stackoverflow.com/users/1260541", "Kail")</f>
        <v>Kail</v>
      </c>
      <c r="D14205" t="s">
        <v>5</v>
      </c>
      <c r="E14205">
        <v>1</v>
      </c>
    </row>
    <row r="14206" spans="1:5" x14ac:dyDescent="0.25">
      <c r="A14206">
        <v>14205</v>
      </c>
      <c r="B14206">
        <v>1260596</v>
      </c>
      <c r="C14206" s="1" t="str">
        <f>HYPERLINK("http://stackoverflow.com/users/1260596", "watano")</f>
        <v>watano</v>
      </c>
      <c r="D14206" t="s">
        <v>61</v>
      </c>
      <c r="E14206">
        <v>1</v>
      </c>
    </row>
    <row r="14207" spans="1:5" x14ac:dyDescent="0.25">
      <c r="A14207">
        <v>14206</v>
      </c>
      <c r="B14207">
        <v>1260700</v>
      </c>
      <c r="C14207" s="1" t="str">
        <f>HYPERLINK("http://stackoverflow.com/users/1260700", "Peter_H")</f>
        <v>Peter_H</v>
      </c>
      <c r="D14207" t="s">
        <v>5</v>
      </c>
      <c r="E14207">
        <v>1</v>
      </c>
    </row>
    <row r="14208" spans="1:5" x14ac:dyDescent="0.25">
      <c r="A14208">
        <v>14207</v>
      </c>
      <c r="B14208">
        <v>8531301</v>
      </c>
      <c r="C14208" s="1" t="str">
        <f>HYPERLINK("http://stackoverflow.com/users/8531301", "Alwayshere")</f>
        <v>Alwayshere</v>
      </c>
      <c r="D14208" t="s">
        <v>4</v>
      </c>
      <c r="E14208">
        <v>1</v>
      </c>
    </row>
    <row r="14209" spans="1:5" x14ac:dyDescent="0.25">
      <c r="A14209">
        <v>14208</v>
      </c>
      <c r="B14209">
        <v>8531434</v>
      </c>
      <c r="C14209" s="1" t="str">
        <f>HYPERLINK("http://stackoverflow.com/users/8531434", "zhang hesuo")</f>
        <v>zhang hesuo</v>
      </c>
      <c r="D14209" t="s">
        <v>25</v>
      </c>
      <c r="E14209">
        <v>1</v>
      </c>
    </row>
    <row r="14210" spans="1:5" x14ac:dyDescent="0.25">
      <c r="A14210">
        <v>14209</v>
      </c>
      <c r="B14210">
        <v>8531760</v>
      </c>
      <c r="C14210" s="1" t="str">
        <f>HYPERLINK("http://stackoverflow.com/users/8531760", "victory")</f>
        <v>victory</v>
      </c>
      <c r="D14210" t="s">
        <v>5</v>
      </c>
      <c r="E14210">
        <v>1</v>
      </c>
    </row>
    <row r="14211" spans="1:5" x14ac:dyDescent="0.25">
      <c r="A14211">
        <v>14210</v>
      </c>
      <c r="B14211">
        <v>8535303</v>
      </c>
      <c r="C14211" s="1" t="str">
        <f>HYPERLINK("http://stackoverflow.com/users/8535303", "rex lin")</f>
        <v>rex lin</v>
      </c>
      <c r="D14211" t="s">
        <v>5</v>
      </c>
      <c r="E14211">
        <v>1</v>
      </c>
    </row>
    <row r="14212" spans="1:5" x14ac:dyDescent="0.25">
      <c r="A14212">
        <v>14211</v>
      </c>
      <c r="B14212">
        <v>8535348</v>
      </c>
      <c r="C14212" s="1" t="str">
        <f>HYPERLINK("http://stackoverflow.com/users/8535348", "Alison Winters")</f>
        <v>Alison Winters</v>
      </c>
      <c r="D14212" t="s">
        <v>7</v>
      </c>
      <c r="E14212">
        <v>1</v>
      </c>
    </row>
    <row r="14213" spans="1:5" x14ac:dyDescent="0.25">
      <c r="A14213">
        <v>14212</v>
      </c>
      <c r="B14213">
        <v>8535369</v>
      </c>
      <c r="C14213" s="1" t="str">
        <f>HYPERLINK("http://stackoverflow.com/users/8535369", "coder")</f>
        <v>coder</v>
      </c>
      <c r="D14213" t="s">
        <v>25</v>
      </c>
      <c r="E14213">
        <v>1</v>
      </c>
    </row>
    <row r="14214" spans="1:5" x14ac:dyDescent="0.25">
      <c r="A14214">
        <v>14213</v>
      </c>
      <c r="B14214">
        <v>8535491</v>
      </c>
      <c r="C14214" s="1" t="str">
        <f>HYPERLINK("http://stackoverflow.com/users/8535491", "Rony Fu")</f>
        <v>Rony Fu</v>
      </c>
      <c r="D14214" t="s">
        <v>4</v>
      </c>
      <c r="E14214">
        <v>1</v>
      </c>
    </row>
    <row r="14215" spans="1:5" x14ac:dyDescent="0.25">
      <c r="A14215">
        <v>14214</v>
      </c>
      <c r="B14215">
        <v>8535513</v>
      </c>
      <c r="C14215" s="1" t="str">
        <f>HYPERLINK("http://stackoverflow.com/users/8535513", "yaoTrubine")</f>
        <v>yaoTrubine</v>
      </c>
      <c r="D14215" t="s">
        <v>4</v>
      </c>
      <c r="E14215">
        <v>1</v>
      </c>
    </row>
    <row r="14216" spans="1:5" x14ac:dyDescent="0.25">
      <c r="A14216">
        <v>14215</v>
      </c>
      <c r="B14216">
        <v>8535529</v>
      </c>
      <c r="C14216" s="1" t="str">
        <f>HYPERLINK("http://stackoverflow.com/users/8535529", "Hades Cheng")</f>
        <v>Hades Cheng</v>
      </c>
      <c r="D14216" t="s">
        <v>16</v>
      </c>
      <c r="E14216">
        <v>1</v>
      </c>
    </row>
    <row r="14217" spans="1:5" x14ac:dyDescent="0.25">
      <c r="A14217">
        <v>14216</v>
      </c>
      <c r="B14217">
        <v>8535580</v>
      </c>
      <c r="C14217" s="1" t="str">
        <f>HYPERLINK("http://stackoverflow.com/users/8535580", "Miata")</f>
        <v>Miata</v>
      </c>
      <c r="D14217" t="s">
        <v>3</v>
      </c>
      <c r="E14217">
        <v>1</v>
      </c>
    </row>
    <row r="14218" spans="1:5" x14ac:dyDescent="0.25">
      <c r="A14218">
        <v>14217</v>
      </c>
      <c r="B14218">
        <v>8535618</v>
      </c>
      <c r="C14218" s="1" t="str">
        <f>HYPERLINK("http://stackoverflow.com/users/8535618", "wuhanlin")</f>
        <v>wuhanlin</v>
      </c>
      <c r="D14218" t="s">
        <v>55</v>
      </c>
      <c r="E14218">
        <v>1</v>
      </c>
    </row>
    <row r="14219" spans="1:5" x14ac:dyDescent="0.25">
      <c r="A14219">
        <v>14218</v>
      </c>
      <c r="B14219">
        <v>8535671</v>
      </c>
      <c r="C14219" s="1" t="str">
        <f>HYPERLINK("http://stackoverflow.com/users/8535671", "刘东领")</f>
        <v>刘东领</v>
      </c>
      <c r="D14219" t="s">
        <v>785</v>
      </c>
      <c r="E14219">
        <v>1</v>
      </c>
    </row>
    <row r="14220" spans="1:5" x14ac:dyDescent="0.25">
      <c r="A14220">
        <v>14219</v>
      </c>
      <c r="B14220">
        <v>8535705</v>
      </c>
      <c r="C14220" s="1" t="str">
        <f>HYPERLINK("http://stackoverflow.com/users/8535705", "wixy")</f>
        <v>wixy</v>
      </c>
      <c r="D14220" t="s">
        <v>118</v>
      </c>
      <c r="E14220">
        <v>1</v>
      </c>
    </row>
    <row r="14221" spans="1:5" x14ac:dyDescent="0.25">
      <c r="A14221">
        <v>14220</v>
      </c>
      <c r="B14221">
        <v>8535733</v>
      </c>
      <c r="C14221" s="1" t="str">
        <f>HYPERLINK("http://stackoverflow.com/users/8535733", "Roger")</f>
        <v>Roger</v>
      </c>
      <c r="D14221" t="s">
        <v>4</v>
      </c>
      <c r="E14221">
        <v>1</v>
      </c>
    </row>
    <row r="14222" spans="1:5" x14ac:dyDescent="0.25">
      <c r="A14222">
        <v>14221</v>
      </c>
      <c r="B14222">
        <v>3158476</v>
      </c>
      <c r="C14222" s="1" t="str">
        <f>HYPERLINK("http://stackoverflow.com/users/3158476", "Petref92")</f>
        <v>Petref92</v>
      </c>
      <c r="D14222" t="s">
        <v>5</v>
      </c>
      <c r="E14222">
        <v>1</v>
      </c>
    </row>
    <row r="14223" spans="1:5" x14ac:dyDescent="0.25">
      <c r="A14223">
        <v>14222</v>
      </c>
      <c r="B14223">
        <v>6697897</v>
      </c>
      <c r="C14223" s="1" t="str">
        <f>HYPERLINK("http://stackoverflow.com/users/6697897", "Dbsk Dbsk")</f>
        <v>Dbsk Dbsk</v>
      </c>
      <c r="D14223" t="s">
        <v>25</v>
      </c>
      <c r="E14223">
        <v>1</v>
      </c>
    </row>
    <row r="14224" spans="1:5" x14ac:dyDescent="0.25">
      <c r="A14224">
        <v>14223</v>
      </c>
      <c r="B14224">
        <v>4975999</v>
      </c>
      <c r="C14224" s="1" t="str">
        <f>HYPERLINK("http://stackoverflow.com/users/4975999", "Qilong Su")</f>
        <v>Qilong Su</v>
      </c>
      <c r="D14224" t="s">
        <v>4</v>
      </c>
      <c r="E14224">
        <v>1</v>
      </c>
    </row>
    <row r="14225" spans="1:5" x14ac:dyDescent="0.25">
      <c r="A14225">
        <v>14224</v>
      </c>
      <c r="B14225">
        <v>1235043</v>
      </c>
      <c r="C14225" s="1" t="str">
        <f>HYPERLINK("http://stackoverflow.com/users/1235043", "zpp")</f>
        <v>zpp</v>
      </c>
      <c r="D14225" t="s">
        <v>82</v>
      </c>
      <c r="E14225">
        <v>1</v>
      </c>
    </row>
    <row r="14226" spans="1:5" x14ac:dyDescent="0.25">
      <c r="A14226">
        <v>14225</v>
      </c>
      <c r="B14226">
        <v>8527798</v>
      </c>
      <c r="C14226" s="1" t="str">
        <f>HYPERLINK("http://stackoverflow.com/users/8527798", "Wisteria")</f>
        <v>Wisteria</v>
      </c>
      <c r="D14226" t="s">
        <v>4</v>
      </c>
      <c r="E14226">
        <v>1</v>
      </c>
    </row>
    <row r="14227" spans="1:5" x14ac:dyDescent="0.25">
      <c r="A14227">
        <v>14226</v>
      </c>
      <c r="B14227">
        <v>4978576</v>
      </c>
      <c r="C14227" s="1" t="str">
        <f>HYPERLINK("http://stackoverflow.com/users/4978576", "Shaun")</f>
        <v>Shaun</v>
      </c>
      <c r="D14227" t="s">
        <v>74</v>
      </c>
      <c r="E14227">
        <v>1</v>
      </c>
    </row>
    <row r="14228" spans="1:5" x14ac:dyDescent="0.25">
      <c r="A14228">
        <v>14227</v>
      </c>
      <c r="B14228">
        <v>6701293</v>
      </c>
      <c r="C14228" s="1" t="str">
        <f>HYPERLINK("http://stackoverflow.com/users/6701293", "iWater")</f>
        <v>iWater</v>
      </c>
      <c r="D14228" t="s">
        <v>7</v>
      </c>
      <c r="E14228">
        <v>1</v>
      </c>
    </row>
    <row r="14229" spans="1:5" x14ac:dyDescent="0.25">
      <c r="A14229">
        <v>14228</v>
      </c>
      <c r="B14229">
        <v>10340859</v>
      </c>
      <c r="C14229" s="1" t="str">
        <f>HYPERLINK("http://stackoverflow.com/users/10340859", "user10340859")</f>
        <v>user10340859</v>
      </c>
      <c r="D14229" t="s">
        <v>55</v>
      </c>
      <c r="E14229">
        <v>1</v>
      </c>
    </row>
    <row r="14230" spans="1:5" x14ac:dyDescent="0.25">
      <c r="A14230">
        <v>14229</v>
      </c>
      <c r="B14230">
        <v>1374037</v>
      </c>
      <c r="C14230" s="1" t="str">
        <f>HYPERLINK("http://stackoverflow.com/users/1374037", "h2n_nh2")</f>
        <v>h2n_nh2</v>
      </c>
      <c r="D14230" t="s">
        <v>5</v>
      </c>
      <c r="E14230">
        <v>1</v>
      </c>
    </row>
    <row r="14231" spans="1:5" x14ac:dyDescent="0.25">
      <c r="A14231">
        <v>14230</v>
      </c>
      <c r="B14231">
        <v>1374315</v>
      </c>
      <c r="C14231" s="1" t="str">
        <f>HYPERLINK("http://stackoverflow.com/users/1374315", "coderchencong")</f>
        <v>coderchencong</v>
      </c>
      <c r="D14231" t="s">
        <v>5</v>
      </c>
      <c r="E14231">
        <v>1</v>
      </c>
    </row>
    <row r="14232" spans="1:5" x14ac:dyDescent="0.25">
      <c r="A14232">
        <v>14231</v>
      </c>
      <c r="B14232">
        <v>10435360</v>
      </c>
      <c r="C14232" s="1" t="str">
        <f>HYPERLINK("http://stackoverflow.com/users/10435360", "Laurence")</f>
        <v>Laurence</v>
      </c>
      <c r="D14232" t="s">
        <v>16</v>
      </c>
      <c r="E14232">
        <v>1</v>
      </c>
    </row>
    <row r="14233" spans="1:5" x14ac:dyDescent="0.25">
      <c r="A14233">
        <v>14232</v>
      </c>
      <c r="B14233">
        <v>10435617</v>
      </c>
      <c r="C14233" s="1" t="str">
        <f>HYPERLINK("http://stackoverflow.com/users/10435617", "Japanlongtie")</f>
        <v>Japanlongtie</v>
      </c>
      <c r="D14233" t="s">
        <v>114</v>
      </c>
      <c r="E14233">
        <v>1</v>
      </c>
    </row>
    <row r="14234" spans="1:5" x14ac:dyDescent="0.25">
      <c r="A14234">
        <v>14233</v>
      </c>
      <c r="B14234">
        <v>8622374</v>
      </c>
      <c r="C14234" s="1" t="str">
        <f>HYPERLINK("http://stackoverflow.com/users/8622374", "Tony Fan")</f>
        <v>Tony Fan</v>
      </c>
      <c r="D14234" t="s">
        <v>16</v>
      </c>
      <c r="E14234">
        <v>1</v>
      </c>
    </row>
    <row r="14235" spans="1:5" x14ac:dyDescent="0.25">
      <c r="A14235">
        <v>14234</v>
      </c>
      <c r="B14235">
        <v>5062331</v>
      </c>
      <c r="C14235" s="1" t="str">
        <f>HYPERLINK("http://stackoverflow.com/users/5062331", "LionNBean")</f>
        <v>LionNBean</v>
      </c>
      <c r="D14235" t="s">
        <v>4</v>
      </c>
      <c r="E14235">
        <v>1</v>
      </c>
    </row>
    <row r="14236" spans="1:5" x14ac:dyDescent="0.25">
      <c r="A14236">
        <v>14235</v>
      </c>
      <c r="B14236">
        <v>1380076</v>
      </c>
      <c r="C14236" s="1" t="str">
        <f>HYPERLINK("http://stackoverflow.com/users/1380076", "阿呆zy")</f>
        <v>阿呆zy</v>
      </c>
      <c r="D14236" t="s">
        <v>5</v>
      </c>
      <c r="E14236">
        <v>1</v>
      </c>
    </row>
    <row r="14237" spans="1:5" x14ac:dyDescent="0.25">
      <c r="A14237">
        <v>14236</v>
      </c>
      <c r="B14237">
        <v>1384151</v>
      </c>
      <c r="C14237" s="1" t="str">
        <f>HYPERLINK("http://stackoverflow.com/users/1384151", "BugYang")</f>
        <v>BugYang</v>
      </c>
      <c r="D14237" t="s">
        <v>5</v>
      </c>
      <c r="E14237">
        <v>1</v>
      </c>
    </row>
    <row r="14238" spans="1:5" x14ac:dyDescent="0.25">
      <c r="A14238">
        <v>14237</v>
      </c>
      <c r="B14238">
        <v>6793164</v>
      </c>
      <c r="C14238" s="1" t="str">
        <f>HYPERLINK("http://stackoverflow.com/users/6793164", "Zeng Yonge")</f>
        <v>Zeng Yonge</v>
      </c>
      <c r="D14238" t="s">
        <v>4</v>
      </c>
      <c r="E14238">
        <v>1</v>
      </c>
    </row>
    <row r="14239" spans="1:5" x14ac:dyDescent="0.25">
      <c r="A14239">
        <v>14238</v>
      </c>
      <c r="B14239">
        <v>3260616</v>
      </c>
      <c r="C14239" s="1" t="str">
        <f>HYPERLINK("http://stackoverflow.com/users/3260616", "Yu Shi")</f>
        <v>Yu Shi</v>
      </c>
      <c r="D14239" t="s">
        <v>5</v>
      </c>
      <c r="E14239">
        <v>1</v>
      </c>
    </row>
    <row r="14240" spans="1:5" x14ac:dyDescent="0.25">
      <c r="A14240">
        <v>14239</v>
      </c>
      <c r="B14240">
        <v>5067740</v>
      </c>
      <c r="C14240" s="1" t="str">
        <f>HYPERLINK("http://stackoverflow.com/users/5067740", "Jacky Jiang")</f>
        <v>Jacky Jiang</v>
      </c>
      <c r="D14240" t="s">
        <v>12</v>
      </c>
      <c r="E14240">
        <v>1</v>
      </c>
    </row>
    <row r="14241" spans="1:5" x14ac:dyDescent="0.25">
      <c r="A14241">
        <v>14240</v>
      </c>
      <c r="B14241">
        <v>6790159</v>
      </c>
      <c r="C14241" s="1" t="str">
        <f>HYPERLINK("http://stackoverflow.com/users/6790159", "Xiao Chen")</f>
        <v>Xiao Chen</v>
      </c>
      <c r="D14241" t="s">
        <v>4</v>
      </c>
      <c r="E14241">
        <v>1</v>
      </c>
    </row>
    <row r="14242" spans="1:5" x14ac:dyDescent="0.25">
      <c r="A14242">
        <v>14241</v>
      </c>
      <c r="B14242">
        <v>1383474</v>
      </c>
      <c r="C14242" s="1" t="str">
        <f>HYPERLINK("http://stackoverflow.com/users/1383474", "Jerry524")</f>
        <v>Jerry524</v>
      </c>
      <c r="D14242" t="s">
        <v>4</v>
      </c>
      <c r="E14242">
        <v>1</v>
      </c>
    </row>
    <row r="14243" spans="1:5" x14ac:dyDescent="0.25">
      <c r="A14243">
        <v>14242</v>
      </c>
      <c r="B14243">
        <v>1383881</v>
      </c>
      <c r="C14243" s="1" t="str">
        <f>HYPERLINK("http://stackoverflow.com/users/1383881", "rikan")</f>
        <v>rikan</v>
      </c>
      <c r="D14243" t="s">
        <v>4</v>
      </c>
      <c r="E14243">
        <v>1</v>
      </c>
    </row>
    <row r="14244" spans="1:5" x14ac:dyDescent="0.25">
      <c r="A14244">
        <v>14243</v>
      </c>
      <c r="B14244">
        <v>8648505</v>
      </c>
      <c r="C14244" s="1" t="str">
        <f>HYPERLINK("http://stackoverflow.com/users/8648505", "Hao Ran")</f>
        <v>Hao Ran</v>
      </c>
      <c r="D14244" t="s">
        <v>4</v>
      </c>
      <c r="E14244">
        <v>1</v>
      </c>
    </row>
    <row r="14245" spans="1:5" x14ac:dyDescent="0.25">
      <c r="A14245">
        <v>14244</v>
      </c>
      <c r="B14245">
        <v>5082537</v>
      </c>
      <c r="C14245" s="1" t="str">
        <f>HYPERLINK("http://stackoverflow.com/users/5082537", "Larus")</f>
        <v>Larus</v>
      </c>
      <c r="D14245" t="s">
        <v>5</v>
      </c>
      <c r="E14245">
        <v>1</v>
      </c>
    </row>
    <row r="14246" spans="1:5" x14ac:dyDescent="0.25">
      <c r="A14246">
        <v>14245</v>
      </c>
      <c r="B14246">
        <v>8639573</v>
      </c>
      <c r="C14246" s="1" t="str">
        <f>HYPERLINK("http://stackoverflow.com/users/8639573", "Yucong Ding")</f>
        <v>Yucong Ding</v>
      </c>
      <c r="D14246" t="s">
        <v>269</v>
      </c>
      <c r="E14246">
        <v>1</v>
      </c>
    </row>
    <row r="14247" spans="1:5" x14ac:dyDescent="0.25">
      <c r="A14247">
        <v>14246</v>
      </c>
      <c r="B14247">
        <v>1397514</v>
      </c>
      <c r="C14247" s="1" t="str">
        <f>HYPERLINK("http://stackoverflow.com/users/1397514", "Eva zheng")</f>
        <v>Eva zheng</v>
      </c>
      <c r="D14247" t="s">
        <v>21</v>
      </c>
      <c r="E14247">
        <v>1</v>
      </c>
    </row>
    <row r="14248" spans="1:5" x14ac:dyDescent="0.25">
      <c r="A14248">
        <v>14247</v>
      </c>
      <c r="B14248">
        <v>1397530</v>
      </c>
      <c r="C14248" s="1" t="str">
        <f>HYPERLINK("http://stackoverflow.com/users/1397530", "Ning")</f>
        <v>Ning</v>
      </c>
      <c r="D14248" t="s">
        <v>5</v>
      </c>
      <c r="E14248">
        <v>1</v>
      </c>
    </row>
    <row r="14249" spans="1:5" x14ac:dyDescent="0.25">
      <c r="A14249">
        <v>14248</v>
      </c>
      <c r="B14249">
        <v>1397567</v>
      </c>
      <c r="C14249" s="1" t="str">
        <f>HYPERLINK("http://stackoverflow.com/users/1397567", "Cxt_programmer")</f>
        <v>Cxt_programmer</v>
      </c>
      <c r="D14249" t="s">
        <v>5</v>
      </c>
      <c r="E14249">
        <v>1</v>
      </c>
    </row>
    <row r="14250" spans="1:5" x14ac:dyDescent="0.25">
      <c r="A14250">
        <v>14249</v>
      </c>
      <c r="B14250">
        <v>6796956</v>
      </c>
      <c r="C14250" s="1" t="str">
        <f>HYPERLINK("http://stackoverflow.com/users/6796956", "user6796956")</f>
        <v>user6796956</v>
      </c>
      <c r="D14250" t="s">
        <v>52</v>
      </c>
      <c r="E14250">
        <v>1</v>
      </c>
    </row>
    <row r="14251" spans="1:5" x14ac:dyDescent="0.25">
      <c r="A14251">
        <v>14250</v>
      </c>
      <c r="B14251">
        <v>3264324</v>
      </c>
      <c r="C14251" s="1" t="str">
        <f>HYPERLINK("http://stackoverflow.com/users/3264324", "Johnix")</f>
        <v>Johnix</v>
      </c>
      <c r="D14251" t="s">
        <v>4</v>
      </c>
      <c r="E14251">
        <v>1</v>
      </c>
    </row>
    <row r="14252" spans="1:5" x14ac:dyDescent="0.25">
      <c r="A14252">
        <v>14251</v>
      </c>
      <c r="B14252">
        <v>5078356</v>
      </c>
      <c r="C14252" s="1" t="str">
        <f>HYPERLINK("http://stackoverflow.com/users/5078356", "Justin Lee")</f>
        <v>Justin Lee</v>
      </c>
      <c r="D14252" t="s">
        <v>4</v>
      </c>
      <c r="E14252">
        <v>1</v>
      </c>
    </row>
    <row r="14253" spans="1:5" x14ac:dyDescent="0.25">
      <c r="A14253">
        <v>14252</v>
      </c>
      <c r="B14253">
        <v>1357617</v>
      </c>
      <c r="C14253" s="1" t="str">
        <f>HYPERLINK("http://stackoverflow.com/users/1357617", "sarah")</f>
        <v>sarah</v>
      </c>
      <c r="D14253" t="s">
        <v>4</v>
      </c>
      <c r="E14253">
        <v>1</v>
      </c>
    </row>
    <row r="14254" spans="1:5" x14ac:dyDescent="0.25">
      <c r="A14254">
        <v>14253</v>
      </c>
      <c r="B14254">
        <v>3240407</v>
      </c>
      <c r="C14254" s="1" t="str">
        <f>HYPERLINK("http://stackoverflow.com/users/3240407", "page7")</f>
        <v>page7</v>
      </c>
      <c r="D14254" t="s">
        <v>6</v>
      </c>
      <c r="E14254">
        <v>1</v>
      </c>
    </row>
    <row r="14255" spans="1:5" x14ac:dyDescent="0.25">
      <c r="A14255">
        <v>14254</v>
      </c>
      <c r="B14255">
        <v>8608117</v>
      </c>
      <c r="C14255" s="1" t="str">
        <f>HYPERLINK("http://stackoverflow.com/users/8608117", "Y.Xin")</f>
        <v>Y.Xin</v>
      </c>
      <c r="D14255" t="s">
        <v>5</v>
      </c>
      <c r="E14255">
        <v>1</v>
      </c>
    </row>
    <row r="14256" spans="1:5" x14ac:dyDescent="0.25">
      <c r="A14256">
        <v>14255</v>
      </c>
      <c r="B14256">
        <v>10421662</v>
      </c>
      <c r="C14256" s="1" t="str">
        <f>HYPERLINK("http://stackoverflow.com/users/10421662", "zhaoyueqi")</f>
        <v>zhaoyueqi</v>
      </c>
      <c r="D14256" t="s">
        <v>28</v>
      </c>
      <c r="E14256">
        <v>1</v>
      </c>
    </row>
    <row r="14257" spans="1:5" x14ac:dyDescent="0.25">
      <c r="A14257">
        <v>14256</v>
      </c>
      <c r="B14257">
        <v>10421737</v>
      </c>
      <c r="C14257" s="1" t="str">
        <f>HYPERLINK("http://stackoverflow.com/users/10421737", "JohnTian")</f>
        <v>JohnTian</v>
      </c>
      <c r="D14257" t="s">
        <v>4</v>
      </c>
      <c r="E14257">
        <v>1</v>
      </c>
    </row>
    <row r="14258" spans="1:5" x14ac:dyDescent="0.25">
      <c r="A14258">
        <v>14257</v>
      </c>
      <c r="B14258">
        <v>10421858</v>
      </c>
      <c r="C14258" s="1" t="str">
        <f>HYPERLINK("http://stackoverflow.com/users/10421858", "Everan")</f>
        <v>Everan</v>
      </c>
      <c r="D14258" t="s">
        <v>7</v>
      </c>
      <c r="E14258">
        <v>1</v>
      </c>
    </row>
    <row r="14259" spans="1:5" x14ac:dyDescent="0.25">
      <c r="A14259">
        <v>14258</v>
      </c>
      <c r="B14259">
        <v>10422129</v>
      </c>
      <c r="C14259" s="1" t="str">
        <f>HYPERLINK("http://stackoverflow.com/users/10422129", "Xiong  Cao")</f>
        <v>Xiong  Cao</v>
      </c>
      <c r="D14259" t="s">
        <v>7</v>
      </c>
      <c r="E14259">
        <v>1</v>
      </c>
    </row>
    <row r="14260" spans="1:5" x14ac:dyDescent="0.25">
      <c r="A14260">
        <v>14259</v>
      </c>
      <c r="B14260">
        <v>10422275</v>
      </c>
      <c r="C14260" s="1" t="str">
        <f>HYPERLINK("http://stackoverflow.com/users/10422275", "金辉陈")</f>
        <v>金辉陈</v>
      </c>
      <c r="D14260" t="s">
        <v>677</v>
      </c>
      <c r="E14260">
        <v>1</v>
      </c>
    </row>
    <row r="14261" spans="1:5" x14ac:dyDescent="0.25">
      <c r="A14261">
        <v>14260</v>
      </c>
      <c r="B14261">
        <v>10422382</v>
      </c>
      <c r="C14261" s="1" t="str">
        <f>HYPERLINK("http://stackoverflow.com/users/10422382", "Xinyi Huang")</f>
        <v>Xinyi Huang</v>
      </c>
      <c r="D14261" t="s">
        <v>5</v>
      </c>
      <c r="E14261">
        <v>1</v>
      </c>
    </row>
    <row r="14262" spans="1:5" x14ac:dyDescent="0.25">
      <c r="A14262">
        <v>14261</v>
      </c>
      <c r="B14262">
        <v>1369061</v>
      </c>
      <c r="C14262" s="1" t="str">
        <f>HYPERLINK("http://stackoverflow.com/users/1369061", "abel shen")</f>
        <v>abel shen</v>
      </c>
      <c r="D14262" t="s">
        <v>17</v>
      </c>
      <c r="E14262">
        <v>1</v>
      </c>
    </row>
    <row r="14263" spans="1:5" x14ac:dyDescent="0.25">
      <c r="A14263">
        <v>14262</v>
      </c>
      <c r="B14263">
        <v>1368952</v>
      </c>
      <c r="C14263" s="1" t="str">
        <f>HYPERLINK("http://stackoverflow.com/users/1368952", "WoodJohn")</f>
        <v>WoodJohn</v>
      </c>
      <c r="D14263" t="s">
        <v>5</v>
      </c>
      <c r="E14263">
        <v>1</v>
      </c>
    </row>
    <row r="14264" spans="1:5" x14ac:dyDescent="0.25">
      <c r="A14264">
        <v>14263</v>
      </c>
      <c r="B14264">
        <v>5053319</v>
      </c>
      <c r="C14264" s="1" t="str">
        <f>HYPERLINK("http://stackoverflow.com/users/5053319", "Dick Ape")</f>
        <v>Dick Ape</v>
      </c>
      <c r="D14264" t="s">
        <v>5</v>
      </c>
      <c r="E14264">
        <v>1</v>
      </c>
    </row>
    <row r="14265" spans="1:5" x14ac:dyDescent="0.25">
      <c r="A14265">
        <v>14264</v>
      </c>
      <c r="B14265">
        <v>1364643</v>
      </c>
      <c r="C14265" s="1" t="str">
        <f>HYPERLINK("http://stackoverflow.com/users/1364643", "JoeDreamer")</f>
        <v>JoeDreamer</v>
      </c>
      <c r="D14265" t="s">
        <v>3</v>
      </c>
      <c r="E14265">
        <v>1</v>
      </c>
    </row>
    <row r="14266" spans="1:5" x14ac:dyDescent="0.25">
      <c r="A14266">
        <v>14265</v>
      </c>
      <c r="B14266">
        <v>1369682</v>
      </c>
      <c r="C14266" s="1" t="str">
        <f>HYPERLINK("http://stackoverflow.com/users/1369682", "Ariel")</f>
        <v>Ariel</v>
      </c>
      <c r="D14266" t="s">
        <v>4</v>
      </c>
      <c r="E14266">
        <v>1</v>
      </c>
    </row>
    <row r="14267" spans="1:5" x14ac:dyDescent="0.25">
      <c r="A14267">
        <v>14266</v>
      </c>
      <c r="B14267">
        <v>1369999</v>
      </c>
      <c r="C14267" s="1" t="str">
        <f>HYPERLINK("http://stackoverflow.com/users/1369999", "Liu Yongtai")</f>
        <v>Liu Yongtai</v>
      </c>
      <c r="D14267" t="s">
        <v>56</v>
      </c>
      <c r="E14267">
        <v>1</v>
      </c>
    </row>
    <row r="14268" spans="1:5" x14ac:dyDescent="0.25">
      <c r="A14268">
        <v>14267</v>
      </c>
      <c r="B14268">
        <v>1370350</v>
      </c>
      <c r="C14268" s="1" t="str">
        <f>HYPERLINK("http://stackoverflow.com/users/1370350", "Mike Liu")</f>
        <v>Mike Liu</v>
      </c>
      <c r="D14268" t="s">
        <v>4</v>
      </c>
      <c r="E14268">
        <v>1</v>
      </c>
    </row>
    <row r="14269" spans="1:5" x14ac:dyDescent="0.25">
      <c r="A14269">
        <v>14268</v>
      </c>
      <c r="B14269">
        <v>8617288</v>
      </c>
      <c r="C14269" s="1" t="str">
        <f>HYPERLINK("http://stackoverflow.com/users/8617288", "Toby")</f>
        <v>Toby</v>
      </c>
      <c r="D14269" t="s">
        <v>4</v>
      </c>
      <c r="E14269">
        <v>1</v>
      </c>
    </row>
    <row r="14270" spans="1:5" x14ac:dyDescent="0.25">
      <c r="A14270">
        <v>14269</v>
      </c>
      <c r="B14270">
        <v>8617544</v>
      </c>
      <c r="C14270" s="1" t="str">
        <f>HYPERLINK("http://stackoverflow.com/users/8617544", "Zhongqiu.He")</f>
        <v>Zhongqiu.He</v>
      </c>
      <c r="D14270" t="s">
        <v>266</v>
      </c>
      <c r="E14270">
        <v>1</v>
      </c>
    </row>
    <row r="14271" spans="1:5" x14ac:dyDescent="0.25">
      <c r="A14271">
        <v>14270</v>
      </c>
      <c r="B14271">
        <v>8617546</v>
      </c>
      <c r="C14271" s="1" t="str">
        <f>HYPERLINK("http://stackoverflow.com/users/8617546", "Tom Wen")</f>
        <v>Tom Wen</v>
      </c>
      <c r="D14271" t="s">
        <v>4</v>
      </c>
      <c r="E14271">
        <v>1</v>
      </c>
    </row>
    <row r="14272" spans="1:5" x14ac:dyDescent="0.25">
      <c r="A14272">
        <v>14271</v>
      </c>
      <c r="B14272">
        <v>8617751</v>
      </c>
      <c r="C14272" s="1" t="str">
        <f>HYPERLINK("http://stackoverflow.com/users/8617751", "Sangle")</f>
        <v>Sangle</v>
      </c>
      <c r="D14272" t="s">
        <v>7</v>
      </c>
      <c r="E14272">
        <v>1</v>
      </c>
    </row>
    <row r="14273" spans="1:5" x14ac:dyDescent="0.25">
      <c r="A14273">
        <v>14272</v>
      </c>
      <c r="B14273">
        <v>5057414</v>
      </c>
      <c r="C14273" s="1" t="str">
        <f>HYPERLINK("http://stackoverflow.com/users/5057414", "oinux")</f>
        <v>oinux</v>
      </c>
      <c r="D14273" t="s">
        <v>5</v>
      </c>
      <c r="E14273">
        <v>1</v>
      </c>
    </row>
    <row r="14274" spans="1:5" x14ac:dyDescent="0.25">
      <c r="A14274">
        <v>14273</v>
      </c>
      <c r="B14274">
        <v>1373978</v>
      </c>
      <c r="C14274" s="1" t="str">
        <f>HYPERLINK("http://stackoverflow.com/users/1373978", "axman.deng")</f>
        <v>axman.deng</v>
      </c>
      <c r="D14274" t="s">
        <v>90</v>
      </c>
      <c r="E14274">
        <v>1</v>
      </c>
    </row>
    <row r="14275" spans="1:5" x14ac:dyDescent="0.25">
      <c r="A14275">
        <v>14274</v>
      </c>
      <c r="B14275">
        <v>8677681</v>
      </c>
      <c r="C14275" s="1" t="str">
        <f>HYPERLINK("http://stackoverflow.com/users/8677681", "david zhang")</f>
        <v>david zhang</v>
      </c>
      <c r="D14275" t="s">
        <v>4</v>
      </c>
      <c r="E14275">
        <v>1</v>
      </c>
    </row>
    <row r="14276" spans="1:5" x14ac:dyDescent="0.25">
      <c r="A14276">
        <v>14275</v>
      </c>
      <c r="B14276">
        <v>8677726</v>
      </c>
      <c r="C14276" s="1" t="str">
        <f>HYPERLINK("http://stackoverflow.com/users/8677726", "Ping Cheng")</f>
        <v>Ping Cheng</v>
      </c>
      <c r="D14276" t="s">
        <v>5</v>
      </c>
      <c r="E14276">
        <v>1</v>
      </c>
    </row>
    <row r="14277" spans="1:5" x14ac:dyDescent="0.25">
      <c r="A14277">
        <v>14276</v>
      </c>
      <c r="B14277">
        <v>1431195</v>
      </c>
      <c r="C14277" s="1" t="str">
        <f>HYPERLINK("http://stackoverflow.com/users/1431195", "fallingdust")</f>
        <v>fallingdust</v>
      </c>
      <c r="D14277" t="s">
        <v>4</v>
      </c>
      <c r="E14277">
        <v>1</v>
      </c>
    </row>
    <row r="14278" spans="1:5" x14ac:dyDescent="0.25">
      <c r="A14278">
        <v>14277</v>
      </c>
      <c r="B14278">
        <v>1431683</v>
      </c>
      <c r="C14278" s="1" t="str">
        <f>HYPERLINK("http://stackoverflow.com/users/1431683", "justworm")</f>
        <v>justworm</v>
      </c>
      <c r="D14278" t="s">
        <v>21</v>
      </c>
      <c r="E14278">
        <v>1</v>
      </c>
    </row>
    <row r="14279" spans="1:5" x14ac:dyDescent="0.25">
      <c r="A14279">
        <v>14278</v>
      </c>
      <c r="B14279">
        <v>1431851</v>
      </c>
      <c r="C14279" s="1" t="str">
        <f>HYPERLINK("http://stackoverflow.com/users/1431851", "Edward Yang")</f>
        <v>Edward Yang</v>
      </c>
      <c r="D14279" t="s">
        <v>5</v>
      </c>
      <c r="E14279">
        <v>1</v>
      </c>
    </row>
    <row r="14280" spans="1:5" x14ac:dyDescent="0.25">
      <c r="A14280">
        <v>14279</v>
      </c>
      <c r="B14280">
        <v>8677226</v>
      </c>
      <c r="C14280" s="1" t="str">
        <f>HYPERLINK("http://stackoverflow.com/users/8677226", "lan Na")</f>
        <v>lan Na</v>
      </c>
      <c r="D14280" t="s">
        <v>415</v>
      </c>
      <c r="E14280">
        <v>1</v>
      </c>
    </row>
    <row r="14281" spans="1:5" x14ac:dyDescent="0.25">
      <c r="A14281">
        <v>14280</v>
      </c>
      <c r="B14281">
        <v>5109302</v>
      </c>
      <c r="C14281" s="1" t="str">
        <f>HYPERLINK("http://stackoverflow.com/users/5109302", "Shell")</f>
        <v>Shell</v>
      </c>
      <c r="D14281" t="s">
        <v>5</v>
      </c>
      <c r="E14281">
        <v>1</v>
      </c>
    </row>
    <row r="14282" spans="1:5" x14ac:dyDescent="0.25">
      <c r="A14282">
        <v>14281</v>
      </c>
      <c r="B14282">
        <v>1426278</v>
      </c>
      <c r="C14282" s="1" t="str">
        <f>HYPERLINK("http://stackoverflow.com/users/1426278", "LiSa")</f>
        <v>LiSa</v>
      </c>
      <c r="D14282" t="s">
        <v>17</v>
      </c>
      <c r="E14282">
        <v>1</v>
      </c>
    </row>
    <row r="14283" spans="1:5" x14ac:dyDescent="0.25">
      <c r="A14283">
        <v>14282</v>
      </c>
      <c r="B14283">
        <v>1427280</v>
      </c>
      <c r="C14283" s="1" t="str">
        <f>HYPERLINK("http://stackoverflow.com/users/1427280", "user1427280")</f>
        <v>user1427280</v>
      </c>
      <c r="D14283" t="s">
        <v>5</v>
      </c>
      <c r="E14283">
        <v>1</v>
      </c>
    </row>
    <row r="14284" spans="1:5" x14ac:dyDescent="0.25">
      <c r="A14284">
        <v>14283</v>
      </c>
      <c r="B14284">
        <v>1427303</v>
      </c>
      <c r="C14284" s="1" t="str">
        <f>HYPERLINK("http://stackoverflow.com/users/1427303", "Debenson")</f>
        <v>Debenson</v>
      </c>
      <c r="D14284" t="s">
        <v>4</v>
      </c>
      <c r="E14284">
        <v>1</v>
      </c>
    </row>
    <row r="14285" spans="1:5" x14ac:dyDescent="0.25">
      <c r="A14285">
        <v>14284</v>
      </c>
      <c r="B14285">
        <v>5113974</v>
      </c>
      <c r="C14285" s="1" t="str">
        <f>HYPERLINK("http://stackoverflow.com/users/5113974", "bigHope")</f>
        <v>bigHope</v>
      </c>
      <c r="D14285" t="s">
        <v>4</v>
      </c>
      <c r="E14285">
        <v>1</v>
      </c>
    </row>
    <row r="14286" spans="1:5" x14ac:dyDescent="0.25">
      <c r="A14286">
        <v>14285</v>
      </c>
      <c r="B14286">
        <v>3289122</v>
      </c>
      <c r="C14286" s="1" t="str">
        <f>HYPERLINK("http://stackoverflow.com/users/3289122", "Brradish")</f>
        <v>Brradish</v>
      </c>
      <c r="D14286" t="s">
        <v>33</v>
      </c>
      <c r="E14286">
        <v>1</v>
      </c>
    </row>
    <row r="14287" spans="1:5" x14ac:dyDescent="0.25">
      <c r="A14287">
        <v>14286</v>
      </c>
      <c r="B14287">
        <v>8681616</v>
      </c>
      <c r="C14287" s="1" t="str">
        <f>HYPERLINK("http://stackoverflow.com/users/8681616", "Frxian Zhu")</f>
        <v>Frxian Zhu</v>
      </c>
      <c r="D14287" t="s">
        <v>55</v>
      </c>
      <c r="E14287">
        <v>1</v>
      </c>
    </row>
    <row r="14288" spans="1:5" x14ac:dyDescent="0.25">
      <c r="A14288">
        <v>14287</v>
      </c>
      <c r="B14288">
        <v>1441750</v>
      </c>
      <c r="C14288" s="1" t="str">
        <f>HYPERLINK("http://stackoverflow.com/users/1441750", "chrixlee")</f>
        <v>chrixlee</v>
      </c>
      <c r="D14288" t="s">
        <v>25</v>
      </c>
      <c r="E14288">
        <v>1</v>
      </c>
    </row>
    <row r="14289" spans="1:5" x14ac:dyDescent="0.25">
      <c r="A14289">
        <v>14288</v>
      </c>
      <c r="B14289">
        <v>1441905</v>
      </c>
      <c r="C14289" s="1" t="str">
        <f>HYPERLINK("http://stackoverflow.com/users/1441905", "kevin")</f>
        <v>kevin</v>
      </c>
      <c r="D14289" t="s">
        <v>17</v>
      </c>
      <c r="E14289">
        <v>1</v>
      </c>
    </row>
    <row r="14290" spans="1:5" x14ac:dyDescent="0.25">
      <c r="A14290">
        <v>14289</v>
      </c>
      <c r="B14290">
        <v>5117704</v>
      </c>
      <c r="C14290" s="1" t="str">
        <f>HYPERLINK("http://stackoverflow.com/users/5117704", "peritot")</f>
        <v>peritot</v>
      </c>
      <c r="D14290" t="s">
        <v>8</v>
      </c>
      <c r="E14290">
        <v>1</v>
      </c>
    </row>
    <row r="14291" spans="1:5" x14ac:dyDescent="0.25">
      <c r="A14291">
        <v>14290</v>
      </c>
      <c r="B14291">
        <v>5117576</v>
      </c>
      <c r="C14291" s="1" t="str">
        <f>HYPERLINK("http://stackoverflow.com/users/5117576", "Charles Wang")</f>
        <v>Charles Wang</v>
      </c>
      <c r="D14291" t="s">
        <v>74</v>
      </c>
      <c r="E14291">
        <v>1</v>
      </c>
    </row>
    <row r="14292" spans="1:5" x14ac:dyDescent="0.25">
      <c r="A14292">
        <v>14291</v>
      </c>
      <c r="B14292">
        <v>3304715</v>
      </c>
      <c r="C14292" s="1" t="str">
        <f>HYPERLINK("http://stackoverflow.com/users/3304715", "Cedric")</f>
        <v>Cedric</v>
      </c>
      <c r="D14292" t="s">
        <v>5</v>
      </c>
      <c r="E14292">
        <v>1</v>
      </c>
    </row>
    <row r="14293" spans="1:5" x14ac:dyDescent="0.25">
      <c r="A14293">
        <v>14292</v>
      </c>
      <c r="B14293">
        <v>3304955</v>
      </c>
      <c r="C14293" s="1" t="str">
        <f>HYPERLINK("http://stackoverflow.com/users/3304955", "geek5nan")</f>
        <v>geek5nan</v>
      </c>
      <c r="D14293" t="s">
        <v>5</v>
      </c>
      <c r="E14293">
        <v>1</v>
      </c>
    </row>
    <row r="14294" spans="1:5" x14ac:dyDescent="0.25">
      <c r="A14294">
        <v>14293</v>
      </c>
      <c r="B14294">
        <v>5117410</v>
      </c>
      <c r="C14294" s="1" t="str">
        <f>HYPERLINK("http://stackoverflow.com/users/5117410", "skybosi fei")</f>
        <v>skybosi fei</v>
      </c>
      <c r="D14294" t="s">
        <v>4</v>
      </c>
      <c r="E14294">
        <v>1</v>
      </c>
    </row>
    <row r="14295" spans="1:5" x14ac:dyDescent="0.25">
      <c r="A14295">
        <v>14294</v>
      </c>
      <c r="B14295">
        <v>5117479</v>
      </c>
      <c r="C14295" s="1" t="str">
        <f>HYPERLINK("http://stackoverflow.com/users/5117479", "Yukui Li")</f>
        <v>Yukui Li</v>
      </c>
      <c r="D14295" t="s">
        <v>17</v>
      </c>
      <c r="E14295">
        <v>1</v>
      </c>
    </row>
    <row r="14296" spans="1:5" x14ac:dyDescent="0.25">
      <c r="A14296">
        <v>14295</v>
      </c>
      <c r="B14296">
        <v>10494513</v>
      </c>
      <c r="C14296" s="1" t="str">
        <f>HYPERLINK("http://stackoverflow.com/users/10494513", "Dimitri Sun")</f>
        <v>Dimitri Sun</v>
      </c>
      <c r="D14296" t="s">
        <v>25</v>
      </c>
      <c r="E14296">
        <v>1</v>
      </c>
    </row>
    <row r="14297" spans="1:5" x14ac:dyDescent="0.25">
      <c r="A14297">
        <v>14296</v>
      </c>
      <c r="B14297">
        <v>3282099</v>
      </c>
      <c r="C14297" s="1" t="str">
        <f>HYPERLINK("http://stackoverflow.com/users/3282099", "Dazhi")</f>
        <v>Dazhi</v>
      </c>
      <c r="D14297" t="s">
        <v>5</v>
      </c>
      <c r="E14297">
        <v>1</v>
      </c>
    </row>
    <row r="14298" spans="1:5" x14ac:dyDescent="0.25">
      <c r="A14298">
        <v>14297</v>
      </c>
      <c r="B14298">
        <v>6811857</v>
      </c>
      <c r="C14298" s="1" t="str">
        <f>HYPERLINK("http://stackoverflow.com/users/6811857", "wellbay")</f>
        <v>wellbay</v>
      </c>
      <c r="D14298" t="s">
        <v>7</v>
      </c>
      <c r="E14298">
        <v>1</v>
      </c>
    </row>
    <row r="14299" spans="1:5" x14ac:dyDescent="0.25">
      <c r="A14299">
        <v>14298</v>
      </c>
      <c r="B14299">
        <v>6811878</v>
      </c>
      <c r="C14299" s="1" t="str">
        <f>HYPERLINK("http://stackoverflow.com/users/6811878", "flaneur")</f>
        <v>flaneur</v>
      </c>
      <c r="D14299" t="s">
        <v>4</v>
      </c>
      <c r="E14299">
        <v>1</v>
      </c>
    </row>
    <row r="14300" spans="1:5" x14ac:dyDescent="0.25">
      <c r="A14300">
        <v>14299</v>
      </c>
      <c r="B14300">
        <v>10464926</v>
      </c>
      <c r="C14300" s="1" t="str">
        <f>HYPERLINK("http://stackoverflow.com/users/10464926", "Brett Zhang")</f>
        <v>Brett Zhang</v>
      </c>
      <c r="D14300" t="s">
        <v>7</v>
      </c>
      <c r="E14300">
        <v>1</v>
      </c>
    </row>
    <row r="14301" spans="1:5" x14ac:dyDescent="0.25">
      <c r="A14301">
        <v>14300</v>
      </c>
      <c r="B14301">
        <v>3282489</v>
      </c>
      <c r="C14301" s="1" t="str">
        <f>HYPERLINK("http://stackoverflow.com/users/3282489", "fanfan")</f>
        <v>fanfan</v>
      </c>
      <c r="D14301" t="s">
        <v>4</v>
      </c>
      <c r="E14301">
        <v>1</v>
      </c>
    </row>
    <row r="14302" spans="1:5" x14ac:dyDescent="0.25">
      <c r="A14302">
        <v>14301</v>
      </c>
      <c r="B14302">
        <v>8655750</v>
      </c>
      <c r="C14302" s="1" t="str">
        <f>HYPERLINK("http://stackoverflow.com/users/8655750", "ivanjiang")</f>
        <v>ivanjiang</v>
      </c>
      <c r="D14302" t="s">
        <v>28</v>
      </c>
      <c r="E14302">
        <v>1</v>
      </c>
    </row>
    <row r="14303" spans="1:5" x14ac:dyDescent="0.25">
      <c r="A14303">
        <v>14302</v>
      </c>
      <c r="B14303">
        <v>10468314</v>
      </c>
      <c r="C14303" s="1" t="str">
        <f>HYPERLINK("http://stackoverflow.com/users/10468314", "Rob Evans")</f>
        <v>Rob Evans</v>
      </c>
      <c r="D14303" t="s">
        <v>5</v>
      </c>
      <c r="E14303">
        <v>1</v>
      </c>
    </row>
    <row r="14304" spans="1:5" x14ac:dyDescent="0.25">
      <c r="A14304">
        <v>14303</v>
      </c>
      <c r="B14304">
        <v>10468965</v>
      </c>
      <c r="C14304" s="1" t="str">
        <f>HYPERLINK("http://stackoverflow.com/users/10468965", "yuli bao")</f>
        <v>yuli bao</v>
      </c>
      <c r="D14304" t="s">
        <v>5</v>
      </c>
      <c r="E14304">
        <v>1</v>
      </c>
    </row>
    <row r="14305" spans="1:5" x14ac:dyDescent="0.25">
      <c r="A14305">
        <v>14304</v>
      </c>
      <c r="B14305">
        <v>5093058</v>
      </c>
      <c r="C14305" s="1" t="str">
        <f>HYPERLINK("http://stackoverflow.com/users/5093058", "ben_speed")</f>
        <v>ben_speed</v>
      </c>
      <c r="D14305" t="s">
        <v>5</v>
      </c>
      <c r="E14305">
        <v>1</v>
      </c>
    </row>
    <row r="14306" spans="1:5" x14ac:dyDescent="0.25">
      <c r="A14306">
        <v>14305</v>
      </c>
      <c r="B14306">
        <v>6814379</v>
      </c>
      <c r="C14306" s="1" t="str">
        <f>HYPERLINK("http://stackoverflow.com/users/6814379", "Yinr")</f>
        <v>Yinr</v>
      </c>
      <c r="D14306" t="s">
        <v>5</v>
      </c>
      <c r="E14306">
        <v>1</v>
      </c>
    </row>
    <row r="14307" spans="1:5" x14ac:dyDescent="0.25">
      <c r="A14307">
        <v>14306</v>
      </c>
      <c r="B14307">
        <v>1413924</v>
      </c>
      <c r="C14307" s="1" t="str">
        <f>HYPERLINK("http://stackoverflow.com/users/1413924", "macwe")</f>
        <v>macwe</v>
      </c>
      <c r="D14307" t="s">
        <v>24</v>
      </c>
      <c r="E14307">
        <v>1</v>
      </c>
    </row>
    <row r="14308" spans="1:5" x14ac:dyDescent="0.25">
      <c r="A14308">
        <v>14307</v>
      </c>
      <c r="B14308">
        <v>3286000</v>
      </c>
      <c r="C14308" s="1" t="str">
        <f>HYPERLINK("http://stackoverflow.com/users/3286000", "Lazyeo")</f>
        <v>Lazyeo</v>
      </c>
      <c r="D14308" t="s">
        <v>37</v>
      </c>
      <c r="E14308">
        <v>1</v>
      </c>
    </row>
    <row r="14309" spans="1:5" x14ac:dyDescent="0.25">
      <c r="A14309">
        <v>14308</v>
      </c>
      <c r="B14309">
        <v>3286310</v>
      </c>
      <c r="C14309" s="1" t="str">
        <f>HYPERLINK("http://stackoverflow.com/users/3286310", "AndrewZhou")</f>
        <v>AndrewZhou</v>
      </c>
      <c r="D14309" t="s">
        <v>4</v>
      </c>
      <c r="E14309">
        <v>1</v>
      </c>
    </row>
    <row r="14310" spans="1:5" x14ac:dyDescent="0.25">
      <c r="A14310">
        <v>14309</v>
      </c>
      <c r="B14310">
        <v>10472627</v>
      </c>
      <c r="C14310" s="1" t="str">
        <f>HYPERLINK("http://stackoverflow.com/users/10472627", "PANDAM Damien")</f>
        <v>PANDAM Damien</v>
      </c>
      <c r="D14310" t="s">
        <v>4</v>
      </c>
      <c r="E14310">
        <v>1</v>
      </c>
    </row>
    <row r="14311" spans="1:5" x14ac:dyDescent="0.25">
      <c r="A14311">
        <v>14310</v>
      </c>
      <c r="B14311">
        <v>5097154</v>
      </c>
      <c r="C14311" s="1" t="str">
        <f>HYPERLINK("http://stackoverflow.com/users/5097154", "nullpointer Matrix")</f>
        <v>nullpointer Matrix</v>
      </c>
      <c r="D14311" t="s">
        <v>21</v>
      </c>
      <c r="E14311">
        <v>1</v>
      </c>
    </row>
    <row r="14312" spans="1:5" x14ac:dyDescent="0.25">
      <c r="A14312">
        <v>14311</v>
      </c>
      <c r="B14312">
        <v>5097400</v>
      </c>
      <c r="C14312" s="1" t="str">
        <f>HYPERLINK("http://stackoverflow.com/users/5097400", "asai")</f>
        <v>asai</v>
      </c>
      <c r="D14312" t="s">
        <v>5</v>
      </c>
      <c r="E14312">
        <v>1</v>
      </c>
    </row>
    <row r="14313" spans="1:5" x14ac:dyDescent="0.25">
      <c r="A14313">
        <v>14312</v>
      </c>
      <c r="B14313">
        <v>6821174</v>
      </c>
      <c r="C14313" s="1" t="str">
        <f>HYPERLINK("http://stackoverflow.com/users/6821174", "刘炆灵")</f>
        <v>刘炆灵</v>
      </c>
      <c r="D14313" t="s">
        <v>786</v>
      </c>
      <c r="E14313">
        <v>1</v>
      </c>
    </row>
    <row r="14314" spans="1:5" x14ac:dyDescent="0.25">
      <c r="A14314">
        <v>14313</v>
      </c>
      <c r="B14314">
        <v>10476053</v>
      </c>
      <c r="C14314" s="1" t="str">
        <f>HYPERLINK("http://stackoverflow.com/users/10476053", "Perry")</f>
        <v>Perry</v>
      </c>
      <c r="D14314" t="s">
        <v>7</v>
      </c>
      <c r="E14314">
        <v>1</v>
      </c>
    </row>
    <row r="14315" spans="1:5" x14ac:dyDescent="0.25">
      <c r="A14315">
        <v>14314</v>
      </c>
      <c r="B14315">
        <v>10476086</v>
      </c>
      <c r="C14315" s="1" t="str">
        <f>HYPERLINK("http://stackoverflow.com/users/10476086", "Junased")</f>
        <v>Junased</v>
      </c>
      <c r="D14315" t="s">
        <v>5</v>
      </c>
      <c r="E14315">
        <v>1</v>
      </c>
    </row>
    <row r="14316" spans="1:5" x14ac:dyDescent="0.25">
      <c r="A14316">
        <v>14315</v>
      </c>
      <c r="B14316">
        <v>10476167</v>
      </c>
      <c r="C14316" s="1" t="str">
        <f>HYPERLINK("http://stackoverflow.com/users/10476167", "fatDexter")</f>
        <v>fatDexter</v>
      </c>
      <c r="D14316" t="s">
        <v>5</v>
      </c>
      <c r="E14316">
        <v>1</v>
      </c>
    </row>
    <row r="14317" spans="1:5" x14ac:dyDescent="0.25">
      <c r="A14317">
        <v>14316</v>
      </c>
      <c r="B14317">
        <v>10476189</v>
      </c>
      <c r="C14317" s="1" t="str">
        <f>HYPERLINK("http://stackoverflow.com/users/10476189", "YL.G")</f>
        <v>YL.G</v>
      </c>
      <c r="D14317" t="s">
        <v>5</v>
      </c>
      <c r="E14317">
        <v>1</v>
      </c>
    </row>
    <row r="14318" spans="1:5" x14ac:dyDescent="0.25">
      <c r="A14318">
        <v>14317</v>
      </c>
      <c r="B14318">
        <v>10476245</v>
      </c>
      <c r="C14318" s="1" t="str">
        <f>HYPERLINK("http://stackoverflow.com/users/10476245", "Yao Fu")</f>
        <v>Yao Fu</v>
      </c>
      <c r="D14318" t="s">
        <v>43</v>
      </c>
      <c r="E14318">
        <v>1</v>
      </c>
    </row>
    <row r="14319" spans="1:5" x14ac:dyDescent="0.25">
      <c r="A14319">
        <v>14318</v>
      </c>
      <c r="B14319">
        <v>10476258</v>
      </c>
      <c r="C14319" s="1" t="str">
        <f>HYPERLINK("http://stackoverflow.com/users/10476258", "buf Brane")</f>
        <v>buf Brane</v>
      </c>
      <c r="D14319" t="s">
        <v>22</v>
      </c>
      <c r="E14319">
        <v>1</v>
      </c>
    </row>
    <row r="14320" spans="1:5" x14ac:dyDescent="0.25">
      <c r="A14320">
        <v>14319</v>
      </c>
      <c r="B14320">
        <v>10476422</v>
      </c>
      <c r="C14320" s="1" t="str">
        <f>HYPERLINK("http://stackoverflow.com/users/10476422", "Shelley Timon")</f>
        <v>Shelley Timon</v>
      </c>
      <c r="D14320" t="s">
        <v>55</v>
      </c>
      <c r="E14320">
        <v>1</v>
      </c>
    </row>
    <row r="14321" spans="1:5" x14ac:dyDescent="0.25">
      <c r="A14321">
        <v>14320</v>
      </c>
      <c r="B14321">
        <v>8667318</v>
      </c>
      <c r="C14321" s="1" t="str">
        <f>HYPERLINK("http://stackoverflow.com/users/8667318", "Leon")</f>
        <v>Leon</v>
      </c>
      <c r="D14321" t="s">
        <v>5</v>
      </c>
      <c r="E14321">
        <v>1</v>
      </c>
    </row>
    <row r="14322" spans="1:5" x14ac:dyDescent="0.25">
      <c r="A14322">
        <v>14321</v>
      </c>
      <c r="B14322">
        <v>8667406</v>
      </c>
      <c r="C14322" s="1" t="str">
        <f>HYPERLINK("http://stackoverflow.com/users/8667406", "Chunchun")</f>
        <v>Chunchun</v>
      </c>
      <c r="D14322" t="s">
        <v>120</v>
      </c>
      <c r="E14322">
        <v>1</v>
      </c>
    </row>
    <row r="14323" spans="1:5" x14ac:dyDescent="0.25">
      <c r="A14323">
        <v>14322</v>
      </c>
      <c r="B14323">
        <v>3292381</v>
      </c>
      <c r="C14323" s="1" t="str">
        <f>HYPERLINK("http://stackoverflow.com/users/3292381", "hcconquer")</f>
        <v>hcconquer</v>
      </c>
      <c r="D14323" t="s">
        <v>7</v>
      </c>
      <c r="E14323">
        <v>1</v>
      </c>
    </row>
    <row r="14324" spans="1:5" x14ac:dyDescent="0.25">
      <c r="A14324">
        <v>14323</v>
      </c>
      <c r="B14324">
        <v>6826179</v>
      </c>
      <c r="C14324" s="1" t="str">
        <f>HYPERLINK("http://stackoverflow.com/users/6826179", "lee_how")</f>
        <v>lee_how</v>
      </c>
      <c r="D14324" t="s">
        <v>86</v>
      </c>
      <c r="E14324">
        <v>1</v>
      </c>
    </row>
    <row r="14325" spans="1:5" x14ac:dyDescent="0.25">
      <c r="A14325">
        <v>14324</v>
      </c>
      <c r="B14325">
        <v>10556444</v>
      </c>
      <c r="C14325" s="1" t="str">
        <f>HYPERLINK("http://stackoverflow.com/users/10556444", "xue8")</f>
        <v>xue8</v>
      </c>
      <c r="D14325" t="s">
        <v>439</v>
      </c>
      <c r="E14325">
        <v>1</v>
      </c>
    </row>
    <row r="14326" spans="1:5" x14ac:dyDescent="0.25">
      <c r="A14326">
        <v>14325</v>
      </c>
      <c r="B14326">
        <v>1506271</v>
      </c>
      <c r="C14326" s="1" t="str">
        <f>HYPERLINK("http://stackoverflow.com/users/1506271", "Licheng")</f>
        <v>Licheng</v>
      </c>
      <c r="D14326" t="s">
        <v>5</v>
      </c>
      <c r="E14326">
        <v>1</v>
      </c>
    </row>
    <row r="14327" spans="1:5" x14ac:dyDescent="0.25">
      <c r="A14327">
        <v>14326</v>
      </c>
      <c r="B14327">
        <v>3359452</v>
      </c>
      <c r="C14327" s="1" t="str">
        <f>HYPERLINK("http://stackoverflow.com/users/3359452", "一叶知秋")</f>
        <v>一叶知秋</v>
      </c>
      <c r="D14327" t="s">
        <v>53</v>
      </c>
      <c r="E14327">
        <v>1</v>
      </c>
    </row>
    <row r="14328" spans="1:5" x14ac:dyDescent="0.25">
      <c r="A14328">
        <v>14327</v>
      </c>
      <c r="B14328">
        <v>3359475</v>
      </c>
      <c r="C14328" s="1" t="str">
        <f>HYPERLINK("http://stackoverflow.com/users/3359475", "Dong")</f>
        <v>Dong</v>
      </c>
      <c r="D14328" t="s">
        <v>4</v>
      </c>
      <c r="E14328">
        <v>1</v>
      </c>
    </row>
    <row r="14329" spans="1:5" x14ac:dyDescent="0.25">
      <c r="A14329">
        <v>14328</v>
      </c>
      <c r="B14329">
        <v>10552004</v>
      </c>
      <c r="C14329" s="1" t="str">
        <f>HYPERLINK("http://stackoverflow.com/users/10552004", "Bubblyings")</f>
        <v>Bubblyings</v>
      </c>
      <c r="D14329" t="s">
        <v>787</v>
      </c>
      <c r="E14329">
        <v>1</v>
      </c>
    </row>
    <row r="14330" spans="1:5" x14ac:dyDescent="0.25">
      <c r="A14330">
        <v>14329</v>
      </c>
      <c r="B14330">
        <v>1497666</v>
      </c>
      <c r="C14330" s="1" t="str">
        <f>HYPERLINK("http://stackoverflow.com/users/1497666", "Vincent")</f>
        <v>Vincent</v>
      </c>
      <c r="D14330" t="s">
        <v>4</v>
      </c>
      <c r="E14330">
        <v>1</v>
      </c>
    </row>
    <row r="14331" spans="1:5" x14ac:dyDescent="0.25">
      <c r="A14331">
        <v>14330</v>
      </c>
      <c r="B14331">
        <v>8736089</v>
      </c>
      <c r="C14331" s="1" t="str">
        <f>HYPERLINK("http://stackoverflow.com/users/8736089", "I.Wu")</f>
        <v>I.Wu</v>
      </c>
      <c r="D14331" t="s">
        <v>43</v>
      </c>
      <c r="E14331">
        <v>1</v>
      </c>
    </row>
    <row r="14332" spans="1:5" x14ac:dyDescent="0.25">
      <c r="A14332">
        <v>14331</v>
      </c>
      <c r="B14332">
        <v>8736271</v>
      </c>
      <c r="C14332" s="1" t="str">
        <f>HYPERLINK("http://stackoverflow.com/users/8736271", "Luping Zhang")</f>
        <v>Luping Zhang</v>
      </c>
      <c r="D14332" t="s">
        <v>55</v>
      </c>
      <c r="E14332">
        <v>1</v>
      </c>
    </row>
    <row r="14333" spans="1:5" x14ac:dyDescent="0.25">
      <c r="A14333">
        <v>14332</v>
      </c>
      <c r="B14333">
        <v>5167576</v>
      </c>
      <c r="C14333" s="1" t="str">
        <f>HYPERLINK("http://stackoverflow.com/users/5167576", "jicius")</f>
        <v>jicius</v>
      </c>
      <c r="D14333" t="s">
        <v>5</v>
      </c>
      <c r="E14333">
        <v>1</v>
      </c>
    </row>
    <row r="14334" spans="1:5" x14ac:dyDescent="0.25">
      <c r="A14334">
        <v>14333</v>
      </c>
      <c r="B14334">
        <v>5171539</v>
      </c>
      <c r="C14334" s="1" t="str">
        <f>HYPERLINK("http://stackoverflow.com/users/5171539", "linxiamen")</f>
        <v>linxiamen</v>
      </c>
      <c r="D14334" t="s">
        <v>17</v>
      </c>
      <c r="E14334">
        <v>1</v>
      </c>
    </row>
    <row r="14335" spans="1:5" x14ac:dyDescent="0.25">
      <c r="A14335">
        <v>14334</v>
      </c>
      <c r="B14335">
        <v>3355718</v>
      </c>
      <c r="C14335" s="1" t="str">
        <f>HYPERLINK("http://stackoverflow.com/users/3355718", "Michael")</f>
        <v>Michael</v>
      </c>
      <c r="D14335" t="s">
        <v>4</v>
      </c>
      <c r="E14335">
        <v>1</v>
      </c>
    </row>
    <row r="14336" spans="1:5" x14ac:dyDescent="0.25">
      <c r="A14336">
        <v>14335</v>
      </c>
      <c r="B14336">
        <v>3356241</v>
      </c>
      <c r="C14336" s="1" t="str">
        <f>HYPERLINK("http://stackoverflow.com/users/3356241", "Kevin")</f>
        <v>Kevin</v>
      </c>
      <c r="D14336" t="s">
        <v>7</v>
      </c>
      <c r="E14336">
        <v>1</v>
      </c>
    </row>
    <row r="14337" spans="1:5" x14ac:dyDescent="0.25">
      <c r="A14337">
        <v>14336</v>
      </c>
      <c r="B14337">
        <v>3343704</v>
      </c>
      <c r="C14337" s="1" t="str">
        <f>HYPERLINK("http://stackoverflow.com/users/3343704", "mr_jx")</f>
        <v>mr_jx</v>
      </c>
      <c r="D14337" t="s">
        <v>22</v>
      </c>
      <c r="E14337">
        <v>1</v>
      </c>
    </row>
    <row r="14338" spans="1:5" x14ac:dyDescent="0.25">
      <c r="A14338">
        <v>14337</v>
      </c>
      <c r="B14338">
        <v>3344103</v>
      </c>
      <c r="C14338" s="1" t="str">
        <f>HYPERLINK("http://stackoverflow.com/users/3344103", "Mikko")</f>
        <v>Mikko</v>
      </c>
      <c r="D14338" t="s">
        <v>4</v>
      </c>
      <c r="E14338">
        <v>1</v>
      </c>
    </row>
    <row r="14339" spans="1:5" x14ac:dyDescent="0.25">
      <c r="A14339">
        <v>14338</v>
      </c>
      <c r="B14339">
        <v>10538541</v>
      </c>
      <c r="C14339" s="1" t="str">
        <f>HYPERLINK("http://stackoverflow.com/users/10538541", "CoCo Lee")</f>
        <v>CoCo Lee</v>
      </c>
      <c r="D14339" t="s">
        <v>7</v>
      </c>
      <c r="E14339">
        <v>1</v>
      </c>
    </row>
    <row r="14340" spans="1:5" x14ac:dyDescent="0.25">
      <c r="A14340">
        <v>14339</v>
      </c>
      <c r="B14340">
        <v>10538569</v>
      </c>
      <c r="C14340" s="1" t="str">
        <f>HYPERLINK("http://stackoverflow.com/users/10538569", "Zhihua Yang")</f>
        <v>Zhihua Yang</v>
      </c>
      <c r="D14340" t="s">
        <v>55</v>
      </c>
      <c r="E14340">
        <v>1</v>
      </c>
    </row>
    <row r="14341" spans="1:5" x14ac:dyDescent="0.25">
      <c r="A14341">
        <v>14340</v>
      </c>
      <c r="B14341">
        <v>10538916</v>
      </c>
      <c r="C14341" s="1" t="str">
        <f>HYPERLINK("http://stackoverflow.com/users/10538916", "TianRun")</f>
        <v>TianRun</v>
      </c>
      <c r="D14341" t="s">
        <v>357</v>
      </c>
      <c r="E14341">
        <v>1</v>
      </c>
    </row>
    <row r="14342" spans="1:5" x14ac:dyDescent="0.25">
      <c r="A14342">
        <v>14341</v>
      </c>
      <c r="B14342">
        <v>5159623</v>
      </c>
      <c r="C14342" s="1" t="str">
        <f>HYPERLINK("http://stackoverflow.com/users/5159623", "Morgan A. Grice")</f>
        <v>Morgan A. Grice</v>
      </c>
      <c r="D14342" t="s">
        <v>5</v>
      </c>
      <c r="E14342">
        <v>1</v>
      </c>
    </row>
    <row r="14343" spans="1:5" x14ac:dyDescent="0.25">
      <c r="A14343">
        <v>14342</v>
      </c>
      <c r="B14343">
        <v>5163071</v>
      </c>
      <c r="C14343" s="1" t="str">
        <f>HYPERLINK("http://stackoverflow.com/users/5163071", "Smith John")</f>
        <v>Smith John</v>
      </c>
      <c r="D14343" t="s">
        <v>135</v>
      </c>
      <c r="E14343">
        <v>1</v>
      </c>
    </row>
    <row r="14344" spans="1:5" x14ac:dyDescent="0.25">
      <c r="A14344">
        <v>14343</v>
      </c>
      <c r="B14344">
        <v>5163434</v>
      </c>
      <c r="C14344" s="1" t="str">
        <f>HYPERLINK("http://stackoverflow.com/users/5163434", "Kuntanury")</f>
        <v>Kuntanury</v>
      </c>
      <c r="D14344" t="s">
        <v>193</v>
      </c>
      <c r="E14344">
        <v>1</v>
      </c>
    </row>
    <row r="14345" spans="1:5" x14ac:dyDescent="0.25">
      <c r="A14345">
        <v>14344</v>
      </c>
      <c r="B14345">
        <v>8718758</v>
      </c>
      <c r="C14345" s="1" t="str">
        <f>HYPERLINK("http://stackoverflow.com/users/8718758", "aparangement")</f>
        <v>aparangement</v>
      </c>
      <c r="D14345" t="s">
        <v>55</v>
      </c>
      <c r="E14345">
        <v>1</v>
      </c>
    </row>
    <row r="14346" spans="1:5" x14ac:dyDescent="0.25">
      <c r="A14346">
        <v>14345</v>
      </c>
      <c r="B14346">
        <v>8731983</v>
      </c>
      <c r="C14346" s="1" t="str">
        <f>HYPERLINK("http://stackoverflow.com/users/8731983", "user8731983")</f>
        <v>user8731983</v>
      </c>
      <c r="D14346" t="s">
        <v>5</v>
      </c>
      <c r="E14346">
        <v>1</v>
      </c>
    </row>
    <row r="14347" spans="1:5" x14ac:dyDescent="0.25">
      <c r="A14347">
        <v>14346</v>
      </c>
      <c r="B14347">
        <v>10543708</v>
      </c>
      <c r="C14347" s="1" t="str">
        <f>HYPERLINK("http://stackoverflow.com/users/10543708", "YongJin")</f>
        <v>YongJin</v>
      </c>
      <c r="D14347" t="s">
        <v>33</v>
      </c>
      <c r="E14347">
        <v>1</v>
      </c>
    </row>
    <row r="14348" spans="1:5" x14ac:dyDescent="0.25">
      <c r="A14348">
        <v>14347</v>
      </c>
      <c r="B14348">
        <v>10543775</v>
      </c>
      <c r="C14348" s="1" t="str">
        <f>HYPERLINK("http://stackoverflow.com/users/10543775", "Bob Dev")</f>
        <v>Bob Dev</v>
      </c>
      <c r="D14348" t="s">
        <v>25</v>
      </c>
      <c r="E14348">
        <v>1</v>
      </c>
    </row>
    <row r="14349" spans="1:5" x14ac:dyDescent="0.25">
      <c r="A14349">
        <v>14348</v>
      </c>
      <c r="B14349">
        <v>10547690</v>
      </c>
      <c r="C14349" s="1" t="str">
        <f>HYPERLINK("http://stackoverflow.com/users/10547690", "shah6969")</f>
        <v>shah6969</v>
      </c>
      <c r="D14349" t="s">
        <v>4</v>
      </c>
      <c r="E14349">
        <v>1</v>
      </c>
    </row>
    <row r="14350" spans="1:5" x14ac:dyDescent="0.25">
      <c r="A14350">
        <v>14349</v>
      </c>
      <c r="B14350">
        <v>10556584</v>
      </c>
      <c r="C14350" s="1" t="str">
        <f>HYPERLINK("http://stackoverflow.com/users/10556584", "passenger")</f>
        <v>passenger</v>
      </c>
      <c r="D14350" t="s">
        <v>788</v>
      </c>
      <c r="E14350">
        <v>1</v>
      </c>
    </row>
    <row r="14351" spans="1:5" x14ac:dyDescent="0.25">
      <c r="A14351">
        <v>14350</v>
      </c>
      <c r="B14351">
        <v>10556660</v>
      </c>
      <c r="C14351" s="1" t="str">
        <f>HYPERLINK("http://stackoverflow.com/users/10556660", "brassrods")</f>
        <v>brassrods</v>
      </c>
      <c r="D14351" t="s">
        <v>789</v>
      </c>
      <c r="E14351">
        <v>1</v>
      </c>
    </row>
    <row r="14352" spans="1:5" x14ac:dyDescent="0.25">
      <c r="A14352">
        <v>14351</v>
      </c>
      <c r="B14352">
        <v>10556742</v>
      </c>
      <c r="C14352" s="1" t="str">
        <f>HYPERLINK("http://stackoverflow.com/users/10556742", "Liuping ZHANG")</f>
        <v>Liuping ZHANG</v>
      </c>
      <c r="D14352" t="s">
        <v>7</v>
      </c>
      <c r="E14352">
        <v>1</v>
      </c>
    </row>
    <row r="14353" spans="1:5" x14ac:dyDescent="0.25">
      <c r="A14353">
        <v>14352</v>
      </c>
      <c r="B14353">
        <v>10556974</v>
      </c>
      <c r="C14353" s="1" t="str">
        <f>HYPERLINK("http://stackoverflow.com/users/10556974", "Lars Vagnes")</f>
        <v>Lars Vagnes</v>
      </c>
      <c r="D14353" t="s">
        <v>4</v>
      </c>
      <c r="E14353">
        <v>1</v>
      </c>
    </row>
    <row r="14354" spans="1:5" x14ac:dyDescent="0.25">
      <c r="A14354">
        <v>14353</v>
      </c>
      <c r="B14354">
        <v>5178897</v>
      </c>
      <c r="C14354" s="1" t="str">
        <f>HYPERLINK("http://stackoverflow.com/users/5178897", "Jason Li")</f>
        <v>Jason Li</v>
      </c>
      <c r="D14354" t="s">
        <v>4</v>
      </c>
      <c r="E14354">
        <v>1</v>
      </c>
    </row>
    <row r="14355" spans="1:5" x14ac:dyDescent="0.25">
      <c r="A14355">
        <v>14354</v>
      </c>
      <c r="B14355">
        <v>8744978</v>
      </c>
      <c r="C14355" s="1" t="str">
        <f>HYPERLINK("http://stackoverflow.com/users/8744978", "bynne Zhang")</f>
        <v>bynne Zhang</v>
      </c>
      <c r="D14355" t="s">
        <v>5</v>
      </c>
      <c r="E14355">
        <v>1</v>
      </c>
    </row>
    <row r="14356" spans="1:5" x14ac:dyDescent="0.25">
      <c r="A14356">
        <v>14355</v>
      </c>
      <c r="B14356">
        <v>8745287</v>
      </c>
      <c r="C14356" s="1" t="str">
        <f>HYPERLINK("http://stackoverflow.com/users/8745287", "hailiu")</f>
        <v>hailiu</v>
      </c>
      <c r="D14356" t="s">
        <v>5</v>
      </c>
      <c r="E14356">
        <v>1</v>
      </c>
    </row>
    <row r="14357" spans="1:5" x14ac:dyDescent="0.25">
      <c r="A14357">
        <v>14356</v>
      </c>
      <c r="B14357">
        <v>8745538</v>
      </c>
      <c r="C14357" s="1" t="str">
        <f>HYPERLINK("http://stackoverflow.com/users/8745538", "Shakyra Cornelius")</f>
        <v>Shakyra Cornelius</v>
      </c>
      <c r="D14357" t="s">
        <v>5</v>
      </c>
      <c r="E14357">
        <v>1</v>
      </c>
    </row>
    <row r="14358" spans="1:5" x14ac:dyDescent="0.25">
      <c r="A14358">
        <v>14357</v>
      </c>
      <c r="B14358">
        <v>10561818</v>
      </c>
      <c r="C14358" s="1" t="str">
        <f>HYPERLINK("http://stackoverflow.com/users/10561818", "Liang YiQing")</f>
        <v>Liang YiQing</v>
      </c>
      <c r="D14358" t="s">
        <v>4</v>
      </c>
      <c r="E14358">
        <v>1</v>
      </c>
    </row>
    <row r="14359" spans="1:5" x14ac:dyDescent="0.25">
      <c r="A14359">
        <v>14358</v>
      </c>
      <c r="B14359">
        <v>10562099</v>
      </c>
      <c r="C14359" s="1" t="str">
        <f>HYPERLINK("http://stackoverflow.com/users/10562099", "wee")</f>
        <v>wee</v>
      </c>
      <c r="D14359" t="s">
        <v>28</v>
      </c>
      <c r="E14359">
        <v>1</v>
      </c>
    </row>
    <row r="14360" spans="1:5" x14ac:dyDescent="0.25">
      <c r="A14360">
        <v>14359</v>
      </c>
      <c r="B14360">
        <v>10562136</v>
      </c>
      <c r="C14360" s="1" t="str">
        <f>HYPERLINK("http://stackoverflow.com/users/10562136", "John Saxon")</f>
        <v>John Saxon</v>
      </c>
      <c r="D14360" t="s">
        <v>5</v>
      </c>
      <c r="E14360">
        <v>1</v>
      </c>
    </row>
    <row r="14361" spans="1:5" x14ac:dyDescent="0.25">
      <c r="A14361">
        <v>14360</v>
      </c>
      <c r="B14361">
        <v>3368413</v>
      </c>
      <c r="C14361" s="1" t="str">
        <f>HYPERLINK("http://stackoverflow.com/users/3368413", "feixh")</f>
        <v>feixh</v>
      </c>
      <c r="D14361" t="s">
        <v>12</v>
      </c>
      <c r="E14361">
        <v>1</v>
      </c>
    </row>
    <row r="14362" spans="1:5" x14ac:dyDescent="0.25">
      <c r="A14362">
        <v>14361</v>
      </c>
      <c r="B14362">
        <v>8750327</v>
      </c>
      <c r="C14362" s="1" t="str">
        <f>HYPERLINK("http://stackoverflow.com/users/8750327", "Bin Du")</f>
        <v>Bin Du</v>
      </c>
      <c r="D14362" t="s">
        <v>4</v>
      </c>
      <c r="E14362">
        <v>1</v>
      </c>
    </row>
    <row r="14363" spans="1:5" x14ac:dyDescent="0.25">
      <c r="A14363">
        <v>14362</v>
      </c>
      <c r="B14363">
        <v>8750387</v>
      </c>
      <c r="C14363" s="1" t="str">
        <f>HYPERLINK("http://stackoverflow.com/users/8750387", "vxAce")</f>
        <v>vxAce</v>
      </c>
      <c r="D14363" t="s">
        <v>7</v>
      </c>
      <c r="E14363">
        <v>1</v>
      </c>
    </row>
    <row r="14364" spans="1:5" x14ac:dyDescent="0.25">
      <c r="A14364">
        <v>14363</v>
      </c>
      <c r="B14364">
        <v>8750399</v>
      </c>
      <c r="C14364" s="1" t="str">
        <f>HYPERLINK("http://stackoverflow.com/users/8750399", "Tan Wenkang - 谭文康")</f>
        <v>Tan Wenkang - 谭文康</v>
      </c>
      <c r="D14364" t="s">
        <v>7</v>
      </c>
      <c r="E14364">
        <v>1</v>
      </c>
    </row>
    <row r="14365" spans="1:5" x14ac:dyDescent="0.25">
      <c r="A14365">
        <v>14364</v>
      </c>
      <c r="B14365">
        <v>8750430</v>
      </c>
      <c r="C14365" s="1" t="str">
        <f>HYPERLINK("http://stackoverflow.com/users/8750430", "Jack Ma")</f>
        <v>Jack Ma</v>
      </c>
      <c r="D14365" t="s">
        <v>17</v>
      </c>
      <c r="E14365">
        <v>1</v>
      </c>
    </row>
    <row r="14366" spans="1:5" x14ac:dyDescent="0.25">
      <c r="A14366">
        <v>14365</v>
      </c>
      <c r="B14366">
        <v>10561596</v>
      </c>
      <c r="C14366" s="1" t="str">
        <f>HYPERLINK("http://stackoverflow.com/users/10561596", "WU MING")</f>
        <v>WU MING</v>
      </c>
      <c r="D14366" t="s">
        <v>17</v>
      </c>
      <c r="E14366">
        <v>1</v>
      </c>
    </row>
    <row r="14367" spans="1:5" x14ac:dyDescent="0.25">
      <c r="A14367">
        <v>14366</v>
      </c>
      <c r="B14367">
        <v>6907878</v>
      </c>
      <c r="C14367" s="1" t="str">
        <f>HYPERLINK("http://stackoverflow.com/users/6907878", "Lin Fanqing")</f>
        <v>Lin Fanqing</v>
      </c>
      <c r="D14367" t="s">
        <v>5</v>
      </c>
      <c r="E14367">
        <v>1</v>
      </c>
    </row>
    <row r="14368" spans="1:5" x14ac:dyDescent="0.25">
      <c r="A14368">
        <v>14367</v>
      </c>
      <c r="B14368">
        <v>8753082</v>
      </c>
      <c r="C14368" s="1" t="str">
        <f>HYPERLINK("http://stackoverflow.com/users/8753082", "ZhengZhou")</f>
        <v>ZhengZhou</v>
      </c>
      <c r="D14368" t="s">
        <v>130</v>
      </c>
      <c r="E14368">
        <v>1</v>
      </c>
    </row>
    <row r="14369" spans="1:5" x14ac:dyDescent="0.25">
      <c r="A14369">
        <v>14368</v>
      </c>
      <c r="B14369">
        <v>5181957</v>
      </c>
      <c r="C14369" s="1" t="str">
        <f>HYPERLINK("http://stackoverflow.com/users/5181957", "Kyle Yuan")</f>
        <v>Kyle Yuan</v>
      </c>
      <c r="D14369" t="s">
        <v>12</v>
      </c>
      <c r="E14369">
        <v>1</v>
      </c>
    </row>
    <row r="14370" spans="1:5" x14ac:dyDescent="0.25">
      <c r="A14370">
        <v>14369</v>
      </c>
      <c r="B14370">
        <v>5182295</v>
      </c>
      <c r="C14370" s="1" t="str">
        <f>HYPERLINK("http://stackoverflow.com/users/5182295", "dengzhirong")</f>
        <v>dengzhirong</v>
      </c>
      <c r="D14370" t="s">
        <v>21</v>
      </c>
      <c r="E14370">
        <v>1</v>
      </c>
    </row>
    <row r="14371" spans="1:5" x14ac:dyDescent="0.25">
      <c r="A14371">
        <v>14370</v>
      </c>
      <c r="B14371">
        <v>5182485</v>
      </c>
      <c r="C14371" s="1" t="str">
        <f>HYPERLINK("http://stackoverflow.com/users/5182485", "Venice Hsu")</f>
        <v>Venice Hsu</v>
      </c>
      <c r="D14371" t="s">
        <v>12</v>
      </c>
      <c r="E14371">
        <v>1</v>
      </c>
    </row>
    <row r="14372" spans="1:5" x14ac:dyDescent="0.25">
      <c r="A14372">
        <v>14371</v>
      </c>
      <c r="B14372">
        <v>8757657</v>
      </c>
      <c r="C14372" s="1" t="str">
        <f>HYPERLINK("http://stackoverflow.com/users/8757657", "Ji Zhu")</f>
        <v>Ji Zhu</v>
      </c>
      <c r="D14372" t="s">
        <v>4</v>
      </c>
      <c r="E14372">
        <v>1</v>
      </c>
    </row>
    <row r="14373" spans="1:5" x14ac:dyDescent="0.25">
      <c r="A14373">
        <v>14372</v>
      </c>
      <c r="B14373">
        <v>8758080</v>
      </c>
      <c r="C14373" s="1" t="str">
        <f>HYPERLINK("http://stackoverflow.com/users/8758080", "Zhang Elizabeth")</f>
        <v>Zhang Elizabeth</v>
      </c>
      <c r="D14373" t="s">
        <v>4</v>
      </c>
      <c r="E14373">
        <v>1</v>
      </c>
    </row>
    <row r="14374" spans="1:5" x14ac:dyDescent="0.25">
      <c r="A14374">
        <v>14373</v>
      </c>
      <c r="B14374">
        <v>5193180</v>
      </c>
      <c r="C14374" s="1" t="str">
        <f>HYPERLINK("http://stackoverflow.com/users/5193180", "qljiang")</f>
        <v>qljiang</v>
      </c>
      <c r="D14374" t="s">
        <v>4</v>
      </c>
      <c r="E14374">
        <v>1</v>
      </c>
    </row>
    <row r="14375" spans="1:5" x14ac:dyDescent="0.25">
      <c r="A14375">
        <v>14374</v>
      </c>
      <c r="B14375">
        <v>5193452</v>
      </c>
      <c r="C14375" s="1" t="str">
        <f>HYPERLINK("http://stackoverflow.com/users/5193452", "Wendy Lin")</f>
        <v>Wendy Lin</v>
      </c>
      <c r="D14375" t="s">
        <v>4</v>
      </c>
      <c r="E14375">
        <v>1</v>
      </c>
    </row>
    <row r="14376" spans="1:5" x14ac:dyDescent="0.25">
      <c r="A14376">
        <v>14375</v>
      </c>
      <c r="B14376">
        <v>10577739</v>
      </c>
      <c r="C14376" s="1" t="str">
        <f>HYPERLINK("http://stackoverflow.com/users/10577739", "Mickey Mouse")</f>
        <v>Mickey Mouse</v>
      </c>
      <c r="D14376" t="s">
        <v>790</v>
      </c>
      <c r="E14376">
        <v>1</v>
      </c>
    </row>
    <row r="14377" spans="1:5" x14ac:dyDescent="0.25">
      <c r="A14377">
        <v>14376</v>
      </c>
      <c r="B14377">
        <v>5197400</v>
      </c>
      <c r="C14377" s="1" t="str">
        <f>HYPERLINK("http://stackoverflow.com/users/5197400", "Eddo")</f>
        <v>Eddo</v>
      </c>
      <c r="D14377" t="s">
        <v>4</v>
      </c>
      <c r="E14377">
        <v>1</v>
      </c>
    </row>
    <row r="14378" spans="1:5" x14ac:dyDescent="0.25">
      <c r="A14378">
        <v>14377</v>
      </c>
      <c r="B14378">
        <v>6915470</v>
      </c>
      <c r="C14378" s="1" t="str">
        <f>HYPERLINK("http://stackoverflow.com/users/6915470", "GMOnePoint")</f>
        <v>GMOnePoint</v>
      </c>
      <c r="D14378" t="s">
        <v>215</v>
      </c>
      <c r="E14378">
        <v>1</v>
      </c>
    </row>
    <row r="14379" spans="1:5" x14ac:dyDescent="0.25">
      <c r="A14379">
        <v>14378</v>
      </c>
      <c r="B14379">
        <v>8771623</v>
      </c>
      <c r="C14379" s="1" t="str">
        <f>HYPERLINK("http://stackoverflow.com/users/8771623", "Ridge")</f>
        <v>Ridge</v>
      </c>
      <c r="D14379" t="s">
        <v>5</v>
      </c>
      <c r="E14379">
        <v>1</v>
      </c>
    </row>
    <row r="14380" spans="1:5" x14ac:dyDescent="0.25">
      <c r="A14380">
        <v>14379</v>
      </c>
      <c r="B14380">
        <v>8771718</v>
      </c>
      <c r="C14380" s="1" t="str">
        <f>HYPERLINK("http://stackoverflow.com/users/8771718", "akash")</f>
        <v>akash</v>
      </c>
      <c r="D14380" t="s">
        <v>791</v>
      </c>
      <c r="E14380">
        <v>1</v>
      </c>
    </row>
    <row r="14381" spans="1:5" x14ac:dyDescent="0.25">
      <c r="A14381">
        <v>14380</v>
      </c>
      <c r="B14381">
        <v>5197591</v>
      </c>
      <c r="C14381" s="1" t="str">
        <f>HYPERLINK("http://stackoverflow.com/users/5197591", "faroe")</f>
        <v>faroe</v>
      </c>
      <c r="D14381" t="s">
        <v>3</v>
      </c>
      <c r="E14381">
        <v>1</v>
      </c>
    </row>
    <row r="14382" spans="1:5" x14ac:dyDescent="0.25">
      <c r="A14382">
        <v>14381</v>
      </c>
      <c r="B14382">
        <v>8693927</v>
      </c>
      <c r="C14382" s="1" t="str">
        <f>HYPERLINK("http://stackoverflow.com/users/8693927", "she Rachel")</f>
        <v>she Rachel</v>
      </c>
      <c r="D14382" t="s">
        <v>399</v>
      </c>
      <c r="E14382">
        <v>1</v>
      </c>
    </row>
    <row r="14383" spans="1:5" x14ac:dyDescent="0.25">
      <c r="A14383">
        <v>14382</v>
      </c>
      <c r="B14383">
        <v>8694149</v>
      </c>
      <c r="C14383" s="1" t="str">
        <f>HYPERLINK("http://stackoverflow.com/users/8694149", "Raven_Meeks")</f>
        <v>Raven_Meeks</v>
      </c>
      <c r="D14383" t="s">
        <v>4</v>
      </c>
      <c r="E14383">
        <v>1</v>
      </c>
    </row>
    <row r="14384" spans="1:5" x14ac:dyDescent="0.25">
      <c r="A14384">
        <v>14383</v>
      </c>
      <c r="B14384">
        <v>8694184</v>
      </c>
      <c r="C14384" s="1" t="str">
        <f>HYPERLINK("http://stackoverflow.com/users/8694184", "Cheng Xu")</f>
        <v>Cheng Xu</v>
      </c>
      <c r="D14384" t="s">
        <v>792</v>
      </c>
      <c r="E14384">
        <v>1</v>
      </c>
    </row>
    <row r="14385" spans="1:5" x14ac:dyDescent="0.25">
      <c r="A14385">
        <v>14384</v>
      </c>
      <c r="B14385">
        <v>8694413</v>
      </c>
      <c r="C14385" s="1" t="str">
        <f>HYPERLINK("http://stackoverflow.com/users/8694413", "1019272778")</f>
        <v>1019272778</v>
      </c>
      <c r="D14385" t="s">
        <v>16</v>
      </c>
      <c r="E14385">
        <v>1</v>
      </c>
    </row>
    <row r="14386" spans="1:5" x14ac:dyDescent="0.25">
      <c r="A14386">
        <v>14385</v>
      </c>
      <c r="B14386">
        <v>8694505</v>
      </c>
      <c r="C14386" s="1" t="str">
        <f>HYPERLINK("http://stackoverflow.com/users/8694505", "cj2047")</f>
        <v>cj2047</v>
      </c>
      <c r="D14386" t="s">
        <v>16</v>
      </c>
      <c r="E14386">
        <v>1</v>
      </c>
    </row>
    <row r="14387" spans="1:5" x14ac:dyDescent="0.25">
      <c r="A14387">
        <v>14386</v>
      </c>
      <c r="B14387">
        <v>3317321</v>
      </c>
      <c r="C14387" s="1" t="str">
        <f>HYPERLINK("http://stackoverflow.com/users/3317321", "basecss")</f>
        <v>basecss</v>
      </c>
      <c r="D14387" t="s">
        <v>17</v>
      </c>
      <c r="E14387">
        <v>1</v>
      </c>
    </row>
    <row r="14388" spans="1:5" x14ac:dyDescent="0.25">
      <c r="A14388">
        <v>14387</v>
      </c>
      <c r="B14388">
        <v>6849584</v>
      </c>
      <c r="C14388" s="1" t="str">
        <f>HYPERLINK("http://stackoverflow.com/users/6849584", "bwx.winner")</f>
        <v>bwx.winner</v>
      </c>
      <c r="D14388" t="s">
        <v>55</v>
      </c>
      <c r="E14388">
        <v>1</v>
      </c>
    </row>
    <row r="14389" spans="1:5" x14ac:dyDescent="0.25">
      <c r="A14389">
        <v>14388</v>
      </c>
      <c r="B14389">
        <v>1450184</v>
      </c>
      <c r="C14389" s="1" t="str">
        <f>HYPERLINK("http://stackoverflow.com/users/1450184", "cerfly")</f>
        <v>cerfly</v>
      </c>
      <c r="D14389" t="s">
        <v>5</v>
      </c>
      <c r="E14389">
        <v>1</v>
      </c>
    </row>
    <row r="14390" spans="1:5" x14ac:dyDescent="0.25">
      <c r="A14390">
        <v>14389</v>
      </c>
      <c r="B14390">
        <v>1450187</v>
      </c>
      <c r="C14390" s="1" t="str">
        <f>HYPERLINK("http://stackoverflow.com/users/1450187", "jwel")</f>
        <v>jwel</v>
      </c>
      <c r="D14390" t="s">
        <v>793</v>
      </c>
      <c r="E14390">
        <v>1</v>
      </c>
    </row>
    <row r="14391" spans="1:5" x14ac:dyDescent="0.25">
      <c r="A14391">
        <v>14390</v>
      </c>
      <c r="B14391">
        <v>1450340</v>
      </c>
      <c r="C14391" s="1" t="str">
        <f>HYPERLINK("http://stackoverflow.com/users/1450340", "Ben")</f>
        <v>Ben</v>
      </c>
      <c r="D14391" t="s">
        <v>17</v>
      </c>
      <c r="E14391">
        <v>1</v>
      </c>
    </row>
    <row r="14392" spans="1:5" x14ac:dyDescent="0.25">
      <c r="A14392">
        <v>14391</v>
      </c>
      <c r="B14392">
        <v>10502624</v>
      </c>
      <c r="C14392" s="1" t="str">
        <f>HYPERLINK("http://stackoverflow.com/users/10502624", "junqin yang")</f>
        <v>junqin yang</v>
      </c>
      <c r="D14392" t="s">
        <v>25</v>
      </c>
      <c r="E14392">
        <v>1</v>
      </c>
    </row>
    <row r="14393" spans="1:5" x14ac:dyDescent="0.25">
      <c r="A14393">
        <v>14392</v>
      </c>
      <c r="B14393">
        <v>3312840</v>
      </c>
      <c r="C14393" s="1" t="str">
        <f>HYPERLINK("http://stackoverflow.com/users/3312840", "David Arthur Steele")</f>
        <v>David Arthur Steele</v>
      </c>
      <c r="D14393" t="s">
        <v>113</v>
      </c>
      <c r="E14393">
        <v>1</v>
      </c>
    </row>
    <row r="14394" spans="1:5" x14ac:dyDescent="0.25">
      <c r="A14394">
        <v>14393</v>
      </c>
      <c r="B14394">
        <v>3312859</v>
      </c>
      <c r="C14394" s="1" t="str">
        <f>HYPERLINK("http://stackoverflow.com/users/3312859", "28potato")</f>
        <v>28potato</v>
      </c>
      <c r="D14394" t="s">
        <v>4</v>
      </c>
      <c r="E14394">
        <v>1</v>
      </c>
    </row>
    <row r="14395" spans="1:5" x14ac:dyDescent="0.25">
      <c r="A14395">
        <v>14394</v>
      </c>
      <c r="B14395">
        <v>3312869</v>
      </c>
      <c r="C14395" s="1" t="str">
        <f>HYPERLINK("http://stackoverflow.com/users/3312869", "user3312869")</f>
        <v>user3312869</v>
      </c>
      <c r="D14395" t="s">
        <v>4</v>
      </c>
      <c r="E14395">
        <v>1</v>
      </c>
    </row>
    <row r="14396" spans="1:5" x14ac:dyDescent="0.25">
      <c r="A14396">
        <v>14395</v>
      </c>
      <c r="B14396">
        <v>3312931</v>
      </c>
      <c r="C14396" s="1" t="str">
        <f>HYPERLINK("http://stackoverflow.com/users/3312931", "Kaiqi")</f>
        <v>Kaiqi</v>
      </c>
      <c r="D14396" t="s">
        <v>4</v>
      </c>
      <c r="E14396">
        <v>1</v>
      </c>
    </row>
    <row r="14397" spans="1:5" x14ac:dyDescent="0.25">
      <c r="A14397">
        <v>14396</v>
      </c>
      <c r="B14397">
        <v>5121794</v>
      </c>
      <c r="C14397" s="1" t="str">
        <f>HYPERLINK("http://stackoverflow.com/users/5121794", "Charlie")</f>
        <v>Charlie</v>
      </c>
      <c r="D14397" t="s">
        <v>5</v>
      </c>
      <c r="E14397">
        <v>1</v>
      </c>
    </row>
    <row r="14398" spans="1:5" x14ac:dyDescent="0.25">
      <c r="A14398">
        <v>14397</v>
      </c>
      <c r="B14398">
        <v>5121821</v>
      </c>
      <c r="C14398" s="1" t="str">
        <f>HYPERLINK("http://stackoverflow.com/users/5121821", "keithl")</f>
        <v>keithl</v>
      </c>
      <c r="D14398" t="s">
        <v>21</v>
      </c>
      <c r="E14398">
        <v>1</v>
      </c>
    </row>
    <row r="14399" spans="1:5" x14ac:dyDescent="0.25">
      <c r="A14399">
        <v>14398</v>
      </c>
      <c r="B14399">
        <v>5121861</v>
      </c>
      <c r="C14399" s="1" t="str">
        <f>HYPERLINK("http://stackoverflow.com/users/5121861", "gssan")</f>
        <v>gssan</v>
      </c>
      <c r="D14399" t="s">
        <v>12</v>
      </c>
      <c r="E14399">
        <v>1</v>
      </c>
    </row>
    <row r="14400" spans="1:5" x14ac:dyDescent="0.25">
      <c r="A14400">
        <v>14399</v>
      </c>
      <c r="B14400">
        <v>5121907</v>
      </c>
      <c r="C14400" s="1" t="str">
        <f>HYPERLINK("http://stackoverflow.com/users/5121907", "Xinhua Liu")</f>
        <v>Xinhua Liu</v>
      </c>
      <c r="D14400" t="s">
        <v>5</v>
      </c>
      <c r="E14400">
        <v>1</v>
      </c>
    </row>
    <row r="14401" spans="1:5" x14ac:dyDescent="0.25">
      <c r="A14401">
        <v>14400</v>
      </c>
      <c r="B14401">
        <v>3309181</v>
      </c>
      <c r="C14401" s="1" t="str">
        <f>HYPERLINK("http://stackoverflow.com/users/3309181", "user3309181")</f>
        <v>user3309181</v>
      </c>
      <c r="D14401" t="s">
        <v>4</v>
      </c>
      <c r="E14401">
        <v>1</v>
      </c>
    </row>
    <row r="14402" spans="1:5" x14ac:dyDescent="0.25">
      <c r="A14402">
        <v>14401</v>
      </c>
      <c r="B14402">
        <v>3309237</v>
      </c>
      <c r="C14402" s="1" t="str">
        <f>HYPERLINK("http://stackoverflow.com/users/3309237", "Georgia")</f>
        <v>Georgia</v>
      </c>
      <c r="D14402" t="s">
        <v>5</v>
      </c>
      <c r="E14402">
        <v>1</v>
      </c>
    </row>
    <row r="14403" spans="1:5" x14ac:dyDescent="0.25">
      <c r="A14403">
        <v>14402</v>
      </c>
      <c r="B14403">
        <v>3309275</v>
      </c>
      <c r="C14403" s="1" t="str">
        <f>HYPERLINK("http://stackoverflow.com/users/3309275", "Derek")</f>
        <v>Derek</v>
      </c>
      <c r="D14403" t="s">
        <v>5</v>
      </c>
      <c r="E14403">
        <v>1</v>
      </c>
    </row>
    <row r="14404" spans="1:5" x14ac:dyDescent="0.25">
      <c r="A14404">
        <v>14403</v>
      </c>
      <c r="B14404">
        <v>3309332</v>
      </c>
      <c r="C14404" s="1" t="str">
        <f>HYPERLINK("http://stackoverflow.com/users/3309332", "silence")</f>
        <v>silence</v>
      </c>
      <c r="D14404" t="s">
        <v>22</v>
      </c>
      <c r="E14404">
        <v>1</v>
      </c>
    </row>
    <row r="14405" spans="1:5" x14ac:dyDescent="0.25">
      <c r="A14405">
        <v>14404</v>
      </c>
      <c r="B14405">
        <v>5117740</v>
      </c>
      <c r="C14405" s="1" t="str">
        <f>HYPERLINK("http://stackoverflow.com/users/5117740", "ReimuOnCode")</f>
        <v>ReimuOnCode</v>
      </c>
      <c r="D14405" t="s">
        <v>27</v>
      </c>
      <c r="E14405">
        <v>1</v>
      </c>
    </row>
    <row r="14406" spans="1:5" x14ac:dyDescent="0.25">
      <c r="A14406">
        <v>14405</v>
      </c>
      <c r="B14406">
        <v>3309888</v>
      </c>
      <c r="C14406" s="1" t="str">
        <f>HYPERLINK("http://stackoverflow.com/users/3309888", "chiya")</f>
        <v>chiya</v>
      </c>
      <c r="D14406" t="s">
        <v>4</v>
      </c>
      <c r="E14406">
        <v>1</v>
      </c>
    </row>
    <row r="14407" spans="1:5" x14ac:dyDescent="0.25">
      <c r="A14407">
        <v>14406</v>
      </c>
      <c r="B14407">
        <v>10498918</v>
      </c>
      <c r="C14407" s="1" t="str">
        <f>HYPERLINK("http://stackoverflow.com/users/10498918", "Eric")</f>
        <v>Eric</v>
      </c>
      <c r="D14407" t="s">
        <v>310</v>
      </c>
      <c r="E14407">
        <v>1</v>
      </c>
    </row>
    <row r="14408" spans="1:5" x14ac:dyDescent="0.25">
      <c r="A14408">
        <v>14407</v>
      </c>
      <c r="B14408">
        <v>8688683</v>
      </c>
      <c r="C14408" s="1" t="str">
        <f>HYPERLINK("http://stackoverflow.com/users/8688683", "Harrison Zhu")</f>
        <v>Harrison Zhu</v>
      </c>
      <c r="D14408" t="s">
        <v>4</v>
      </c>
      <c r="E14408">
        <v>1</v>
      </c>
    </row>
    <row r="14409" spans="1:5" x14ac:dyDescent="0.25">
      <c r="A14409">
        <v>14408</v>
      </c>
      <c r="B14409">
        <v>1477878</v>
      </c>
      <c r="C14409" s="1" t="str">
        <f>HYPERLINK("http://stackoverflow.com/users/1477878", "linewx")</f>
        <v>linewx</v>
      </c>
      <c r="D14409" t="s">
        <v>4</v>
      </c>
      <c r="E14409">
        <v>1</v>
      </c>
    </row>
    <row r="14410" spans="1:5" x14ac:dyDescent="0.25">
      <c r="A14410">
        <v>14409</v>
      </c>
      <c r="B14410">
        <v>1477943</v>
      </c>
      <c r="C14410" s="1" t="str">
        <f>HYPERLINK("http://stackoverflow.com/users/1477943", "Berk")</f>
        <v>Berk</v>
      </c>
      <c r="D14410" t="s">
        <v>21</v>
      </c>
      <c r="E14410">
        <v>1</v>
      </c>
    </row>
    <row r="14411" spans="1:5" x14ac:dyDescent="0.25">
      <c r="A14411">
        <v>14410</v>
      </c>
      <c r="B14411">
        <v>5151549</v>
      </c>
      <c r="C14411" s="1" t="str">
        <f>HYPERLINK("http://stackoverflow.com/users/5151549", "awarriorer")</f>
        <v>awarriorer</v>
      </c>
      <c r="D14411" t="s">
        <v>5</v>
      </c>
      <c r="E14411">
        <v>1</v>
      </c>
    </row>
    <row r="14412" spans="1:5" x14ac:dyDescent="0.25">
      <c r="A14412">
        <v>14411</v>
      </c>
      <c r="B14412">
        <v>3343200</v>
      </c>
      <c r="C14412" s="1" t="str">
        <f>HYPERLINK("http://stackoverflow.com/users/3343200", "Yunmei Xiao")</f>
        <v>Yunmei Xiao</v>
      </c>
      <c r="D14412" t="s">
        <v>5</v>
      </c>
      <c r="E14412">
        <v>1</v>
      </c>
    </row>
    <row r="14413" spans="1:5" x14ac:dyDescent="0.25">
      <c r="A14413">
        <v>14412</v>
      </c>
      <c r="B14413">
        <v>6856701</v>
      </c>
      <c r="C14413" s="1" t="str">
        <f>HYPERLINK("http://stackoverflow.com/users/6856701", "Cerasus Land")</f>
        <v>Cerasus Land</v>
      </c>
      <c r="D14413" t="s">
        <v>4</v>
      </c>
      <c r="E14413">
        <v>1</v>
      </c>
    </row>
    <row r="14414" spans="1:5" x14ac:dyDescent="0.25">
      <c r="A14414">
        <v>14413</v>
      </c>
      <c r="B14414">
        <v>10523619</v>
      </c>
      <c r="C14414" s="1" t="str">
        <f>HYPERLINK("http://stackoverflow.com/users/10523619", "aronfan")</f>
        <v>aronfan</v>
      </c>
      <c r="D14414" t="s">
        <v>4</v>
      </c>
      <c r="E14414">
        <v>1</v>
      </c>
    </row>
    <row r="14415" spans="1:5" x14ac:dyDescent="0.25">
      <c r="A14415">
        <v>14414</v>
      </c>
      <c r="B14415">
        <v>10523859</v>
      </c>
      <c r="C14415" s="1" t="str">
        <f>HYPERLINK("http://stackoverflow.com/users/10523859", "Han Wang")</f>
        <v>Han Wang</v>
      </c>
      <c r="D14415" t="s">
        <v>33</v>
      </c>
      <c r="E14415">
        <v>1</v>
      </c>
    </row>
    <row r="14416" spans="1:5" x14ac:dyDescent="0.25">
      <c r="A14416">
        <v>14415</v>
      </c>
      <c r="B14416">
        <v>10524194</v>
      </c>
      <c r="C14416" s="1" t="str">
        <f>HYPERLINK("http://stackoverflow.com/users/10524194", "boyu")</f>
        <v>boyu</v>
      </c>
      <c r="D14416" t="s">
        <v>4</v>
      </c>
      <c r="E14416">
        <v>1</v>
      </c>
    </row>
    <row r="14417" spans="1:5" x14ac:dyDescent="0.25">
      <c r="A14417">
        <v>14416</v>
      </c>
      <c r="B14417">
        <v>5146809</v>
      </c>
      <c r="C14417" s="1" t="str">
        <f>HYPERLINK("http://stackoverflow.com/users/5146809", "Amking Sun")</f>
        <v>Amking Sun</v>
      </c>
      <c r="D14417" t="s">
        <v>5</v>
      </c>
      <c r="E14417">
        <v>1</v>
      </c>
    </row>
    <row r="14418" spans="1:5" x14ac:dyDescent="0.25">
      <c r="A14418">
        <v>14417</v>
      </c>
      <c r="B14418">
        <v>5146811</v>
      </c>
      <c r="C14418" s="1" t="str">
        <f>HYPERLINK("http://stackoverflow.com/users/5146811", "yuelu5700")</f>
        <v>yuelu5700</v>
      </c>
      <c r="D14418" t="s">
        <v>794</v>
      </c>
      <c r="E14418">
        <v>1</v>
      </c>
    </row>
    <row r="14419" spans="1:5" x14ac:dyDescent="0.25">
      <c r="A14419">
        <v>14418</v>
      </c>
      <c r="B14419">
        <v>5147033</v>
      </c>
      <c r="C14419" s="1" t="str">
        <f>HYPERLINK("http://stackoverflow.com/users/5147033", "依然菜刀")</f>
        <v>依然菜刀</v>
      </c>
      <c r="D14419" t="s">
        <v>37</v>
      </c>
      <c r="E14419">
        <v>1</v>
      </c>
    </row>
    <row r="14420" spans="1:5" x14ac:dyDescent="0.25">
      <c r="A14420">
        <v>14419</v>
      </c>
      <c r="B14420">
        <v>5147078</v>
      </c>
      <c r="C14420" s="1" t="str">
        <f>HYPERLINK("http://stackoverflow.com/users/5147078", "Daphne Chang")</f>
        <v>Daphne Chang</v>
      </c>
      <c r="D14420" t="s">
        <v>4</v>
      </c>
      <c r="E14420">
        <v>1</v>
      </c>
    </row>
    <row r="14421" spans="1:5" x14ac:dyDescent="0.25">
      <c r="A14421">
        <v>14420</v>
      </c>
      <c r="B14421">
        <v>10527325</v>
      </c>
      <c r="C14421" s="1" t="str">
        <f>HYPERLINK("http://stackoverflow.com/users/10527325", "zhao credo")</f>
        <v>zhao credo</v>
      </c>
      <c r="D14421" t="s">
        <v>5</v>
      </c>
      <c r="E14421">
        <v>1</v>
      </c>
    </row>
    <row r="14422" spans="1:5" x14ac:dyDescent="0.25">
      <c r="A14422">
        <v>14421</v>
      </c>
      <c r="B14422">
        <v>8714700</v>
      </c>
      <c r="C14422" s="1" t="str">
        <f>HYPERLINK("http://stackoverflow.com/users/8714700", "George Cui")</f>
        <v>George Cui</v>
      </c>
      <c r="D14422" t="s">
        <v>131</v>
      </c>
      <c r="E14422">
        <v>1</v>
      </c>
    </row>
    <row r="14423" spans="1:5" x14ac:dyDescent="0.25">
      <c r="A14423">
        <v>14422</v>
      </c>
      <c r="B14423">
        <v>8714897</v>
      </c>
      <c r="C14423" s="1" t="str">
        <f>HYPERLINK("http://stackoverflow.com/users/8714897", "Lane Wei")</f>
        <v>Lane Wei</v>
      </c>
      <c r="D14423" t="s">
        <v>19</v>
      </c>
      <c r="E14423">
        <v>1</v>
      </c>
    </row>
    <row r="14424" spans="1:5" x14ac:dyDescent="0.25">
      <c r="A14424">
        <v>14423</v>
      </c>
      <c r="B14424">
        <v>8715071</v>
      </c>
      <c r="C14424" s="1" t="str">
        <f>HYPERLINK("http://stackoverflow.com/users/8715071", "Al Noman")</f>
        <v>Al Noman</v>
      </c>
      <c r="D14424" t="s">
        <v>37</v>
      </c>
      <c r="E14424">
        <v>1</v>
      </c>
    </row>
    <row r="14425" spans="1:5" x14ac:dyDescent="0.25">
      <c r="A14425">
        <v>14424</v>
      </c>
      <c r="B14425">
        <v>5147584</v>
      </c>
      <c r="C14425" s="1" t="str">
        <f>HYPERLINK("http://stackoverflow.com/users/5147584", "Catherine.Brain William")</f>
        <v>Catherine.Brain William</v>
      </c>
      <c r="D14425" t="s">
        <v>5</v>
      </c>
      <c r="E14425">
        <v>1</v>
      </c>
    </row>
    <row r="14426" spans="1:5" x14ac:dyDescent="0.25">
      <c r="A14426">
        <v>14425</v>
      </c>
      <c r="B14426">
        <v>3335935</v>
      </c>
      <c r="C14426" s="1" t="str">
        <f>HYPERLINK("http://stackoverflow.com/users/3335935", "OLDMAN")</f>
        <v>OLDMAN</v>
      </c>
      <c r="D14426" t="s">
        <v>4</v>
      </c>
      <c r="E14426">
        <v>1</v>
      </c>
    </row>
    <row r="14427" spans="1:5" x14ac:dyDescent="0.25">
      <c r="A14427">
        <v>14426</v>
      </c>
      <c r="B14427">
        <v>3335979</v>
      </c>
      <c r="C14427" s="1" t="str">
        <f>HYPERLINK("http://stackoverflow.com/users/3335979", "Parsifal")</f>
        <v>Parsifal</v>
      </c>
      <c r="D14427" t="s">
        <v>17</v>
      </c>
      <c r="E14427">
        <v>1</v>
      </c>
    </row>
    <row r="14428" spans="1:5" x14ac:dyDescent="0.25">
      <c r="A14428">
        <v>14427</v>
      </c>
      <c r="B14428">
        <v>3336277</v>
      </c>
      <c r="C14428" s="1" t="str">
        <f>HYPERLINK("http://stackoverflow.com/users/3336277", "Athron W")</f>
        <v>Athron W</v>
      </c>
      <c r="D14428" t="s">
        <v>795</v>
      </c>
      <c r="E14428">
        <v>1</v>
      </c>
    </row>
    <row r="14429" spans="1:5" x14ac:dyDescent="0.25">
      <c r="A14429">
        <v>14428</v>
      </c>
      <c r="B14429">
        <v>1455105</v>
      </c>
      <c r="C14429" s="1" t="str">
        <f>HYPERLINK("http://stackoverflow.com/users/1455105", "user1455105")</f>
        <v>user1455105</v>
      </c>
      <c r="D14429" t="s">
        <v>17</v>
      </c>
      <c r="E14429">
        <v>1</v>
      </c>
    </row>
    <row r="14430" spans="1:5" x14ac:dyDescent="0.25">
      <c r="A14430">
        <v>14429</v>
      </c>
      <c r="B14430">
        <v>1455234</v>
      </c>
      <c r="C14430" s="1" t="str">
        <f>HYPERLINK("http://stackoverflow.com/users/1455234", "grizzlybears")</f>
        <v>grizzlybears</v>
      </c>
      <c r="D14430" t="s">
        <v>4</v>
      </c>
      <c r="E14430">
        <v>1</v>
      </c>
    </row>
    <row r="14431" spans="1:5" x14ac:dyDescent="0.25">
      <c r="A14431">
        <v>14430</v>
      </c>
      <c r="B14431">
        <v>10516094</v>
      </c>
      <c r="C14431" s="1" t="str">
        <f>HYPERLINK("http://stackoverflow.com/users/10516094", "Miles")</f>
        <v>Miles</v>
      </c>
      <c r="D14431" t="s">
        <v>796</v>
      </c>
      <c r="E14431">
        <v>1</v>
      </c>
    </row>
    <row r="14432" spans="1:5" x14ac:dyDescent="0.25">
      <c r="A14432">
        <v>14431</v>
      </c>
      <c r="B14432">
        <v>10516107</v>
      </c>
      <c r="C14432" s="1" t="str">
        <f>HYPERLINK("http://stackoverflow.com/users/10516107", "wmd")</f>
        <v>wmd</v>
      </c>
      <c r="D14432" t="s">
        <v>31</v>
      </c>
      <c r="E14432">
        <v>1</v>
      </c>
    </row>
    <row r="14433" spans="1:5" x14ac:dyDescent="0.25">
      <c r="A14433">
        <v>14432</v>
      </c>
      <c r="B14433">
        <v>3321535</v>
      </c>
      <c r="C14433" s="1" t="str">
        <f>HYPERLINK("http://stackoverflow.com/users/3321535", "Ricky W")</f>
        <v>Ricky W</v>
      </c>
      <c r="D14433" t="s">
        <v>4</v>
      </c>
      <c r="E14433">
        <v>1</v>
      </c>
    </row>
    <row r="14434" spans="1:5" x14ac:dyDescent="0.25">
      <c r="A14434">
        <v>14433</v>
      </c>
      <c r="B14434">
        <v>8698439</v>
      </c>
      <c r="C14434" s="1" t="str">
        <f>HYPERLINK("http://stackoverflow.com/users/8698439", "jerry")</f>
        <v>jerry</v>
      </c>
      <c r="D14434" t="s">
        <v>7</v>
      </c>
      <c r="E14434">
        <v>1</v>
      </c>
    </row>
    <row r="14435" spans="1:5" x14ac:dyDescent="0.25">
      <c r="A14435">
        <v>14434</v>
      </c>
      <c r="B14435">
        <v>8698808</v>
      </c>
      <c r="C14435" s="1" t="str">
        <f>HYPERLINK("http://stackoverflow.com/users/8698808", "XuXu")</f>
        <v>XuXu</v>
      </c>
      <c r="D14435" t="s">
        <v>211</v>
      </c>
      <c r="E14435">
        <v>1</v>
      </c>
    </row>
    <row r="14436" spans="1:5" x14ac:dyDescent="0.25">
      <c r="A14436">
        <v>14435</v>
      </c>
      <c r="B14436">
        <v>5133433</v>
      </c>
      <c r="C14436" s="1" t="str">
        <f>HYPERLINK("http://stackoverflow.com/users/5133433", "Zhiyi Tang")</f>
        <v>Zhiyi Tang</v>
      </c>
      <c r="D14436" t="s">
        <v>56</v>
      </c>
      <c r="E14436">
        <v>1</v>
      </c>
    </row>
    <row r="14437" spans="1:5" x14ac:dyDescent="0.25">
      <c r="A14437">
        <v>14436</v>
      </c>
      <c r="B14437">
        <v>1445969</v>
      </c>
      <c r="C14437" s="1" t="str">
        <f>HYPERLINK("http://stackoverflow.com/users/1445969", "yaoper")</f>
        <v>yaoper</v>
      </c>
      <c r="D14437" t="s">
        <v>4</v>
      </c>
      <c r="E14437">
        <v>1</v>
      </c>
    </row>
    <row r="14438" spans="1:5" x14ac:dyDescent="0.25">
      <c r="A14438">
        <v>14437</v>
      </c>
      <c r="B14438">
        <v>5138994</v>
      </c>
      <c r="C14438" s="1" t="str">
        <f>HYPERLINK("http://stackoverflow.com/users/5138994", "sth4nothing")</f>
        <v>sth4nothing</v>
      </c>
      <c r="D14438" t="s">
        <v>4</v>
      </c>
      <c r="E14438">
        <v>1</v>
      </c>
    </row>
    <row r="14439" spans="1:5" x14ac:dyDescent="0.25">
      <c r="A14439">
        <v>14438</v>
      </c>
      <c r="B14439">
        <v>5139898</v>
      </c>
      <c r="C14439" s="1" t="str">
        <f>HYPERLINK("http://stackoverflow.com/users/5139898", "Jalon Ray")</f>
        <v>Jalon Ray</v>
      </c>
      <c r="D14439" t="s">
        <v>5</v>
      </c>
      <c r="E14439">
        <v>1</v>
      </c>
    </row>
    <row r="14440" spans="1:5" x14ac:dyDescent="0.25">
      <c r="A14440">
        <v>14439</v>
      </c>
      <c r="B14440">
        <v>10519817</v>
      </c>
      <c r="C14440" s="1" t="str">
        <f>HYPERLINK("http://stackoverflow.com/users/10519817", "giving-head-with-style-")</f>
        <v>giving-head-with-style-</v>
      </c>
      <c r="D14440" t="s">
        <v>242</v>
      </c>
      <c r="E14440">
        <v>1</v>
      </c>
    </row>
    <row r="14441" spans="1:5" x14ac:dyDescent="0.25">
      <c r="A14441">
        <v>14440</v>
      </c>
      <c r="B14441">
        <v>6860374</v>
      </c>
      <c r="C14441" s="1" t="str">
        <f>HYPERLINK("http://stackoverflow.com/users/6860374", "anonymous")</f>
        <v>anonymous</v>
      </c>
      <c r="D14441" t="s">
        <v>4</v>
      </c>
      <c r="E14441">
        <v>1</v>
      </c>
    </row>
    <row r="14442" spans="1:5" x14ac:dyDescent="0.25">
      <c r="A14442">
        <v>14441</v>
      </c>
      <c r="B14442">
        <v>6863355</v>
      </c>
      <c r="C14442" s="1" t="str">
        <f>HYPERLINK("http://stackoverflow.com/users/6863355", "Andy Ji")</f>
        <v>Andy Ji</v>
      </c>
      <c r="D14442" t="s">
        <v>5</v>
      </c>
      <c r="E14442">
        <v>1</v>
      </c>
    </row>
    <row r="14443" spans="1:5" x14ac:dyDescent="0.25">
      <c r="A14443">
        <v>14442</v>
      </c>
      <c r="B14443">
        <v>7034596</v>
      </c>
      <c r="C14443" s="1" t="str">
        <f>HYPERLINK("http://stackoverflow.com/users/7034596", "RaySolomon")</f>
        <v>RaySolomon</v>
      </c>
      <c r="D14443" t="s">
        <v>797</v>
      </c>
      <c r="E14443">
        <v>1</v>
      </c>
    </row>
    <row r="14444" spans="1:5" x14ac:dyDescent="0.25">
      <c r="A14444">
        <v>14443</v>
      </c>
      <c r="B14444">
        <v>3468748</v>
      </c>
      <c r="C14444" s="1" t="str">
        <f>HYPERLINK("http://stackoverflow.com/users/3468748", "bjbao1")</f>
        <v>bjbao1</v>
      </c>
      <c r="D14444" t="s">
        <v>5</v>
      </c>
      <c r="E14444">
        <v>1</v>
      </c>
    </row>
    <row r="14445" spans="1:5" x14ac:dyDescent="0.25">
      <c r="A14445">
        <v>14444</v>
      </c>
      <c r="B14445">
        <v>1634637</v>
      </c>
      <c r="C14445" s="1" t="str">
        <f>HYPERLINK("http://stackoverflow.com/users/1634637", "Mark")</f>
        <v>Mark</v>
      </c>
      <c r="D14445" t="s">
        <v>5</v>
      </c>
      <c r="E14445">
        <v>1</v>
      </c>
    </row>
    <row r="14446" spans="1:5" x14ac:dyDescent="0.25">
      <c r="A14446">
        <v>14445</v>
      </c>
      <c r="B14446">
        <v>3472365</v>
      </c>
      <c r="C14446" s="1" t="str">
        <f>HYPERLINK("http://stackoverflow.com/users/3472365", "Angus Xiao")</f>
        <v>Angus Xiao</v>
      </c>
      <c r="D14446" t="s">
        <v>5</v>
      </c>
      <c r="E14446">
        <v>1</v>
      </c>
    </row>
    <row r="14447" spans="1:5" x14ac:dyDescent="0.25">
      <c r="A14447">
        <v>14446</v>
      </c>
      <c r="B14447">
        <v>1641678</v>
      </c>
      <c r="C14447" s="1" t="str">
        <f>HYPERLINK("http://stackoverflow.com/users/1641678", "handa")</f>
        <v>handa</v>
      </c>
      <c r="D14447" t="s">
        <v>21</v>
      </c>
      <c r="E14447">
        <v>1</v>
      </c>
    </row>
    <row r="14448" spans="1:5" x14ac:dyDescent="0.25">
      <c r="A14448">
        <v>14447</v>
      </c>
      <c r="B14448">
        <v>10674620</v>
      </c>
      <c r="C14448" s="1" t="str">
        <f>HYPERLINK("http://stackoverflow.com/users/10674620", "vincestaplesog")</f>
        <v>vincestaplesog</v>
      </c>
      <c r="D14448" t="s">
        <v>798</v>
      </c>
      <c r="E14448">
        <v>1</v>
      </c>
    </row>
    <row r="14449" spans="1:5" x14ac:dyDescent="0.25">
      <c r="A14449">
        <v>14448</v>
      </c>
      <c r="B14449">
        <v>3471709</v>
      </c>
      <c r="C14449" s="1" t="str">
        <f>HYPERLINK("http://stackoverflow.com/users/3471709", "Rickshao")</f>
        <v>Rickshao</v>
      </c>
      <c r="D14449" t="s">
        <v>4</v>
      </c>
      <c r="E14449">
        <v>1</v>
      </c>
    </row>
    <row r="14450" spans="1:5" x14ac:dyDescent="0.25">
      <c r="A14450">
        <v>14449</v>
      </c>
      <c r="B14450">
        <v>1635122</v>
      </c>
      <c r="C14450" s="1" t="str">
        <f>HYPERLINK("http://stackoverflow.com/users/1635122", "fredy")</f>
        <v>fredy</v>
      </c>
      <c r="D14450" t="s">
        <v>4</v>
      </c>
      <c r="E14450">
        <v>1</v>
      </c>
    </row>
    <row r="14451" spans="1:5" x14ac:dyDescent="0.25">
      <c r="A14451">
        <v>14450</v>
      </c>
      <c r="B14451">
        <v>1611360</v>
      </c>
      <c r="C14451" s="1" t="str">
        <f>HYPERLINK("http://stackoverflow.com/users/1611360", "shannyn")</f>
        <v>shannyn</v>
      </c>
      <c r="D14451" t="s">
        <v>5</v>
      </c>
      <c r="E14451">
        <v>1</v>
      </c>
    </row>
    <row r="14452" spans="1:5" x14ac:dyDescent="0.25">
      <c r="A14452">
        <v>14451</v>
      </c>
      <c r="B14452">
        <v>1606102</v>
      </c>
      <c r="C14452" s="1" t="str">
        <f>HYPERLINK("http://stackoverflow.com/users/1606102", "Jeffishow")</f>
        <v>Jeffishow</v>
      </c>
      <c r="D14452" t="s">
        <v>22</v>
      </c>
      <c r="E14452">
        <v>1</v>
      </c>
    </row>
    <row r="14453" spans="1:5" x14ac:dyDescent="0.25">
      <c r="A14453">
        <v>14452</v>
      </c>
      <c r="B14453">
        <v>7012391</v>
      </c>
      <c r="C14453" s="1" t="str">
        <f>HYPERLINK("http://stackoverflow.com/users/7012391", "Barnett  John")</f>
        <v>Barnett  John</v>
      </c>
      <c r="D14453" t="s">
        <v>5</v>
      </c>
      <c r="E14453">
        <v>1</v>
      </c>
    </row>
    <row r="14454" spans="1:5" x14ac:dyDescent="0.25">
      <c r="A14454">
        <v>14453</v>
      </c>
      <c r="B14454">
        <v>7012710</v>
      </c>
      <c r="C14454" s="1" t="str">
        <f>HYPERLINK("http://stackoverflow.com/users/7012710", "chilon")</f>
        <v>chilon</v>
      </c>
      <c r="D14454" t="s">
        <v>16</v>
      </c>
      <c r="E14454">
        <v>1</v>
      </c>
    </row>
    <row r="14455" spans="1:5" x14ac:dyDescent="0.25">
      <c r="A14455">
        <v>14454</v>
      </c>
      <c r="B14455">
        <v>8847687</v>
      </c>
      <c r="C14455" s="1" t="str">
        <f>HYPERLINK("http://stackoverflow.com/users/8847687", "Annnnie")</f>
        <v>Annnnie</v>
      </c>
      <c r="D14455" t="s">
        <v>4</v>
      </c>
      <c r="E14455">
        <v>1</v>
      </c>
    </row>
    <row r="14456" spans="1:5" x14ac:dyDescent="0.25">
      <c r="A14456">
        <v>14455</v>
      </c>
      <c r="B14456">
        <v>8848256</v>
      </c>
      <c r="C14456" s="1" t="str">
        <f>HYPERLINK("http://stackoverflow.com/users/8848256", "Cloud Sky")</f>
        <v>Cloud Sky</v>
      </c>
      <c r="D14456" t="s">
        <v>266</v>
      </c>
      <c r="E14456">
        <v>1</v>
      </c>
    </row>
    <row r="14457" spans="1:5" x14ac:dyDescent="0.25">
      <c r="A14457">
        <v>14456</v>
      </c>
      <c r="B14457">
        <v>10661983</v>
      </c>
      <c r="C14457" s="1" t="str">
        <f>HYPERLINK("http://stackoverflow.com/users/10661983", "leilu")</f>
        <v>leilu</v>
      </c>
      <c r="D14457" t="s">
        <v>28</v>
      </c>
      <c r="E14457">
        <v>1</v>
      </c>
    </row>
    <row r="14458" spans="1:5" x14ac:dyDescent="0.25">
      <c r="A14458">
        <v>14457</v>
      </c>
      <c r="B14458">
        <v>10662306</v>
      </c>
      <c r="C14458" s="1" t="str">
        <f>HYPERLINK("http://stackoverflow.com/users/10662306", "internship union")</f>
        <v>internship union</v>
      </c>
      <c r="D14458" t="s">
        <v>108</v>
      </c>
      <c r="E14458">
        <v>1</v>
      </c>
    </row>
    <row r="14459" spans="1:5" x14ac:dyDescent="0.25">
      <c r="A14459">
        <v>14458</v>
      </c>
      <c r="B14459">
        <v>8851114</v>
      </c>
      <c r="C14459" s="1" t="str">
        <f>HYPERLINK("http://stackoverflow.com/users/8851114", "Dicky Han")</f>
        <v>Dicky Han</v>
      </c>
      <c r="D14459" t="s">
        <v>25</v>
      </c>
      <c r="E14459">
        <v>1</v>
      </c>
    </row>
    <row r="14460" spans="1:5" x14ac:dyDescent="0.25">
      <c r="A14460">
        <v>14459</v>
      </c>
      <c r="B14460">
        <v>5267993</v>
      </c>
      <c r="C14460" s="1" t="str">
        <f>HYPERLINK("http://stackoverflow.com/users/5267993", "Jason Zhang")</f>
        <v>Jason Zhang</v>
      </c>
      <c r="D14460" t="s">
        <v>5</v>
      </c>
      <c r="E14460">
        <v>1</v>
      </c>
    </row>
    <row r="14461" spans="1:5" x14ac:dyDescent="0.25">
      <c r="A14461">
        <v>14460</v>
      </c>
      <c r="B14461">
        <v>8856078</v>
      </c>
      <c r="C14461" s="1" t="str">
        <f>HYPERLINK("http://stackoverflow.com/users/8856078", "Kevin Hake")</f>
        <v>Kevin Hake</v>
      </c>
      <c r="D14461" t="s">
        <v>5</v>
      </c>
      <c r="E14461">
        <v>1</v>
      </c>
    </row>
    <row r="14462" spans="1:5" x14ac:dyDescent="0.25">
      <c r="A14462">
        <v>14461</v>
      </c>
      <c r="B14462">
        <v>8855786</v>
      </c>
      <c r="C14462" s="1" t="str">
        <f>HYPERLINK("http://stackoverflow.com/users/8855786", "5sWind")</f>
        <v>5sWind</v>
      </c>
      <c r="D14462" t="s">
        <v>4</v>
      </c>
      <c r="E14462">
        <v>1</v>
      </c>
    </row>
    <row r="14463" spans="1:5" x14ac:dyDescent="0.25">
      <c r="A14463">
        <v>14462</v>
      </c>
      <c r="B14463">
        <v>5245054</v>
      </c>
      <c r="C14463" s="1" t="str">
        <f>HYPERLINK("http://stackoverflow.com/users/5245054", "Ascen Zhong")</f>
        <v>Ascen Zhong</v>
      </c>
      <c r="D14463" t="s">
        <v>7</v>
      </c>
      <c r="E14463">
        <v>1</v>
      </c>
    </row>
    <row r="14464" spans="1:5" x14ac:dyDescent="0.25">
      <c r="A14464">
        <v>14463</v>
      </c>
      <c r="B14464">
        <v>5245641</v>
      </c>
      <c r="C14464" s="1" t="str">
        <f>HYPERLINK("http://stackoverflow.com/users/5245641", "Lynn Rowe")</f>
        <v>Lynn Rowe</v>
      </c>
      <c r="D14464" t="s">
        <v>22</v>
      </c>
      <c r="E14464">
        <v>1</v>
      </c>
    </row>
    <row r="14465" spans="1:5" x14ac:dyDescent="0.25">
      <c r="A14465">
        <v>14464</v>
      </c>
      <c r="B14465">
        <v>10640226</v>
      </c>
      <c r="C14465" s="1" t="str">
        <f>HYPERLINK("http://stackoverflow.com/users/10640226", "Lior Wong")</f>
        <v>Lior Wong</v>
      </c>
      <c r="D14465" t="s">
        <v>5</v>
      </c>
      <c r="E14465">
        <v>1</v>
      </c>
    </row>
    <row r="14466" spans="1:5" x14ac:dyDescent="0.25">
      <c r="A14466">
        <v>14465</v>
      </c>
      <c r="B14466">
        <v>10643719</v>
      </c>
      <c r="C14466" s="1" t="str">
        <f>HYPERLINK("http://stackoverflow.com/users/10643719", "CiaoHerman")</f>
        <v>CiaoHerman</v>
      </c>
      <c r="D14466" t="s">
        <v>4</v>
      </c>
      <c r="E14466">
        <v>1</v>
      </c>
    </row>
    <row r="14467" spans="1:5" x14ac:dyDescent="0.25">
      <c r="A14467">
        <v>14466</v>
      </c>
      <c r="B14467">
        <v>10643864</v>
      </c>
      <c r="C14467" s="1" t="str">
        <f>HYPERLINK("http://stackoverflow.com/users/10643864", "achais")</f>
        <v>achais</v>
      </c>
      <c r="D14467" t="s">
        <v>12</v>
      </c>
      <c r="E14467">
        <v>1</v>
      </c>
    </row>
    <row r="14468" spans="1:5" x14ac:dyDescent="0.25">
      <c r="A14468">
        <v>14467</v>
      </c>
      <c r="B14468">
        <v>10644250</v>
      </c>
      <c r="C14468" s="1" t="str">
        <f>HYPERLINK("http://stackoverflow.com/users/10644250", "sellcustomtieclips")</f>
        <v>sellcustomtieclips</v>
      </c>
      <c r="D14468" t="s">
        <v>799</v>
      </c>
      <c r="E14468">
        <v>1</v>
      </c>
    </row>
    <row r="14469" spans="1:5" x14ac:dyDescent="0.25">
      <c r="A14469">
        <v>14468</v>
      </c>
      <c r="B14469">
        <v>10644370</v>
      </c>
      <c r="C14469" s="1" t="str">
        <f>HYPERLINK("http://stackoverflow.com/users/10644370", "lin zhou")</f>
        <v>lin zhou</v>
      </c>
      <c r="D14469" t="s">
        <v>16</v>
      </c>
      <c r="E14469">
        <v>1</v>
      </c>
    </row>
    <row r="14470" spans="1:5" x14ac:dyDescent="0.25">
      <c r="A14470">
        <v>14469</v>
      </c>
      <c r="B14470">
        <v>10644430</v>
      </c>
      <c r="C14470" s="1" t="str">
        <f>HYPERLINK("http://stackoverflow.com/users/10644430", "Sean Lee")</f>
        <v>Sean Lee</v>
      </c>
      <c r="D14470" t="s">
        <v>5</v>
      </c>
      <c r="E14470">
        <v>1</v>
      </c>
    </row>
    <row r="14471" spans="1:5" x14ac:dyDescent="0.25">
      <c r="A14471">
        <v>14470</v>
      </c>
      <c r="B14471">
        <v>1594349</v>
      </c>
      <c r="C14471" s="1" t="str">
        <f>HYPERLINK("http://stackoverflow.com/users/1594349", "Rick Zhu")</f>
        <v>Rick Zhu</v>
      </c>
      <c r="D14471" t="s">
        <v>4</v>
      </c>
      <c r="E14471">
        <v>1</v>
      </c>
    </row>
    <row r="14472" spans="1:5" x14ac:dyDescent="0.25">
      <c r="A14472">
        <v>14471</v>
      </c>
      <c r="B14472">
        <v>1594743</v>
      </c>
      <c r="C14472" s="1" t="str">
        <f>HYPERLINK("http://stackoverflow.com/users/1594743", "Ricky Ye")</f>
        <v>Ricky Ye</v>
      </c>
      <c r="D14472" t="s">
        <v>4</v>
      </c>
      <c r="E14472">
        <v>1</v>
      </c>
    </row>
    <row r="14473" spans="1:5" x14ac:dyDescent="0.25">
      <c r="A14473">
        <v>14472</v>
      </c>
      <c r="B14473">
        <v>1594954</v>
      </c>
      <c r="C14473" s="1" t="str">
        <f>HYPERLINK("http://stackoverflow.com/users/1594954", "rainbow")</f>
        <v>rainbow</v>
      </c>
      <c r="D14473" t="s">
        <v>5</v>
      </c>
      <c r="E14473">
        <v>1</v>
      </c>
    </row>
    <row r="14474" spans="1:5" x14ac:dyDescent="0.25">
      <c r="A14474">
        <v>14473</v>
      </c>
      <c r="B14474">
        <v>1594965</v>
      </c>
      <c r="C14474" s="1" t="str">
        <f>HYPERLINK("http://stackoverflow.com/users/1594965", "leavingme")</f>
        <v>leavingme</v>
      </c>
      <c r="D14474" t="s">
        <v>17</v>
      </c>
      <c r="E14474">
        <v>1</v>
      </c>
    </row>
    <row r="14475" spans="1:5" x14ac:dyDescent="0.25">
      <c r="A14475">
        <v>14474</v>
      </c>
      <c r="B14475">
        <v>8825156</v>
      </c>
      <c r="C14475" s="1" t="str">
        <f>HYPERLINK("http://stackoverflow.com/users/8825156", "Junyang Zhang")</f>
        <v>Junyang Zhang</v>
      </c>
      <c r="D14475" t="s">
        <v>4</v>
      </c>
      <c r="E14475">
        <v>1</v>
      </c>
    </row>
    <row r="14476" spans="1:5" x14ac:dyDescent="0.25">
      <c r="A14476">
        <v>14475</v>
      </c>
      <c r="B14476">
        <v>5241865</v>
      </c>
      <c r="C14476" s="1" t="str">
        <f>HYPERLINK("http://stackoverflow.com/users/5241865", "wen")</f>
        <v>wen</v>
      </c>
      <c r="D14476" t="s">
        <v>120</v>
      </c>
      <c r="E14476">
        <v>1</v>
      </c>
    </row>
    <row r="14477" spans="1:5" x14ac:dyDescent="0.25">
      <c r="A14477">
        <v>14476</v>
      </c>
      <c r="B14477">
        <v>5241969</v>
      </c>
      <c r="C14477" s="1" t="str">
        <f>HYPERLINK("http://stackoverflow.com/users/5241969", "Rui Chen")</f>
        <v>Rui Chen</v>
      </c>
      <c r="D14477" t="s">
        <v>5</v>
      </c>
      <c r="E14477">
        <v>1</v>
      </c>
    </row>
    <row r="14478" spans="1:5" x14ac:dyDescent="0.25">
      <c r="A14478">
        <v>14477</v>
      </c>
      <c r="B14478">
        <v>10631531</v>
      </c>
      <c r="C14478" s="1" t="str">
        <f>HYPERLINK("http://stackoverflow.com/users/10631531", "Sram")</f>
        <v>Sram</v>
      </c>
      <c r="D14478" t="s">
        <v>25</v>
      </c>
      <c r="E14478">
        <v>1</v>
      </c>
    </row>
    <row r="14479" spans="1:5" x14ac:dyDescent="0.25">
      <c r="A14479">
        <v>14478</v>
      </c>
      <c r="B14479">
        <v>7005552</v>
      </c>
      <c r="C14479" s="1" t="str">
        <f>HYPERLINK("http://stackoverflow.com/users/7005552", "Amber")</f>
        <v>Amber</v>
      </c>
      <c r="D14479" t="s">
        <v>5</v>
      </c>
      <c r="E14479">
        <v>1</v>
      </c>
    </row>
    <row r="14480" spans="1:5" x14ac:dyDescent="0.25">
      <c r="A14480">
        <v>14479</v>
      </c>
      <c r="B14480">
        <v>7005652</v>
      </c>
      <c r="C14480" s="1" t="str">
        <f>HYPERLINK("http://stackoverflow.com/users/7005652", "Phillip")</f>
        <v>Phillip</v>
      </c>
      <c r="D14480" t="s">
        <v>524</v>
      </c>
      <c r="E14480">
        <v>1</v>
      </c>
    </row>
    <row r="14481" spans="1:5" x14ac:dyDescent="0.25">
      <c r="A14481">
        <v>14480</v>
      </c>
      <c r="B14481">
        <v>1605717</v>
      </c>
      <c r="C14481" s="1" t="str">
        <f>HYPERLINK("http://stackoverflow.com/users/1605717", "e4x")</f>
        <v>e4x</v>
      </c>
      <c r="D14481" t="s">
        <v>61</v>
      </c>
      <c r="E14481">
        <v>1</v>
      </c>
    </row>
    <row r="14482" spans="1:5" x14ac:dyDescent="0.25">
      <c r="A14482">
        <v>14481</v>
      </c>
      <c r="B14482">
        <v>1605724</v>
      </c>
      <c r="C14482" s="1" t="str">
        <f>HYPERLINK("http://stackoverflow.com/users/1605724", "HJKing")</f>
        <v>HJKing</v>
      </c>
      <c r="D14482" t="s">
        <v>8</v>
      </c>
      <c r="E14482">
        <v>1</v>
      </c>
    </row>
    <row r="14483" spans="1:5" x14ac:dyDescent="0.25">
      <c r="A14483">
        <v>14482</v>
      </c>
      <c r="B14483">
        <v>1605764</v>
      </c>
      <c r="C14483" s="1" t="str">
        <f>HYPERLINK("http://stackoverflow.com/users/1605764", "HeweiFu")</f>
        <v>HeweiFu</v>
      </c>
      <c r="D14483" t="s">
        <v>37</v>
      </c>
      <c r="E14483">
        <v>1</v>
      </c>
    </row>
    <row r="14484" spans="1:5" x14ac:dyDescent="0.25">
      <c r="A14484">
        <v>14483</v>
      </c>
      <c r="B14484">
        <v>1613138</v>
      </c>
      <c r="C14484" s="1" t="str">
        <f>HYPERLINK("http://stackoverflow.com/users/1613138", "David")</f>
        <v>David</v>
      </c>
      <c r="D14484" t="s">
        <v>5</v>
      </c>
      <c r="E14484">
        <v>1</v>
      </c>
    </row>
    <row r="14485" spans="1:5" x14ac:dyDescent="0.25">
      <c r="A14485">
        <v>14484</v>
      </c>
      <c r="B14485">
        <v>7016776</v>
      </c>
      <c r="C14485" s="1" t="str">
        <f>HYPERLINK("http://stackoverflow.com/users/7016776", "X.Shell")</f>
        <v>X.Shell</v>
      </c>
      <c r="D14485" t="s">
        <v>4</v>
      </c>
      <c r="E14485">
        <v>1</v>
      </c>
    </row>
    <row r="14486" spans="1:5" x14ac:dyDescent="0.25">
      <c r="A14486">
        <v>14485</v>
      </c>
      <c r="B14486">
        <v>7016961</v>
      </c>
      <c r="C14486" s="1" t="str">
        <f>HYPERLINK("http://stackoverflow.com/users/7016961", "HuangDong")</f>
        <v>HuangDong</v>
      </c>
      <c r="D14486" t="s">
        <v>96</v>
      </c>
      <c r="E14486">
        <v>1</v>
      </c>
    </row>
    <row r="14487" spans="1:5" x14ac:dyDescent="0.25">
      <c r="A14487">
        <v>14486</v>
      </c>
      <c r="B14487">
        <v>7016979</v>
      </c>
      <c r="C14487" s="1" t="str">
        <f>HYPERLINK("http://stackoverflow.com/users/7016979", "Alex Jiang")</f>
        <v>Alex Jiang</v>
      </c>
      <c r="D14487" t="s">
        <v>5</v>
      </c>
      <c r="E14487">
        <v>1</v>
      </c>
    </row>
    <row r="14488" spans="1:5" x14ac:dyDescent="0.25">
      <c r="A14488">
        <v>14487</v>
      </c>
      <c r="B14488">
        <v>10650075</v>
      </c>
      <c r="C14488" s="1" t="str">
        <f>HYPERLINK("http://stackoverflow.com/users/10650075", "hui deng ")</f>
        <v xml:space="preserve">hui deng </v>
      </c>
      <c r="D14488" t="s">
        <v>4</v>
      </c>
      <c r="E14488">
        <v>1</v>
      </c>
    </row>
    <row r="14489" spans="1:5" x14ac:dyDescent="0.25">
      <c r="A14489">
        <v>14488</v>
      </c>
      <c r="B14489">
        <v>10650495</v>
      </c>
      <c r="C14489" s="1" t="str">
        <f>HYPERLINK("http://stackoverflow.com/users/10650495", "Jiang Tao")</f>
        <v>Jiang Tao</v>
      </c>
      <c r="D14489" t="s">
        <v>5</v>
      </c>
      <c r="E14489">
        <v>1</v>
      </c>
    </row>
    <row r="14490" spans="1:5" x14ac:dyDescent="0.25">
      <c r="A14490">
        <v>14489</v>
      </c>
      <c r="B14490">
        <v>7020745</v>
      </c>
      <c r="C14490" s="1" t="str">
        <f>HYPERLINK("http://stackoverflow.com/users/7020745", "Vladislav Shevtsov")</f>
        <v>Vladislav Shevtsov</v>
      </c>
      <c r="D14490" t="s">
        <v>800</v>
      </c>
      <c r="E14490">
        <v>1</v>
      </c>
    </row>
    <row r="14491" spans="1:5" x14ac:dyDescent="0.25">
      <c r="A14491">
        <v>14490</v>
      </c>
      <c r="B14491">
        <v>3454437</v>
      </c>
      <c r="C14491" s="1" t="str">
        <f>HYPERLINK("http://stackoverflow.com/users/3454437", "sequoia1712")</f>
        <v>sequoia1712</v>
      </c>
      <c r="D14491" t="s">
        <v>5</v>
      </c>
      <c r="E14491">
        <v>1</v>
      </c>
    </row>
    <row r="14492" spans="1:5" x14ac:dyDescent="0.25">
      <c r="A14492">
        <v>14491</v>
      </c>
      <c r="B14492">
        <v>3454579</v>
      </c>
      <c r="C14492" s="1" t="str">
        <f>HYPERLINK("http://stackoverflow.com/users/3454579", "1024K")</f>
        <v>1024K</v>
      </c>
      <c r="D14492" t="s">
        <v>4</v>
      </c>
      <c r="E14492">
        <v>1</v>
      </c>
    </row>
    <row r="14493" spans="1:5" x14ac:dyDescent="0.25">
      <c r="A14493">
        <v>14492</v>
      </c>
      <c r="B14493">
        <v>10590886</v>
      </c>
      <c r="C14493" s="1" t="str">
        <f>HYPERLINK("http://stackoverflow.com/users/10590886", "zuber")</f>
        <v>zuber</v>
      </c>
      <c r="D14493" t="s">
        <v>33</v>
      </c>
      <c r="E14493">
        <v>1</v>
      </c>
    </row>
    <row r="14494" spans="1:5" x14ac:dyDescent="0.25">
      <c r="A14494">
        <v>14493</v>
      </c>
      <c r="B14494">
        <v>5205134</v>
      </c>
      <c r="C14494" s="1" t="str">
        <f>HYPERLINK("http://stackoverflow.com/users/5205134", "StevenYang")</f>
        <v>StevenYang</v>
      </c>
      <c r="D14494" t="s">
        <v>17</v>
      </c>
      <c r="E14494">
        <v>1</v>
      </c>
    </row>
    <row r="14495" spans="1:5" x14ac:dyDescent="0.25">
      <c r="A14495">
        <v>14494</v>
      </c>
      <c r="B14495">
        <v>1547764</v>
      </c>
      <c r="C14495" s="1" t="str">
        <f>HYPERLINK("http://stackoverflow.com/users/1547764", "sharp-blade")</f>
        <v>sharp-blade</v>
      </c>
      <c r="D14495" t="s">
        <v>21</v>
      </c>
      <c r="E14495">
        <v>1</v>
      </c>
    </row>
    <row r="14496" spans="1:5" x14ac:dyDescent="0.25">
      <c r="A14496">
        <v>14495</v>
      </c>
      <c r="B14496">
        <v>1548259</v>
      </c>
      <c r="C14496" s="1" t="str">
        <f>HYPERLINK("http://stackoverflow.com/users/1548259", "Li Jing")</f>
        <v>Li Jing</v>
      </c>
      <c r="D14496" t="s">
        <v>5</v>
      </c>
      <c r="E14496">
        <v>1</v>
      </c>
    </row>
    <row r="14497" spans="1:5" x14ac:dyDescent="0.25">
      <c r="A14497">
        <v>14496</v>
      </c>
      <c r="B14497">
        <v>6919392</v>
      </c>
      <c r="C14497" s="1" t="str">
        <f>HYPERLINK("http://stackoverflow.com/users/6919392", "an-lee")</f>
        <v>an-lee</v>
      </c>
      <c r="D14497" t="s">
        <v>7</v>
      </c>
      <c r="E14497">
        <v>1</v>
      </c>
    </row>
    <row r="14498" spans="1:5" x14ac:dyDescent="0.25">
      <c r="A14498">
        <v>14497</v>
      </c>
      <c r="B14498">
        <v>5192812</v>
      </c>
      <c r="C14498" s="1" t="str">
        <f>HYPERLINK("http://stackoverflow.com/users/5192812", "cici")</f>
        <v>cici</v>
      </c>
      <c r="D14498" t="s">
        <v>29</v>
      </c>
      <c r="E14498">
        <v>1</v>
      </c>
    </row>
    <row r="14499" spans="1:5" x14ac:dyDescent="0.25">
      <c r="A14499">
        <v>14498</v>
      </c>
      <c r="B14499">
        <v>5211101</v>
      </c>
      <c r="C14499" s="1" t="str">
        <f>HYPERLINK("http://stackoverflow.com/users/5211101", "MiracleWong")</f>
        <v>MiracleWong</v>
      </c>
      <c r="D14499" t="s">
        <v>8</v>
      </c>
      <c r="E14499">
        <v>1</v>
      </c>
    </row>
    <row r="14500" spans="1:5" x14ac:dyDescent="0.25">
      <c r="A14500">
        <v>14499</v>
      </c>
      <c r="B14500">
        <v>5211267</v>
      </c>
      <c r="C14500" s="1" t="str">
        <f>HYPERLINK("http://stackoverflow.com/users/5211267", "aapu")</f>
        <v>aapu</v>
      </c>
      <c r="D14500" t="s">
        <v>5</v>
      </c>
      <c r="E14500">
        <v>1</v>
      </c>
    </row>
    <row r="14501" spans="1:5" x14ac:dyDescent="0.25">
      <c r="A14501">
        <v>14500</v>
      </c>
      <c r="B14501">
        <v>8789342</v>
      </c>
      <c r="C14501" s="1" t="str">
        <f>HYPERLINK("http://stackoverflow.com/users/8789342", "Sean")</f>
        <v>Sean</v>
      </c>
      <c r="D14501" t="s">
        <v>5</v>
      </c>
      <c r="E14501">
        <v>1</v>
      </c>
    </row>
    <row r="14502" spans="1:5" x14ac:dyDescent="0.25">
      <c r="A14502">
        <v>14501</v>
      </c>
      <c r="B14502">
        <v>5214336</v>
      </c>
      <c r="C14502" s="1" t="str">
        <f>HYPERLINK("http://stackoverflow.com/users/5214336", "Samter")</f>
        <v>Samter</v>
      </c>
      <c r="D14502" t="s">
        <v>17</v>
      </c>
      <c r="E14502">
        <v>1</v>
      </c>
    </row>
    <row r="14503" spans="1:5" x14ac:dyDescent="0.25">
      <c r="A14503">
        <v>14502</v>
      </c>
      <c r="B14503">
        <v>5214685</v>
      </c>
      <c r="C14503" s="1" t="str">
        <f>HYPERLINK("http://stackoverflow.com/users/5214685", "Gz Li")</f>
        <v>Gz Li</v>
      </c>
      <c r="D14503" t="s">
        <v>4</v>
      </c>
      <c r="E14503">
        <v>1</v>
      </c>
    </row>
    <row r="14504" spans="1:5" x14ac:dyDescent="0.25">
      <c r="A14504">
        <v>14503</v>
      </c>
      <c r="B14504">
        <v>5214958</v>
      </c>
      <c r="C14504" s="1" t="str">
        <f>HYPERLINK("http://stackoverflow.com/users/5214958", "Xu Xinwen")</f>
        <v>Xu Xinwen</v>
      </c>
      <c r="D14504" t="s">
        <v>5</v>
      </c>
      <c r="E14504">
        <v>1</v>
      </c>
    </row>
    <row r="14505" spans="1:5" x14ac:dyDescent="0.25">
      <c r="A14505">
        <v>14504</v>
      </c>
      <c r="B14505">
        <v>1548515</v>
      </c>
      <c r="C14505" s="1" t="str">
        <f>HYPERLINK("http://stackoverflow.com/users/1548515", "Jerry Sun")</f>
        <v>Jerry Sun</v>
      </c>
      <c r="D14505" t="s">
        <v>4</v>
      </c>
      <c r="E14505">
        <v>1</v>
      </c>
    </row>
    <row r="14506" spans="1:5" x14ac:dyDescent="0.25">
      <c r="A14506">
        <v>14505</v>
      </c>
      <c r="B14506">
        <v>10604258</v>
      </c>
      <c r="C14506" s="1" t="str">
        <f>HYPERLINK("http://stackoverflow.com/users/10604258", "Ashkan")</f>
        <v>Ashkan</v>
      </c>
      <c r="D14506" t="s">
        <v>5</v>
      </c>
      <c r="E14506">
        <v>1</v>
      </c>
    </row>
    <row r="14507" spans="1:5" x14ac:dyDescent="0.25">
      <c r="A14507">
        <v>14506</v>
      </c>
      <c r="B14507">
        <v>6935033</v>
      </c>
      <c r="C14507" s="1" t="str">
        <f>HYPERLINK("http://stackoverflow.com/users/6935033", "Keven  Zhang")</f>
        <v>Keven  Zhang</v>
      </c>
      <c r="D14507" t="s">
        <v>801</v>
      </c>
      <c r="E14507">
        <v>1</v>
      </c>
    </row>
    <row r="14508" spans="1:5" x14ac:dyDescent="0.25">
      <c r="A14508">
        <v>14507</v>
      </c>
      <c r="B14508">
        <v>6935046</v>
      </c>
      <c r="C14508" s="1" t="str">
        <f>HYPERLINK("http://stackoverflow.com/users/6935046", "Ginny_W_G")</f>
        <v>Ginny_W_G</v>
      </c>
      <c r="D14508" t="s">
        <v>4</v>
      </c>
      <c r="E14508">
        <v>1</v>
      </c>
    </row>
    <row r="14509" spans="1:5" x14ac:dyDescent="0.25">
      <c r="A14509">
        <v>14508</v>
      </c>
      <c r="B14509">
        <v>6935264</v>
      </c>
      <c r="C14509" s="1" t="str">
        <f>HYPERLINK("http://stackoverflow.com/users/6935264", "Kevin Ding")</f>
        <v>Kevin Ding</v>
      </c>
      <c r="D14509" t="s">
        <v>52</v>
      </c>
      <c r="E14509">
        <v>1</v>
      </c>
    </row>
    <row r="14510" spans="1:5" x14ac:dyDescent="0.25">
      <c r="A14510">
        <v>14509</v>
      </c>
      <c r="B14510">
        <v>6935359</v>
      </c>
      <c r="C14510" s="1" t="str">
        <f>HYPERLINK("http://stackoverflow.com/users/6935359", "mlyss")</f>
        <v>mlyss</v>
      </c>
      <c r="D14510" t="s">
        <v>42</v>
      </c>
      <c r="E14510">
        <v>1</v>
      </c>
    </row>
    <row r="14511" spans="1:5" x14ac:dyDescent="0.25">
      <c r="A14511">
        <v>14510</v>
      </c>
      <c r="B14511">
        <v>5218282</v>
      </c>
      <c r="C14511" s="1" t="str">
        <f>HYPERLINK("http://stackoverflow.com/users/5218282", "LongYang")</f>
        <v>LongYang</v>
      </c>
      <c r="D14511" t="s">
        <v>12</v>
      </c>
      <c r="E14511">
        <v>1</v>
      </c>
    </row>
    <row r="14512" spans="1:5" x14ac:dyDescent="0.25">
      <c r="A14512">
        <v>14511</v>
      </c>
      <c r="B14512">
        <v>10595821</v>
      </c>
      <c r="C14512" s="1" t="str">
        <f>HYPERLINK("http://stackoverflow.com/users/10595821", "Sazzad Anwar")</f>
        <v>Sazzad Anwar</v>
      </c>
      <c r="D14512" t="s">
        <v>348</v>
      </c>
      <c r="E14512">
        <v>1</v>
      </c>
    </row>
    <row r="14513" spans="1:5" x14ac:dyDescent="0.25">
      <c r="A14513">
        <v>14512</v>
      </c>
      <c r="B14513">
        <v>5210594</v>
      </c>
      <c r="C14513" s="1" t="str">
        <f>HYPERLINK("http://stackoverflow.com/users/5210594", "ZXS")</f>
        <v>ZXS</v>
      </c>
      <c r="D14513" t="s">
        <v>4</v>
      </c>
      <c r="E14513">
        <v>1</v>
      </c>
    </row>
    <row r="14514" spans="1:5" x14ac:dyDescent="0.25">
      <c r="A14514">
        <v>14513</v>
      </c>
      <c r="B14514">
        <v>6939879</v>
      </c>
      <c r="C14514" s="1" t="str">
        <f>HYPERLINK("http://stackoverflow.com/users/6939879", "Signal Feng")</f>
        <v>Signal Feng</v>
      </c>
      <c r="D14514" t="s">
        <v>4</v>
      </c>
      <c r="E14514">
        <v>1</v>
      </c>
    </row>
    <row r="14515" spans="1:5" x14ac:dyDescent="0.25">
      <c r="A14515">
        <v>14514</v>
      </c>
      <c r="B14515">
        <v>8798810</v>
      </c>
      <c r="C14515" s="1" t="str">
        <f>HYPERLINK("http://stackoverflow.com/users/8798810", "Center.CN")</f>
        <v>Center.CN</v>
      </c>
      <c r="D14515" t="s">
        <v>5</v>
      </c>
      <c r="E14515">
        <v>1</v>
      </c>
    </row>
    <row r="14516" spans="1:5" x14ac:dyDescent="0.25">
      <c r="A14516">
        <v>14515</v>
      </c>
      <c r="B14516">
        <v>8798931</v>
      </c>
      <c r="C14516" s="1" t="str">
        <f>HYPERLINK("http://stackoverflow.com/users/8798931", "re.seen")</f>
        <v>re.seen</v>
      </c>
      <c r="D14516" t="s">
        <v>43</v>
      </c>
      <c r="E14516">
        <v>1</v>
      </c>
    </row>
    <row r="14517" spans="1:5" x14ac:dyDescent="0.25">
      <c r="A14517">
        <v>14516</v>
      </c>
      <c r="B14517">
        <v>8798965</v>
      </c>
      <c r="C14517" s="1" t="str">
        <f>HYPERLINK("http://stackoverflow.com/users/8798965", "VeeQun")</f>
        <v>VeeQun</v>
      </c>
      <c r="D14517" t="s">
        <v>15</v>
      </c>
      <c r="E14517">
        <v>1</v>
      </c>
    </row>
    <row r="14518" spans="1:5" x14ac:dyDescent="0.25">
      <c r="A14518">
        <v>14517</v>
      </c>
      <c r="B14518">
        <v>8804078</v>
      </c>
      <c r="C14518" s="1" t="str">
        <f>HYPERLINK("http://stackoverflow.com/users/8804078", "Shengxi Wu")</f>
        <v>Shengxi Wu</v>
      </c>
      <c r="D14518" t="s">
        <v>74</v>
      </c>
      <c r="E14518">
        <v>1</v>
      </c>
    </row>
    <row r="14519" spans="1:5" x14ac:dyDescent="0.25">
      <c r="A14519">
        <v>14518</v>
      </c>
      <c r="B14519">
        <v>8804123</v>
      </c>
      <c r="C14519" s="1" t="str">
        <f>HYPERLINK("http://stackoverflow.com/users/8804123", "Junji Wei")</f>
        <v>Junji Wei</v>
      </c>
      <c r="D14519" t="s">
        <v>62</v>
      </c>
      <c r="E14519">
        <v>1</v>
      </c>
    </row>
    <row r="14520" spans="1:5" x14ac:dyDescent="0.25">
      <c r="A14520">
        <v>14519</v>
      </c>
      <c r="B14520">
        <v>6948103</v>
      </c>
      <c r="C14520" s="1" t="str">
        <f>HYPERLINK("http://stackoverflow.com/users/6948103", "Jason Ho")</f>
        <v>Jason Ho</v>
      </c>
      <c r="D14520" t="s">
        <v>631</v>
      </c>
      <c r="E14520">
        <v>1</v>
      </c>
    </row>
    <row r="14521" spans="1:5" x14ac:dyDescent="0.25">
      <c r="A14521">
        <v>14520</v>
      </c>
      <c r="B14521">
        <v>6948179</v>
      </c>
      <c r="C14521" s="1" t="str">
        <f>HYPERLINK("http://stackoverflow.com/users/6948179", "KoalaInk")</f>
        <v>KoalaInk</v>
      </c>
      <c r="D14521" t="s">
        <v>5</v>
      </c>
      <c r="E14521">
        <v>1</v>
      </c>
    </row>
    <row r="14522" spans="1:5" x14ac:dyDescent="0.25">
      <c r="A14522">
        <v>14521</v>
      </c>
      <c r="B14522">
        <v>1576028</v>
      </c>
      <c r="C14522" s="1" t="str">
        <f>HYPERLINK("http://stackoverflow.com/users/1576028", "Henry Wang")</f>
        <v>Henry Wang</v>
      </c>
      <c r="D14522" t="s">
        <v>5</v>
      </c>
      <c r="E14522">
        <v>1</v>
      </c>
    </row>
    <row r="14523" spans="1:5" x14ac:dyDescent="0.25">
      <c r="A14523">
        <v>14522</v>
      </c>
      <c r="B14523">
        <v>10618586</v>
      </c>
      <c r="C14523" s="1" t="str">
        <f>HYPERLINK("http://stackoverflow.com/users/10618586", "lhrbeijing")</f>
        <v>lhrbeijing</v>
      </c>
      <c r="D14523" t="s">
        <v>270</v>
      </c>
      <c r="E14523">
        <v>1</v>
      </c>
    </row>
    <row r="14524" spans="1:5" x14ac:dyDescent="0.25">
      <c r="A14524">
        <v>14523</v>
      </c>
      <c r="B14524">
        <v>5233997</v>
      </c>
      <c r="C14524" s="1" t="str">
        <f>HYPERLINK("http://stackoverflow.com/users/5233997", "Jonney Chan")</f>
        <v>Jonney Chan</v>
      </c>
      <c r="D14524" t="s">
        <v>12</v>
      </c>
      <c r="E14524">
        <v>1</v>
      </c>
    </row>
    <row r="14525" spans="1:5" x14ac:dyDescent="0.25">
      <c r="A14525">
        <v>14524</v>
      </c>
      <c r="B14525">
        <v>10608603</v>
      </c>
      <c r="C14525" s="1" t="str">
        <f>HYPERLINK("http://stackoverflow.com/users/10608603", "Viviene Gan")</f>
        <v>Viviene Gan</v>
      </c>
      <c r="D14525" t="s">
        <v>4</v>
      </c>
      <c r="E14525">
        <v>1</v>
      </c>
    </row>
    <row r="14526" spans="1:5" x14ac:dyDescent="0.25">
      <c r="A14526">
        <v>14525</v>
      </c>
      <c r="B14526">
        <v>10608680</v>
      </c>
      <c r="C14526" s="1" t="str">
        <f>HYPERLINK("http://stackoverflow.com/users/10608680", "桑明达")</f>
        <v>桑明达</v>
      </c>
      <c r="D14526" t="s">
        <v>4</v>
      </c>
      <c r="E14526">
        <v>1</v>
      </c>
    </row>
    <row r="14527" spans="1:5" x14ac:dyDescent="0.25">
      <c r="A14527">
        <v>14526</v>
      </c>
      <c r="B14527">
        <v>10609094</v>
      </c>
      <c r="C14527" s="1" t="str">
        <f>HYPERLINK("http://stackoverflow.com/users/10609094", "ping")</f>
        <v>ping</v>
      </c>
      <c r="D14527" t="s">
        <v>4</v>
      </c>
      <c r="E14527">
        <v>1</v>
      </c>
    </row>
    <row r="14528" spans="1:5" x14ac:dyDescent="0.25">
      <c r="A14528">
        <v>14527</v>
      </c>
      <c r="B14528">
        <v>1583680</v>
      </c>
      <c r="C14528" s="1" t="str">
        <f>HYPERLINK("http://stackoverflow.com/users/1583680", "Zheng Liu")</f>
        <v>Zheng Liu</v>
      </c>
      <c r="D14528" t="s">
        <v>5</v>
      </c>
      <c r="E14528">
        <v>1</v>
      </c>
    </row>
    <row r="14529" spans="1:5" x14ac:dyDescent="0.25">
      <c r="A14529">
        <v>14528</v>
      </c>
      <c r="B14529">
        <v>3427728</v>
      </c>
      <c r="C14529" s="1" t="str">
        <f>HYPERLINK("http://stackoverflow.com/users/3427728", "studyjun")</f>
        <v>studyjun</v>
      </c>
      <c r="D14529" t="s">
        <v>17</v>
      </c>
      <c r="E14529">
        <v>1</v>
      </c>
    </row>
    <row r="14530" spans="1:5" x14ac:dyDescent="0.25">
      <c r="A14530">
        <v>14529</v>
      </c>
      <c r="B14530">
        <v>3433641</v>
      </c>
      <c r="C14530" s="1" t="str">
        <f>HYPERLINK("http://stackoverflow.com/users/3433641", "summerever")</f>
        <v>summerever</v>
      </c>
      <c r="D14530" t="s">
        <v>5</v>
      </c>
      <c r="E14530">
        <v>1</v>
      </c>
    </row>
    <row r="14531" spans="1:5" x14ac:dyDescent="0.25">
      <c r="A14531">
        <v>14530</v>
      </c>
      <c r="B14531">
        <v>1583436</v>
      </c>
      <c r="C14531" s="1" t="str">
        <f>HYPERLINK("http://stackoverflow.com/users/1583436", "Eric")</f>
        <v>Eric</v>
      </c>
      <c r="D14531" t="s">
        <v>17</v>
      </c>
      <c r="E14531">
        <v>1</v>
      </c>
    </row>
    <row r="14532" spans="1:5" x14ac:dyDescent="0.25">
      <c r="A14532">
        <v>14531</v>
      </c>
      <c r="B14532">
        <v>5234308</v>
      </c>
      <c r="C14532" s="1" t="str">
        <f>HYPERLINK("http://stackoverflow.com/users/5234308", "fengyunjue")</f>
        <v>fengyunjue</v>
      </c>
      <c r="D14532" t="s">
        <v>22</v>
      </c>
      <c r="E14532">
        <v>1</v>
      </c>
    </row>
    <row r="14533" spans="1:5" x14ac:dyDescent="0.25">
      <c r="A14533">
        <v>14532</v>
      </c>
      <c r="B14533">
        <v>10622620</v>
      </c>
      <c r="C14533" s="1" t="str">
        <f>HYPERLINK("http://stackoverflow.com/users/10622620", "Old_Eleven")</f>
        <v>Old_Eleven</v>
      </c>
      <c r="D14533" t="s">
        <v>184</v>
      </c>
      <c r="E14533">
        <v>1</v>
      </c>
    </row>
    <row r="14534" spans="1:5" x14ac:dyDescent="0.25">
      <c r="A14534">
        <v>14533</v>
      </c>
      <c r="B14534">
        <v>10623185</v>
      </c>
      <c r="C14534" s="1" t="str">
        <f>HYPERLINK("http://stackoverflow.com/users/10623185", "J. Dark")</f>
        <v>J. Dark</v>
      </c>
      <c r="D14534" t="s">
        <v>4</v>
      </c>
      <c r="E14534">
        <v>1</v>
      </c>
    </row>
    <row r="14535" spans="1:5" x14ac:dyDescent="0.25">
      <c r="A14535">
        <v>14534</v>
      </c>
      <c r="B14535">
        <v>10623211</v>
      </c>
      <c r="C14535" s="1" t="str">
        <f>HYPERLINK("http://stackoverflow.com/users/10623211", "Huailin Yang")</f>
        <v>Huailin Yang</v>
      </c>
      <c r="D14535" t="s">
        <v>62</v>
      </c>
      <c r="E14535">
        <v>1</v>
      </c>
    </row>
    <row r="14536" spans="1:5" x14ac:dyDescent="0.25">
      <c r="A14536">
        <v>14535</v>
      </c>
      <c r="B14536">
        <v>3425155</v>
      </c>
      <c r="C14536" s="1" t="str">
        <f>HYPERLINK("http://stackoverflow.com/users/3425155", "MyApp1989")</f>
        <v>MyApp1989</v>
      </c>
      <c r="D14536" t="s">
        <v>4</v>
      </c>
      <c r="E14536">
        <v>1</v>
      </c>
    </row>
    <row r="14537" spans="1:5" x14ac:dyDescent="0.25">
      <c r="A14537">
        <v>14536</v>
      </c>
      <c r="B14537">
        <v>5316037</v>
      </c>
      <c r="C14537" s="1" t="str">
        <f>HYPERLINK("http://stackoverflow.com/users/5316037", "LiuK")</f>
        <v>LiuK</v>
      </c>
      <c r="D14537" t="s">
        <v>5</v>
      </c>
      <c r="E14537">
        <v>1</v>
      </c>
    </row>
    <row r="14538" spans="1:5" x14ac:dyDescent="0.25">
      <c r="A14538">
        <v>14537</v>
      </c>
      <c r="B14538">
        <v>7090903</v>
      </c>
      <c r="C14538" s="1" t="str">
        <f>HYPERLINK("http://stackoverflow.com/users/7090903", "Bangjie Deng")</f>
        <v>Bangjie Deng</v>
      </c>
      <c r="D14538" t="s">
        <v>131</v>
      </c>
      <c r="E14538">
        <v>1</v>
      </c>
    </row>
    <row r="14539" spans="1:5" x14ac:dyDescent="0.25">
      <c r="A14539">
        <v>14538</v>
      </c>
      <c r="B14539">
        <v>7091405</v>
      </c>
      <c r="C14539" s="1" t="str">
        <f>HYPERLINK("http://stackoverflow.com/users/7091405", "James Walstonn")</f>
        <v>James Walstonn</v>
      </c>
      <c r="D14539" t="s">
        <v>17</v>
      </c>
      <c r="E14539">
        <v>1</v>
      </c>
    </row>
    <row r="14540" spans="1:5" x14ac:dyDescent="0.25">
      <c r="A14540">
        <v>14539</v>
      </c>
      <c r="B14540">
        <v>7091649</v>
      </c>
      <c r="C14540" s="1" t="str">
        <f>HYPERLINK("http://stackoverflow.com/users/7091649", "Patrick Chi")</f>
        <v>Patrick Chi</v>
      </c>
      <c r="D14540" t="s">
        <v>7</v>
      </c>
      <c r="E14540">
        <v>1</v>
      </c>
    </row>
    <row r="14541" spans="1:5" x14ac:dyDescent="0.25">
      <c r="A14541">
        <v>14540</v>
      </c>
      <c r="B14541">
        <v>1703259</v>
      </c>
      <c r="C14541" s="1" t="str">
        <f>HYPERLINK("http://stackoverflow.com/users/1703259", "rainbird")</f>
        <v>rainbird</v>
      </c>
      <c r="D14541" t="s">
        <v>5</v>
      </c>
      <c r="E14541">
        <v>1</v>
      </c>
    </row>
    <row r="14542" spans="1:5" x14ac:dyDescent="0.25">
      <c r="A14542">
        <v>14541</v>
      </c>
      <c r="B14542">
        <v>8911586</v>
      </c>
      <c r="C14542" s="1" t="str">
        <f>HYPERLINK("http://stackoverflow.com/users/8911586", "Boyang Zhang")</f>
        <v>Boyang Zhang</v>
      </c>
      <c r="D14542" t="s">
        <v>4</v>
      </c>
      <c r="E14542">
        <v>1</v>
      </c>
    </row>
    <row r="14543" spans="1:5" x14ac:dyDescent="0.25">
      <c r="A14543">
        <v>14542</v>
      </c>
      <c r="B14543">
        <v>8919102</v>
      </c>
      <c r="C14543" s="1" t="str">
        <f>HYPERLINK("http://stackoverflow.com/users/8919102", "tangxin983")</f>
        <v>tangxin983</v>
      </c>
      <c r="D14543" t="s">
        <v>96</v>
      </c>
      <c r="E14543">
        <v>1</v>
      </c>
    </row>
    <row r="14544" spans="1:5" x14ac:dyDescent="0.25">
      <c r="A14544">
        <v>14543</v>
      </c>
      <c r="B14544">
        <v>3519998</v>
      </c>
      <c r="C14544" s="1" t="str">
        <f>HYPERLINK("http://stackoverflow.com/users/3519998", "luzuoquan")</f>
        <v>luzuoquan</v>
      </c>
      <c r="D14544" t="s">
        <v>802</v>
      </c>
      <c r="E14544">
        <v>1</v>
      </c>
    </row>
    <row r="14545" spans="1:5" x14ac:dyDescent="0.25">
      <c r="A14545">
        <v>14544</v>
      </c>
      <c r="B14545">
        <v>10728764</v>
      </c>
      <c r="C14545" s="1" t="str">
        <f>HYPERLINK("http://stackoverflow.com/users/10728764", "Wali Khan")</f>
        <v>Wali Khan</v>
      </c>
      <c r="D14545" t="s">
        <v>242</v>
      </c>
      <c r="E14545">
        <v>1</v>
      </c>
    </row>
    <row r="14546" spans="1:5" x14ac:dyDescent="0.25">
      <c r="A14546">
        <v>14545</v>
      </c>
      <c r="B14546">
        <v>7088407</v>
      </c>
      <c r="C14546" s="1" t="str">
        <f>HYPERLINK("http://stackoverflow.com/users/7088407", "Suli Chang")</f>
        <v>Suli Chang</v>
      </c>
      <c r="D14546" t="s">
        <v>7</v>
      </c>
      <c r="E14546">
        <v>1</v>
      </c>
    </row>
    <row r="14547" spans="1:5" x14ac:dyDescent="0.25">
      <c r="A14547">
        <v>14546</v>
      </c>
      <c r="B14547">
        <v>7088625</v>
      </c>
      <c r="C14547" s="1" t="str">
        <f>HYPERLINK("http://stackoverflow.com/users/7088625", "dgsrz")</f>
        <v>dgsrz</v>
      </c>
      <c r="D14547" t="s">
        <v>16</v>
      </c>
      <c r="E14547">
        <v>1</v>
      </c>
    </row>
    <row r="14548" spans="1:5" x14ac:dyDescent="0.25">
      <c r="A14548">
        <v>14547</v>
      </c>
      <c r="B14548">
        <v>7088842</v>
      </c>
      <c r="C14548" s="1" t="str">
        <f>HYPERLINK("http://stackoverflow.com/users/7088842", "Alex.Wen")</f>
        <v>Alex.Wen</v>
      </c>
      <c r="D14548" t="s">
        <v>28</v>
      </c>
      <c r="E14548">
        <v>1</v>
      </c>
    </row>
    <row r="14549" spans="1:5" x14ac:dyDescent="0.25">
      <c r="A14549">
        <v>14548</v>
      </c>
      <c r="B14549">
        <v>5329663</v>
      </c>
      <c r="C14549" s="1" t="str">
        <f>HYPERLINK("http://stackoverflow.com/users/5329663", "ShineLee")</f>
        <v>ShineLee</v>
      </c>
      <c r="D14549" t="s">
        <v>7</v>
      </c>
      <c r="E14549">
        <v>1</v>
      </c>
    </row>
    <row r="14550" spans="1:5" x14ac:dyDescent="0.25">
      <c r="A14550">
        <v>14549</v>
      </c>
      <c r="B14550">
        <v>10732283</v>
      </c>
      <c r="C14550" s="1" t="str">
        <f>HYPERLINK("http://stackoverflow.com/users/10732283", "KKOWN")</f>
        <v>KKOWN</v>
      </c>
      <c r="D14550" t="s">
        <v>803</v>
      </c>
      <c r="E14550">
        <v>1</v>
      </c>
    </row>
    <row r="14551" spans="1:5" x14ac:dyDescent="0.25">
      <c r="A14551">
        <v>14550</v>
      </c>
      <c r="B14551">
        <v>5332539</v>
      </c>
      <c r="C14551" s="1" t="str">
        <f>HYPERLINK("http://stackoverflow.com/users/5332539", "Maishuguang")</f>
        <v>Maishuguang</v>
      </c>
      <c r="D14551" t="s">
        <v>804</v>
      </c>
      <c r="E14551">
        <v>1</v>
      </c>
    </row>
    <row r="14552" spans="1:5" x14ac:dyDescent="0.25">
      <c r="A14552">
        <v>14551</v>
      </c>
      <c r="B14552">
        <v>5332712</v>
      </c>
      <c r="C14552" s="1" t="str">
        <f>HYPERLINK("http://stackoverflow.com/users/5332712", "How1e")</f>
        <v>How1e</v>
      </c>
      <c r="D14552" t="s">
        <v>4</v>
      </c>
      <c r="E14552">
        <v>1</v>
      </c>
    </row>
    <row r="14553" spans="1:5" x14ac:dyDescent="0.25">
      <c r="A14553">
        <v>14552</v>
      </c>
      <c r="B14553">
        <v>8926129</v>
      </c>
      <c r="C14553" s="1" t="str">
        <f>HYPERLINK("http://stackoverflow.com/users/8926129", "ahwb")</f>
        <v>ahwb</v>
      </c>
      <c r="D14553" t="s">
        <v>4</v>
      </c>
      <c r="E14553">
        <v>1</v>
      </c>
    </row>
    <row r="14554" spans="1:5" x14ac:dyDescent="0.25">
      <c r="A14554">
        <v>14553</v>
      </c>
      <c r="B14554">
        <v>5336324</v>
      </c>
      <c r="C14554" s="1" t="str">
        <f>HYPERLINK("http://stackoverflow.com/users/5336324", "Chu9in")</f>
        <v>Chu9in</v>
      </c>
      <c r="D14554" t="s">
        <v>5</v>
      </c>
      <c r="E14554">
        <v>1</v>
      </c>
    </row>
    <row r="14555" spans="1:5" x14ac:dyDescent="0.25">
      <c r="A14555">
        <v>14554</v>
      </c>
      <c r="B14555">
        <v>7094454</v>
      </c>
      <c r="C14555" s="1" t="str">
        <f>HYPERLINK("http://stackoverflow.com/users/7094454", "Y.Christina")</f>
        <v>Y.Christina</v>
      </c>
      <c r="D14555" t="s">
        <v>5</v>
      </c>
      <c r="E14555">
        <v>1</v>
      </c>
    </row>
    <row r="14556" spans="1:5" x14ac:dyDescent="0.25">
      <c r="A14556">
        <v>14555</v>
      </c>
      <c r="B14556">
        <v>7094567</v>
      </c>
      <c r="C14556" s="1" t="str">
        <f>HYPERLINK("http://stackoverflow.com/users/7094567", "oddisland")</f>
        <v>oddisland</v>
      </c>
      <c r="D14556" t="s">
        <v>16</v>
      </c>
      <c r="E14556">
        <v>1</v>
      </c>
    </row>
    <row r="14557" spans="1:5" x14ac:dyDescent="0.25">
      <c r="A14557">
        <v>14556</v>
      </c>
      <c r="B14557">
        <v>8930254</v>
      </c>
      <c r="C14557" s="1" t="str">
        <f>HYPERLINK("http://stackoverflow.com/users/8930254", "Claire Yuan")</f>
        <v>Claire Yuan</v>
      </c>
      <c r="D14557" t="s">
        <v>4</v>
      </c>
      <c r="E14557">
        <v>1</v>
      </c>
    </row>
    <row r="14558" spans="1:5" x14ac:dyDescent="0.25">
      <c r="A14558">
        <v>14557</v>
      </c>
      <c r="B14558">
        <v>8930547</v>
      </c>
      <c r="C14558" s="1" t="str">
        <f>HYPERLINK("http://stackoverflow.com/users/8930547", "user8930547")</f>
        <v>user8930547</v>
      </c>
      <c r="D14558" t="s">
        <v>16</v>
      </c>
      <c r="E14558">
        <v>1</v>
      </c>
    </row>
    <row r="14559" spans="1:5" x14ac:dyDescent="0.25">
      <c r="A14559">
        <v>14558</v>
      </c>
      <c r="B14559">
        <v>8930737</v>
      </c>
      <c r="C14559" s="1" t="str">
        <f>HYPERLINK("http://stackoverflow.com/users/8930737", "HUHU")</f>
        <v>HUHU</v>
      </c>
      <c r="D14559" t="s">
        <v>5</v>
      </c>
      <c r="E14559">
        <v>1</v>
      </c>
    </row>
    <row r="14560" spans="1:5" x14ac:dyDescent="0.25">
      <c r="A14560">
        <v>14559</v>
      </c>
      <c r="B14560">
        <v>5336870</v>
      </c>
      <c r="C14560" s="1" t="str">
        <f>HYPERLINK("http://stackoverflow.com/users/5336870", "book0heavy")</f>
        <v>book0heavy</v>
      </c>
      <c r="D14560" t="s">
        <v>5</v>
      </c>
      <c r="E14560">
        <v>1</v>
      </c>
    </row>
    <row r="14561" spans="1:5" x14ac:dyDescent="0.25">
      <c r="A14561">
        <v>14560</v>
      </c>
      <c r="B14561">
        <v>5337093</v>
      </c>
      <c r="C14561" s="1" t="str">
        <f>HYPERLINK("http://stackoverflow.com/users/5337093", "wing324")</f>
        <v>wing324</v>
      </c>
      <c r="D14561" t="s">
        <v>4</v>
      </c>
      <c r="E14561">
        <v>1</v>
      </c>
    </row>
    <row r="14562" spans="1:5" x14ac:dyDescent="0.25">
      <c r="A14562">
        <v>14561</v>
      </c>
      <c r="B14562">
        <v>5337146</v>
      </c>
      <c r="C14562" s="1" t="str">
        <f>HYPERLINK("http://stackoverflow.com/users/5337146", "Lei Wang")</f>
        <v>Lei Wang</v>
      </c>
      <c r="D14562" t="s">
        <v>12</v>
      </c>
      <c r="E14562">
        <v>1</v>
      </c>
    </row>
    <row r="14563" spans="1:5" x14ac:dyDescent="0.25">
      <c r="A14563">
        <v>14562</v>
      </c>
      <c r="B14563">
        <v>10739754</v>
      </c>
      <c r="C14563" s="1" t="str">
        <f>HYPERLINK("http://stackoverflow.com/users/10739754", "rookie")</f>
        <v>rookie</v>
      </c>
      <c r="D14563" t="s">
        <v>5</v>
      </c>
      <c r="E14563">
        <v>1</v>
      </c>
    </row>
    <row r="14564" spans="1:5" x14ac:dyDescent="0.25">
      <c r="A14564">
        <v>14563</v>
      </c>
      <c r="B14564">
        <v>5332156</v>
      </c>
      <c r="C14564" s="1" t="str">
        <f>HYPERLINK("http://stackoverflow.com/users/5332156", "HapLeo")</f>
        <v>HapLeo</v>
      </c>
      <c r="D14564" t="s">
        <v>248</v>
      </c>
      <c r="E14564">
        <v>1</v>
      </c>
    </row>
    <row r="14565" spans="1:5" x14ac:dyDescent="0.25">
      <c r="A14565">
        <v>14564</v>
      </c>
      <c r="B14565">
        <v>7098705</v>
      </c>
      <c r="C14565" s="1" t="str">
        <f>HYPERLINK("http://stackoverflow.com/users/7098705", "user7098705")</f>
        <v>user7098705</v>
      </c>
      <c r="D14565" t="s">
        <v>91</v>
      </c>
      <c r="E14565">
        <v>1</v>
      </c>
    </row>
    <row r="14566" spans="1:5" x14ac:dyDescent="0.25">
      <c r="A14566">
        <v>14565</v>
      </c>
      <c r="B14566">
        <v>10757626</v>
      </c>
      <c r="C14566" s="1" t="str">
        <f>HYPERLINK("http://stackoverflow.com/users/10757626", "hegao.python")</f>
        <v>hegao.python</v>
      </c>
      <c r="D14566" t="s">
        <v>4</v>
      </c>
      <c r="E14566">
        <v>1</v>
      </c>
    </row>
    <row r="14567" spans="1:5" x14ac:dyDescent="0.25">
      <c r="A14567">
        <v>14566</v>
      </c>
      <c r="B14567">
        <v>5352740</v>
      </c>
      <c r="C14567" s="1" t="str">
        <f>HYPERLINK("http://stackoverflow.com/users/5352740", "Jeff Wei")</f>
        <v>Jeff Wei</v>
      </c>
      <c r="D14567" t="s">
        <v>21</v>
      </c>
      <c r="E14567">
        <v>1</v>
      </c>
    </row>
    <row r="14568" spans="1:5" x14ac:dyDescent="0.25">
      <c r="A14568">
        <v>14567</v>
      </c>
      <c r="B14568">
        <v>1727630</v>
      </c>
      <c r="C14568" s="1" t="str">
        <f>HYPERLINK("http://stackoverflow.com/users/1727630", "allen wang")</f>
        <v>allen wang</v>
      </c>
      <c r="D14568" t="s">
        <v>5</v>
      </c>
      <c r="E14568">
        <v>1</v>
      </c>
    </row>
    <row r="14569" spans="1:5" x14ac:dyDescent="0.25">
      <c r="A14569">
        <v>14568</v>
      </c>
      <c r="B14569">
        <v>1727724</v>
      </c>
      <c r="C14569" s="1" t="str">
        <f>HYPERLINK("http://stackoverflow.com/users/1727724", "Larry Lin")</f>
        <v>Larry Lin</v>
      </c>
      <c r="D14569" t="s">
        <v>4</v>
      </c>
      <c r="E14569">
        <v>1</v>
      </c>
    </row>
    <row r="14570" spans="1:5" x14ac:dyDescent="0.25">
      <c r="A14570">
        <v>14569</v>
      </c>
      <c r="B14570">
        <v>1727814</v>
      </c>
      <c r="C14570" s="1" t="str">
        <f>HYPERLINK("http://stackoverflow.com/users/1727814", "By Sun")</f>
        <v>By Sun</v>
      </c>
      <c r="D14570" t="s">
        <v>5</v>
      </c>
      <c r="E14570">
        <v>1</v>
      </c>
    </row>
    <row r="14571" spans="1:5" x14ac:dyDescent="0.25">
      <c r="A14571">
        <v>14570</v>
      </c>
      <c r="B14571">
        <v>1728473</v>
      </c>
      <c r="C14571" s="1" t="str">
        <f>HYPERLINK("http://stackoverflow.com/users/1728473", "Danny Sun")</f>
        <v>Danny Sun</v>
      </c>
      <c r="D14571" t="s">
        <v>4</v>
      </c>
      <c r="E14571">
        <v>1</v>
      </c>
    </row>
    <row r="14572" spans="1:5" x14ac:dyDescent="0.25">
      <c r="A14572">
        <v>14571</v>
      </c>
      <c r="B14572">
        <v>10757754</v>
      </c>
      <c r="C14572" s="1" t="str">
        <f>HYPERLINK("http://stackoverflow.com/users/10757754", "weixingyue")</f>
        <v>weixingyue</v>
      </c>
      <c r="D14572" t="s">
        <v>74</v>
      </c>
      <c r="E14572">
        <v>1</v>
      </c>
    </row>
    <row r="14573" spans="1:5" x14ac:dyDescent="0.25">
      <c r="A14573">
        <v>14572</v>
      </c>
      <c r="B14573">
        <v>10758045</v>
      </c>
      <c r="C14573" s="1" t="str">
        <f>HYPERLINK("http://stackoverflow.com/users/10758045", "Leevi")</f>
        <v>Leevi</v>
      </c>
      <c r="D14573" t="s">
        <v>5</v>
      </c>
      <c r="E14573">
        <v>1</v>
      </c>
    </row>
    <row r="14574" spans="1:5" x14ac:dyDescent="0.25">
      <c r="A14574">
        <v>14573</v>
      </c>
      <c r="B14574">
        <v>10758167</v>
      </c>
      <c r="C14574" s="1" t="str">
        <f>HYPERLINK("http://stackoverflow.com/users/10758167", "xinsheng wang")</f>
        <v>xinsheng wang</v>
      </c>
      <c r="D14574" t="s">
        <v>805</v>
      </c>
      <c r="E14574">
        <v>1</v>
      </c>
    </row>
    <row r="14575" spans="1:5" x14ac:dyDescent="0.25">
      <c r="A14575">
        <v>14574</v>
      </c>
      <c r="B14575">
        <v>10758257</v>
      </c>
      <c r="C14575" s="1" t="str">
        <f>HYPERLINK("http://stackoverflow.com/users/10758257", "Lennin Mahala")</f>
        <v>Lennin Mahala</v>
      </c>
      <c r="D14575" t="s">
        <v>5</v>
      </c>
      <c r="E14575">
        <v>1</v>
      </c>
    </row>
    <row r="14576" spans="1:5" x14ac:dyDescent="0.25">
      <c r="A14576">
        <v>14575</v>
      </c>
      <c r="B14576">
        <v>8943713</v>
      </c>
      <c r="C14576" s="1" t="str">
        <f>HYPERLINK("http://stackoverflow.com/users/8943713", "zhushihao")</f>
        <v>zhushihao</v>
      </c>
      <c r="D14576" t="s">
        <v>266</v>
      </c>
      <c r="E14576">
        <v>1</v>
      </c>
    </row>
    <row r="14577" spans="1:5" x14ac:dyDescent="0.25">
      <c r="A14577">
        <v>14576</v>
      </c>
      <c r="B14577">
        <v>1723018</v>
      </c>
      <c r="C14577" s="1" t="str">
        <f>HYPERLINK("http://stackoverflow.com/users/1723018", "Tyshan")</f>
        <v>Tyshan</v>
      </c>
      <c r="D14577" t="s">
        <v>806</v>
      </c>
      <c r="E14577">
        <v>1</v>
      </c>
    </row>
    <row r="14578" spans="1:5" x14ac:dyDescent="0.25">
      <c r="A14578">
        <v>14577</v>
      </c>
      <c r="B14578">
        <v>5348768</v>
      </c>
      <c r="C14578" s="1" t="str">
        <f>HYPERLINK("http://stackoverflow.com/users/5348768", "TedXiong")</f>
        <v>TedXiong</v>
      </c>
      <c r="D14578" t="s">
        <v>4</v>
      </c>
      <c r="E14578">
        <v>1</v>
      </c>
    </row>
    <row r="14579" spans="1:5" x14ac:dyDescent="0.25">
      <c r="A14579">
        <v>14578</v>
      </c>
      <c r="B14579">
        <v>5340450</v>
      </c>
      <c r="C14579" s="1" t="str">
        <f>HYPERLINK("http://stackoverflow.com/users/5340450", "lynndotconfig")</f>
        <v>lynndotconfig</v>
      </c>
      <c r="D14579" t="s">
        <v>17</v>
      </c>
      <c r="E14579">
        <v>1</v>
      </c>
    </row>
    <row r="14580" spans="1:5" x14ac:dyDescent="0.25">
      <c r="A14580">
        <v>14579</v>
      </c>
      <c r="B14580">
        <v>5340548</v>
      </c>
      <c r="C14580" s="1" t="str">
        <f>HYPERLINK("http://stackoverflow.com/users/5340548", "Panda")</f>
        <v>Panda</v>
      </c>
      <c r="D14580" t="s">
        <v>4</v>
      </c>
      <c r="E14580">
        <v>1</v>
      </c>
    </row>
    <row r="14581" spans="1:5" x14ac:dyDescent="0.25">
      <c r="A14581">
        <v>14580</v>
      </c>
      <c r="B14581">
        <v>5340550</v>
      </c>
      <c r="C14581" s="1" t="str">
        <f>HYPERLINK("http://stackoverflow.com/users/5340550", "RamWire")</f>
        <v>RamWire</v>
      </c>
      <c r="D14581" t="s">
        <v>12</v>
      </c>
      <c r="E14581">
        <v>1</v>
      </c>
    </row>
    <row r="14582" spans="1:5" x14ac:dyDescent="0.25">
      <c r="A14582">
        <v>14581</v>
      </c>
      <c r="B14582">
        <v>7102392</v>
      </c>
      <c r="C14582" s="1" t="str">
        <f>HYPERLINK("http://stackoverflow.com/users/7102392", "qwang")</f>
        <v>qwang</v>
      </c>
      <c r="D14582" t="s">
        <v>19</v>
      </c>
      <c r="E14582">
        <v>1</v>
      </c>
    </row>
    <row r="14583" spans="1:5" x14ac:dyDescent="0.25">
      <c r="A14583">
        <v>14582</v>
      </c>
      <c r="B14583">
        <v>7102458</v>
      </c>
      <c r="C14583" s="1" t="str">
        <f>HYPERLINK("http://stackoverflow.com/users/7102458", "baoqiang")</f>
        <v>baoqiang</v>
      </c>
      <c r="D14583" t="s">
        <v>7</v>
      </c>
      <c r="E14583">
        <v>1</v>
      </c>
    </row>
    <row r="14584" spans="1:5" x14ac:dyDescent="0.25">
      <c r="A14584">
        <v>14583</v>
      </c>
      <c r="B14584">
        <v>7102897</v>
      </c>
      <c r="C14584" s="1" t="str">
        <f>HYPERLINK("http://stackoverflow.com/users/7102897", "Anna Su")</f>
        <v>Anna Su</v>
      </c>
      <c r="D14584" t="s">
        <v>15</v>
      </c>
      <c r="E14584">
        <v>1</v>
      </c>
    </row>
    <row r="14585" spans="1:5" x14ac:dyDescent="0.25">
      <c r="A14585">
        <v>14584</v>
      </c>
      <c r="B14585">
        <v>7102999</v>
      </c>
      <c r="C14585" s="1" t="str">
        <f>HYPERLINK("http://stackoverflow.com/users/7102999", "Lv Shulun")</f>
        <v>Lv Shulun</v>
      </c>
      <c r="D14585" t="s">
        <v>55</v>
      </c>
      <c r="E14585">
        <v>1</v>
      </c>
    </row>
    <row r="14586" spans="1:5" x14ac:dyDescent="0.25">
      <c r="A14586">
        <v>14585</v>
      </c>
      <c r="B14586">
        <v>7103037</v>
      </c>
      <c r="C14586" s="1" t="str">
        <f>HYPERLINK("http://stackoverflow.com/users/7103037", "Nemo Meng")</f>
        <v>Nemo Meng</v>
      </c>
      <c r="D14586" t="s">
        <v>5</v>
      </c>
      <c r="E14586">
        <v>1</v>
      </c>
    </row>
    <row r="14587" spans="1:5" x14ac:dyDescent="0.25">
      <c r="A14587">
        <v>14586</v>
      </c>
      <c r="B14587">
        <v>8939036</v>
      </c>
      <c r="C14587" s="1" t="str">
        <f>HYPERLINK("http://stackoverflow.com/users/8939036", "Yilin Zhu")</f>
        <v>Yilin Zhu</v>
      </c>
      <c r="D14587" t="s">
        <v>118</v>
      </c>
      <c r="E14587">
        <v>1</v>
      </c>
    </row>
    <row r="14588" spans="1:5" x14ac:dyDescent="0.25">
      <c r="A14588">
        <v>14587</v>
      </c>
      <c r="B14588">
        <v>1659089</v>
      </c>
      <c r="C14588" s="1" t="str">
        <f>HYPERLINK("http://stackoverflow.com/users/1659089", "Bin Zhou")</f>
        <v>Bin Zhou</v>
      </c>
      <c r="D14588" t="s">
        <v>4</v>
      </c>
      <c r="E14588">
        <v>1</v>
      </c>
    </row>
    <row r="14589" spans="1:5" x14ac:dyDescent="0.25">
      <c r="A14589">
        <v>14588</v>
      </c>
      <c r="B14589">
        <v>1659091</v>
      </c>
      <c r="C14589" s="1" t="str">
        <f>HYPERLINK("http://stackoverflow.com/users/1659091", "Dion")</f>
        <v>Dion</v>
      </c>
      <c r="D14589" t="s">
        <v>4</v>
      </c>
      <c r="E14589">
        <v>1</v>
      </c>
    </row>
    <row r="14590" spans="1:5" x14ac:dyDescent="0.25">
      <c r="A14590">
        <v>14589</v>
      </c>
      <c r="B14590">
        <v>1659098</v>
      </c>
      <c r="C14590" s="1" t="str">
        <f>HYPERLINK("http://stackoverflow.com/users/1659098", "CHEN FENG")</f>
        <v>CHEN FENG</v>
      </c>
      <c r="D14590" t="s">
        <v>43</v>
      </c>
      <c r="E14590">
        <v>1</v>
      </c>
    </row>
    <row r="14591" spans="1:5" x14ac:dyDescent="0.25">
      <c r="A14591">
        <v>14590</v>
      </c>
      <c r="B14591">
        <v>1659339</v>
      </c>
      <c r="C14591" s="1" t="str">
        <f>HYPERLINK("http://stackoverflow.com/users/1659339", "whirlp00l")</f>
        <v>whirlp00l</v>
      </c>
      <c r="D14591" t="s">
        <v>4</v>
      </c>
      <c r="E14591">
        <v>1</v>
      </c>
    </row>
    <row r="14592" spans="1:5" x14ac:dyDescent="0.25">
      <c r="A14592">
        <v>14591</v>
      </c>
      <c r="B14592">
        <v>1643137</v>
      </c>
      <c r="C14592" s="1" t="str">
        <f>HYPERLINK("http://stackoverflow.com/users/1643137", "Surecc")</f>
        <v>Surecc</v>
      </c>
      <c r="D14592" t="s">
        <v>5</v>
      </c>
      <c r="E14592">
        <v>1</v>
      </c>
    </row>
    <row r="14593" spans="1:5" x14ac:dyDescent="0.25">
      <c r="A14593">
        <v>14592</v>
      </c>
      <c r="B14593">
        <v>1654181</v>
      </c>
      <c r="C14593" s="1" t="str">
        <f>HYPERLINK("http://stackoverflow.com/users/1654181", "Jun")</f>
        <v>Jun</v>
      </c>
      <c r="D14593" t="s">
        <v>78</v>
      </c>
      <c r="E14593">
        <v>1</v>
      </c>
    </row>
    <row r="14594" spans="1:5" x14ac:dyDescent="0.25">
      <c r="A14594">
        <v>14593</v>
      </c>
      <c r="B14594">
        <v>1655182</v>
      </c>
      <c r="C14594" s="1" t="str">
        <f>HYPERLINK("http://stackoverflow.com/users/1655182", "SuperSunSun")</f>
        <v>SuperSunSun</v>
      </c>
      <c r="D14594" t="s">
        <v>5</v>
      </c>
      <c r="E14594">
        <v>1</v>
      </c>
    </row>
    <row r="14595" spans="1:5" x14ac:dyDescent="0.25">
      <c r="A14595">
        <v>14594</v>
      </c>
      <c r="B14595">
        <v>10691818</v>
      </c>
      <c r="C14595" s="1" t="str">
        <f>HYPERLINK("http://stackoverflow.com/users/10691818", "quadrum")</f>
        <v>quadrum</v>
      </c>
      <c r="D14595" t="s">
        <v>5</v>
      </c>
      <c r="E14595">
        <v>1</v>
      </c>
    </row>
    <row r="14596" spans="1:5" x14ac:dyDescent="0.25">
      <c r="A14596">
        <v>14595</v>
      </c>
      <c r="B14596">
        <v>8880767</v>
      </c>
      <c r="C14596" s="1" t="str">
        <f>HYPERLINK("http://stackoverflow.com/users/8880767", "John Hong")</f>
        <v>John Hong</v>
      </c>
      <c r="D14596" t="s">
        <v>5</v>
      </c>
      <c r="E14596">
        <v>1</v>
      </c>
    </row>
    <row r="14597" spans="1:5" x14ac:dyDescent="0.25">
      <c r="A14597">
        <v>14596</v>
      </c>
      <c r="B14597">
        <v>7057364</v>
      </c>
      <c r="C14597" s="1" t="str">
        <f>HYPERLINK("http://stackoverflow.com/users/7057364", "Kun Liu")</f>
        <v>Kun Liu</v>
      </c>
      <c r="D14597" t="s">
        <v>35</v>
      </c>
      <c r="E14597">
        <v>1</v>
      </c>
    </row>
    <row r="14598" spans="1:5" x14ac:dyDescent="0.25">
      <c r="A14598">
        <v>14597</v>
      </c>
      <c r="B14598">
        <v>7057709</v>
      </c>
      <c r="C14598" s="1" t="str">
        <f>HYPERLINK("http://stackoverflow.com/users/7057709", "LearnToCode")</f>
        <v>LearnToCode</v>
      </c>
      <c r="D14598" t="s">
        <v>55</v>
      </c>
      <c r="E14598">
        <v>1</v>
      </c>
    </row>
    <row r="14599" spans="1:5" x14ac:dyDescent="0.25">
      <c r="A14599">
        <v>14598</v>
      </c>
      <c r="B14599">
        <v>10696001</v>
      </c>
      <c r="C14599" s="1" t="str">
        <f>HYPERLINK("http://stackoverflow.com/users/10696001", "Yuming Ma")</f>
        <v>Yuming Ma</v>
      </c>
      <c r="D14599" t="s">
        <v>5</v>
      </c>
      <c r="E14599">
        <v>1</v>
      </c>
    </row>
    <row r="14600" spans="1:5" x14ac:dyDescent="0.25">
      <c r="A14600">
        <v>14599</v>
      </c>
      <c r="B14600">
        <v>1641983</v>
      </c>
      <c r="C14600" s="1" t="str">
        <f>HYPERLINK("http://stackoverflow.com/users/1641983", "California_desert")</f>
        <v>California_desert</v>
      </c>
      <c r="D14600" t="s">
        <v>4</v>
      </c>
      <c r="E14600">
        <v>1</v>
      </c>
    </row>
    <row r="14601" spans="1:5" x14ac:dyDescent="0.25">
      <c r="A14601">
        <v>14600</v>
      </c>
      <c r="B14601">
        <v>1641762</v>
      </c>
      <c r="C14601" s="1" t="str">
        <f>HYPERLINK("http://stackoverflow.com/users/1641762", "Wang Hua")</f>
        <v>Wang Hua</v>
      </c>
      <c r="D14601" t="s">
        <v>5</v>
      </c>
      <c r="E14601">
        <v>1</v>
      </c>
    </row>
    <row r="14602" spans="1:5" x14ac:dyDescent="0.25">
      <c r="A14602">
        <v>14601</v>
      </c>
      <c r="B14602">
        <v>10684497</v>
      </c>
      <c r="C14602" s="1" t="str">
        <f>HYPERLINK("http://stackoverflow.com/users/10684497", "MI MiKu")</f>
        <v>MI MiKu</v>
      </c>
      <c r="D14602" t="s">
        <v>108</v>
      </c>
      <c r="E14602">
        <v>1</v>
      </c>
    </row>
    <row r="14603" spans="1:5" x14ac:dyDescent="0.25">
      <c r="A14603">
        <v>14602</v>
      </c>
      <c r="B14603">
        <v>10684768</v>
      </c>
      <c r="C14603" s="1" t="str">
        <f>HYPERLINK("http://stackoverflow.com/users/10684768", "Simon.Cheung")</f>
        <v>Simon.Cheung</v>
      </c>
      <c r="D14603" t="s">
        <v>25</v>
      </c>
      <c r="E14603">
        <v>1</v>
      </c>
    </row>
    <row r="14604" spans="1:5" x14ac:dyDescent="0.25">
      <c r="A14604">
        <v>14603</v>
      </c>
      <c r="B14604">
        <v>7049291</v>
      </c>
      <c r="C14604" s="1" t="str">
        <f>HYPERLINK("http://stackoverflow.com/users/7049291", "Talal Huss")</f>
        <v>Talal Huss</v>
      </c>
      <c r="D14604" t="s">
        <v>11</v>
      </c>
      <c r="E14604">
        <v>1</v>
      </c>
    </row>
    <row r="14605" spans="1:5" x14ac:dyDescent="0.25">
      <c r="A14605">
        <v>14604</v>
      </c>
      <c r="B14605">
        <v>8868610</v>
      </c>
      <c r="C14605" s="1" t="str">
        <f>HYPERLINK("http://stackoverflow.com/users/8868610", "Nigel Reeves")</f>
        <v>Nigel Reeves</v>
      </c>
      <c r="D14605" t="s">
        <v>5</v>
      </c>
      <c r="E14605">
        <v>1</v>
      </c>
    </row>
    <row r="14606" spans="1:5" x14ac:dyDescent="0.25">
      <c r="A14606">
        <v>14605</v>
      </c>
      <c r="B14606">
        <v>5286909</v>
      </c>
      <c r="C14606" s="1" t="str">
        <f>HYPERLINK("http://stackoverflow.com/users/5286909", "iFly")</f>
        <v>iFly</v>
      </c>
      <c r="D14606" t="s">
        <v>4</v>
      </c>
      <c r="E14606">
        <v>1</v>
      </c>
    </row>
    <row r="14607" spans="1:5" x14ac:dyDescent="0.25">
      <c r="A14607">
        <v>14606</v>
      </c>
      <c r="B14607">
        <v>5287204</v>
      </c>
      <c r="C14607" s="1" t="str">
        <f>HYPERLINK("http://stackoverflow.com/users/5287204", "uliag")</f>
        <v>uliag</v>
      </c>
      <c r="D14607" t="s">
        <v>5</v>
      </c>
      <c r="E14607">
        <v>1</v>
      </c>
    </row>
    <row r="14608" spans="1:5" x14ac:dyDescent="0.25">
      <c r="A14608">
        <v>14607</v>
      </c>
      <c r="B14608">
        <v>5287412</v>
      </c>
      <c r="C14608" s="1" t="str">
        <f>HYPERLINK("http://stackoverflow.com/users/5287412", "xh4n3")</f>
        <v>xh4n3</v>
      </c>
      <c r="D14608" t="s">
        <v>17</v>
      </c>
      <c r="E14608">
        <v>1</v>
      </c>
    </row>
    <row r="14609" spans="1:5" x14ac:dyDescent="0.25">
      <c r="A14609">
        <v>14608</v>
      </c>
      <c r="B14609">
        <v>5287715</v>
      </c>
      <c r="C14609" s="1" t="str">
        <f>HYPERLINK("http://stackoverflow.com/users/5287715", "Yating Dan")</f>
        <v>Yating Dan</v>
      </c>
      <c r="D14609" t="s">
        <v>5</v>
      </c>
      <c r="E14609">
        <v>1</v>
      </c>
    </row>
    <row r="14610" spans="1:5" x14ac:dyDescent="0.25">
      <c r="A14610">
        <v>14609</v>
      </c>
      <c r="B14610">
        <v>8873505</v>
      </c>
      <c r="C14610" s="1" t="str">
        <f>HYPERLINK("http://stackoverflow.com/users/8873505", "Yc Ang")</f>
        <v>Yc Ang</v>
      </c>
      <c r="D14610" t="s">
        <v>5</v>
      </c>
      <c r="E14610">
        <v>1</v>
      </c>
    </row>
    <row r="14611" spans="1:5" x14ac:dyDescent="0.25">
      <c r="A14611">
        <v>14610</v>
      </c>
      <c r="B14611">
        <v>8873598</v>
      </c>
      <c r="C14611" s="1" t="str">
        <f>HYPERLINK("http://stackoverflow.com/users/8873598", "leaver")</f>
        <v>leaver</v>
      </c>
      <c r="D14611" t="s">
        <v>25</v>
      </c>
      <c r="E14611">
        <v>1</v>
      </c>
    </row>
    <row r="14612" spans="1:5" x14ac:dyDescent="0.25">
      <c r="A14612">
        <v>14611</v>
      </c>
      <c r="B14612">
        <v>5305462</v>
      </c>
      <c r="C14612" s="1" t="str">
        <f>HYPERLINK("http://stackoverflow.com/users/5305462", "panhao762")</f>
        <v>panhao762</v>
      </c>
      <c r="D14612" t="s">
        <v>21</v>
      </c>
      <c r="E14612">
        <v>1</v>
      </c>
    </row>
    <row r="14613" spans="1:5" x14ac:dyDescent="0.25">
      <c r="A14613">
        <v>14612</v>
      </c>
      <c r="B14613">
        <v>8888439</v>
      </c>
      <c r="C14613" s="1" t="str">
        <f>HYPERLINK("http://stackoverflow.com/users/8888439", "Pushy")</f>
        <v>Pushy</v>
      </c>
      <c r="D14613" t="s">
        <v>58</v>
      </c>
      <c r="E14613">
        <v>1</v>
      </c>
    </row>
    <row r="14614" spans="1:5" x14ac:dyDescent="0.25">
      <c r="A14614">
        <v>14613</v>
      </c>
      <c r="B14614">
        <v>8888568</v>
      </c>
      <c r="C14614" s="1" t="str">
        <f>HYPERLINK("http://stackoverflow.com/users/8888568", "David Wang")</f>
        <v>David Wang</v>
      </c>
      <c r="D14614" t="s">
        <v>33</v>
      </c>
      <c r="E14614">
        <v>1</v>
      </c>
    </row>
    <row r="14615" spans="1:5" x14ac:dyDescent="0.25">
      <c r="A14615">
        <v>14614</v>
      </c>
      <c r="B14615">
        <v>3504242</v>
      </c>
      <c r="C14615" s="1" t="str">
        <f>HYPERLINK("http://stackoverflow.com/users/3504242", "user3504242")</f>
        <v>user3504242</v>
      </c>
      <c r="D14615" t="s">
        <v>5</v>
      </c>
      <c r="E14615">
        <v>1</v>
      </c>
    </row>
    <row r="14616" spans="1:5" x14ac:dyDescent="0.25">
      <c r="A14616">
        <v>14615</v>
      </c>
      <c r="B14616">
        <v>1679393</v>
      </c>
      <c r="C14616" s="1" t="str">
        <f>HYPERLINK("http://stackoverflow.com/users/1679393", "Jason.z")</f>
        <v>Jason.z</v>
      </c>
      <c r="D14616" t="s">
        <v>16</v>
      </c>
      <c r="E14616">
        <v>1</v>
      </c>
    </row>
    <row r="14617" spans="1:5" x14ac:dyDescent="0.25">
      <c r="A14617">
        <v>14616</v>
      </c>
      <c r="B14617">
        <v>7078265</v>
      </c>
      <c r="C14617" s="1" t="str">
        <f>HYPERLINK("http://stackoverflow.com/users/7078265", "Ming Junne")</f>
        <v>Ming Junne</v>
      </c>
      <c r="D14617" t="s">
        <v>62</v>
      </c>
      <c r="E14617">
        <v>1</v>
      </c>
    </row>
    <row r="14618" spans="1:5" x14ac:dyDescent="0.25">
      <c r="A14618">
        <v>14617</v>
      </c>
      <c r="B14618">
        <v>7078296</v>
      </c>
      <c r="C14618" s="1" t="str">
        <f>HYPERLINK("http://stackoverflow.com/users/7078296", "bucherren")</f>
        <v>bucherren</v>
      </c>
      <c r="D14618" t="s">
        <v>4</v>
      </c>
      <c r="E14618">
        <v>1</v>
      </c>
    </row>
    <row r="14619" spans="1:5" x14ac:dyDescent="0.25">
      <c r="A14619">
        <v>14618</v>
      </c>
      <c r="B14619">
        <v>7078311</v>
      </c>
      <c r="C14619" s="1" t="str">
        <f>HYPERLINK("http://stackoverflow.com/users/7078311", "Howie levis")</f>
        <v>Howie levis</v>
      </c>
      <c r="D14619" t="s">
        <v>252</v>
      </c>
      <c r="E14619">
        <v>1</v>
      </c>
    </row>
    <row r="14620" spans="1:5" x14ac:dyDescent="0.25">
      <c r="A14620">
        <v>14619</v>
      </c>
      <c r="B14620">
        <v>10720634</v>
      </c>
      <c r="C14620" s="1" t="str">
        <f>HYPERLINK("http://stackoverflow.com/users/10720634", "Zhang H.J.")</f>
        <v>Zhang H.J.</v>
      </c>
      <c r="D14620" t="s">
        <v>13</v>
      </c>
      <c r="E14620">
        <v>1</v>
      </c>
    </row>
    <row r="14621" spans="1:5" x14ac:dyDescent="0.25">
      <c r="A14621">
        <v>14620</v>
      </c>
      <c r="B14621">
        <v>10721010</v>
      </c>
      <c r="C14621" s="1" t="str">
        <f>HYPERLINK("http://stackoverflow.com/users/10721010", "Goto Tibet")</f>
        <v>Goto Tibet</v>
      </c>
      <c r="D14621" t="s">
        <v>807</v>
      </c>
      <c r="E14621">
        <v>1</v>
      </c>
    </row>
    <row r="14622" spans="1:5" x14ac:dyDescent="0.25">
      <c r="A14622">
        <v>14621</v>
      </c>
      <c r="B14622">
        <v>5319406</v>
      </c>
      <c r="C14622" s="1" t="str">
        <f>HYPERLINK("http://stackoverflow.com/users/5319406", "jsfaint")</f>
        <v>jsfaint</v>
      </c>
      <c r="D14622" t="s">
        <v>131</v>
      </c>
      <c r="E14622">
        <v>1</v>
      </c>
    </row>
    <row r="14623" spans="1:5" x14ac:dyDescent="0.25">
      <c r="A14623">
        <v>14622</v>
      </c>
      <c r="B14623">
        <v>5319612</v>
      </c>
      <c r="C14623" s="1" t="str">
        <f>HYPERLINK("http://stackoverflow.com/users/5319612", "Zhixiang-WANG")</f>
        <v>Zhixiang-WANG</v>
      </c>
      <c r="D14623" t="s">
        <v>37</v>
      </c>
      <c r="E14623">
        <v>1</v>
      </c>
    </row>
    <row r="14624" spans="1:5" x14ac:dyDescent="0.25">
      <c r="A14624">
        <v>14623</v>
      </c>
      <c r="B14624">
        <v>8897320</v>
      </c>
      <c r="C14624" s="1" t="str">
        <f>HYPERLINK("http://stackoverflow.com/users/8897320", "卢老板")</f>
        <v>卢老板</v>
      </c>
      <c r="D14624" t="s">
        <v>52</v>
      </c>
      <c r="E14624">
        <v>1</v>
      </c>
    </row>
    <row r="14625" spans="1:5" x14ac:dyDescent="0.25">
      <c r="A14625">
        <v>14624</v>
      </c>
      <c r="B14625">
        <v>8897483</v>
      </c>
      <c r="C14625" s="1" t="str">
        <f>HYPERLINK("http://stackoverflow.com/users/8897483", "huiming")</f>
        <v>huiming</v>
      </c>
      <c r="D14625" t="s">
        <v>28</v>
      </c>
      <c r="E14625">
        <v>1</v>
      </c>
    </row>
    <row r="14626" spans="1:5" x14ac:dyDescent="0.25">
      <c r="A14626">
        <v>14625</v>
      </c>
      <c r="B14626">
        <v>8897510</v>
      </c>
      <c r="C14626" s="1" t="str">
        <f>HYPERLINK("http://stackoverflow.com/users/8897510", "Alle Shen")</f>
        <v>Alle Shen</v>
      </c>
      <c r="D14626" t="s">
        <v>4</v>
      </c>
      <c r="E14626">
        <v>1</v>
      </c>
    </row>
    <row r="14627" spans="1:5" x14ac:dyDescent="0.25">
      <c r="A14627">
        <v>14626</v>
      </c>
      <c r="B14627">
        <v>8897886</v>
      </c>
      <c r="C14627" s="1" t="str">
        <f>HYPERLINK("http://stackoverflow.com/users/8897886", "doko_com")</f>
        <v>doko_com</v>
      </c>
      <c r="D14627" t="s">
        <v>4</v>
      </c>
      <c r="E14627">
        <v>1</v>
      </c>
    </row>
    <row r="14628" spans="1:5" x14ac:dyDescent="0.25">
      <c r="A14628">
        <v>14627</v>
      </c>
      <c r="B14628">
        <v>8897888</v>
      </c>
      <c r="C14628" s="1" t="str">
        <f>HYPERLINK("http://stackoverflow.com/users/8897888", "superzxc")</f>
        <v>superzxc</v>
      </c>
      <c r="D14628" t="s">
        <v>808</v>
      </c>
      <c r="E14628">
        <v>1</v>
      </c>
    </row>
    <row r="14629" spans="1:5" x14ac:dyDescent="0.25">
      <c r="A14629">
        <v>14628</v>
      </c>
      <c r="B14629">
        <v>8898085</v>
      </c>
      <c r="C14629" s="1" t="str">
        <f>HYPERLINK("http://stackoverflow.com/users/8898085", "victoria")</f>
        <v>victoria</v>
      </c>
      <c r="D14629" t="s">
        <v>4</v>
      </c>
      <c r="E14629">
        <v>1</v>
      </c>
    </row>
    <row r="14630" spans="1:5" x14ac:dyDescent="0.25">
      <c r="A14630">
        <v>14629</v>
      </c>
      <c r="B14630">
        <v>10699512</v>
      </c>
      <c r="C14630" s="1" t="str">
        <f>HYPERLINK("http://stackoverflow.com/users/10699512", "Kal")</f>
        <v>Kal</v>
      </c>
      <c r="D14630" t="s">
        <v>4</v>
      </c>
      <c r="E14630">
        <v>1</v>
      </c>
    </row>
    <row r="14631" spans="1:5" x14ac:dyDescent="0.25">
      <c r="A14631">
        <v>14630</v>
      </c>
      <c r="B14631">
        <v>8893673</v>
      </c>
      <c r="C14631" s="1" t="str">
        <f>HYPERLINK("http://stackoverflow.com/users/8893673", "JennyZ")</f>
        <v>JennyZ</v>
      </c>
      <c r="D14631" t="s">
        <v>120</v>
      </c>
      <c r="E14631">
        <v>1</v>
      </c>
    </row>
    <row r="14632" spans="1:5" x14ac:dyDescent="0.25">
      <c r="A14632">
        <v>14631</v>
      </c>
      <c r="B14632">
        <v>8893854</v>
      </c>
      <c r="C14632" s="1" t="str">
        <f>HYPERLINK("http://stackoverflow.com/users/8893854", "王乾宇")</f>
        <v>王乾宇</v>
      </c>
      <c r="D14632" t="s">
        <v>4</v>
      </c>
      <c r="E14632">
        <v>1</v>
      </c>
    </row>
    <row r="14633" spans="1:5" x14ac:dyDescent="0.25">
      <c r="A14633">
        <v>14632</v>
      </c>
      <c r="B14633">
        <v>10704247</v>
      </c>
      <c r="C14633" s="1" t="str">
        <f>HYPERLINK("http://stackoverflow.com/users/10704247", "Sheng Liu")</f>
        <v>Sheng Liu</v>
      </c>
      <c r="D14633" t="s">
        <v>7</v>
      </c>
      <c r="E14633">
        <v>1</v>
      </c>
    </row>
    <row r="14634" spans="1:5" x14ac:dyDescent="0.25">
      <c r="A14634">
        <v>14633</v>
      </c>
      <c r="B14634">
        <v>10704251</v>
      </c>
      <c r="C14634" s="1" t="str">
        <f>HYPERLINK("http://stackoverflow.com/users/10704251", "Jack Kong")</f>
        <v>Jack Kong</v>
      </c>
      <c r="D14634" t="s">
        <v>37</v>
      </c>
      <c r="E14634">
        <v>1</v>
      </c>
    </row>
    <row r="14635" spans="1:5" x14ac:dyDescent="0.25">
      <c r="A14635">
        <v>14634</v>
      </c>
      <c r="B14635">
        <v>10704258</v>
      </c>
      <c r="C14635" s="1" t="str">
        <f>HYPERLINK("http://stackoverflow.com/users/10704258", "Zhiwei Yin")</f>
        <v>Zhiwei Yin</v>
      </c>
      <c r="D14635" t="s">
        <v>91</v>
      </c>
      <c r="E14635">
        <v>1</v>
      </c>
    </row>
    <row r="14636" spans="1:5" x14ac:dyDescent="0.25">
      <c r="A14636">
        <v>14635</v>
      </c>
      <c r="B14636">
        <v>10704536</v>
      </c>
      <c r="C14636" s="1" t="str">
        <f>HYPERLINK("http://stackoverflow.com/users/10704536", "Liam.B")</f>
        <v>Liam.B</v>
      </c>
      <c r="D14636" t="s">
        <v>4</v>
      </c>
      <c r="E14636">
        <v>1</v>
      </c>
    </row>
    <row r="14637" spans="1:5" x14ac:dyDescent="0.25">
      <c r="A14637">
        <v>14636</v>
      </c>
      <c r="B14637">
        <v>10704612</v>
      </c>
      <c r="C14637" s="1" t="str">
        <f>HYPERLINK("http://stackoverflow.com/users/10704612", "will well")</f>
        <v>will well</v>
      </c>
      <c r="D14637" t="s">
        <v>58</v>
      </c>
      <c r="E14637">
        <v>1</v>
      </c>
    </row>
    <row r="14638" spans="1:5" x14ac:dyDescent="0.25">
      <c r="A14638">
        <v>14637</v>
      </c>
      <c r="B14638">
        <v>10704653</v>
      </c>
      <c r="C14638" s="1" t="str">
        <f>HYPERLINK("http://stackoverflow.com/users/10704653", "Victor Coyter")</f>
        <v>Victor Coyter</v>
      </c>
      <c r="D14638" t="s">
        <v>5</v>
      </c>
      <c r="E14638">
        <v>1</v>
      </c>
    </row>
    <row r="14639" spans="1:5" x14ac:dyDescent="0.25">
      <c r="A14639">
        <v>14638</v>
      </c>
      <c r="B14639">
        <v>10704764</v>
      </c>
      <c r="C14639" s="1" t="str">
        <f>HYPERLINK("http://stackoverflow.com/users/10704764", "polash007")</f>
        <v>polash007</v>
      </c>
      <c r="D14639" t="s">
        <v>25</v>
      </c>
      <c r="E14639">
        <v>1</v>
      </c>
    </row>
    <row r="14640" spans="1:5" x14ac:dyDescent="0.25">
      <c r="A14640">
        <v>14639</v>
      </c>
      <c r="B14640">
        <v>3498191</v>
      </c>
      <c r="C14640" s="1" t="str">
        <f>HYPERLINK("http://stackoverflow.com/users/3498191", "moonter")</f>
        <v>moonter</v>
      </c>
      <c r="D14640" t="s">
        <v>21</v>
      </c>
      <c r="E14640">
        <v>1</v>
      </c>
    </row>
    <row r="14641" spans="1:5" x14ac:dyDescent="0.25">
      <c r="A14641">
        <v>14640</v>
      </c>
      <c r="B14641">
        <v>9092550</v>
      </c>
      <c r="C14641" s="1" t="str">
        <f>HYPERLINK("http://stackoverflow.com/users/9092550", "Jarred Dong")</f>
        <v>Jarred Dong</v>
      </c>
      <c r="D14641" t="s">
        <v>11</v>
      </c>
      <c r="E14641">
        <v>1</v>
      </c>
    </row>
    <row r="14642" spans="1:5" x14ac:dyDescent="0.25">
      <c r="A14642">
        <v>14641</v>
      </c>
      <c r="B14642">
        <v>9092562</v>
      </c>
      <c r="C14642" s="1" t="str">
        <f>HYPERLINK("http://stackoverflow.com/users/9092562", "Clayeo")</f>
        <v>Clayeo</v>
      </c>
      <c r="D14642" t="s">
        <v>55</v>
      </c>
      <c r="E14642">
        <v>1</v>
      </c>
    </row>
    <row r="14643" spans="1:5" x14ac:dyDescent="0.25">
      <c r="A14643">
        <v>14642</v>
      </c>
      <c r="B14643">
        <v>7224307</v>
      </c>
      <c r="C14643" s="1" t="str">
        <f>HYPERLINK("http://stackoverflow.com/users/7224307", "Neock")</f>
        <v>Neock</v>
      </c>
      <c r="D14643" t="s">
        <v>25</v>
      </c>
      <c r="E14643">
        <v>1</v>
      </c>
    </row>
    <row r="14644" spans="1:5" x14ac:dyDescent="0.25">
      <c r="A14644">
        <v>14643</v>
      </c>
      <c r="B14644">
        <v>7224528</v>
      </c>
      <c r="C14644" s="1" t="str">
        <f>HYPERLINK("http://stackoverflow.com/users/7224528", "EricLee")</f>
        <v>EricLee</v>
      </c>
      <c r="D14644" t="s">
        <v>231</v>
      </c>
      <c r="E14644">
        <v>1</v>
      </c>
    </row>
    <row r="14645" spans="1:5" x14ac:dyDescent="0.25">
      <c r="A14645">
        <v>14644</v>
      </c>
      <c r="B14645">
        <v>9096195</v>
      </c>
      <c r="C14645" s="1" t="str">
        <f>HYPERLINK("http://stackoverflow.com/users/9096195", "NatsuC")</f>
        <v>NatsuC</v>
      </c>
      <c r="D14645" t="s">
        <v>47</v>
      </c>
      <c r="E14645">
        <v>1</v>
      </c>
    </row>
    <row r="14646" spans="1:5" x14ac:dyDescent="0.25">
      <c r="A14646">
        <v>14645</v>
      </c>
      <c r="B14646">
        <v>7228342</v>
      </c>
      <c r="C14646" s="1" t="str">
        <f>HYPERLINK("http://stackoverflow.com/users/7228342", "littleRich")</f>
        <v>littleRich</v>
      </c>
      <c r="D14646" t="s">
        <v>28</v>
      </c>
      <c r="E14646">
        <v>1</v>
      </c>
    </row>
    <row r="14647" spans="1:5" x14ac:dyDescent="0.25">
      <c r="A14647">
        <v>14646</v>
      </c>
      <c r="B14647">
        <v>7228390</v>
      </c>
      <c r="C14647" s="1" t="str">
        <f>HYPERLINK("http://stackoverflow.com/users/7228390", "aqnote")</f>
        <v>aqnote</v>
      </c>
      <c r="D14647" t="s">
        <v>16</v>
      </c>
      <c r="E14647">
        <v>1</v>
      </c>
    </row>
    <row r="14648" spans="1:5" x14ac:dyDescent="0.25">
      <c r="A14648">
        <v>14647</v>
      </c>
      <c r="B14648">
        <v>7228481</v>
      </c>
      <c r="C14648" s="1" t="str">
        <f>HYPERLINK("http://stackoverflow.com/users/7228481", "Kelly Wu")</f>
        <v>Kelly Wu</v>
      </c>
      <c r="D14648" t="s">
        <v>4</v>
      </c>
      <c r="E14648">
        <v>1</v>
      </c>
    </row>
    <row r="14649" spans="1:5" x14ac:dyDescent="0.25">
      <c r="A14649">
        <v>14648</v>
      </c>
      <c r="B14649">
        <v>5473978</v>
      </c>
      <c r="C14649" s="1" t="str">
        <f>HYPERLINK("http://stackoverflow.com/users/5473978", "Ming Ming")</f>
        <v>Ming Ming</v>
      </c>
      <c r="D14649" t="s">
        <v>5</v>
      </c>
      <c r="E14649">
        <v>1</v>
      </c>
    </row>
    <row r="14650" spans="1:5" x14ac:dyDescent="0.25">
      <c r="A14650">
        <v>14649</v>
      </c>
      <c r="B14650">
        <v>5474038</v>
      </c>
      <c r="C14650" s="1" t="str">
        <f>HYPERLINK("http://stackoverflow.com/users/5474038", "Jerry Yang")</f>
        <v>Jerry Yang</v>
      </c>
      <c r="D14650" t="s">
        <v>5</v>
      </c>
      <c r="E14650">
        <v>1</v>
      </c>
    </row>
    <row r="14651" spans="1:5" x14ac:dyDescent="0.25">
      <c r="A14651">
        <v>14650</v>
      </c>
      <c r="B14651">
        <v>1865399</v>
      </c>
      <c r="C14651" s="1" t="str">
        <f>HYPERLINK("http://stackoverflow.com/users/1865399", "dathras")</f>
        <v>dathras</v>
      </c>
      <c r="D14651" t="s">
        <v>4</v>
      </c>
      <c r="E14651">
        <v>1</v>
      </c>
    </row>
    <row r="14652" spans="1:5" x14ac:dyDescent="0.25">
      <c r="A14652">
        <v>14651</v>
      </c>
      <c r="B14652">
        <v>5466381</v>
      </c>
      <c r="C14652" s="1" t="str">
        <f>HYPERLINK("http://stackoverflow.com/users/5466381", "Hubery")</f>
        <v>Hubery</v>
      </c>
      <c r="D14652" t="s">
        <v>5</v>
      </c>
      <c r="E14652">
        <v>1</v>
      </c>
    </row>
    <row r="14653" spans="1:5" x14ac:dyDescent="0.25">
      <c r="A14653">
        <v>14652</v>
      </c>
      <c r="B14653">
        <v>5467004</v>
      </c>
      <c r="C14653" s="1" t="str">
        <f>HYPERLINK("http://stackoverflow.com/users/5467004", "call-fold")</f>
        <v>call-fold</v>
      </c>
      <c r="D14653" t="s">
        <v>7</v>
      </c>
      <c r="E14653">
        <v>1</v>
      </c>
    </row>
    <row r="14654" spans="1:5" x14ac:dyDescent="0.25">
      <c r="A14654">
        <v>14653</v>
      </c>
      <c r="B14654">
        <v>10884145</v>
      </c>
      <c r="C14654" s="1" t="str">
        <f>HYPERLINK("http://stackoverflow.com/users/10884145", "Hessin")</f>
        <v>Hessin</v>
      </c>
      <c r="D14654" t="s">
        <v>5</v>
      </c>
      <c r="E14654">
        <v>1</v>
      </c>
    </row>
    <row r="14655" spans="1:5" x14ac:dyDescent="0.25">
      <c r="A14655">
        <v>14654</v>
      </c>
      <c r="B14655">
        <v>9092063</v>
      </c>
      <c r="C14655" s="1" t="str">
        <f>HYPERLINK("http://stackoverflow.com/users/9092063", "Yon Jee Kwun")</f>
        <v>Yon Jee Kwun</v>
      </c>
      <c r="D14655" t="s">
        <v>709</v>
      </c>
      <c r="E14655">
        <v>1</v>
      </c>
    </row>
    <row r="14656" spans="1:5" x14ac:dyDescent="0.25">
      <c r="A14656">
        <v>14655</v>
      </c>
      <c r="B14656">
        <v>9092189</v>
      </c>
      <c r="C14656" s="1" t="str">
        <f>HYPERLINK("http://stackoverflow.com/users/9092189", "Kenneth Zhong")</f>
        <v>Kenneth Zhong</v>
      </c>
      <c r="D14656" t="s">
        <v>374</v>
      </c>
      <c r="E14656">
        <v>1</v>
      </c>
    </row>
    <row r="14657" spans="1:5" x14ac:dyDescent="0.25">
      <c r="A14657">
        <v>14656</v>
      </c>
      <c r="B14657">
        <v>9092193</v>
      </c>
      <c r="C14657" s="1" t="str">
        <f>HYPERLINK("http://stackoverflow.com/users/9092193", "Shu")</f>
        <v>Shu</v>
      </c>
      <c r="D14657" t="s">
        <v>5</v>
      </c>
      <c r="E14657">
        <v>1</v>
      </c>
    </row>
    <row r="14658" spans="1:5" x14ac:dyDescent="0.25">
      <c r="A14658">
        <v>14657</v>
      </c>
      <c r="B14658">
        <v>9092341</v>
      </c>
      <c r="C14658" s="1" t="str">
        <f>HYPERLINK("http://stackoverflow.com/users/9092341", "Richard")</f>
        <v>Richard</v>
      </c>
      <c r="D14658" t="s">
        <v>7</v>
      </c>
      <c r="E14658">
        <v>1</v>
      </c>
    </row>
    <row r="14659" spans="1:5" x14ac:dyDescent="0.25">
      <c r="A14659">
        <v>14658</v>
      </c>
      <c r="B14659">
        <v>9088632</v>
      </c>
      <c r="C14659" s="1" t="str">
        <f>HYPERLINK("http://stackoverflow.com/users/9088632", "黄然诺")</f>
        <v>黄然诺</v>
      </c>
      <c r="D14659" t="s">
        <v>11</v>
      </c>
      <c r="E14659">
        <v>1</v>
      </c>
    </row>
    <row r="14660" spans="1:5" x14ac:dyDescent="0.25">
      <c r="A14660">
        <v>14659</v>
      </c>
      <c r="B14660">
        <v>9088765</v>
      </c>
      <c r="C14660" s="1" t="str">
        <f>HYPERLINK("http://stackoverflow.com/users/9088765", "alexander lake")</f>
        <v>alexander lake</v>
      </c>
      <c r="D14660" t="s">
        <v>5</v>
      </c>
      <c r="E14660">
        <v>1</v>
      </c>
    </row>
    <row r="14661" spans="1:5" x14ac:dyDescent="0.25">
      <c r="A14661">
        <v>14660</v>
      </c>
      <c r="B14661">
        <v>9088841</v>
      </c>
      <c r="C14661" s="1" t="str">
        <f>HYPERLINK("http://stackoverflow.com/users/9088841", "Barry Sean")</f>
        <v>Barry Sean</v>
      </c>
      <c r="D14661" t="s">
        <v>118</v>
      </c>
      <c r="E14661">
        <v>1</v>
      </c>
    </row>
    <row r="14662" spans="1:5" x14ac:dyDescent="0.25">
      <c r="A14662">
        <v>14661</v>
      </c>
      <c r="B14662">
        <v>9088852</v>
      </c>
      <c r="C14662" s="1" t="str">
        <f>HYPERLINK("http://stackoverflow.com/users/9088852", "xiyuan.sq")</f>
        <v>xiyuan.sq</v>
      </c>
      <c r="D14662" t="s">
        <v>28</v>
      </c>
      <c r="E14662">
        <v>1</v>
      </c>
    </row>
    <row r="14663" spans="1:5" x14ac:dyDescent="0.25">
      <c r="A14663">
        <v>14662</v>
      </c>
      <c r="B14663">
        <v>10887381</v>
      </c>
      <c r="C14663" s="1" t="str">
        <f>HYPERLINK("http://stackoverflow.com/users/10887381", "wlh")</f>
        <v>wlh</v>
      </c>
      <c r="D14663" t="s">
        <v>809</v>
      </c>
      <c r="E14663">
        <v>1</v>
      </c>
    </row>
    <row r="14664" spans="1:5" x14ac:dyDescent="0.25">
      <c r="A14664">
        <v>14663</v>
      </c>
      <c r="B14664">
        <v>10887383</v>
      </c>
      <c r="C14664" s="1" t="str">
        <f>HYPERLINK("http://stackoverflow.com/users/10887383", "vwlf")</f>
        <v>vwlf</v>
      </c>
      <c r="D14664" t="s">
        <v>4</v>
      </c>
      <c r="E14664">
        <v>1</v>
      </c>
    </row>
    <row r="14665" spans="1:5" x14ac:dyDescent="0.25">
      <c r="A14665">
        <v>14664</v>
      </c>
      <c r="B14665">
        <v>5469960</v>
      </c>
      <c r="C14665" s="1" t="str">
        <f>HYPERLINK("http://stackoverflow.com/users/5469960", "A. Lu")</f>
        <v>A. Lu</v>
      </c>
      <c r="D14665" t="s">
        <v>74</v>
      </c>
      <c r="E14665">
        <v>1</v>
      </c>
    </row>
    <row r="14666" spans="1:5" x14ac:dyDescent="0.25">
      <c r="A14666">
        <v>14665</v>
      </c>
      <c r="B14666">
        <v>5469961</v>
      </c>
      <c r="C14666" s="1" t="str">
        <f>HYPERLINK("http://stackoverflow.com/users/5469961", "lion")</f>
        <v>lion</v>
      </c>
      <c r="D14666" t="s">
        <v>12</v>
      </c>
      <c r="E14666">
        <v>1</v>
      </c>
    </row>
    <row r="14667" spans="1:5" x14ac:dyDescent="0.25">
      <c r="A14667">
        <v>14666</v>
      </c>
      <c r="B14667">
        <v>5469997</v>
      </c>
      <c r="C14667" s="1" t="str">
        <f>HYPERLINK("http://stackoverflow.com/users/5469997", "Jack Gong")</f>
        <v>Jack Gong</v>
      </c>
      <c r="D14667" t="s">
        <v>4</v>
      </c>
      <c r="E14667">
        <v>1</v>
      </c>
    </row>
    <row r="14668" spans="1:5" x14ac:dyDescent="0.25">
      <c r="A14668">
        <v>14667</v>
      </c>
      <c r="B14668">
        <v>5470041</v>
      </c>
      <c r="C14668" s="1" t="str">
        <f>HYPERLINK("http://stackoverflow.com/users/5470041", "outman")</f>
        <v>outman</v>
      </c>
      <c r="D14668" t="s">
        <v>5</v>
      </c>
      <c r="E14668">
        <v>1</v>
      </c>
    </row>
    <row r="14669" spans="1:5" x14ac:dyDescent="0.25">
      <c r="A14669">
        <v>14668</v>
      </c>
      <c r="B14669">
        <v>5470118</v>
      </c>
      <c r="C14669" s="1" t="str">
        <f>HYPERLINK("http://stackoverflow.com/users/5470118", "Henry.xu")</f>
        <v>Henry.xu</v>
      </c>
      <c r="D14669" t="s">
        <v>4</v>
      </c>
      <c r="E14669">
        <v>1</v>
      </c>
    </row>
    <row r="14670" spans="1:5" x14ac:dyDescent="0.25">
      <c r="A14670">
        <v>14669</v>
      </c>
      <c r="B14670">
        <v>5470163</v>
      </c>
      <c r="C14670" s="1" t="str">
        <f>HYPERLINK("http://stackoverflow.com/users/5470163", "Henri")</f>
        <v>Henri</v>
      </c>
      <c r="D14670" t="s">
        <v>4</v>
      </c>
      <c r="E14670">
        <v>1</v>
      </c>
    </row>
    <row r="14671" spans="1:5" x14ac:dyDescent="0.25">
      <c r="A14671">
        <v>14670</v>
      </c>
      <c r="B14671">
        <v>5470222</v>
      </c>
      <c r="C14671" s="1" t="str">
        <f>HYPERLINK("http://stackoverflow.com/users/5470222", "Stan")</f>
        <v>Stan</v>
      </c>
      <c r="D14671" t="s">
        <v>5</v>
      </c>
      <c r="E14671">
        <v>1</v>
      </c>
    </row>
    <row r="14672" spans="1:5" x14ac:dyDescent="0.25">
      <c r="A14672">
        <v>14671</v>
      </c>
      <c r="B14672">
        <v>5470264</v>
      </c>
      <c r="C14672" s="1" t="str">
        <f>HYPERLINK("http://stackoverflow.com/users/5470264", "Ivan")</f>
        <v>Ivan</v>
      </c>
      <c r="D14672" t="s">
        <v>5</v>
      </c>
      <c r="E14672">
        <v>1</v>
      </c>
    </row>
    <row r="14673" spans="1:5" x14ac:dyDescent="0.25">
      <c r="A14673">
        <v>14672</v>
      </c>
      <c r="B14673">
        <v>5470357</v>
      </c>
      <c r="C14673" s="1" t="str">
        <f>HYPERLINK("http://stackoverflow.com/users/5470357", "Meng Zhang")</f>
        <v>Meng Zhang</v>
      </c>
      <c r="D14673" t="s">
        <v>5</v>
      </c>
      <c r="E14673">
        <v>1</v>
      </c>
    </row>
    <row r="14674" spans="1:5" x14ac:dyDescent="0.25">
      <c r="A14674">
        <v>14673</v>
      </c>
      <c r="B14674">
        <v>5489062</v>
      </c>
      <c r="C14674" s="1" t="str">
        <f>HYPERLINK("http://stackoverflow.com/users/5489062", "Tino Song")</f>
        <v>Tino Song</v>
      </c>
      <c r="D14674" t="s">
        <v>4</v>
      </c>
      <c r="E14674">
        <v>1</v>
      </c>
    </row>
    <row r="14675" spans="1:5" x14ac:dyDescent="0.25">
      <c r="A14675">
        <v>14674</v>
      </c>
      <c r="B14675">
        <v>10909714</v>
      </c>
      <c r="C14675" s="1" t="str">
        <f>HYPERLINK("http://stackoverflow.com/users/10909714", "chenfeng")</f>
        <v>chenfeng</v>
      </c>
      <c r="D14675" t="s">
        <v>4</v>
      </c>
      <c r="E14675">
        <v>1</v>
      </c>
    </row>
    <row r="14676" spans="1:5" x14ac:dyDescent="0.25">
      <c r="A14676">
        <v>14675</v>
      </c>
      <c r="B14676">
        <v>10909824</v>
      </c>
      <c r="C14676" s="1" t="str">
        <f>HYPERLINK("http://stackoverflow.com/users/10909824", "snljty")</f>
        <v>snljty</v>
      </c>
      <c r="D14676" t="s">
        <v>5</v>
      </c>
      <c r="E14676">
        <v>1</v>
      </c>
    </row>
    <row r="14677" spans="1:5" x14ac:dyDescent="0.25">
      <c r="A14677">
        <v>14676</v>
      </c>
      <c r="B14677">
        <v>10909973</v>
      </c>
      <c r="C14677" s="1" t="str">
        <f>HYPERLINK("http://stackoverflow.com/users/10909973", "leihuang")</f>
        <v>leihuang</v>
      </c>
      <c r="D14677" t="s">
        <v>16</v>
      </c>
      <c r="E14677">
        <v>1</v>
      </c>
    </row>
    <row r="14678" spans="1:5" x14ac:dyDescent="0.25">
      <c r="A14678">
        <v>14677</v>
      </c>
      <c r="B14678">
        <v>1894028</v>
      </c>
      <c r="C14678" s="1" t="str">
        <f>HYPERLINK("http://stackoverflow.com/users/1894028", "chenjiaqi")</f>
        <v>chenjiaqi</v>
      </c>
      <c r="D14678" t="s">
        <v>5</v>
      </c>
      <c r="E14678">
        <v>1</v>
      </c>
    </row>
    <row r="14679" spans="1:5" x14ac:dyDescent="0.25">
      <c r="A14679">
        <v>14678</v>
      </c>
      <c r="B14679">
        <v>1894365</v>
      </c>
      <c r="C14679" s="1" t="str">
        <f>HYPERLINK("http://stackoverflow.com/users/1894365", "PiaorDu")</f>
        <v>PiaorDu</v>
      </c>
      <c r="D14679" t="s">
        <v>8</v>
      </c>
      <c r="E14679">
        <v>1</v>
      </c>
    </row>
    <row r="14680" spans="1:5" x14ac:dyDescent="0.25">
      <c r="A14680">
        <v>14679</v>
      </c>
      <c r="B14680">
        <v>1894440</v>
      </c>
      <c r="C14680" s="1" t="str">
        <f>HYPERLINK("http://stackoverflow.com/users/1894440", "ChengLin.Yang")</f>
        <v>ChengLin.Yang</v>
      </c>
      <c r="D14680" t="s">
        <v>5</v>
      </c>
      <c r="E14680">
        <v>1</v>
      </c>
    </row>
    <row r="14681" spans="1:5" x14ac:dyDescent="0.25">
      <c r="A14681">
        <v>14680</v>
      </c>
      <c r="B14681">
        <v>7244401</v>
      </c>
      <c r="C14681" s="1" t="str">
        <f>HYPERLINK("http://stackoverflow.com/users/7244401", "YufeiZhao")</f>
        <v>YufeiZhao</v>
      </c>
      <c r="D14681" t="s">
        <v>57</v>
      </c>
      <c r="E14681">
        <v>1</v>
      </c>
    </row>
    <row r="14682" spans="1:5" x14ac:dyDescent="0.25">
      <c r="A14682">
        <v>14681</v>
      </c>
      <c r="B14682">
        <v>7244491</v>
      </c>
      <c r="C14682" s="1" t="str">
        <f>HYPERLINK("http://stackoverflow.com/users/7244491", "冀信驰")</f>
        <v>冀信驰</v>
      </c>
      <c r="D14682" t="s">
        <v>5</v>
      </c>
      <c r="E14682">
        <v>1</v>
      </c>
    </row>
    <row r="14683" spans="1:5" x14ac:dyDescent="0.25">
      <c r="A14683">
        <v>14682</v>
      </c>
      <c r="B14683">
        <v>10914873</v>
      </c>
      <c r="C14683" s="1" t="str">
        <f>HYPERLINK("http://stackoverflow.com/users/10914873", "吴一帆")</f>
        <v>吴一帆</v>
      </c>
      <c r="D14683" t="s">
        <v>5</v>
      </c>
      <c r="E14683">
        <v>1</v>
      </c>
    </row>
    <row r="14684" spans="1:5" x14ac:dyDescent="0.25">
      <c r="A14684">
        <v>14683</v>
      </c>
      <c r="B14684">
        <v>10915157</v>
      </c>
      <c r="C14684" s="1" t="str">
        <f>HYPERLINK("http://stackoverflow.com/users/10915157", "malcolmholland")</f>
        <v>malcolmholland</v>
      </c>
      <c r="D14684" t="s">
        <v>810</v>
      </c>
      <c r="E14684">
        <v>1</v>
      </c>
    </row>
    <row r="14685" spans="1:5" x14ac:dyDescent="0.25">
      <c r="A14685">
        <v>14684</v>
      </c>
      <c r="B14685">
        <v>10915283</v>
      </c>
      <c r="C14685" s="1" t="str">
        <f>HYPERLINK("http://stackoverflow.com/users/10915283", "Shiao Qu")</f>
        <v>Shiao Qu</v>
      </c>
      <c r="D14685" t="s">
        <v>5</v>
      </c>
      <c r="E14685">
        <v>1</v>
      </c>
    </row>
    <row r="14686" spans="1:5" x14ac:dyDescent="0.25">
      <c r="A14686">
        <v>14685</v>
      </c>
      <c r="B14686">
        <v>5493537</v>
      </c>
      <c r="C14686" s="1" t="str">
        <f>HYPERLINK("http://stackoverflow.com/users/5493537", "husan")</f>
        <v>husan</v>
      </c>
      <c r="D14686" t="s">
        <v>29</v>
      </c>
      <c r="E14686">
        <v>1</v>
      </c>
    </row>
    <row r="14687" spans="1:5" x14ac:dyDescent="0.25">
      <c r="A14687">
        <v>14686</v>
      </c>
      <c r="B14687">
        <v>5493589</v>
      </c>
      <c r="C14687" s="1" t="str">
        <f>HYPERLINK("http://stackoverflow.com/users/5493589", "solverpeng")</f>
        <v>solverpeng</v>
      </c>
      <c r="D14687" t="s">
        <v>5</v>
      </c>
      <c r="E14687">
        <v>1</v>
      </c>
    </row>
    <row r="14688" spans="1:5" x14ac:dyDescent="0.25">
      <c r="A14688">
        <v>14687</v>
      </c>
      <c r="B14688">
        <v>5493855</v>
      </c>
      <c r="C14688" s="1" t="str">
        <f>HYPERLINK("http://stackoverflow.com/users/5493855", "M. Ahsan")</f>
        <v>M. Ahsan</v>
      </c>
      <c r="D14688" t="s">
        <v>5</v>
      </c>
      <c r="E14688">
        <v>1</v>
      </c>
    </row>
    <row r="14689" spans="1:5" x14ac:dyDescent="0.25">
      <c r="A14689">
        <v>14688</v>
      </c>
      <c r="B14689">
        <v>1900330</v>
      </c>
      <c r="C14689" s="1" t="str">
        <f>HYPERLINK("http://stackoverflow.com/users/1900330", "honestleaf")</f>
        <v>honestleaf</v>
      </c>
      <c r="D14689" t="s">
        <v>4</v>
      </c>
      <c r="E14689">
        <v>1</v>
      </c>
    </row>
    <row r="14690" spans="1:5" x14ac:dyDescent="0.25">
      <c r="A14690">
        <v>14689</v>
      </c>
      <c r="B14690">
        <v>9081899</v>
      </c>
      <c r="C14690" s="1" t="str">
        <f>HYPERLINK("http://stackoverflow.com/users/9081899", "Sara Tao")</f>
        <v>Sara Tao</v>
      </c>
      <c r="D14690" t="s">
        <v>4</v>
      </c>
      <c r="E14690">
        <v>1</v>
      </c>
    </row>
    <row r="14691" spans="1:5" x14ac:dyDescent="0.25">
      <c r="A14691">
        <v>14690</v>
      </c>
      <c r="B14691">
        <v>9081904</v>
      </c>
      <c r="C14691" s="1" t="str">
        <f>HYPERLINK("http://stackoverflow.com/users/9081904", "程敬增")</f>
        <v>程敬增</v>
      </c>
      <c r="D14691" t="s">
        <v>522</v>
      </c>
      <c r="E14691">
        <v>1</v>
      </c>
    </row>
    <row r="14692" spans="1:5" x14ac:dyDescent="0.25">
      <c r="A14692">
        <v>14691</v>
      </c>
      <c r="B14692">
        <v>9096650</v>
      </c>
      <c r="C14692" s="1" t="str">
        <f>HYPERLINK("http://stackoverflow.com/users/9096650", "Plike")</f>
        <v>Plike</v>
      </c>
      <c r="D14692" t="s">
        <v>52</v>
      </c>
      <c r="E14692">
        <v>1</v>
      </c>
    </row>
    <row r="14693" spans="1:5" x14ac:dyDescent="0.25">
      <c r="A14693">
        <v>14692</v>
      </c>
      <c r="B14693">
        <v>1879389</v>
      </c>
      <c r="C14693" s="1" t="str">
        <f>HYPERLINK("http://stackoverflow.com/users/1879389", "Cheng Zhou")</f>
        <v>Cheng Zhou</v>
      </c>
      <c r="D14693" t="s">
        <v>31</v>
      </c>
      <c r="E14693">
        <v>1</v>
      </c>
    </row>
    <row r="14694" spans="1:5" x14ac:dyDescent="0.25">
      <c r="A14694">
        <v>14693</v>
      </c>
      <c r="B14694">
        <v>5476871</v>
      </c>
      <c r="C14694" s="1" t="str">
        <f>HYPERLINK("http://stackoverflow.com/users/5476871", "bo.ma")</f>
        <v>bo.ma</v>
      </c>
      <c r="D14694" t="s">
        <v>287</v>
      </c>
      <c r="E14694">
        <v>1</v>
      </c>
    </row>
    <row r="14695" spans="1:5" x14ac:dyDescent="0.25">
      <c r="A14695">
        <v>14694</v>
      </c>
      <c r="B14695">
        <v>10896133</v>
      </c>
      <c r="C14695" s="1" t="str">
        <f>HYPERLINK("http://stackoverflow.com/users/10896133", "Eric Zhou")</f>
        <v>Eric Zhou</v>
      </c>
      <c r="D14695" t="s">
        <v>4</v>
      </c>
      <c r="E14695">
        <v>1</v>
      </c>
    </row>
    <row r="14696" spans="1:5" x14ac:dyDescent="0.25">
      <c r="A14696">
        <v>14695</v>
      </c>
      <c r="B14696">
        <v>7235532</v>
      </c>
      <c r="C14696" s="1" t="str">
        <f>HYPERLINK("http://stackoverflow.com/users/7235532", "kopuCoder")</f>
        <v>kopuCoder</v>
      </c>
      <c r="D14696" t="s">
        <v>5</v>
      </c>
      <c r="E14696">
        <v>1</v>
      </c>
    </row>
    <row r="14697" spans="1:5" x14ac:dyDescent="0.25">
      <c r="A14697">
        <v>14696</v>
      </c>
      <c r="B14697">
        <v>7235668</v>
      </c>
      <c r="C14697" s="1" t="str">
        <f>HYPERLINK("http://stackoverflow.com/users/7235668", "双喜柳")</f>
        <v>双喜柳</v>
      </c>
      <c r="D14697" t="s">
        <v>5</v>
      </c>
      <c r="E14697">
        <v>1</v>
      </c>
    </row>
    <row r="14698" spans="1:5" x14ac:dyDescent="0.25">
      <c r="A14698">
        <v>14697</v>
      </c>
      <c r="B14698">
        <v>7239432</v>
      </c>
      <c r="C14698" s="1" t="str">
        <f>HYPERLINK("http://stackoverflow.com/users/7239432", "LMarTinnnn")</f>
        <v>LMarTinnnn</v>
      </c>
      <c r="D14698" t="s">
        <v>28</v>
      </c>
      <c r="E14698">
        <v>1</v>
      </c>
    </row>
    <row r="14699" spans="1:5" x14ac:dyDescent="0.25">
      <c r="A14699">
        <v>14698</v>
      </c>
      <c r="B14699">
        <v>7239437</v>
      </c>
      <c r="C14699" s="1" t="str">
        <f>HYPERLINK("http://stackoverflow.com/users/7239437", "Kaiming Li")</f>
        <v>Kaiming Li</v>
      </c>
      <c r="D14699" t="s">
        <v>28</v>
      </c>
      <c r="E14699">
        <v>1</v>
      </c>
    </row>
    <row r="14700" spans="1:5" x14ac:dyDescent="0.25">
      <c r="A14700">
        <v>14699</v>
      </c>
      <c r="B14700">
        <v>3686937</v>
      </c>
      <c r="C14700" s="1" t="str">
        <f>HYPERLINK("http://stackoverflow.com/users/3686937", "Fechin")</f>
        <v>Fechin</v>
      </c>
      <c r="D14700" t="s">
        <v>5</v>
      </c>
      <c r="E14700">
        <v>1</v>
      </c>
    </row>
    <row r="14701" spans="1:5" x14ac:dyDescent="0.25">
      <c r="A14701">
        <v>14700</v>
      </c>
      <c r="B14701">
        <v>9105807</v>
      </c>
      <c r="C14701" s="1" t="str">
        <f>HYPERLINK("http://stackoverflow.com/users/9105807", "Jing.Dong")</f>
        <v>Jing.Dong</v>
      </c>
      <c r="D14701" t="s">
        <v>5</v>
      </c>
      <c r="E14701">
        <v>1</v>
      </c>
    </row>
    <row r="14702" spans="1:5" x14ac:dyDescent="0.25">
      <c r="A14702">
        <v>14701</v>
      </c>
      <c r="B14702">
        <v>9105854</v>
      </c>
      <c r="C14702" s="1" t="str">
        <f>HYPERLINK("http://stackoverflow.com/users/9105854", "Devillove084")</f>
        <v>Devillove084</v>
      </c>
      <c r="D14702" t="s">
        <v>55</v>
      </c>
      <c r="E14702">
        <v>1</v>
      </c>
    </row>
    <row r="14703" spans="1:5" x14ac:dyDescent="0.25">
      <c r="A14703">
        <v>14702</v>
      </c>
      <c r="B14703">
        <v>9105930</v>
      </c>
      <c r="C14703" s="1" t="str">
        <f>HYPERLINK("http://stackoverflow.com/users/9105930", "JaguarJack")</f>
        <v>JaguarJack</v>
      </c>
      <c r="D14703" t="s">
        <v>135</v>
      </c>
      <c r="E14703">
        <v>1</v>
      </c>
    </row>
    <row r="14704" spans="1:5" x14ac:dyDescent="0.25">
      <c r="A14704">
        <v>14703</v>
      </c>
      <c r="B14704">
        <v>9105982</v>
      </c>
      <c r="C14704" s="1" t="str">
        <f>HYPERLINK("http://stackoverflow.com/users/9105982", "CRPJ")</f>
        <v>CRPJ</v>
      </c>
      <c r="D14704" t="s">
        <v>52</v>
      </c>
      <c r="E14704">
        <v>1</v>
      </c>
    </row>
    <row r="14705" spans="1:5" x14ac:dyDescent="0.25">
      <c r="A14705">
        <v>14704</v>
      </c>
      <c r="B14705">
        <v>3610728</v>
      </c>
      <c r="C14705" s="1" t="str">
        <f>HYPERLINK("http://stackoverflow.com/users/3610728", "Edison")</f>
        <v>Edison</v>
      </c>
      <c r="D14705" t="s">
        <v>5</v>
      </c>
      <c r="E14705">
        <v>1</v>
      </c>
    </row>
    <row r="14706" spans="1:5" x14ac:dyDescent="0.25">
      <c r="A14706">
        <v>14705</v>
      </c>
      <c r="B14706">
        <v>9033831</v>
      </c>
      <c r="C14706" s="1" t="str">
        <f>HYPERLINK("http://stackoverflow.com/users/9033831", "GrayZhang")</f>
        <v>GrayZhang</v>
      </c>
      <c r="D14706" t="s">
        <v>5</v>
      </c>
      <c r="E14706">
        <v>1</v>
      </c>
    </row>
    <row r="14707" spans="1:5" x14ac:dyDescent="0.25">
      <c r="A14707">
        <v>14706</v>
      </c>
      <c r="B14707">
        <v>3615298</v>
      </c>
      <c r="C14707" s="1" t="str">
        <f>HYPERLINK("http://stackoverflow.com/users/3615298", "ifidot")</f>
        <v>ifidot</v>
      </c>
      <c r="D14707" t="s">
        <v>5</v>
      </c>
      <c r="E14707">
        <v>1</v>
      </c>
    </row>
    <row r="14708" spans="1:5" x14ac:dyDescent="0.25">
      <c r="A14708">
        <v>14707</v>
      </c>
      <c r="B14708">
        <v>10829322</v>
      </c>
      <c r="C14708" s="1" t="str">
        <f>HYPERLINK("http://stackoverflow.com/users/10829322", "MingZhe Qiu")</f>
        <v>MingZhe Qiu</v>
      </c>
      <c r="D14708" t="s">
        <v>33</v>
      </c>
      <c r="E14708">
        <v>1</v>
      </c>
    </row>
    <row r="14709" spans="1:5" x14ac:dyDescent="0.25">
      <c r="A14709">
        <v>14708</v>
      </c>
      <c r="B14709">
        <v>9048450</v>
      </c>
      <c r="C14709" s="1" t="str">
        <f>HYPERLINK("http://stackoverflow.com/users/9048450", "Mark Zhang")</f>
        <v>Mark Zhang</v>
      </c>
      <c r="D14709" t="s">
        <v>74</v>
      </c>
      <c r="E14709">
        <v>1</v>
      </c>
    </row>
    <row r="14710" spans="1:5" x14ac:dyDescent="0.25">
      <c r="A14710">
        <v>14709</v>
      </c>
      <c r="B14710">
        <v>1814091</v>
      </c>
      <c r="C14710" s="1" t="str">
        <f>HYPERLINK("http://stackoverflow.com/users/1814091", "cjd8505")</f>
        <v>cjd8505</v>
      </c>
      <c r="D14710" t="s">
        <v>5</v>
      </c>
      <c r="E14710">
        <v>1</v>
      </c>
    </row>
    <row r="14711" spans="1:5" x14ac:dyDescent="0.25">
      <c r="A14711">
        <v>14710</v>
      </c>
      <c r="B14711">
        <v>1814810</v>
      </c>
      <c r="C14711" s="1" t="str">
        <f>HYPERLINK("http://stackoverflow.com/users/1814810", "nullTao")</f>
        <v>nullTao</v>
      </c>
      <c r="D14711" t="s">
        <v>5</v>
      </c>
      <c r="E14711">
        <v>1</v>
      </c>
    </row>
    <row r="14712" spans="1:5" x14ac:dyDescent="0.25">
      <c r="A14712">
        <v>14711</v>
      </c>
      <c r="B14712">
        <v>1815360</v>
      </c>
      <c r="C14712" s="1" t="str">
        <f>HYPERLINK("http://stackoverflow.com/users/1815360", "tcxiii")</f>
        <v>tcxiii</v>
      </c>
      <c r="D14712" t="s">
        <v>21</v>
      </c>
      <c r="E14712">
        <v>1</v>
      </c>
    </row>
    <row r="14713" spans="1:5" x14ac:dyDescent="0.25">
      <c r="A14713">
        <v>14712</v>
      </c>
      <c r="B14713">
        <v>3624634</v>
      </c>
      <c r="C14713" s="1" t="str">
        <f>HYPERLINK("http://stackoverflow.com/users/3624634", "veryyoung")</f>
        <v>veryyoung</v>
      </c>
      <c r="D14713" t="s">
        <v>8</v>
      </c>
      <c r="E14713">
        <v>1</v>
      </c>
    </row>
    <row r="14714" spans="1:5" x14ac:dyDescent="0.25">
      <c r="A14714">
        <v>14713</v>
      </c>
      <c r="B14714">
        <v>3624733</v>
      </c>
      <c r="C14714" s="1" t="str">
        <f>HYPERLINK("http://stackoverflow.com/users/3624733", "junbinchen")</f>
        <v>junbinchen</v>
      </c>
      <c r="D14714" t="s">
        <v>38</v>
      </c>
      <c r="E14714">
        <v>1</v>
      </c>
    </row>
    <row r="14715" spans="1:5" x14ac:dyDescent="0.25">
      <c r="A14715">
        <v>14714</v>
      </c>
      <c r="B14715">
        <v>10838860</v>
      </c>
      <c r="C14715" s="1" t="str">
        <f>HYPERLINK("http://stackoverflow.com/users/10838860", "labro zhang")</f>
        <v>labro zhang</v>
      </c>
      <c r="D14715" t="s">
        <v>7</v>
      </c>
      <c r="E14715">
        <v>1</v>
      </c>
    </row>
    <row r="14716" spans="1:5" x14ac:dyDescent="0.25">
      <c r="A14716">
        <v>14715</v>
      </c>
      <c r="B14716">
        <v>10838926</v>
      </c>
      <c r="C14716" s="1" t="str">
        <f>HYPERLINK("http://stackoverflow.com/users/10838926", "yyx")</f>
        <v>yyx</v>
      </c>
      <c r="D14716" t="s">
        <v>184</v>
      </c>
      <c r="E14716">
        <v>1</v>
      </c>
    </row>
    <row r="14717" spans="1:5" x14ac:dyDescent="0.25">
      <c r="A14717">
        <v>14716</v>
      </c>
      <c r="B14717">
        <v>9056535</v>
      </c>
      <c r="C14717" s="1" t="str">
        <f>HYPERLINK("http://stackoverflow.com/users/9056535", "bo li")</f>
        <v>bo li</v>
      </c>
      <c r="D14717" t="s">
        <v>5</v>
      </c>
      <c r="E14717">
        <v>1</v>
      </c>
    </row>
    <row r="14718" spans="1:5" x14ac:dyDescent="0.25">
      <c r="A14718">
        <v>14717</v>
      </c>
      <c r="B14718">
        <v>9056850</v>
      </c>
      <c r="C14718" s="1" t="str">
        <f>HYPERLINK("http://stackoverflow.com/users/9056850", "Pengfei XU")</f>
        <v>Pengfei XU</v>
      </c>
      <c r="D14718" t="s">
        <v>7</v>
      </c>
      <c r="E14718">
        <v>1</v>
      </c>
    </row>
    <row r="14719" spans="1:5" x14ac:dyDescent="0.25">
      <c r="A14719">
        <v>14718</v>
      </c>
      <c r="B14719">
        <v>7193436</v>
      </c>
      <c r="C14719" s="1" t="str">
        <f>HYPERLINK("http://stackoverflow.com/users/7193436", "sakura")</f>
        <v>sakura</v>
      </c>
      <c r="D14719" t="s">
        <v>16</v>
      </c>
      <c r="E14719">
        <v>1</v>
      </c>
    </row>
    <row r="14720" spans="1:5" x14ac:dyDescent="0.25">
      <c r="A14720">
        <v>14719</v>
      </c>
      <c r="B14720">
        <v>7193512</v>
      </c>
      <c r="C14720" s="1" t="str">
        <f>HYPERLINK("http://stackoverflow.com/users/7193512", "Derek")</f>
        <v>Derek</v>
      </c>
      <c r="D14720" t="s">
        <v>4</v>
      </c>
      <c r="E14720">
        <v>1</v>
      </c>
    </row>
    <row r="14721" spans="1:5" x14ac:dyDescent="0.25">
      <c r="A14721">
        <v>14720</v>
      </c>
      <c r="B14721">
        <v>7193570</v>
      </c>
      <c r="C14721" s="1" t="str">
        <f>HYPERLINK("http://stackoverflow.com/users/7193570", "prs")</f>
        <v>prs</v>
      </c>
      <c r="D14721" t="s">
        <v>16</v>
      </c>
      <c r="E14721">
        <v>1</v>
      </c>
    </row>
    <row r="14722" spans="1:5" x14ac:dyDescent="0.25">
      <c r="A14722">
        <v>14721</v>
      </c>
      <c r="B14722">
        <v>7193577</v>
      </c>
      <c r="C14722" s="1" t="str">
        <f>HYPERLINK("http://stackoverflow.com/users/7193577", "张春宇")</f>
        <v>张春宇</v>
      </c>
      <c r="D14722" t="s">
        <v>10</v>
      </c>
      <c r="E14722">
        <v>1</v>
      </c>
    </row>
    <row r="14723" spans="1:5" x14ac:dyDescent="0.25">
      <c r="A14723">
        <v>14722</v>
      </c>
      <c r="B14723">
        <v>7193782</v>
      </c>
      <c r="C14723" s="1" t="str">
        <f>HYPERLINK("http://stackoverflow.com/users/7193782", "Daiyu")</f>
        <v>Daiyu</v>
      </c>
      <c r="D14723" t="s">
        <v>28</v>
      </c>
      <c r="E14723">
        <v>1</v>
      </c>
    </row>
    <row r="14724" spans="1:5" x14ac:dyDescent="0.25">
      <c r="A14724">
        <v>14723</v>
      </c>
      <c r="B14724">
        <v>3636285</v>
      </c>
      <c r="C14724" s="1" t="str">
        <f>HYPERLINK("http://stackoverflow.com/users/3636285", "Raza")</f>
        <v>Raza</v>
      </c>
      <c r="D14724" t="s">
        <v>8</v>
      </c>
      <c r="E14724">
        <v>1</v>
      </c>
    </row>
    <row r="14725" spans="1:5" x14ac:dyDescent="0.25">
      <c r="A14725">
        <v>14724</v>
      </c>
      <c r="B14725">
        <v>5440962</v>
      </c>
      <c r="C14725" s="1" t="str">
        <f>HYPERLINK("http://stackoverflow.com/users/5440962", "defu Jay")</f>
        <v>defu Jay</v>
      </c>
      <c r="D14725" t="s">
        <v>17</v>
      </c>
      <c r="E14725">
        <v>1</v>
      </c>
    </row>
    <row r="14726" spans="1:5" x14ac:dyDescent="0.25">
      <c r="A14726">
        <v>14725</v>
      </c>
      <c r="B14726">
        <v>9060444</v>
      </c>
      <c r="C14726" s="1" t="str">
        <f>HYPERLINK("http://stackoverflow.com/users/9060444", "Ben")</f>
        <v>Ben</v>
      </c>
      <c r="D14726" t="s">
        <v>74</v>
      </c>
      <c r="E14726">
        <v>1</v>
      </c>
    </row>
    <row r="14727" spans="1:5" x14ac:dyDescent="0.25">
      <c r="A14727">
        <v>14726</v>
      </c>
      <c r="B14727">
        <v>9060541</v>
      </c>
      <c r="C14727" s="1" t="str">
        <f>HYPERLINK("http://stackoverflow.com/users/9060541", "李树楠")</f>
        <v>李树楠</v>
      </c>
      <c r="D14727" t="s">
        <v>5</v>
      </c>
      <c r="E14727">
        <v>1</v>
      </c>
    </row>
    <row r="14728" spans="1:5" x14ac:dyDescent="0.25">
      <c r="A14728">
        <v>14727</v>
      </c>
      <c r="B14728">
        <v>9060552</v>
      </c>
      <c r="C14728" s="1" t="str">
        <f>HYPERLINK("http://stackoverflow.com/users/9060552", "X.Jing")</f>
        <v>X.Jing</v>
      </c>
      <c r="D14728" t="s">
        <v>4</v>
      </c>
      <c r="E14728">
        <v>1</v>
      </c>
    </row>
    <row r="14729" spans="1:5" x14ac:dyDescent="0.25">
      <c r="A14729">
        <v>14728</v>
      </c>
      <c r="B14729">
        <v>9061062</v>
      </c>
      <c r="C14729" s="1" t="str">
        <f>HYPERLINK("http://stackoverflow.com/users/9061062", "Qizheng Liao")</f>
        <v>Qizheng Liao</v>
      </c>
      <c r="D14729" t="s">
        <v>59</v>
      </c>
      <c r="E14729">
        <v>1</v>
      </c>
    </row>
    <row r="14730" spans="1:5" x14ac:dyDescent="0.25">
      <c r="A14730">
        <v>14729</v>
      </c>
      <c r="B14730">
        <v>7197539</v>
      </c>
      <c r="C14730" s="1" t="str">
        <f>HYPERLINK("http://stackoverflow.com/users/7197539", "dearmrli")</f>
        <v>dearmrli</v>
      </c>
      <c r="D14730" t="s">
        <v>5</v>
      </c>
      <c r="E14730">
        <v>1</v>
      </c>
    </row>
    <row r="14731" spans="1:5" x14ac:dyDescent="0.25">
      <c r="A14731">
        <v>14730</v>
      </c>
      <c r="B14731">
        <v>5448459</v>
      </c>
      <c r="C14731" s="1" t="str">
        <f>HYPERLINK("http://stackoverflow.com/users/5448459", "Alex")</f>
        <v>Alex</v>
      </c>
      <c r="D14731" t="s">
        <v>21</v>
      </c>
      <c r="E14731">
        <v>1</v>
      </c>
    </row>
    <row r="14732" spans="1:5" x14ac:dyDescent="0.25">
      <c r="A14732">
        <v>14731</v>
      </c>
      <c r="B14732">
        <v>7203908</v>
      </c>
      <c r="C14732" s="1" t="str">
        <f>HYPERLINK("http://stackoverflow.com/users/7203908", "diaoqizhuo")</f>
        <v>diaoqizhuo</v>
      </c>
      <c r="D14732" t="s">
        <v>4</v>
      </c>
      <c r="E14732">
        <v>1</v>
      </c>
    </row>
    <row r="14733" spans="1:5" x14ac:dyDescent="0.25">
      <c r="A14733">
        <v>14732</v>
      </c>
      <c r="B14733">
        <v>9073655</v>
      </c>
      <c r="C14733" s="1" t="str">
        <f>HYPERLINK("http://stackoverflow.com/users/9073655", "尹默生")</f>
        <v>尹默生</v>
      </c>
      <c r="D14733" t="s">
        <v>16</v>
      </c>
      <c r="E14733">
        <v>1</v>
      </c>
    </row>
    <row r="14734" spans="1:5" x14ac:dyDescent="0.25">
      <c r="A14734">
        <v>14733</v>
      </c>
      <c r="B14734">
        <v>5456114</v>
      </c>
      <c r="C14734" s="1" t="str">
        <f>HYPERLINK("http://stackoverflow.com/users/5456114", "mynawang")</f>
        <v>mynawang</v>
      </c>
      <c r="D14734" t="s">
        <v>16</v>
      </c>
      <c r="E14734">
        <v>1</v>
      </c>
    </row>
    <row r="14735" spans="1:5" x14ac:dyDescent="0.25">
      <c r="A14735">
        <v>14734</v>
      </c>
      <c r="B14735">
        <v>7211908</v>
      </c>
      <c r="C14735" s="1" t="str">
        <f>HYPERLINK("http://stackoverflow.com/users/7211908", "K Barbie")</f>
        <v>K Barbie</v>
      </c>
      <c r="D14735" t="s">
        <v>66</v>
      </c>
      <c r="E14735">
        <v>1</v>
      </c>
    </row>
    <row r="14736" spans="1:5" x14ac:dyDescent="0.25">
      <c r="A14736">
        <v>14735</v>
      </c>
      <c r="B14736">
        <v>7200404</v>
      </c>
      <c r="C14736" s="1" t="str">
        <f>HYPERLINK("http://stackoverflow.com/users/7200404", "Chris Cheng")</f>
        <v>Chris Cheng</v>
      </c>
      <c r="D14736" t="s">
        <v>4</v>
      </c>
      <c r="E14736">
        <v>1</v>
      </c>
    </row>
    <row r="14737" spans="1:5" x14ac:dyDescent="0.25">
      <c r="A14737">
        <v>14736</v>
      </c>
      <c r="B14737">
        <v>5444205</v>
      </c>
      <c r="C14737" s="1" t="str">
        <f>HYPERLINK("http://stackoverflow.com/users/5444205", "Allen Wang")</f>
        <v>Allen Wang</v>
      </c>
      <c r="D14737" t="s">
        <v>22</v>
      </c>
      <c r="E14737">
        <v>1</v>
      </c>
    </row>
    <row r="14738" spans="1:5" x14ac:dyDescent="0.25">
      <c r="A14738">
        <v>14737</v>
      </c>
      <c r="B14738">
        <v>1847651</v>
      </c>
      <c r="C14738" s="1" t="str">
        <f>HYPERLINK("http://stackoverflow.com/users/1847651", "Rock Zhang")</f>
        <v>Rock Zhang</v>
      </c>
      <c r="D14738" t="s">
        <v>253</v>
      </c>
      <c r="E14738">
        <v>1</v>
      </c>
    </row>
    <row r="14739" spans="1:5" x14ac:dyDescent="0.25">
      <c r="A14739">
        <v>14738</v>
      </c>
      <c r="B14739">
        <v>9072513</v>
      </c>
      <c r="C14739" s="1" t="str">
        <f>HYPERLINK("http://stackoverflow.com/users/9072513", "ciami6")</f>
        <v>ciami6</v>
      </c>
      <c r="D14739" t="s">
        <v>811</v>
      </c>
      <c r="E14739">
        <v>1</v>
      </c>
    </row>
    <row r="14740" spans="1:5" x14ac:dyDescent="0.25">
      <c r="A14740">
        <v>14739</v>
      </c>
      <c r="B14740">
        <v>9073033</v>
      </c>
      <c r="C14740" s="1" t="str">
        <f>HYPERLINK("http://stackoverflow.com/users/9073033", "程程肖")</f>
        <v>程程肖</v>
      </c>
      <c r="D14740" t="s">
        <v>709</v>
      </c>
      <c r="E14740">
        <v>1</v>
      </c>
    </row>
    <row r="14741" spans="1:5" x14ac:dyDescent="0.25">
      <c r="A14741">
        <v>14740</v>
      </c>
      <c r="B14741">
        <v>7207636</v>
      </c>
      <c r="C14741" s="1" t="str">
        <f>HYPERLINK("http://stackoverflow.com/users/7207636", "fritz")</f>
        <v>fritz</v>
      </c>
      <c r="D14741" t="s">
        <v>4</v>
      </c>
      <c r="E14741">
        <v>1</v>
      </c>
    </row>
    <row r="14742" spans="1:5" x14ac:dyDescent="0.25">
      <c r="A14742">
        <v>14741</v>
      </c>
      <c r="B14742">
        <v>3660080</v>
      </c>
      <c r="C14742" s="1" t="str">
        <f>HYPERLINK("http://stackoverflow.com/users/3660080", "Zhaoxing Lv")</f>
        <v>Zhaoxing Lv</v>
      </c>
      <c r="D14742" t="s">
        <v>15</v>
      </c>
      <c r="E14742">
        <v>1</v>
      </c>
    </row>
    <row r="14743" spans="1:5" x14ac:dyDescent="0.25">
      <c r="A14743">
        <v>14742</v>
      </c>
      <c r="B14743">
        <v>1865206</v>
      </c>
      <c r="C14743" s="1" t="str">
        <f>HYPERLINK("http://stackoverflow.com/users/1865206", "SoulSheng")</f>
        <v>SoulSheng</v>
      </c>
      <c r="D14743" t="s">
        <v>6</v>
      </c>
      <c r="E14743">
        <v>1</v>
      </c>
    </row>
    <row r="14744" spans="1:5" x14ac:dyDescent="0.25">
      <c r="A14744">
        <v>14743</v>
      </c>
      <c r="B14744">
        <v>1865221</v>
      </c>
      <c r="C14744" s="1" t="str">
        <f>HYPERLINK("http://stackoverflow.com/users/1865221", "Karen Deng")</f>
        <v>Karen Deng</v>
      </c>
      <c r="D14744" t="s">
        <v>5</v>
      </c>
      <c r="E14744">
        <v>1</v>
      </c>
    </row>
    <row r="14745" spans="1:5" x14ac:dyDescent="0.25">
      <c r="A14745">
        <v>14744</v>
      </c>
      <c r="B14745">
        <v>7215130</v>
      </c>
      <c r="C14745" s="1" t="str">
        <f>HYPERLINK("http://stackoverflow.com/users/7215130", "nobody.jo")</f>
        <v>nobody.jo</v>
      </c>
      <c r="D14745" t="s">
        <v>807</v>
      </c>
      <c r="E14745">
        <v>1</v>
      </c>
    </row>
    <row r="14746" spans="1:5" x14ac:dyDescent="0.25">
      <c r="A14746">
        <v>14745</v>
      </c>
      <c r="B14746">
        <v>7215425</v>
      </c>
      <c r="C14746" s="1" t="str">
        <f>HYPERLINK("http://stackoverflow.com/users/7215425", "Dapeng")</f>
        <v>Dapeng</v>
      </c>
      <c r="D14746" t="s">
        <v>5</v>
      </c>
      <c r="E14746">
        <v>1</v>
      </c>
    </row>
    <row r="14747" spans="1:5" x14ac:dyDescent="0.25">
      <c r="A14747">
        <v>14746</v>
      </c>
      <c r="B14747">
        <v>10877266</v>
      </c>
      <c r="C14747" s="1" t="str">
        <f>HYPERLINK("http://stackoverflow.com/users/10877266", "jiabin sun")</f>
        <v>jiabin sun</v>
      </c>
      <c r="D14747" t="s">
        <v>5</v>
      </c>
      <c r="E14747">
        <v>1</v>
      </c>
    </row>
    <row r="14748" spans="1:5" x14ac:dyDescent="0.25">
      <c r="A14748">
        <v>14747</v>
      </c>
      <c r="B14748">
        <v>10877268</v>
      </c>
      <c r="C14748" s="1" t="str">
        <f>HYPERLINK("http://stackoverflow.com/users/10877268", "Fei Zhang")</f>
        <v>Fei Zhang</v>
      </c>
      <c r="D14748" t="s">
        <v>4</v>
      </c>
      <c r="E14748">
        <v>1</v>
      </c>
    </row>
    <row r="14749" spans="1:5" x14ac:dyDescent="0.25">
      <c r="A14749">
        <v>14748</v>
      </c>
      <c r="B14749">
        <v>10877337</v>
      </c>
      <c r="C14749" s="1" t="str">
        <f>HYPERLINK("http://stackoverflow.com/users/10877337", "Samuel Tang")</f>
        <v>Samuel Tang</v>
      </c>
      <c r="D14749" t="s">
        <v>25</v>
      </c>
      <c r="E14749">
        <v>1</v>
      </c>
    </row>
    <row r="14750" spans="1:5" x14ac:dyDescent="0.25">
      <c r="A14750">
        <v>14749</v>
      </c>
      <c r="B14750">
        <v>3663115</v>
      </c>
      <c r="C14750" s="1" t="str">
        <f>HYPERLINK("http://stackoverflow.com/users/3663115", "Ares Cao")</f>
        <v>Ares Cao</v>
      </c>
      <c r="D14750" t="s">
        <v>4</v>
      </c>
      <c r="E14750">
        <v>1</v>
      </c>
    </row>
    <row r="14751" spans="1:5" x14ac:dyDescent="0.25">
      <c r="A14751">
        <v>14750</v>
      </c>
      <c r="B14751">
        <v>3663259</v>
      </c>
      <c r="C14751" s="1" t="str">
        <f>HYPERLINK("http://stackoverflow.com/users/3663259", "Russell Bie")</f>
        <v>Russell Bie</v>
      </c>
      <c r="D14751" t="s">
        <v>5</v>
      </c>
      <c r="E14751">
        <v>1</v>
      </c>
    </row>
    <row r="14752" spans="1:5" x14ac:dyDescent="0.25">
      <c r="A14752">
        <v>14751</v>
      </c>
      <c r="B14752">
        <v>3663668</v>
      </c>
      <c r="C14752" s="1" t="str">
        <f>HYPERLINK("http://stackoverflow.com/users/3663668", "garinzhang")</f>
        <v>garinzhang</v>
      </c>
      <c r="D14752" t="s">
        <v>4</v>
      </c>
      <c r="E14752">
        <v>1</v>
      </c>
    </row>
    <row r="14753" spans="1:5" x14ac:dyDescent="0.25">
      <c r="A14753">
        <v>14752</v>
      </c>
      <c r="B14753">
        <v>1759280</v>
      </c>
      <c r="C14753" s="1" t="str">
        <f>HYPERLINK("http://stackoverflow.com/users/1759280", "Yajie Zhang")</f>
        <v>Yajie Zhang</v>
      </c>
      <c r="D14753" t="s">
        <v>5</v>
      </c>
      <c r="E14753">
        <v>1</v>
      </c>
    </row>
    <row r="14754" spans="1:5" x14ac:dyDescent="0.25">
      <c r="A14754">
        <v>14753</v>
      </c>
      <c r="B14754">
        <v>5380041</v>
      </c>
      <c r="C14754" s="1" t="str">
        <f>HYPERLINK("http://stackoverflow.com/users/5380041", "user5380041")</f>
        <v>user5380041</v>
      </c>
      <c r="D14754" t="s">
        <v>5</v>
      </c>
      <c r="E14754">
        <v>1</v>
      </c>
    </row>
    <row r="14755" spans="1:5" x14ac:dyDescent="0.25">
      <c r="A14755">
        <v>14754</v>
      </c>
      <c r="B14755">
        <v>1758539</v>
      </c>
      <c r="C14755" s="1" t="str">
        <f>HYPERLINK("http://stackoverflow.com/users/1758539", "user1758539")</f>
        <v>user1758539</v>
      </c>
      <c r="D14755" t="s">
        <v>5</v>
      </c>
      <c r="E14755">
        <v>1</v>
      </c>
    </row>
    <row r="14756" spans="1:5" x14ac:dyDescent="0.25">
      <c r="A14756">
        <v>14755</v>
      </c>
      <c r="B14756">
        <v>1758587</v>
      </c>
      <c r="C14756" s="1" t="str">
        <f>HYPERLINK("http://stackoverflow.com/users/1758587", "bufferx")</f>
        <v>bufferx</v>
      </c>
      <c r="D14756" t="s">
        <v>5</v>
      </c>
      <c r="E14756">
        <v>1</v>
      </c>
    </row>
    <row r="14757" spans="1:5" x14ac:dyDescent="0.25">
      <c r="A14757">
        <v>14756</v>
      </c>
      <c r="B14757">
        <v>3580039</v>
      </c>
      <c r="C14757" s="1" t="str">
        <f>HYPERLINK("http://stackoverflow.com/users/3580039", "ethan")</f>
        <v>ethan</v>
      </c>
      <c r="D14757" t="s">
        <v>17</v>
      </c>
      <c r="E14757">
        <v>1</v>
      </c>
    </row>
    <row r="14758" spans="1:5" x14ac:dyDescent="0.25">
      <c r="A14758">
        <v>14757</v>
      </c>
      <c r="B14758">
        <v>3579707</v>
      </c>
      <c r="C14758" s="1" t="str">
        <f>HYPERLINK("http://stackoverflow.com/users/3579707", "Nunn")</f>
        <v>Nunn</v>
      </c>
      <c r="D14758" t="s">
        <v>4</v>
      </c>
      <c r="E14758">
        <v>1</v>
      </c>
    </row>
    <row r="14759" spans="1:5" x14ac:dyDescent="0.25">
      <c r="A14759">
        <v>14758</v>
      </c>
      <c r="B14759">
        <v>8980744</v>
      </c>
      <c r="C14759" s="1" t="str">
        <f>HYPERLINK("http://stackoverflow.com/users/8980744", "徐徐晖")</f>
        <v>徐徐晖</v>
      </c>
      <c r="D14759" t="s">
        <v>5</v>
      </c>
      <c r="E14759">
        <v>1</v>
      </c>
    </row>
    <row r="14760" spans="1:5" x14ac:dyDescent="0.25">
      <c r="A14760">
        <v>14759</v>
      </c>
      <c r="B14760">
        <v>7139421</v>
      </c>
      <c r="C14760" s="1" t="str">
        <f>HYPERLINK("http://stackoverflow.com/users/7139421", "Clark.Gao")</f>
        <v>Clark.Gao</v>
      </c>
      <c r="D14760" t="s">
        <v>5</v>
      </c>
      <c r="E14760">
        <v>1</v>
      </c>
    </row>
    <row r="14761" spans="1:5" x14ac:dyDescent="0.25">
      <c r="A14761">
        <v>14760</v>
      </c>
      <c r="B14761">
        <v>7139489</v>
      </c>
      <c r="C14761" s="1" t="str">
        <f>HYPERLINK("http://stackoverflow.com/users/7139489", "Lehigh")</f>
        <v>Lehigh</v>
      </c>
      <c r="D14761" t="s">
        <v>4</v>
      </c>
      <c r="E14761">
        <v>1</v>
      </c>
    </row>
    <row r="14762" spans="1:5" x14ac:dyDescent="0.25">
      <c r="A14762">
        <v>14761</v>
      </c>
      <c r="B14762">
        <v>7139794</v>
      </c>
      <c r="C14762" s="1" t="str">
        <f>HYPERLINK("http://stackoverflow.com/users/7139794", "Jelly Cai")</f>
        <v>Jelly Cai</v>
      </c>
      <c r="D14762" t="s">
        <v>7</v>
      </c>
      <c r="E14762">
        <v>1</v>
      </c>
    </row>
    <row r="14763" spans="1:5" x14ac:dyDescent="0.25">
      <c r="A14763">
        <v>14762</v>
      </c>
      <c r="B14763">
        <v>7140126</v>
      </c>
      <c r="C14763" s="1" t="str">
        <f>HYPERLINK("http://stackoverflow.com/users/7140126", "TallTangrui")</f>
        <v>TallTangrui</v>
      </c>
      <c r="D14763" t="s">
        <v>4</v>
      </c>
      <c r="E14763">
        <v>1</v>
      </c>
    </row>
    <row r="14764" spans="1:5" x14ac:dyDescent="0.25">
      <c r="A14764">
        <v>14763</v>
      </c>
      <c r="B14764">
        <v>3563810</v>
      </c>
      <c r="C14764" s="1" t="str">
        <f>HYPERLINK("http://stackoverflow.com/users/3563810", "user29389")</f>
        <v>user29389</v>
      </c>
      <c r="D14764" t="s">
        <v>8</v>
      </c>
      <c r="E14764">
        <v>1</v>
      </c>
    </row>
    <row r="14765" spans="1:5" x14ac:dyDescent="0.25">
      <c r="A14765">
        <v>14764</v>
      </c>
      <c r="B14765">
        <v>3563842</v>
      </c>
      <c r="C14765" s="1" t="str">
        <f>HYPERLINK("http://stackoverflow.com/users/3563842", "addvaluejack")</f>
        <v>addvaluejack</v>
      </c>
      <c r="D14765" t="s">
        <v>13</v>
      </c>
      <c r="E14765">
        <v>1</v>
      </c>
    </row>
    <row r="14766" spans="1:5" x14ac:dyDescent="0.25">
      <c r="A14766">
        <v>14765</v>
      </c>
      <c r="B14766">
        <v>3563881</v>
      </c>
      <c r="C14766" s="1" t="str">
        <f>HYPERLINK("http://stackoverflow.com/users/3563881", "kyleduo")</f>
        <v>kyleduo</v>
      </c>
      <c r="D14766" t="s">
        <v>5</v>
      </c>
      <c r="E14766">
        <v>1</v>
      </c>
    </row>
    <row r="14767" spans="1:5" x14ac:dyDescent="0.25">
      <c r="A14767">
        <v>14766</v>
      </c>
      <c r="B14767">
        <v>7124793</v>
      </c>
      <c r="C14767" s="1" t="str">
        <f>HYPERLINK("http://stackoverflow.com/users/7124793", "Nick Yang")</f>
        <v>Nick Yang</v>
      </c>
      <c r="D14767" t="s">
        <v>4</v>
      </c>
      <c r="E14767">
        <v>1</v>
      </c>
    </row>
    <row r="14768" spans="1:5" x14ac:dyDescent="0.25">
      <c r="A14768">
        <v>14767</v>
      </c>
      <c r="B14768">
        <v>7124997</v>
      </c>
      <c r="C14768" s="1" t="str">
        <f>HYPERLINK("http://stackoverflow.com/users/7124997", "Kevin.Ye")</f>
        <v>Kevin.Ye</v>
      </c>
      <c r="D14768" t="s">
        <v>16</v>
      </c>
      <c r="E14768">
        <v>1</v>
      </c>
    </row>
    <row r="14769" spans="1:5" x14ac:dyDescent="0.25">
      <c r="A14769">
        <v>14768</v>
      </c>
      <c r="B14769">
        <v>10778607</v>
      </c>
      <c r="C14769" s="1" t="str">
        <f>HYPERLINK("http://stackoverflow.com/users/10778607", "Alan")</f>
        <v>Alan</v>
      </c>
      <c r="D14769" t="s">
        <v>5</v>
      </c>
      <c r="E14769">
        <v>1</v>
      </c>
    </row>
    <row r="14770" spans="1:5" x14ac:dyDescent="0.25">
      <c r="A14770">
        <v>14769</v>
      </c>
      <c r="B14770">
        <v>10778652</v>
      </c>
      <c r="C14770" s="1" t="str">
        <f>HYPERLINK("http://stackoverflow.com/users/10778652", "yacht220")</f>
        <v>yacht220</v>
      </c>
      <c r="D14770" t="s">
        <v>28</v>
      </c>
      <c r="E14770">
        <v>1</v>
      </c>
    </row>
    <row r="14771" spans="1:5" x14ac:dyDescent="0.25">
      <c r="A14771">
        <v>14770</v>
      </c>
      <c r="B14771">
        <v>8969384</v>
      </c>
      <c r="C14771" s="1" t="str">
        <f>HYPERLINK("http://stackoverflow.com/users/8969384", "user8969384")</f>
        <v>user8969384</v>
      </c>
      <c r="D14771" t="s">
        <v>76</v>
      </c>
      <c r="E14771">
        <v>1</v>
      </c>
    </row>
    <row r="14772" spans="1:5" x14ac:dyDescent="0.25">
      <c r="A14772">
        <v>14771</v>
      </c>
      <c r="B14772">
        <v>3567734</v>
      </c>
      <c r="C14772" s="1" t="str">
        <f>HYPERLINK("http://stackoverflow.com/users/3567734", "StoneChen")</f>
        <v>StoneChen</v>
      </c>
      <c r="D14772" t="s">
        <v>4</v>
      </c>
      <c r="E14772">
        <v>1</v>
      </c>
    </row>
    <row r="14773" spans="1:5" x14ac:dyDescent="0.25">
      <c r="A14773">
        <v>14772</v>
      </c>
      <c r="B14773">
        <v>10778714</v>
      </c>
      <c r="C14773" s="1" t="str">
        <f>HYPERLINK("http://stackoverflow.com/users/10778714", "Kay")</f>
        <v>Kay</v>
      </c>
      <c r="D14773" t="s">
        <v>5</v>
      </c>
      <c r="E14773">
        <v>1</v>
      </c>
    </row>
    <row r="14774" spans="1:5" x14ac:dyDescent="0.25">
      <c r="A14774">
        <v>14773</v>
      </c>
      <c r="B14774">
        <v>10778842</v>
      </c>
      <c r="C14774" s="1" t="str">
        <f>HYPERLINK("http://stackoverflow.com/users/10778842", "Huapro")</f>
        <v>Huapro</v>
      </c>
      <c r="D14774" t="s">
        <v>17</v>
      </c>
      <c r="E14774">
        <v>1</v>
      </c>
    </row>
    <row r="14775" spans="1:5" x14ac:dyDescent="0.25">
      <c r="A14775">
        <v>14774</v>
      </c>
      <c r="B14775">
        <v>10778848</v>
      </c>
      <c r="C14775" s="1" t="str">
        <f>HYPERLINK("http://stackoverflow.com/users/10778848", "Ningbo Zhao")</f>
        <v>Ningbo Zhao</v>
      </c>
      <c r="D14775" t="s">
        <v>5</v>
      </c>
      <c r="E14775">
        <v>1</v>
      </c>
    </row>
    <row r="14776" spans="1:5" x14ac:dyDescent="0.25">
      <c r="A14776">
        <v>14775</v>
      </c>
      <c r="B14776">
        <v>7132950</v>
      </c>
      <c r="C14776" s="1" t="str">
        <f>HYPERLINK("http://stackoverflow.com/users/7132950", "ivrtym")</f>
        <v>ivrtym</v>
      </c>
      <c r="D14776" t="s">
        <v>146</v>
      </c>
      <c r="E14776">
        <v>1</v>
      </c>
    </row>
    <row r="14777" spans="1:5" x14ac:dyDescent="0.25">
      <c r="A14777">
        <v>14776</v>
      </c>
      <c r="B14777">
        <v>7121635</v>
      </c>
      <c r="C14777" s="1" t="str">
        <f>HYPERLINK("http://stackoverflow.com/users/7121635", "GuChuan")</f>
        <v>GuChuan</v>
      </c>
      <c r="D14777" t="s">
        <v>486</v>
      </c>
      <c r="E14777">
        <v>1</v>
      </c>
    </row>
    <row r="14778" spans="1:5" x14ac:dyDescent="0.25">
      <c r="A14778">
        <v>14777</v>
      </c>
      <c r="B14778">
        <v>3567096</v>
      </c>
      <c r="C14778" s="1" t="str">
        <f>HYPERLINK("http://stackoverflow.com/users/3567096", "vein")</f>
        <v>vein</v>
      </c>
      <c r="D14778" t="s">
        <v>5</v>
      </c>
      <c r="E14778">
        <v>1</v>
      </c>
    </row>
    <row r="14779" spans="1:5" x14ac:dyDescent="0.25">
      <c r="A14779">
        <v>14778</v>
      </c>
      <c r="B14779">
        <v>8948765</v>
      </c>
      <c r="C14779" s="1" t="str">
        <f>HYPERLINK("http://stackoverflow.com/users/8948765", "Tyler Wells")</f>
        <v>Tyler Wells</v>
      </c>
      <c r="D14779" t="s">
        <v>4</v>
      </c>
      <c r="E14779">
        <v>1</v>
      </c>
    </row>
    <row r="14780" spans="1:5" x14ac:dyDescent="0.25">
      <c r="A14780">
        <v>14779</v>
      </c>
      <c r="B14780">
        <v>8948900</v>
      </c>
      <c r="C14780" s="1" t="str">
        <f>HYPERLINK("http://stackoverflow.com/users/8948900", "shisan")</f>
        <v>shisan</v>
      </c>
      <c r="D14780" t="s">
        <v>4</v>
      </c>
      <c r="E14780">
        <v>1</v>
      </c>
    </row>
    <row r="14781" spans="1:5" x14ac:dyDescent="0.25">
      <c r="A14781">
        <v>14780</v>
      </c>
      <c r="B14781">
        <v>8948910</v>
      </c>
      <c r="C14781" s="1" t="str">
        <f>HYPERLINK("http://stackoverflow.com/users/8948910", "wang longhong")</f>
        <v>wang longhong</v>
      </c>
      <c r="D14781" t="s">
        <v>281</v>
      </c>
      <c r="E14781">
        <v>1</v>
      </c>
    </row>
    <row r="14782" spans="1:5" x14ac:dyDescent="0.25">
      <c r="A14782">
        <v>14781</v>
      </c>
      <c r="B14782">
        <v>8949013</v>
      </c>
      <c r="C14782" s="1" t="str">
        <f>HYPERLINK("http://stackoverflow.com/users/8949013", "Leo Mo")</f>
        <v>Leo Mo</v>
      </c>
      <c r="D14782" t="s">
        <v>5</v>
      </c>
      <c r="E14782">
        <v>1</v>
      </c>
    </row>
    <row r="14783" spans="1:5" x14ac:dyDescent="0.25">
      <c r="A14783">
        <v>14782</v>
      </c>
      <c r="B14783">
        <v>3550442</v>
      </c>
      <c r="C14783" s="1" t="str">
        <f>HYPERLINK("http://stackoverflow.com/users/3550442", "zRich")</f>
        <v>zRich</v>
      </c>
      <c r="D14783" t="s">
        <v>7</v>
      </c>
      <c r="E14783">
        <v>1</v>
      </c>
    </row>
    <row r="14784" spans="1:5" x14ac:dyDescent="0.25">
      <c r="A14784">
        <v>14783</v>
      </c>
      <c r="B14784">
        <v>3550987</v>
      </c>
      <c r="C14784" s="1" t="str">
        <f>HYPERLINK("http://stackoverflow.com/users/3550987", "Chao")</f>
        <v>Chao</v>
      </c>
      <c r="D14784" t="s">
        <v>812</v>
      </c>
      <c r="E14784">
        <v>1</v>
      </c>
    </row>
    <row r="14785" spans="1:5" x14ac:dyDescent="0.25">
      <c r="A14785">
        <v>14784</v>
      </c>
      <c r="B14785">
        <v>8952815</v>
      </c>
      <c r="C14785" s="1" t="str">
        <f>HYPERLINK("http://stackoverflow.com/users/8952815", "Eudrick Makiku")</f>
        <v>Eudrick Makiku</v>
      </c>
      <c r="D14785" t="s">
        <v>5</v>
      </c>
      <c r="E14785">
        <v>1</v>
      </c>
    </row>
    <row r="14786" spans="1:5" x14ac:dyDescent="0.25">
      <c r="A14786">
        <v>14785</v>
      </c>
      <c r="B14786">
        <v>7114248</v>
      </c>
      <c r="C14786" s="1" t="str">
        <f>HYPERLINK("http://stackoverflow.com/users/7114248", "Reason.Wang")</f>
        <v>Reason.Wang</v>
      </c>
      <c r="D14786" t="s">
        <v>131</v>
      </c>
      <c r="E14786">
        <v>1</v>
      </c>
    </row>
    <row r="14787" spans="1:5" x14ac:dyDescent="0.25">
      <c r="A14787">
        <v>14786</v>
      </c>
      <c r="B14787">
        <v>7114775</v>
      </c>
      <c r="C14787" s="1" t="str">
        <f>HYPERLINK("http://stackoverflow.com/users/7114775", "JackHu")</f>
        <v>JackHu</v>
      </c>
      <c r="D14787" t="s">
        <v>27</v>
      </c>
      <c r="E14787">
        <v>1</v>
      </c>
    </row>
    <row r="14788" spans="1:5" x14ac:dyDescent="0.25">
      <c r="A14788">
        <v>14787</v>
      </c>
      <c r="B14788">
        <v>5357376</v>
      </c>
      <c r="C14788" s="1" t="str">
        <f>HYPERLINK("http://stackoverflow.com/users/5357376", "zppaoo")</f>
        <v>zppaoo</v>
      </c>
      <c r="D14788" t="s">
        <v>8</v>
      </c>
      <c r="E14788">
        <v>1</v>
      </c>
    </row>
    <row r="14789" spans="1:5" x14ac:dyDescent="0.25">
      <c r="A14789">
        <v>14788</v>
      </c>
      <c r="B14789">
        <v>5357579</v>
      </c>
      <c r="C14789" s="1" t="str">
        <f>HYPERLINK("http://stackoverflow.com/users/5357579", "X.Lee")</f>
        <v>X.Lee</v>
      </c>
      <c r="D14789" t="s">
        <v>17</v>
      </c>
      <c r="E14789">
        <v>1</v>
      </c>
    </row>
    <row r="14790" spans="1:5" x14ac:dyDescent="0.25">
      <c r="A14790">
        <v>14789</v>
      </c>
      <c r="B14790">
        <v>8956355</v>
      </c>
      <c r="C14790" s="1" t="str">
        <f>HYPERLINK("http://stackoverflow.com/users/8956355", "Bert SU")</f>
        <v>Bert SU</v>
      </c>
      <c r="D14790" t="s">
        <v>7</v>
      </c>
      <c r="E14790">
        <v>1</v>
      </c>
    </row>
    <row r="14791" spans="1:5" x14ac:dyDescent="0.25">
      <c r="A14791">
        <v>14790</v>
      </c>
      <c r="B14791">
        <v>8956582</v>
      </c>
      <c r="C14791" s="1" t="str">
        <f>HYPERLINK("http://stackoverflow.com/users/8956582", "Qfatboy")</f>
        <v>Qfatboy</v>
      </c>
      <c r="D14791" t="s">
        <v>25</v>
      </c>
      <c r="E14791">
        <v>1</v>
      </c>
    </row>
    <row r="14792" spans="1:5" x14ac:dyDescent="0.25">
      <c r="A14792">
        <v>14791</v>
      </c>
      <c r="B14792">
        <v>8956692</v>
      </c>
      <c r="C14792" s="1" t="str">
        <f>HYPERLINK("http://stackoverflow.com/users/8956692", "PearlWang")</f>
        <v>PearlWang</v>
      </c>
      <c r="D14792" t="s">
        <v>5</v>
      </c>
      <c r="E14792">
        <v>1</v>
      </c>
    </row>
    <row r="14793" spans="1:5" x14ac:dyDescent="0.25">
      <c r="A14793">
        <v>14792</v>
      </c>
      <c r="B14793">
        <v>8965576</v>
      </c>
      <c r="C14793" s="1" t="str">
        <f>HYPERLINK("http://stackoverflow.com/users/8965576", "Zaque")</f>
        <v>Zaque</v>
      </c>
      <c r="D14793" t="s">
        <v>5</v>
      </c>
      <c r="E14793">
        <v>1</v>
      </c>
    </row>
    <row r="14794" spans="1:5" x14ac:dyDescent="0.25">
      <c r="A14794">
        <v>14793</v>
      </c>
      <c r="B14794">
        <v>10774026</v>
      </c>
      <c r="C14794" s="1" t="str">
        <f>HYPERLINK("http://stackoverflow.com/users/10774026", "DreamIsle")</f>
        <v>DreamIsle</v>
      </c>
      <c r="D14794" t="s">
        <v>15</v>
      </c>
      <c r="E14794">
        <v>1</v>
      </c>
    </row>
    <row r="14795" spans="1:5" x14ac:dyDescent="0.25">
      <c r="A14795">
        <v>14794</v>
      </c>
      <c r="B14795">
        <v>10774135</v>
      </c>
      <c r="C14795" s="1" t="str">
        <f>HYPERLINK("http://stackoverflow.com/users/10774135", "General Lee")</f>
        <v>General Lee</v>
      </c>
      <c r="D14795" t="s">
        <v>5</v>
      </c>
      <c r="E14795">
        <v>1</v>
      </c>
    </row>
    <row r="14796" spans="1:5" x14ac:dyDescent="0.25">
      <c r="A14796">
        <v>14795</v>
      </c>
      <c r="B14796">
        <v>10774201</v>
      </c>
      <c r="C14796" s="1" t="str">
        <f>HYPERLINK("http://stackoverflow.com/users/10774201", "hmilylmk")</f>
        <v>hmilylmk</v>
      </c>
      <c r="D14796" t="s">
        <v>7</v>
      </c>
      <c r="E14796">
        <v>1</v>
      </c>
    </row>
    <row r="14797" spans="1:5" x14ac:dyDescent="0.25">
      <c r="A14797">
        <v>14796</v>
      </c>
      <c r="B14797">
        <v>8965229</v>
      </c>
      <c r="C14797" s="1" t="str">
        <f>HYPERLINK("http://stackoverflow.com/users/8965229", "Gorilla")</f>
        <v>Gorilla</v>
      </c>
      <c r="D14797" t="s">
        <v>7</v>
      </c>
      <c r="E14797">
        <v>1</v>
      </c>
    </row>
    <row r="14798" spans="1:5" x14ac:dyDescent="0.25">
      <c r="A14798">
        <v>14797</v>
      </c>
      <c r="B14798">
        <v>8965503</v>
      </c>
      <c r="C14798" s="1" t="str">
        <f>HYPERLINK("http://stackoverflow.com/users/8965503", "xuyifangreeneyes")</f>
        <v>xuyifangreeneyes</v>
      </c>
      <c r="D14798" t="s">
        <v>4</v>
      </c>
      <c r="E14798">
        <v>1</v>
      </c>
    </row>
    <row r="14799" spans="1:5" x14ac:dyDescent="0.25">
      <c r="A14799">
        <v>14798</v>
      </c>
      <c r="B14799">
        <v>10766083</v>
      </c>
      <c r="C14799" s="1" t="str">
        <f>HYPERLINK("http://stackoverflow.com/users/10766083", "MinutesSneezer")</f>
        <v>MinutesSneezer</v>
      </c>
      <c r="D14799" t="s">
        <v>21</v>
      </c>
      <c r="E14799">
        <v>1</v>
      </c>
    </row>
    <row r="14800" spans="1:5" x14ac:dyDescent="0.25">
      <c r="A14800">
        <v>14799</v>
      </c>
      <c r="B14800">
        <v>7117664</v>
      </c>
      <c r="C14800" s="1" t="str">
        <f>HYPERLINK("http://stackoverflow.com/users/7117664", "SunHowe")</f>
        <v>SunHowe</v>
      </c>
      <c r="D14800" t="s">
        <v>96</v>
      </c>
      <c r="E14800">
        <v>1</v>
      </c>
    </row>
    <row r="14801" spans="1:5" x14ac:dyDescent="0.25">
      <c r="A14801">
        <v>14800</v>
      </c>
      <c r="B14801">
        <v>8960597</v>
      </c>
      <c r="C14801" s="1" t="str">
        <f>HYPERLINK("http://stackoverflow.com/users/8960597", "chuckcheng")</f>
        <v>chuckcheng</v>
      </c>
      <c r="D14801" t="s">
        <v>4</v>
      </c>
      <c r="E14801">
        <v>1</v>
      </c>
    </row>
    <row r="14802" spans="1:5" x14ac:dyDescent="0.25">
      <c r="A14802">
        <v>14801</v>
      </c>
      <c r="B14802">
        <v>8960754</v>
      </c>
      <c r="C14802" s="1" t="str">
        <f>HYPERLINK("http://stackoverflow.com/users/8960754", "EricCheung")</f>
        <v>EricCheung</v>
      </c>
      <c r="D14802" t="s">
        <v>52</v>
      </c>
      <c r="E14802">
        <v>1</v>
      </c>
    </row>
    <row r="14803" spans="1:5" x14ac:dyDescent="0.25">
      <c r="A14803">
        <v>14802</v>
      </c>
      <c r="B14803">
        <v>8961259</v>
      </c>
      <c r="C14803" s="1" t="str">
        <f>HYPERLINK("http://stackoverflow.com/users/8961259", "linkthesink")</f>
        <v>linkthesink</v>
      </c>
      <c r="D14803" t="s">
        <v>5</v>
      </c>
      <c r="E14803">
        <v>1</v>
      </c>
    </row>
    <row r="14804" spans="1:5" x14ac:dyDescent="0.25">
      <c r="A14804">
        <v>14803</v>
      </c>
      <c r="B14804">
        <v>10769590</v>
      </c>
      <c r="C14804" s="1" t="str">
        <f>HYPERLINK("http://stackoverflow.com/users/10769590", "maghelay")</f>
        <v>maghelay</v>
      </c>
      <c r="D14804" t="s">
        <v>813</v>
      </c>
      <c r="E14804">
        <v>1</v>
      </c>
    </row>
    <row r="14805" spans="1:5" x14ac:dyDescent="0.25">
      <c r="A14805">
        <v>14804</v>
      </c>
      <c r="B14805">
        <v>10769622</v>
      </c>
      <c r="C14805" s="1" t="str">
        <f>HYPERLINK("http://stackoverflow.com/users/10769622", "邱志旭")</f>
        <v>邱志旭</v>
      </c>
      <c r="D14805" t="s">
        <v>814</v>
      </c>
      <c r="E14805">
        <v>1</v>
      </c>
    </row>
    <row r="14806" spans="1:5" x14ac:dyDescent="0.25">
      <c r="A14806">
        <v>14805</v>
      </c>
      <c r="B14806">
        <v>10769660</v>
      </c>
      <c r="C14806" s="1" t="str">
        <f>HYPERLINK("http://stackoverflow.com/users/10769660", "Xinyu Wang")</f>
        <v>Xinyu Wang</v>
      </c>
      <c r="D14806" t="s">
        <v>108</v>
      </c>
      <c r="E14806">
        <v>1</v>
      </c>
    </row>
    <row r="14807" spans="1:5" x14ac:dyDescent="0.25">
      <c r="A14807">
        <v>14806</v>
      </c>
      <c r="B14807">
        <v>1799651</v>
      </c>
      <c r="C14807" s="1" t="str">
        <f>HYPERLINK("http://stackoverflow.com/users/1799651", "纪艳辉ian")</f>
        <v>纪艳辉ian</v>
      </c>
      <c r="D14807" t="s">
        <v>5</v>
      </c>
      <c r="E14807">
        <v>1</v>
      </c>
    </row>
    <row r="14808" spans="1:5" x14ac:dyDescent="0.25">
      <c r="A14808">
        <v>14807</v>
      </c>
      <c r="B14808">
        <v>1790215</v>
      </c>
      <c r="C14808" s="1" t="str">
        <f>HYPERLINK("http://stackoverflow.com/users/1790215", "Sylla Zhang")</f>
        <v>Sylla Zhang</v>
      </c>
      <c r="D14808" t="s">
        <v>37</v>
      </c>
      <c r="E14808">
        <v>1</v>
      </c>
    </row>
    <row r="14809" spans="1:5" x14ac:dyDescent="0.25">
      <c r="A14809">
        <v>14808</v>
      </c>
      <c r="B14809">
        <v>1790952</v>
      </c>
      <c r="C14809" s="1" t="str">
        <f>HYPERLINK("http://stackoverflow.com/users/1790952", "dennisd")</f>
        <v>dennisd</v>
      </c>
      <c r="D14809" t="s">
        <v>5</v>
      </c>
      <c r="E14809">
        <v>1</v>
      </c>
    </row>
    <row r="14810" spans="1:5" x14ac:dyDescent="0.25">
      <c r="A14810">
        <v>14809</v>
      </c>
      <c r="B14810">
        <v>9018991</v>
      </c>
      <c r="C14810" s="1" t="str">
        <f>HYPERLINK("http://stackoverflow.com/users/9018991", "Kaser Chan")</f>
        <v>Kaser Chan</v>
      </c>
      <c r="D14810" t="s">
        <v>815</v>
      </c>
      <c r="E14810">
        <v>1</v>
      </c>
    </row>
    <row r="14811" spans="1:5" x14ac:dyDescent="0.25">
      <c r="A14811">
        <v>14810</v>
      </c>
      <c r="B14811">
        <v>9019265</v>
      </c>
      <c r="C14811" s="1" t="str">
        <f>HYPERLINK("http://stackoverflow.com/users/9019265", "wang jiam")</f>
        <v>wang jiam</v>
      </c>
      <c r="D14811" t="s">
        <v>52</v>
      </c>
      <c r="E14811">
        <v>1</v>
      </c>
    </row>
    <row r="14812" spans="1:5" x14ac:dyDescent="0.25">
      <c r="A14812">
        <v>14811</v>
      </c>
      <c r="B14812">
        <v>9019305</v>
      </c>
      <c r="C14812" s="1" t="str">
        <f>HYPERLINK("http://stackoverflow.com/users/9019305", "王为仁")</f>
        <v>王为仁</v>
      </c>
      <c r="D14812" t="s">
        <v>16</v>
      </c>
      <c r="E14812">
        <v>1</v>
      </c>
    </row>
    <row r="14813" spans="1:5" x14ac:dyDescent="0.25">
      <c r="A14813">
        <v>14812</v>
      </c>
      <c r="B14813">
        <v>9019475</v>
      </c>
      <c r="C14813" s="1" t="str">
        <f>HYPERLINK("http://stackoverflow.com/users/9019475", "Roger")</f>
        <v>Roger</v>
      </c>
      <c r="D14813" t="s">
        <v>4</v>
      </c>
      <c r="E14813">
        <v>1</v>
      </c>
    </row>
    <row r="14814" spans="1:5" x14ac:dyDescent="0.25">
      <c r="A14814">
        <v>14813</v>
      </c>
      <c r="B14814">
        <v>5410415</v>
      </c>
      <c r="C14814" s="1" t="str">
        <f>HYPERLINK("http://stackoverflow.com/users/5410415", "Adi")</f>
        <v>Adi</v>
      </c>
      <c r="D14814" t="s">
        <v>38</v>
      </c>
      <c r="E14814">
        <v>1</v>
      </c>
    </row>
    <row r="14815" spans="1:5" x14ac:dyDescent="0.25">
      <c r="A14815">
        <v>14814</v>
      </c>
      <c r="B14815">
        <v>7166942</v>
      </c>
      <c r="C14815" s="1" t="str">
        <f>HYPERLINK("http://stackoverflow.com/users/7166942", "evenliu")</f>
        <v>evenliu</v>
      </c>
      <c r="D14815" t="s">
        <v>4</v>
      </c>
      <c r="E14815">
        <v>1</v>
      </c>
    </row>
    <row r="14816" spans="1:5" x14ac:dyDescent="0.25">
      <c r="A14816">
        <v>14815</v>
      </c>
      <c r="B14816">
        <v>9023434</v>
      </c>
      <c r="C14816" s="1" t="str">
        <f>HYPERLINK("http://stackoverflow.com/users/9023434", "Zhe Wen")</f>
        <v>Zhe Wen</v>
      </c>
      <c r="D14816" t="s">
        <v>5</v>
      </c>
      <c r="E14816">
        <v>1</v>
      </c>
    </row>
    <row r="14817" spans="1:5" x14ac:dyDescent="0.25">
      <c r="A14817">
        <v>14816</v>
      </c>
      <c r="B14817">
        <v>9023441</v>
      </c>
      <c r="C14817" s="1" t="str">
        <f>HYPERLINK("http://stackoverflow.com/users/9023441", "Tracy Fang")</f>
        <v>Tracy Fang</v>
      </c>
      <c r="D14817" t="s">
        <v>4</v>
      </c>
      <c r="E14817">
        <v>1</v>
      </c>
    </row>
    <row r="14818" spans="1:5" x14ac:dyDescent="0.25">
      <c r="A14818">
        <v>14817</v>
      </c>
      <c r="B14818">
        <v>9023487</v>
      </c>
      <c r="C14818" s="1" t="str">
        <f>HYPERLINK("http://stackoverflow.com/users/9023487", "Naganohara Mio")</f>
        <v>Naganohara Mio</v>
      </c>
      <c r="D14818" t="s">
        <v>5</v>
      </c>
      <c r="E14818">
        <v>1</v>
      </c>
    </row>
    <row r="14819" spans="1:5" x14ac:dyDescent="0.25">
      <c r="A14819">
        <v>14818</v>
      </c>
      <c r="B14819">
        <v>9023825</v>
      </c>
      <c r="C14819" s="1" t="str">
        <f>HYPERLINK("http://stackoverflow.com/users/9023825", "Yufan Zou")</f>
        <v>Yufan Zou</v>
      </c>
      <c r="D14819" t="s">
        <v>449</v>
      </c>
      <c r="E14819">
        <v>1</v>
      </c>
    </row>
    <row r="14820" spans="1:5" x14ac:dyDescent="0.25">
      <c r="A14820">
        <v>14819</v>
      </c>
      <c r="B14820">
        <v>9023892</v>
      </c>
      <c r="C14820" s="1" t="str">
        <f>HYPERLINK("http://stackoverflow.com/users/9023892", "Ada")</f>
        <v>Ada</v>
      </c>
      <c r="D14820" t="s">
        <v>4</v>
      </c>
      <c r="E14820">
        <v>1</v>
      </c>
    </row>
    <row r="14821" spans="1:5" x14ac:dyDescent="0.25">
      <c r="A14821">
        <v>14820</v>
      </c>
      <c r="B14821">
        <v>10829501</v>
      </c>
      <c r="C14821" s="1" t="str">
        <f>HYPERLINK("http://stackoverflow.com/users/10829501", "Leone")</f>
        <v>Leone</v>
      </c>
      <c r="D14821" t="s">
        <v>12</v>
      </c>
      <c r="E14821">
        <v>1</v>
      </c>
    </row>
    <row r="14822" spans="1:5" x14ac:dyDescent="0.25">
      <c r="A14822">
        <v>14821</v>
      </c>
      <c r="B14822">
        <v>10833512</v>
      </c>
      <c r="C14822" s="1" t="str">
        <f>HYPERLINK("http://stackoverflow.com/users/10833512", "chao jiang")</f>
        <v>chao jiang</v>
      </c>
      <c r="D14822" t="s">
        <v>816</v>
      </c>
      <c r="E14822">
        <v>1</v>
      </c>
    </row>
    <row r="14823" spans="1:5" x14ac:dyDescent="0.25">
      <c r="A14823">
        <v>14822</v>
      </c>
      <c r="B14823">
        <v>10833733</v>
      </c>
      <c r="C14823" s="1" t="str">
        <f>HYPERLINK("http://stackoverflow.com/users/10833733", "MrZz")</f>
        <v>MrZz</v>
      </c>
      <c r="D14823" t="s">
        <v>52</v>
      </c>
      <c r="E14823">
        <v>1</v>
      </c>
    </row>
    <row r="14824" spans="1:5" x14ac:dyDescent="0.25">
      <c r="A14824">
        <v>14823</v>
      </c>
      <c r="B14824">
        <v>9038275</v>
      </c>
      <c r="C14824" s="1" t="str">
        <f>HYPERLINK("http://stackoverflow.com/users/9038275", "bruce huang")</f>
        <v>bruce huang</v>
      </c>
      <c r="D14824" t="s">
        <v>28</v>
      </c>
      <c r="E14824">
        <v>1</v>
      </c>
    </row>
    <row r="14825" spans="1:5" x14ac:dyDescent="0.25">
      <c r="A14825">
        <v>14824</v>
      </c>
      <c r="B14825">
        <v>10833772</v>
      </c>
      <c r="C14825" s="1" t="str">
        <f>HYPERLINK("http://stackoverflow.com/users/10833772", "Hewie Glaire")</f>
        <v>Hewie Glaire</v>
      </c>
      <c r="D14825" t="s">
        <v>16</v>
      </c>
      <c r="E14825">
        <v>1</v>
      </c>
    </row>
    <row r="14826" spans="1:5" x14ac:dyDescent="0.25">
      <c r="A14826">
        <v>14825</v>
      </c>
      <c r="B14826">
        <v>10833913</v>
      </c>
      <c r="C14826" s="1" t="str">
        <f>HYPERLINK("http://stackoverflow.com/users/10833913", "Shujah")</f>
        <v>Shujah</v>
      </c>
      <c r="D14826" t="s">
        <v>817</v>
      </c>
      <c r="E14826">
        <v>1</v>
      </c>
    </row>
    <row r="14827" spans="1:5" x14ac:dyDescent="0.25">
      <c r="A14827">
        <v>14826</v>
      </c>
      <c r="B14827">
        <v>10833982</v>
      </c>
      <c r="C14827" s="1" t="str">
        <f>HYPERLINK("http://stackoverflow.com/users/10833982", "Yue Zhang")</f>
        <v>Yue Zhang</v>
      </c>
      <c r="D14827" t="s">
        <v>55</v>
      </c>
      <c r="E14827">
        <v>1</v>
      </c>
    </row>
    <row r="14828" spans="1:5" x14ac:dyDescent="0.25">
      <c r="A14828">
        <v>14827</v>
      </c>
      <c r="B14828">
        <v>10834292</v>
      </c>
      <c r="C14828" s="1" t="str">
        <f>HYPERLINK("http://stackoverflow.com/users/10834292", "Xavier Wang")</f>
        <v>Xavier Wang</v>
      </c>
      <c r="D14828" t="s">
        <v>4</v>
      </c>
      <c r="E14828">
        <v>1</v>
      </c>
    </row>
    <row r="14829" spans="1:5" x14ac:dyDescent="0.25">
      <c r="A14829">
        <v>14828</v>
      </c>
      <c r="B14829">
        <v>10834360</v>
      </c>
      <c r="C14829" s="1" t="str">
        <f>HYPERLINK("http://stackoverflow.com/users/10834360", "talen")</f>
        <v>talen</v>
      </c>
      <c r="D14829" t="s">
        <v>28</v>
      </c>
      <c r="E14829">
        <v>1</v>
      </c>
    </row>
    <row r="14830" spans="1:5" x14ac:dyDescent="0.25">
      <c r="A14830">
        <v>14829</v>
      </c>
      <c r="B14830">
        <v>7177031</v>
      </c>
      <c r="C14830" s="1" t="str">
        <f>HYPERLINK("http://stackoverflow.com/users/7177031", "alexwang")</f>
        <v>alexwang</v>
      </c>
      <c r="D14830" t="s">
        <v>5</v>
      </c>
      <c r="E14830">
        <v>1</v>
      </c>
    </row>
    <row r="14831" spans="1:5" x14ac:dyDescent="0.25">
      <c r="A14831">
        <v>14830</v>
      </c>
      <c r="B14831">
        <v>7177259</v>
      </c>
      <c r="C14831" s="1" t="str">
        <f>HYPERLINK("http://stackoverflow.com/users/7177259", "Rosen")</f>
        <v>Rosen</v>
      </c>
      <c r="D14831" t="s">
        <v>4</v>
      </c>
      <c r="E14831">
        <v>1</v>
      </c>
    </row>
    <row r="14832" spans="1:5" x14ac:dyDescent="0.25">
      <c r="A14832">
        <v>14831</v>
      </c>
      <c r="B14832">
        <v>7177388</v>
      </c>
      <c r="C14832" s="1" t="str">
        <f>HYPERLINK("http://stackoverflow.com/users/7177388", "Derek.Chia")</f>
        <v>Derek.Chia</v>
      </c>
      <c r="D14832" t="s">
        <v>91</v>
      </c>
      <c r="E14832">
        <v>1</v>
      </c>
    </row>
    <row r="14833" spans="1:5" x14ac:dyDescent="0.25">
      <c r="A14833">
        <v>14832</v>
      </c>
      <c r="B14833">
        <v>5425931</v>
      </c>
      <c r="C14833" s="1" t="str">
        <f>HYPERLINK("http://stackoverflow.com/users/5425931", "P.Chen")</f>
        <v>P.Chen</v>
      </c>
      <c r="D14833" t="s">
        <v>5</v>
      </c>
      <c r="E14833">
        <v>1</v>
      </c>
    </row>
    <row r="14834" spans="1:5" x14ac:dyDescent="0.25">
      <c r="A14834">
        <v>14833</v>
      </c>
      <c r="B14834">
        <v>9042892</v>
      </c>
      <c r="C14834" s="1" t="str">
        <f>HYPERLINK("http://stackoverflow.com/users/9042892", "张无忌")</f>
        <v>张无忌</v>
      </c>
      <c r="D14834" t="s">
        <v>57</v>
      </c>
      <c r="E14834">
        <v>1</v>
      </c>
    </row>
    <row r="14835" spans="1:5" x14ac:dyDescent="0.25">
      <c r="A14835">
        <v>14834</v>
      </c>
      <c r="B14835">
        <v>9043081</v>
      </c>
      <c r="C14835" s="1" t="str">
        <f>HYPERLINK("http://stackoverflow.com/users/9043081", "王金龙")</f>
        <v>王金龙</v>
      </c>
      <c r="D14835" t="s">
        <v>325</v>
      </c>
      <c r="E14835">
        <v>1</v>
      </c>
    </row>
    <row r="14836" spans="1:5" x14ac:dyDescent="0.25">
      <c r="A14836">
        <v>14835</v>
      </c>
      <c r="B14836">
        <v>10799303</v>
      </c>
      <c r="C14836" s="1" t="str">
        <f>HYPERLINK("http://stackoverflow.com/users/10799303", "YC Wang")</f>
        <v>YC Wang</v>
      </c>
      <c r="D14836" t="s">
        <v>38</v>
      </c>
      <c r="E14836">
        <v>1</v>
      </c>
    </row>
    <row r="14837" spans="1:5" x14ac:dyDescent="0.25">
      <c r="A14837">
        <v>14836</v>
      </c>
      <c r="B14837">
        <v>10799934</v>
      </c>
      <c r="C14837" s="1" t="str">
        <f>HYPERLINK("http://stackoverflow.com/users/10799934", "jack x")</f>
        <v>jack x</v>
      </c>
      <c r="D14837" t="s">
        <v>115</v>
      </c>
      <c r="E14837">
        <v>1</v>
      </c>
    </row>
    <row r="14838" spans="1:5" x14ac:dyDescent="0.25">
      <c r="A14838">
        <v>14837</v>
      </c>
      <c r="B14838">
        <v>3588127</v>
      </c>
      <c r="C14838" s="1" t="str">
        <f>HYPERLINK("http://stackoverflow.com/users/3588127", "sean_bei")</f>
        <v>sean_bei</v>
      </c>
      <c r="D14838" t="s">
        <v>4</v>
      </c>
      <c r="E14838">
        <v>1</v>
      </c>
    </row>
    <row r="14839" spans="1:5" x14ac:dyDescent="0.25">
      <c r="A14839">
        <v>14838</v>
      </c>
      <c r="B14839">
        <v>7150125</v>
      </c>
      <c r="C14839" s="1" t="str">
        <f>HYPERLINK("http://stackoverflow.com/users/7150125", "Fanki Leung")</f>
        <v>Fanki Leung</v>
      </c>
      <c r="D14839" t="s">
        <v>25</v>
      </c>
      <c r="E14839">
        <v>1</v>
      </c>
    </row>
    <row r="14840" spans="1:5" x14ac:dyDescent="0.25">
      <c r="A14840">
        <v>14839</v>
      </c>
      <c r="B14840">
        <v>7150185</v>
      </c>
      <c r="C14840" s="1" t="str">
        <f>HYPERLINK("http://stackoverflow.com/users/7150185", "abdo.basim")</f>
        <v>abdo.basim</v>
      </c>
      <c r="D14840" t="s">
        <v>55</v>
      </c>
      <c r="E14840">
        <v>1</v>
      </c>
    </row>
    <row r="14841" spans="1:5" x14ac:dyDescent="0.25">
      <c r="A14841">
        <v>14840</v>
      </c>
      <c r="B14841">
        <v>10803833</v>
      </c>
      <c r="C14841" s="1" t="str">
        <f>HYPERLINK("http://stackoverflow.com/users/10803833", "郭Wet")</f>
        <v>郭Wet</v>
      </c>
      <c r="D14841" t="s">
        <v>5</v>
      </c>
      <c r="E14841">
        <v>1</v>
      </c>
    </row>
    <row r="14842" spans="1:5" x14ac:dyDescent="0.25">
      <c r="A14842">
        <v>14841</v>
      </c>
      <c r="B14842">
        <v>10803969</v>
      </c>
      <c r="C14842" s="1" t="str">
        <f>HYPERLINK("http://stackoverflow.com/users/10803969", "张大峰")</f>
        <v>张大峰</v>
      </c>
      <c r="D14842" t="s">
        <v>28</v>
      </c>
      <c r="E14842">
        <v>1</v>
      </c>
    </row>
    <row r="14843" spans="1:5" x14ac:dyDescent="0.25">
      <c r="A14843">
        <v>14842</v>
      </c>
      <c r="B14843">
        <v>10803983</v>
      </c>
      <c r="C14843" s="1" t="str">
        <f>HYPERLINK("http://stackoverflow.com/users/10803983", "Jason")</f>
        <v>Jason</v>
      </c>
      <c r="D14843" t="s">
        <v>4</v>
      </c>
      <c r="E14843">
        <v>1</v>
      </c>
    </row>
    <row r="14844" spans="1:5" x14ac:dyDescent="0.25">
      <c r="A14844">
        <v>14843</v>
      </c>
      <c r="B14844">
        <v>1780401</v>
      </c>
      <c r="C14844" s="1" t="str">
        <f>HYPERLINK("http://stackoverflow.com/users/1780401", "Max")</f>
        <v>Max</v>
      </c>
      <c r="D14844" t="s">
        <v>5</v>
      </c>
      <c r="E14844">
        <v>1</v>
      </c>
    </row>
    <row r="14845" spans="1:5" x14ac:dyDescent="0.25">
      <c r="A14845">
        <v>14844</v>
      </c>
      <c r="B14845">
        <v>7159529</v>
      </c>
      <c r="C14845" s="1" t="str">
        <f>HYPERLINK("http://stackoverflow.com/users/7159529", "deng")</f>
        <v>deng</v>
      </c>
      <c r="D14845" t="s">
        <v>118</v>
      </c>
      <c r="E14845">
        <v>1</v>
      </c>
    </row>
    <row r="14846" spans="1:5" x14ac:dyDescent="0.25">
      <c r="A14846">
        <v>14845</v>
      </c>
      <c r="B14846">
        <v>7159573</v>
      </c>
      <c r="C14846" s="1" t="str">
        <f>HYPERLINK("http://stackoverflow.com/users/7159573", "mark.lee")</f>
        <v>mark.lee</v>
      </c>
      <c r="D14846" t="s">
        <v>131</v>
      </c>
      <c r="E14846">
        <v>1</v>
      </c>
    </row>
    <row r="14847" spans="1:5" x14ac:dyDescent="0.25">
      <c r="A14847">
        <v>14846</v>
      </c>
      <c r="B14847">
        <v>7159669</v>
      </c>
      <c r="C14847" s="1" t="str">
        <f>HYPERLINK("http://stackoverflow.com/users/7159669", "Deric")</f>
        <v>Deric</v>
      </c>
      <c r="D14847" t="s">
        <v>4</v>
      </c>
      <c r="E14847">
        <v>1</v>
      </c>
    </row>
    <row r="14848" spans="1:5" x14ac:dyDescent="0.25">
      <c r="A14848">
        <v>14847</v>
      </c>
      <c r="B14848">
        <v>7159864</v>
      </c>
      <c r="C14848" s="1" t="str">
        <f>HYPERLINK("http://stackoverflow.com/users/7159864", "Arthur An")</f>
        <v>Arthur An</v>
      </c>
      <c r="D14848" t="s">
        <v>4</v>
      </c>
      <c r="E14848">
        <v>1</v>
      </c>
    </row>
    <row r="14849" spans="1:5" x14ac:dyDescent="0.25">
      <c r="A14849">
        <v>14848</v>
      </c>
      <c r="B14849">
        <v>5406691</v>
      </c>
      <c r="C14849" s="1" t="str">
        <f>HYPERLINK("http://stackoverflow.com/users/5406691", "Towells")</f>
        <v>Towells</v>
      </c>
      <c r="D14849" t="s">
        <v>17</v>
      </c>
      <c r="E14849">
        <v>1</v>
      </c>
    </row>
    <row r="14850" spans="1:5" x14ac:dyDescent="0.25">
      <c r="A14850">
        <v>14849</v>
      </c>
      <c r="B14850">
        <v>5406807</v>
      </c>
      <c r="C14850" s="1" t="str">
        <f>HYPERLINK("http://stackoverflow.com/users/5406807", "windoi")</f>
        <v>windoi</v>
      </c>
      <c r="D14850" t="s">
        <v>4</v>
      </c>
      <c r="E14850">
        <v>1</v>
      </c>
    </row>
    <row r="14851" spans="1:5" x14ac:dyDescent="0.25">
      <c r="A14851">
        <v>14850</v>
      </c>
      <c r="B14851">
        <v>7154758</v>
      </c>
      <c r="C14851" s="1" t="str">
        <f>HYPERLINK("http://stackoverflow.com/users/7154758", "roginluo")</f>
        <v>roginluo</v>
      </c>
      <c r="D14851" t="s">
        <v>28</v>
      </c>
      <c r="E14851">
        <v>1</v>
      </c>
    </row>
    <row r="14852" spans="1:5" x14ac:dyDescent="0.25">
      <c r="A14852">
        <v>14851</v>
      </c>
      <c r="B14852">
        <v>7154770</v>
      </c>
      <c r="C14852" s="1" t="str">
        <f>HYPERLINK("http://stackoverflow.com/users/7154770", "czy2014HUST")</f>
        <v>czy2014HUST</v>
      </c>
      <c r="D14852" t="s">
        <v>52</v>
      </c>
      <c r="E14852">
        <v>1</v>
      </c>
    </row>
    <row r="14853" spans="1:5" x14ac:dyDescent="0.25">
      <c r="A14853">
        <v>14852</v>
      </c>
      <c r="B14853">
        <v>7154783</v>
      </c>
      <c r="C14853" s="1" t="str">
        <f>HYPERLINK("http://stackoverflow.com/users/7154783", "AdamViki")</f>
        <v>AdamViki</v>
      </c>
      <c r="D14853" t="s">
        <v>175</v>
      </c>
      <c r="E14853">
        <v>1</v>
      </c>
    </row>
    <row r="14854" spans="1:5" x14ac:dyDescent="0.25">
      <c r="A14854">
        <v>14853</v>
      </c>
      <c r="B14854">
        <v>10808672</v>
      </c>
      <c r="C14854" s="1" t="str">
        <f>HYPERLINK("http://stackoverflow.com/users/10808672", "sixteen-diamonds")</f>
        <v>sixteen-diamonds</v>
      </c>
      <c r="D14854" t="s">
        <v>74</v>
      </c>
      <c r="E14854">
        <v>1</v>
      </c>
    </row>
    <row r="14855" spans="1:5" x14ac:dyDescent="0.25">
      <c r="A14855">
        <v>14854</v>
      </c>
      <c r="B14855">
        <v>9009686</v>
      </c>
      <c r="C14855" s="1" t="str">
        <f>HYPERLINK("http://stackoverflow.com/users/9009686", "Forrest-Lyu")</f>
        <v>Forrest-Lyu</v>
      </c>
      <c r="D14855" t="s">
        <v>5</v>
      </c>
      <c r="E14855">
        <v>1</v>
      </c>
    </row>
    <row r="14856" spans="1:5" x14ac:dyDescent="0.25">
      <c r="A14856">
        <v>14855</v>
      </c>
      <c r="B14856">
        <v>9014722</v>
      </c>
      <c r="C14856" s="1" t="str">
        <f>HYPERLINK("http://stackoverflow.com/users/9014722", "JameHou")</f>
        <v>JameHou</v>
      </c>
      <c r="D14856" t="s">
        <v>16</v>
      </c>
      <c r="E14856">
        <v>1</v>
      </c>
    </row>
    <row r="14857" spans="1:5" x14ac:dyDescent="0.25">
      <c r="A14857">
        <v>14856</v>
      </c>
      <c r="B14857">
        <v>3587562</v>
      </c>
      <c r="C14857" s="1" t="str">
        <f>HYPERLINK("http://stackoverflow.com/users/3587562", "flower42")</f>
        <v>flower42</v>
      </c>
      <c r="D14857" t="s">
        <v>21</v>
      </c>
      <c r="E14857">
        <v>1</v>
      </c>
    </row>
    <row r="14858" spans="1:5" x14ac:dyDescent="0.25">
      <c r="A14858">
        <v>14857</v>
      </c>
      <c r="B14858">
        <v>8994212</v>
      </c>
      <c r="C14858" s="1" t="str">
        <f>HYPERLINK("http://stackoverflow.com/users/8994212", "MJGao")</f>
        <v>MJGao</v>
      </c>
      <c r="D14858" t="s">
        <v>5</v>
      </c>
      <c r="E14858">
        <v>1</v>
      </c>
    </row>
    <row r="14859" spans="1:5" x14ac:dyDescent="0.25">
      <c r="A14859">
        <v>14858</v>
      </c>
      <c r="B14859">
        <v>5387079</v>
      </c>
      <c r="C14859" s="1" t="str">
        <f>HYPERLINK("http://stackoverflow.com/users/5387079", "Ksana")</f>
        <v>Ksana</v>
      </c>
      <c r="D14859" t="s">
        <v>5</v>
      </c>
      <c r="E14859">
        <v>1</v>
      </c>
    </row>
    <row r="14860" spans="1:5" x14ac:dyDescent="0.25">
      <c r="A14860">
        <v>14859</v>
      </c>
      <c r="B14860">
        <v>5387522</v>
      </c>
      <c r="C14860" s="1" t="str">
        <f>HYPERLINK("http://stackoverflow.com/users/5387522", "dugujianxiao")</f>
        <v>dugujianxiao</v>
      </c>
      <c r="D14860" t="s">
        <v>21</v>
      </c>
      <c r="E14860">
        <v>1</v>
      </c>
    </row>
    <row r="14861" spans="1:5" x14ac:dyDescent="0.25">
      <c r="A14861">
        <v>14860</v>
      </c>
      <c r="B14861">
        <v>5387816</v>
      </c>
      <c r="C14861" s="1" t="str">
        <f>HYPERLINK("http://stackoverflow.com/users/5387816", "life simple")</f>
        <v>life simple</v>
      </c>
      <c r="D14861" t="s">
        <v>55</v>
      </c>
      <c r="E14861">
        <v>1</v>
      </c>
    </row>
    <row r="14862" spans="1:5" x14ac:dyDescent="0.25">
      <c r="A14862">
        <v>14861</v>
      </c>
      <c r="B14862">
        <v>5387826</v>
      </c>
      <c r="C14862" s="1" t="str">
        <f>HYPERLINK("http://stackoverflow.com/users/5387826", "Darren")</f>
        <v>Darren</v>
      </c>
      <c r="D14862" t="s">
        <v>4</v>
      </c>
      <c r="E14862">
        <v>1</v>
      </c>
    </row>
    <row r="14863" spans="1:5" x14ac:dyDescent="0.25">
      <c r="A14863">
        <v>14862</v>
      </c>
      <c r="B14863">
        <v>3580282</v>
      </c>
      <c r="C14863" s="1" t="str">
        <f>HYPERLINK("http://stackoverflow.com/users/3580282", "clare")</f>
        <v>clare</v>
      </c>
      <c r="D14863" t="s">
        <v>4</v>
      </c>
      <c r="E14863">
        <v>1</v>
      </c>
    </row>
    <row r="14864" spans="1:5" x14ac:dyDescent="0.25">
      <c r="A14864">
        <v>14863</v>
      </c>
      <c r="B14864">
        <v>3580527</v>
      </c>
      <c r="C14864" s="1" t="str">
        <f>HYPERLINK("http://stackoverflow.com/users/3580527", "QDXY")</f>
        <v>QDXY</v>
      </c>
      <c r="D14864" t="s">
        <v>6</v>
      </c>
      <c r="E14864">
        <v>1</v>
      </c>
    </row>
    <row r="14865" spans="1:5" x14ac:dyDescent="0.25">
      <c r="A14865">
        <v>14864</v>
      </c>
      <c r="B14865">
        <v>5383653</v>
      </c>
      <c r="C14865" s="1" t="str">
        <f>HYPERLINK("http://stackoverflow.com/users/5383653", "yuenar")</f>
        <v>yuenar</v>
      </c>
      <c r="D14865" t="s">
        <v>12</v>
      </c>
      <c r="E14865">
        <v>1</v>
      </c>
    </row>
    <row r="14866" spans="1:5" x14ac:dyDescent="0.25">
      <c r="A14866">
        <v>14865</v>
      </c>
      <c r="B14866">
        <v>8988851</v>
      </c>
      <c r="C14866" s="1" t="str">
        <f>HYPERLINK("http://stackoverflow.com/users/8988851", "xiaobo c")</f>
        <v>xiaobo c</v>
      </c>
      <c r="D14866" t="s">
        <v>5</v>
      </c>
      <c r="E14866">
        <v>1</v>
      </c>
    </row>
    <row r="14867" spans="1:5" x14ac:dyDescent="0.25">
      <c r="A14867">
        <v>14866</v>
      </c>
      <c r="B14867">
        <v>8989268</v>
      </c>
      <c r="C14867" s="1" t="str">
        <f>HYPERLINK("http://stackoverflow.com/users/8989268", "desi.lee")</f>
        <v>desi.lee</v>
      </c>
      <c r="D14867" t="s">
        <v>5</v>
      </c>
      <c r="E14867">
        <v>1</v>
      </c>
    </row>
    <row r="14868" spans="1:5" x14ac:dyDescent="0.25">
      <c r="A14868">
        <v>14867</v>
      </c>
      <c r="B14868">
        <v>8449527</v>
      </c>
      <c r="C14868" s="1" t="str">
        <f>HYPERLINK("http://stackoverflow.com/users/8449527", "Lin Sun")</f>
        <v>Lin Sun</v>
      </c>
      <c r="D14868" t="s">
        <v>16</v>
      </c>
      <c r="E14868">
        <v>1</v>
      </c>
    </row>
    <row r="14869" spans="1:5" x14ac:dyDescent="0.25">
      <c r="A14869">
        <v>14868</v>
      </c>
      <c r="B14869">
        <v>8449622</v>
      </c>
      <c r="C14869" s="1" t="str">
        <f>HYPERLINK("http://stackoverflow.com/users/8449622", "Silence")</f>
        <v>Silence</v>
      </c>
      <c r="D14869" t="s">
        <v>266</v>
      </c>
      <c r="E14869">
        <v>1</v>
      </c>
    </row>
    <row r="14870" spans="1:5" x14ac:dyDescent="0.25">
      <c r="A14870">
        <v>14869</v>
      </c>
      <c r="B14870">
        <v>8449643</v>
      </c>
      <c r="C14870" s="1" t="str">
        <f>HYPERLINK("http://stackoverflow.com/users/8449643", "user8637")</f>
        <v>user8637</v>
      </c>
      <c r="D14870" t="s">
        <v>4</v>
      </c>
      <c r="E14870">
        <v>1</v>
      </c>
    </row>
    <row r="14871" spans="1:5" x14ac:dyDescent="0.25">
      <c r="A14871">
        <v>14870</v>
      </c>
      <c r="B14871">
        <v>8449669</v>
      </c>
      <c r="C14871" s="1" t="str">
        <f>HYPERLINK("http://stackoverflow.com/users/8449669", "roseeeeeeee")</f>
        <v>roseeeeeeee</v>
      </c>
      <c r="D14871" t="s">
        <v>7</v>
      </c>
      <c r="E14871">
        <v>1</v>
      </c>
    </row>
    <row r="14872" spans="1:5" x14ac:dyDescent="0.25">
      <c r="A14872">
        <v>14871</v>
      </c>
      <c r="B14872">
        <v>8449677</v>
      </c>
      <c r="C14872" s="1" t="str">
        <f>HYPERLINK("http://stackoverflow.com/users/8449677", "Shine Aj")</f>
        <v>Shine Aj</v>
      </c>
      <c r="D14872" t="s">
        <v>5</v>
      </c>
      <c r="E14872">
        <v>1</v>
      </c>
    </row>
    <row r="14873" spans="1:5" x14ac:dyDescent="0.25">
      <c r="A14873">
        <v>14872</v>
      </c>
      <c r="B14873">
        <v>3089715</v>
      </c>
      <c r="C14873" s="1" t="str">
        <f>HYPERLINK("http://stackoverflow.com/users/3089715", "ezmet")</f>
        <v>ezmet</v>
      </c>
      <c r="D14873" t="s">
        <v>396</v>
      </c>
      <c r="E14873">
        <v>1</v>
      </c>
    </row>
    <row r="14874" spans="1:5" x14ac:dyDescent="0.25">
      <c r="A14874">
        <v>14873</v>
      </c>
      <c r="B14874">
        <v>3089741</v>
      </c>
      <c r="C14874" s="1" t="str">
        <f>HYPERLINK("http://stackoverflow.com/users/3089741", "hoferbao")</f>
        <v>hoferbao</v>
      </c>
      <c r="D14874" t="s">
        <v>12</v>
      </c>
      <c r="E14874">
        <v>1</v>
      </c>
    </row>
    <row r="14875" spans="1:5" x14ac:dyDescent="0.25">
      <c r="A14875">
        <v>14874</v>
      </c>
      <c r="B14875">
        <v>3089753</v>
      </c>
      <c r="C14875" s="1" t="str">
        <f>HYPERLINK("http://stackoverflow.com/users/3089753", "user3089753")</f>
        <v>user3089753</v>
      </c>
      <c r="D14875" t="s">
        <v>5</v>
      </c>
      <c r="E14875">
        <v>1</v>
      </c>
    </row>
    <row r="14876" spans="1:5" x14ac:dyDescent="0.25">
      <c r="A14876">
        <v>14875</v>
      </c>
      <c r="B14876">
        <v>3081816</v>
      </c>
      <c r="C14876" s="1" t="str">
        <f>HYPERLINK("http://stackoverflow.com/users/3081816", "Karloku")</f>
        <v>Karloku</v>
      </c>
      <c r="D14876" t="s">
        <v>4</v>
      </c>
      <c r="E14876">
        <v>1</v>
      </c>
    </row>
    <row r="14877" spans="1:5" x14ac:dyDescent="0.25">
      <c r="A14877">
        <v>14876</v>
      </c>
      <c r="B14877">
        <v>10259078</v>
      </c>
      <c r="C14877" s="1" t="str">
        <f>HYPERLINK("http://stackoverflow.com/users/10259078", "FactorialN")</f>
        <v>FactorialN</v>
      </c>
      <c r="D14877" t="s">
        <v>5</v>
      </c>
      <c r="E14877">
        <v>1</v>
      </c>
    </row>
    <row r="14878" spans="1:5" x14ac:dyDescent="0.25">
      <c r="A14878">
        <v>14877</v>
      </c>
      <c r="B14878">
        <v>3085923</v>
      </c>
      <c r="C14878" s="1" t="str">
        <f>HYPERLINK("http://stackoverflow.com/users/3085923", "Vito_Leefilm")</f>
        <v>Vito_Leefilm</v>
      </c>
      <c r="D14878" t="s">
        <v>4</v>
      </c>
      <c r="E14878">
        <v>1</v>
      </c>
    </row>
    <row r="14879" spans="1:5" x14ac:dyDescent="0.25">
      <c r="A14879">
        <v>14878</v>
      </c>
      <c r="B14879">
        <v>3086159</v>
      </c>
      <c r="C14879" s="1" t="str">
        <f>HYPERLINK("http://stackoverflow.com/users/3086159", "caibin")</f>
        <v>caibin</v>
      </c>
      <c r="D14879" t="s">
        <v>21</v>
      </c>
      <c r="E14879">
        <v>1</v>
      </c>
    </row>
    <row r="14880" spans="1:5" x14ac:dyDescent="0.25">
      <c r="A14880">
        <v>14879</v>
      </c>
      <c r="B14880">
        <v>3086326</v>
      </c>
      <c r="C14880" s="1" t="str">
        <f>HYPERLINK("http://stackoverflow.com/users/3086326", "user3086326")</f>
        <v>user3086326</v>
      </c>
      <c r="D14880" t="s">
        <v>37</v>
      </c>
      <c r="E14880">
        <v>1</v>
      </c>
    </row>
    <row r="14881" spans="1:5" x14ac:dyDescent="0.25">
      <c r="A14881">
        <v>14880</v>
      </c>
      <c r="B14881">
        <v>3086374</v>
      </c>
      <c r="C14881" s="1" t="str">
        <f>HYPERLINK("http://stackoverflow.com/users/3086374", "yonghuisoft")</f>
        <v>yonghuisoft</v>
      </c>
      <c r="D14881" t="s">
        <v>5</v>
      </c>
      <c r="E14881">
        <v>1</v>
      </c>
    </row>
    <row r="14882" spans="1:5" x14ac:dyDescent="0.25">
      <c r="A14882">
        <v>14881</v>
      </c>
      <c r="B14882">
        <v>3086481</v>
      </c>
      <c r="C14882" s="1" t="str">
        <f>HYPERLINK("http://stackoverflow.com/users/3086481", "luckyyang")</f>
        <v>luckyyang</v>
      </c>
      <c r="D14882" t="s">
        <v>5</v>
      </c>
      <c r="E14882">
        <v>1</v>
      </c>
    </row>
    <row r="14883" spans="1:5" x14ac:dyDescent="0.25">
      <c r="A14883">
        <v>14882</v>
      </c>
      <c r="B14883">
        <v>4903515</v>
      </c>
      <c r="C14883" s="1" t="str">
        <f>HYPERLINK("http://stackoverflow.com/users/4903515", "LiChen")</f>
        <v>LiChen</v>
      </c>
      <c r="D14883" t="s">
        <v>12</v>
      </c>
      <c r="E14883">
        <v>1</v>
      </c>
    </row>
    <row r="14884" spans="1:5" x14ac:dyDescent="0.25">
      <c r="A14884">
        <v>14883</v>
      </c>
      <c r="B14884">
        <v>8445427</v>
      </c>
      <c r="C14884" s="1" t="str">
        <f>HYPERLINK("http://stackoverflow.com/users/8445427", "foi")</f>
        <v>foi</v>
      </c>
      <c r="D14884" t="s">
        <v>55</v>
      </c>
      <c r="E14884">
        <v>1</v>
      </c>
    </row>
    <row r="14885" spans="1:5" x14ac:dyDescent="0.25">
      <c r="A14885">
        <v>14884</v>
      </c>
      <c r="B14885">
        <v>10258593</v>
      </c>
      <c r="C14885" s="1" t="str">
        <f>HYPERLINK("http://stackoverflow.com/users/10258593", "E.xxxc")</f>
        <v>E.xxxc</v>
      </c>
      <c r="D14885" t="s">
        <v>5</v>
      </c>
      <c r="E14885">
        <v>1</v>
      </c>
    </row>
    <row r="14886" spans="1:5" x14ac:dyDescent="0.25">
      <c r="A14886">
        <v>14885</v>
      </c>
      <c r="B14886">
        <v>10258741</v>
      </c>
      <c r="C14886" s="1" t="str">
        <f>HYPERLINK("http://stackoverflow.com/users/10258741", "P.Zhang")</f>
        <v>P.Zhang</v>
      </c>
      <c r="D14886" t="s">
        <v>5</v>
      </c>
      <c r="E14886">
        <v>1</v>
      </c>
    </row>
    <row r="14887" spans="1:5" x14ac:dyDescent="0.25">
      <c r="A14887">
        <v>14886</v>
      </c>
      <c r="B14887">
        <v>10258770</v>
      </c>
      <c r="C14887" s="1" t="str">
        <f>HYPERLINK("http://stackoverflow.com/users/10258770", "getcoppercladsteelwires")</f>
        <v>getcoppercladsteelwires</v>
      </c>
      <c r="D14887" t="s">
        <v>818</v>
      </c>
      <c r="E14887">
        <v>1</v>
      </c>
    </row>
    <row r="14888" spans="1:5" x14ac:dyDescent="0.25">
      <c r="A14888">
        <v>14887</v>
      </c>
      <c r="B14888">
        <v>1090773</v>
      </c>
      <c r="C14888" s="1" t="str">
        <f>HYPERLINK("http://stackoverflow.com/users/1090773", "IcePanda")</f>
        <v>IcePanda</v>
      </c>
      <c r="D14888" t="s">
        <v>4</v>
      </c>
      <c r="E14888">
        <v>1</v>
      </c>
    </row>
    <row r="14889" spans="1:5" x14ac:dyDescent="0.25">
      <c r="A14889">
        <v>14888</v>
      </c>
      <c r="B14889">
        <v>6623524</v>
      </c>
      <c r="C14889" s="1" t="str">
        <f>HYPERLINK("http://stackoverflow.com/users/6623524", "yao.luo")</f>
        <v>yao.luo</v>
      </c>
      <c r="D14889" t="s">
        <v>4</v>
      </c>
      <c r="E14889">
        <v>1</v>
      </c>
    </row>
    <row r="14890" spans="1:5" x14ac:dyDescent="0.25">
      <c r="A14890">
        <v>14889</v>
      </c>
      <c r="B14890">
        <v>6623625</v>
      </c>
      <c r="C14890" s="1" t="str">
        <f>HYPERLINK("http://stackoverflow.com/users/6623625", "Kipp")</f>
        <v>Kipp</v>
      </c>
      <c r="D14890" t="s">
        <v>5</v>
      </c>
      <c r="E14890">
        <v>1</v>
      </c>
    </row>
    <row r="14891" spans="1:5" x14ac:dyDescent="0.25">
      <c r="A14891">
        <v>14890</v>
      </c>
      <c r="B14891">
        <v>3082483</v>
      </c>
      <c r="C14891" s="1" t="str">
        <f>HYPERLINK("http://stackoverflow.com/users/3082483", "igeeker")</f>
        <v>igeeker</v>
      </c>
      <c r="D14891" t="s">
        <v>5</v>
      </c>
      <c r="E14891">
        <v>1</v>
      </c>
    </row>
    <row r="14892" spans="1:5" x14ac:dyDescent="0.25">
      <c r="A14892">
        <v>14891</v>
      </c>
      <c r="B14892">
        <v>8449884</v>
      </c>
      <c r="C14892" s="1" t="str">
        <f>HYPERLINK("http://stackoverflow.com/users/8449884", "Chris Song")</f>
        <v>Chris Song</v>
      </c>
      <c r="D14892" t="s">
        <v>819</v>
      </c>
      <c r="E14892">
        <v>1</v>
      </c>
    </row>
    <row r="14893" spans="1:5" x14ac:dyDescent="0.25">
      <c r="A14893">
        <v>14892</v>
      </c>
      <c r="B14893">
        <v>1115149</v>
      </c>
      <c r="C14893" s="1" t="str">
        <f>HYPERLINK("http://stackoverflow.com/users/1115149", "armykingw")</f>
        <v>armykingw</v>
      </c>
      <c r="D14893" t="s">
        <v>5</v>
      </c>
      <c r="E14893">
        <v>1</v>
      </c>
    </row>
    <row r="14894" spans="1:5" x14ac:dyDescent="0.25">
      <c r="A14894">
        <v>14893</v>
      </c>
      <c r="B14894">
        <v>1122254</v>
      </c>
      <c r="C14894" s="1" t="str">
        <f>HYPERLINK("http://stackoverflow.com/users/1122254", "zhsso")</f>
        <v>zhsso</v>
      </c>
      <c r="D14894" t="s">
        <v>38</v>
      </c>
      <c r="E14894">
        <v>1</v>
      </c>
    </row>
    <row r="14895" spans="1:5" x14ac:dyDescent="0.25">
      <c r="A14895">
        <v>14894</v>
      </c>
      <c r="B14895">
        <v>1121701</v>
      </c>
      <c r="C14895" s="1" t="str">
        <f>HYPERLINK("http://stackoverflow.com/users/1121701", "MainTao")</f>
        <v>MainTao</v>
      </c>
      <c r="D14895" t="s">
        <v>5</v>
      </c>
      <c r="E14895">
        <v>1</v>
      </c>
    </row>
    <row r="14896" spans="1:5" x14ac:dyDescent="0.25">
      <c r="A14896">
        <v>14895</v>
      </c>
      <c r="B14896">
        <v>1122763</v>
      </c>
      <c r="C14896" s="1" t="str">
        <f>HYPERLINK("http://stackoverflow.com/users/1122763", "stone")</f>
        <v>stone</v>
      </c>
      <c r="D14896" t="s">
        <v>5</v>
      </c>
      <c r="E14896">
        <v>1</v>
      </c>
    </row>
    <row r="14897" spans="1:5" x14ac:dyDescent="0.25">
      <c r="A14897">
        <v>14896</v>
      </c>
      <c r="B14897">
        <v>10267636</v>
      </c>
      <c r="C14897" s="1" t="str">
        <f>HYPERLINK("http://stackoverflow.com/users/10267636", "Aaron Hu")</f>
        <v>Aaron Hu</v>
      </c>
      <c r="D14897" t="s">
        <v>4</v>
      </c>
      <c r="E14897">
        <v>1</v>
      </c>
    </row>
    <row r="14898" spans="1:5" x14ac:dyDescent="0.25">
      <c r="A14898">
        <v>14897</v>
      </c>
      <c r="B14898">
        <v>10267548</v>
      </c>
      <c r="C14898" s="1" t="str">
        <f>HYPERLINK("http://stackoverflow.com/users/10267548", "Miles")</f>
        <v>Miles</v>
      </c>
      <c r="D14898" t="s">
        <v>17</v>
      </c>
      <c r="E14898">
        <v>1</v>
      </c>
    </row>
    <row r="14899" spans="1:5" x14ac:dyDescent="0.25">
      <c r="A14899">
        <v>14898</v>
      </c>
      <c r="B14899">
        <v>10267568</v>
      </c>
      <c r="C14899" s="1" t="str">
        <f>HYPERLINK("http://stackoverflow.com/users/10267568", "user10267568")</f>
        <v>user10267568</v>
      </c>
      <c r="D14899" t="s">
        <v>820</v>
      </c>
      <c r="E14899">
        <v>1</v>
      </c>
    </row>
    <row r="14900" spans="1:5" x14ac:dyDescent="0.25">
      <c r="A14900">
        <v>14899</v>
      </c>
      <c r="B14900">
        <v>8457161</v>
      </c>
      <c r="C14900" s="1" t="str">
        <f>HYPERLINK("http://stackoverflow.com/users/8457161", "Dylan Zhao")</f>
        <v>Dylan Zhao</v>
      </c>
      <c r="D14900" t="s">
        <v>353</v>
      </c>
      <c r="E14900">
        <v>1</v>
      </c>
    </row>
    <row r="14901" spans="1:5" x14ac:dyDescent="0.25">
      <c r="A14901">
        <v>14900</v>
      </c>
      <c r="B14901">
        <v>8457165</v>
      </c>
      <c r="C14901" s="1" t="str">
        <f>HYPERLINK("http://stackoverflow.com/users/8457165", "Jin Yin")</f>
        <v>Jin Yin</v>
      </c>
      <c r="D14901" t="s">
        <v>33</v>
      </c>
      <c r="E14901">
        <v>1</v>
      </c>
    </row>
    <row r="14902" spans="1:5" x14ac:dyDescent="0.25">
      <c r="A14902">
        <v>14901</v>
      </c>
      <c r="B14902">
        <v>8457183</v>
      </c>
      <c r="C14902" s="1" t="str">
        <f>HYPERLINK("http://stackoverflow.com/users/8457183", "廖长增")</f>
        <v>廖长增</v>
      </c>
      <c r="D14902" t="s">
        <v>5</v>
      </c>
      <c r="E14902">
        <v>1</v>
      </c>
    </row>
    <row r="14903" spans="1:5" x14ac:dyDescent="0.25">
      <c r="A14903">
        <v>14902</v>
      </c>
      <c r="B14903">
        <v>8457213</v>
      </c>
      <c r="C14903" s="1" t="str">
        <f>HYPERLINK("http://stackoverflow.com/users/8457213", "Harry.chen")</f>
        <v>Harry.chen</v>
      </c>
      <c r="D14903" t="s">
        <v>821</v>
      </c>
      <c r="E14903">
        <v>1</v>
      </c>
    </row>
    <row r="14904" spans="1:5" x14ac:dyDescent="0.25">
      <c r="A14904">
        <v>14903</v>
      </c>
      <c r="B14904">
        <v>8457238</v>
      </c>
      <c r="C14904" s="1" t="str">
        <f>HYPERLINK("http://stackoverflow.com/users/8457238", "LiuG")</f>
        <v>LiuG</v>
      </c>
      <c r="D14904" t="s">
        <v>28</v>
      </c>
      <c r="E14904">
        <v>1</v>
      </c>
    </row>
    <row r="14905" spans="1:5" x14ac:dyDescent="0.25">
      <c r="A14905">
        <v>14904</v>
      </c>
      <c r="B14905">
        <v>8457474</v>
      </c>
      <c r="C14905" s="1" t="str">
        <f>HYPERLINK("http://stackoverflow.com/users/8457474", "Huaiyi.Lin")</f>
        <v>Huaiyi.Lin</v>
      </c>
      <c r="D14905" t="s">
        <v>11</v>
      </c>
      <c r="E14905">
        <v>1</v>
      </c>
    </row>
    <row r="14906" spans="1:5" x14ac:dyDescent="0.25">
      <c r="A14906">
        <v>14905</v>
      </c>
      <c r="B14906">
        <v>8457866</v>
      </c>
      <c r="C14906" s="1" t="str">
        <f>HYPERLINK("http://stackoverflow.com/users/8457866", "nick")</f>
        <v>nick</v>
      </c>
      <c r="D14906" t="s">
        <v>822</v>
      </c>
      <c r="E14906">
        <v>1</v>
      </c>
    </row>
    <row r="14907" spans="1:5" x14ac:dyDescent="0.25">
      <c r="A14907">
        <v>14906</v>
      </c>
      <c r="B14907">
        <v>6592153</v>
      </c>
      <c r="C14907" s="1" t="str">
        <f>HYPERLINK("http://stackoverflow.com/users/6592153", "Windson Yan")</f>
        <v>Windson Yan</v>
      </c>
      <c r="D14907" t="s">
        <v>5</v>
      </c>
      <c r="E14907">
        <v>1</v>
      </c>
    </row>
    <row r="14908" spans="1:5" x14ac:dyDescent="0.25">
      <c r="A14908">
        <v>14907</v>
      </c>
      <c r="B14908">
        <v>10216930</v>
      </c>
      <c r="C14908" s="1" t="str">
        <f>HYPERLINK("http://stackoverflow.com/users/10216930", "Simon")</f>
        <v>Simon</v>
      </c>
      <c r="D14908" t="s">
        <v>74</v>
      </c>
      <c r="E14908">
        <v>1</v>
      </c>
    </row>
    <row r="14909" spans="1:5" x14ac:dyDescent="0.25">
      <c r="A14909">
        <v>14908</v>
      </c>
      <c r="B14909">
        <v>10216976</v>
      </c>
      <c r="C14909" s="1" t="str">
        <f>HYPERLINK("http://stackoverflow.com/users/10216976", "Bingfeng Sun")</f>
        <v>Bingfeng Sun</v>
      </c>
      <c r="D14909" t="s">
        <v>7</v>
      </c>
      <c r="E14909">
        <v>1</v>
      </c>
    </row>
    <row r="14910" spans="1:5" x14ac:dyDescent="0.25">
      <c r="A14910">
        <v>14909</v>
      </c>
      <c r="B14910">
        <v>3051263</v>
      </c>
      <c r="C14910" s="1" t="str">
        <f>HYPERLINK("http://stackoverflow.com/users/3051263", "Zhenye Dong")</f>
        <v>Zhenye Dong</v>
      </c>
      <c r="D14910" t="s">
        <v>57</v>
      </c>
      <c r="E14910">
        <v>1</v>
      </c>
    </row>
    <row r="14911" spans="1:5" x14ac:dyDescent="0.25">
      <c r="A14911">
        <v>14910</v>
      </c>
      <c r="B14911">
        <v>10225825</v>
      </c>
      <c r="C14911" s="1" t="str">
        <f>HYPERLINK("http://stackoverflow.com/users/10225825", "DuncanJ")</f>
        <v>DuncanJ</v>
      </c>
      <c r="D14911" t="s">
        <v>25</v>
      </c>
      <c r="E14911">
        <v>1</v>
      </c>
    </row>
    <row r="14912" spans="1:5" x14ac:dyDescent="0.25">
      <c r="A14912">
        <v>14911</v>
      </c>
      <c r="B14912">
        <v>8411028</v>
      </c>
      <c r="C14912" s="1" t="str">
        <f>HYPERLINK("http://stackoverflow.com/users/8411028", "Hex Pang")</f>
        <v>Hex Pang</v>
      </c>
      <c r="D14912" t="s">
        <v>87</v>
      </c>
      <c r="E14912">
        <v>1</v>
      </c>
    </row>
    <row r="14913" spans="1:5" x14ac:dyDescent="0.25">
      <c r="A14913">
        <v>14912</v>
      </c>
      <c r="B14913">
        <v>8411445</v>
      </c>
      <c r="C14913" s="1" t="str">
        <f>HYPERLINK("http://stackoverflow.com/users/8411445", "sfy")</f>
        <v>sfy</v>
      </c>
      <c r="D14913" t="s">
        <v>115</v>
      </c>
      <c r="E14913">
        <v>1</v>
      </c>
    </row>
    <row r="14914" spans="1:5" x14ac:dyDescent="0.25">
      <c r="A14914">
        <v>14913</v>
      </c>
      <c r="B14914">
        <v>8411762</v>
      </c>
      <c r="C14914" s="1" t="str">
        <f>HYPERLINK("http://stackoverflow.com/users/8411762", "Seaony")</f>
        <v>Seaony</v>
      </c>
      <c r="D14914" t="s">
        <v>62</v>
      </c>
      <c r="E14914">
        <v>1</v>
      </c>
    </row>
    <row r="14915" spans="1:5" x14ac:dyDescent="0.25">
      <c r="A14915">
        <v>14914</v>
      </c>
      <c r="B14915">
        <v>8411928</v>
      </c>
      <c r="C14915" s="1" t="str">
        <f>HYPERLINK("http://stackoverflow.com/users/8411928", "Dennis Min Zeng")</f>
        <v>Dennis Min Zeng</v>
      </c>
      <c r="D14915" t="s">
        <v>5</v>
      </c>
      <c r="E14915">
        <v>1</v>
      </c>
    </row>
    <row r="14916" spans="1:5" x14ac:dyDescent="0.25">
      <c r="A14916">
        <v>14915</v>
      </c>
      <c r="B14916">
        <v>8412184</v>
      </c>
      <c r="C14916" s="1" t="str">
        <f>HYPERLINK("http://stackoverflow.com/users/8412184", "user8412184")</f>
        <v>user8412184</v>
      </c>
      <c r="D14916" t="s">
        <v>52</v>
      </c>
      <c r="E14916">
        <v>1</v>
      </c>
    </row>
    <row r="14917" spans="1:5" x14ac:dyDescent="0.25">
      <c r="A14917">
        <v>14916</v>
      </c>
      <c r="B14917">
        <v>8412316</v>
      </c>
      <c r="C14917" s="1" t="str">
        <f>HYPERLINK("http://stackoverflow.com/users/8412316", "ZeroJ")</f>
        <v>ZeroJ</v>
      </c>
      <c r="D14917" t="s">
        <v>5</v>
      </c>
      <c r="E14917">
        <v>1</v>
      </c>
    </row>
    <row r="14918" spans="1:5" x14ac:dyDescent="0.25">
      <c r="A14918">
        <v>14917</v>
      </c>
      <c r="B14918">
        <v>8415643</v>
      </c>
      <c r="C14918" s="1" t="str">
        <f>HYPERLINK("http://stackoverflow.com/users/8415643", "lei 张")</f>
        <v>lei 张</v>
      </c>
      <c r="D14918" t="s">
        <v>91</v>
      </c>
      <c r="E14918">
        <v>1</v>
      </c>
    </row>
    <row r="14919" spans="1:5" x14ac:dyDescent="0.25">
      <c r="A14919">
        <v>14918</v>
      </c>
      <c r="B14919">
        <v>8415660</v>
      </c>
      <c r="C14919" s="1" t="str">
        <f>HYPERLINK("http://stackoverflow.com/users/8415660", "holyrock")</f>
        <v>holyrock</v>
      </c>
      <c r="D14919" t="s">
        <v>4</v>
      </c>
      <c r="E14919">
        <v>1</v>
      </c>
    </row>
    <row r="14920" spans="1:5" x14ac:dyDescent="0.25">
      <c r="A14920">
        <v>14919</v>
      </c>
      <c r="B14920">
        <v>8415794</v>
      </c>
      <c r="C14920" s="1" t="str">
        <f>HYPERLINK("http://stackoverflow.com/users/8415794", "Jacky Wang")</f>
        <v>Jacky Wang</v>
      </c>
      <c r="D14920" t="s">
        <v>4</v>
      </c>
      <c r="E14920">
        <v>1</v>
      </c>
    </row>
    <row r="14921" spans="1:5" x14ac:dyDescent="0.25">
      <c r="A14921">
        <v>14920</v>
      </c>
      <c r="B14921">
        <v>8415800</v>
      </c>
      <c r="C14921" s="1" t="str">
        <f>HYPERLINK("http://stackoverflow.com/users/8415800", "kingming")</f>
        <v>kingming</v>
      </c>
      <c r="D14921" t="s">
        <v>4</v>
      </c>
      <c r="E14921">
        <v>1</v>
      </c>
    </row>
    <row r="14922" spans="1:5" x14ac:dyDescent="0.25">
      <c r="A14922">
        <v>14921</v>
      </c>
      <c r="B14922">
        <v>8416038</v>
      </c>
      <c r="C14922" s="1" t="str">
        <f>HYPERLINK("http://stackoverflow.com/users/8416038", "Eswara Prakash V")</f>
        <v>Eswara Prakash V</v>
      </c>
      <c r="D14922" t="s">
        <v>4</v>
      </c>
      <c r="E14922">
        <v>1</v>
      </c>
    </row>
    <row r="14923" spans="1:5" x14ac:dyDescent="0.25">
      <c r="A14923">
        <v>14922</v>
      </c>
      <c r="B14923">
        <v>8416279</v>
      </c>
      <c r="C14923" s="1" t="str">
        <f>HYPERLINK("http://stackoverflow.com/users/8416279", "B.Z")</f>
        <v>B.Z</v>
      </c>
      <c r="D14923" t="s">
        <v>5</v>
      </c>
      <c r="E14923">
        <v>1</v>
      </c>
    </row>
    <row r="14924" spans="1:5" x14ac:dyDescent="0.25">
      <c r="A14924">
        <v>14923</v>
      </c>
      <c r="B14924">
        <v>1068102</v>
      </c>
      <c r="C14924" s="1" t="str">
        <f>HYPERLINK("http://stackoverflow.com/users/1068102", "feelapi")</f>
        <v>feelapi</v>
      </c>
      <c r="D14924" t="s">
        <v>5</v>
      </c>
      <c r="E14924">
        <v>1</v>
      </c>
    </row>
    <row r="14925" spans="1:5" x14ac:dyDescent="0.25">
      <c r="A14925">
        <v>14924</v>
      </c>
      <c r="B14925">
        <v>1068907</v>
      </c>
      <c r="C14925" s="1" t="str">
        <f>HYPERLINK("http://stackoverflow.com/users/1068907", "Path")</f>
        <v>Path</v>
      </c>
      <c r="D14925" t="s">
        <v>4</v>
      </c>
      <c r="E14925">
        <v>1</v>
      </c>
    </row>
    <row r="14926" spans="1:5" x14ac:dyDescent="0.25">
      <c r="A14926">
        <v>14925</v>
      </c>
      <c r="B14926">
        <v>1068713</v>
      </c>
      <c r="C14926" s="1" t="str">
        <f>HYPERLINK("http://stackoverflow.com/users/1068713", "Usbuild")</f>
        <v>Usbuild</v>
      </c>
      <c r="D14926" t="s">
        <v>37</v>
      </c>
      <c r="E14926">
        <v>1</v>
      </c>
    </row>
    <row r="14927" spans="1:5" x14ac:dyDescent="0.25">
      <c r="A14927">
        <v>14926</v>
      </c>
      <c r="B14927">
        <v>8420251</v>
      </c>
      <c r="C14927" s="1" t="str">
        <f>HYPERLINK("http://stackoverflow.com/users/8420251", "吴嘉皓")</f>
        <v>吴嘉皓</v>
      </c>
      <c r="D14927" t="s">
        <v>5</v>
      </c>
      <c r="E14927">
        <v>1</v>
      </c>
    </row>
    <row r="14928" spans="1:5" x14ac:dyDescent="0.25">
      <c r="A14928">
        <v>14927</v>
      </c>
      <c r="B14928">
        <v>8420338</v>
      </c>
      <c r="C14928" s="1" t="str">
        <f>HYPERLINK("http://stackoverflow.com/users/8420338", "bw98")</f>
        <v>bw98</v>
      </c>
      <c r="D14928" t="s">
        <v>67</v>
      </c>
      <c r="E14928">
        <v>1</v>
      </c>
    </row>
    <row r="14929" spans="1:5" x14ac:dyDescent="0.25">
      <c r="A14929">
        <v>14928</v>
      </c>
      <c r="B14929">
        <v>6607686</v>
      </c>
      <c r="C14929" s="1" t="str">
        <f>HYPERLINK("http://stackoverflow.com/users/6607686", "zbang guo")</f>
        <v>zbang guo</v>
      </c>
      <c r="D14929" t="s">
        <v>5</v>
      </c>
      <c r="E14929">
        <v>1</v>
      </c>
    </row>
    <row r="14930" spans="1:5" x14ac:dyDescent="0.25">
      <c r="A14930">
        <v>14929</v>
      </c>
      <c r="B14930">
        <v>6607705</v>
      </c>
      <c r="C14930" s="1" t="str">
        <f>HYPERLINK("http://stackoverflow.com/users/6607705", "yao")</f>
        <v>yao</v>
      </c>
      <c r="D14930" t="s">
        <v>823</v>
      </c>
      <c r="E14930">
        <v>1</v>
      </c>
    </row>
    <row r="14931" spans="1:5" x14ac:dyDescent="0.25">
      <c r="A14931">
        <v>14930</v>
      </c>
      <c r="B14931">
        <v>6607953</v>
      </c>
      <c r="C14931" s="1" t="str">
        <f>HYPERLINK("http://stackoverflow.com/users/6607953", "Cary")</f>
        <v>Cary</v>
      </c>
      <c r="D14931" t="s">
        <v>824</v>
      </c>
      <c r="E14931">
        <v>1</v>
      </c>
    </row>
    <row r="14932" spans="1:5" x14ac:dyDescent="0.25">
      <c r="A14932">
        <v>14931</v>
      </c>
      <c r="B14932">
        <v>1083549</v>
      </c>
      <c r="C14932" s="1" t="str">
        <f>HYPERLINK("http://stackoverflow.com/users/1083549", "LouisCui")</f>
        <v>LouisCui</v>
      </c>
      <c r="D14932" t="s">
        <v>5</v>
      </c>
      <c r="E14932">
        <v>1</v>
      </c>
    </row>
    <row r="14933" spans="1:5" x14ac:dyDescent="0.25">
      <c r="A14933">
        <v>14932</v>
      </c>
      <c r="B14933">
        <v>8424936</v>
      </c>
      <c r="C14933" s="1" t="str">
        <f>HYPERLINK("http://stackoverflow.com/users/8424936", "王龙飞")</f>
        <v>王龙飞</v>
      </c>
      <c r="D14933" t="s">
        <v>825</v>
      </c>
      <c r="E14933">
        <v>1</v>
      </c>
    </row>
    <row r="14934" spans="1:5" x14ac:dyDescent="0.25">
      <c r="A14934">
        <v>14933</v>
      </c>
      <c r="B14934">
        <v>1077290</v>
      </c>
      <c r="C14934" s="1" t="str">
        <f>HYPERLINK("http://stackoverflow.com/users/1077290", "zhangwb2008")</f>
        <v>zhangwb2008</v>
      </c>
      <c r="D14934" t="s">
        <v>8</v>
      </c>
      <c r="E14934">
        <v>1</v>
      </c>
    </row>
    <row r="14935" spans="1:5" x14ac:dyDescent="0.25">
      <c r="A14935">
        <v>14934</v>
      </c>
      <c r="B14935">
        <v>6602981</v>
      </c>
      <c r="C14935" s="1" t="str">
        <f>HYPERLINK("http://stackoverflow.com/users/6602981", "ZanXus")</f>
        <v>ZanXus</v>
      </c>
      <c r="D14935" t="s">
        <v>5</v>
      </c>
      <c r="E14935">
        <v>1</v>
      </c>
    </row>
    <row r="14936" spans="1:5" x14ac:dyDescent="0.25">
      <c r="A14936">
        <v>14935</v>
      </c>
      <c r="B14936">
        <v>1077130</v>
      </c>
      <c r="C14936" s="1" t="str">
        <f>HYPERLINK("http://stackoverflow.com/users/1077130", "Hanai")</f>
        <v>Hanai</v>
      </c>
      <c r="D14936" t="s">
        <v>23</v>
      </c>
      <c r="E14936">
        <v>1</v>
      </c>
    </row>
    <row r="14937" spans="1:5" x14ac:dyDescent="0.25">
      <c r="A14937">
        <v>14936</v>
      </c>
      <c r="B14937">
        <v>1077147</v>
      </c>
      <c r="C14937" s="1" t="str">
        <f>HYPERLINK("http://stackoverflow.com/users/1077147", "suweihua")</f>
        <v>suweihua</v>
      </c>
      <c r="D14937" t="s">
        <v>24</v>
      </c>
      <c r="E14937">
        <v>1</v>
      </c>
    </row>
    <row r="14938" spans="1:5" x14ac:dyDescent="0.25">
      <c r="A14938">
        <v>14937</v>
      </c>
      <c r="B14938">
        <v>10242507</v>
      </c>
      <c r="C14938" s="1" t="str">
        <f>HYPERLINK("http://stackoverflow.com/users/10242507", "yuan fang")</f>
        <v>yuan fang</v>
      </c>
      <c r="D14938" t="s">
        <v>62</v>
      </c>
      <c r="E14938">
        <v>1</v>
      </c>
    </row>
    <row r="14939" spans="1:5" x14ac:dyDescent="0.25">
      <c r="A14939">
        <v>14938</v>
      </c>
      <c r="B14939">
        <v>6612339</v>
      </c>
      <c r="C14939" s="1" t="str">
        <f>HYPERLINK("http://stackoverflow.com/users/6612339", "NNorLand")</f>
        <v>NNorLand</v>
      </c>
      <c r="D14939" t="s">
        <v>5</v>
      </c>
      <c r="E14939">
        <v>1</v>
      </c>
    </row>
    <row r="14940" spans="1:5" x14ac:dyDescent="0.25">
      <c r="A14940">
        <v>14939</v>
      </c>
      <c r="B14940">
        <v>1089051</v>
      </c>
      <c r="C14940" s="1" t="str">
        <f>HYPERLINK("http://stackoverflow.com/users/1089051", "pacinoson")</f>
        <v>pacinoson</v>
      </c>
      <c r="D14940" t="s">
        <v>17</v>
      </c>
      <c r="E14940">
        <v>1</v>
      </c>
    </row>
    <row r="14941" spans="1:5" x14ac:dyDescent="0.25">
      <c r="A14941">
        <v>14940</v>
      </c>
      <c r="B14941">
        <v>8433088</v>
      </c>
      <c r="C14941" s="1" t="str">
        <f>HYPERLINK("http://stackoverflow.com/users/8433088", "Vikingboy")</f>
        <v>Vikingboy</v>
      </c>
      <c r="D14941" t="s">
        <v>5</v>
      </c>
      <c r="E14941">
        <v>1</v>
      </c>
    </row>
    <row r="14942" spans="1:5" x14ac:dyDescent="0.25">
      <c r="A14942">
        <v>14941</v>
      </c>
      <c r="B14942">
        <v>8433323</v>
      </c>
      <c r="C14942" s="1" t="str">
        <f>HYPERLINK("http://stackoverflow.com/users/8433323", "monica")</f>
        <v>monica</v>
      </c>
      <c r="D14942" t="s">
        <v>52</v>
      </c>
      <c r="E14942">
        <v>1</v>
      </c>
    </row>
    <row r="14943" spans="1:5" x14ac:dyDescent="0.25">
      <c r="A14943">
        <v>14942</v>
      </c>
      <c r="B14943">
        <v>8433531</v>
      </c>
      <c r="C14943" s="1" t="str">
        <f>HYPERLINK("http://stackoverflow.com/users/8433531", "dino.liu")</f>
        <v>dino.liu</v>
      </c>
      <c r="D14943" t="s">
        <v>25</v>
      </c>
      <c r="E14943">
        <v>1</v>
      </c>
    </row>
    <row r="14944" spans="1:5" x14ac:dyDescent="0.25">
      <c r="A14944">
        <v>14943</v>
      </c>
      <c r="B14944">
        <v>4892221</v>
      </c>
      <c r="C14944" s="1" t="str">
        <f>HYPERLINK("http://stackoverflow.com/users/4892221", "wealon")</f>
        <v>wealon</v>
      </c>
      <c r="D14944" t="s">
        <v>5</v>
      </c>
      <c r="E14944">
        <v>1</v>
      </c>
    </row>
    <row r="14945" spans="1:5" x14ac:dyDescent="0.25">
      <c r="A14945">
        <v>14944</v>
      </c>
      <c r="B14945">
        <v>10251293</v>
      </c>
      <c r="C14945" s="1" t="str">
        <f>HYPERLINK("http://stackoverflow.com/users/10251293", "wudouzheng")</f>
        <v>wudouzheng</v>
      </c>
      <c r="D14945" t="s">
        <v>4</v>
      </c>
      <c r="E14945">
        <v>1</v>
      </c>
    </row>
    <row r="14946" spans="1:5" x14ac:dyDescent="0.25">
      <c r="A14946">
        <v>14945</v>
      </c>
      <c r="B14946">
        <v>8437428</v>
      </c>
      <c r="C14946" s="1" t="str">
        <f>HYPERLINK("http://stackoverflow.com/users/8437428", "asahi")</f>
        <v>asahi</v>
      </c>
      <c r="D14946" t="s">
        <v>7</v>
      </c>
      <c r="E14946">
        <v>1</v>
      </c>
    </row>
    <row r="14947" spans="1:5" x14ac:dyDescent="0.25">
      <c r="A14947">
        <v>14946</v>
      </c>
      <c r="B14947">
        <v>8437802</v>
      </c>
      <c r="C14947" s="1" t="str">
        <f>HYPERLINK("http://stackoverflow.com/users/8437802", "Arfa Wong")</f>
        <v>Arfa Wong</v>
      </c>
      <c r="D14947" t="s">
        <v>42</v>
      </c>
      <c r="E14947">
        <v>1</v>
      </c>
    </row>
    <row r="14948" spans="1:5" x14ac:dyDescent="0.25">
      <c r="A14948">
        <v>14947</v>
      </c>
      <c r="B14948">
        <v>8437923</v>
      </c>
      <c r="C14948" s="1" t="str">
        <f>HYPERLINK("http://stackoverflow.com/users/8437923", "RadoslawM")</f>
        <v>RadoslawM</v>
      </c>
      <c r="D14948" t="s">
        <v>7</v>
      </c>
      <c r="E14948">
        <v>1</v>
      </c>
    </row>
    <row r="14949" spans="1:5" x14ac:dyDescent="0.25">
      <c r="A14949">
        <v>14948</v>
      </c>
      <c r="B14949">
        <v>8437937</v>
      </c>
      <c r="C14949" s="1" t="str">
        <f>HYPERLINK("http://stackoverflow.com/users/8437937", "Kevin56348")</f>
        <v>Kevin56348</v>
      </c>
      <c r="D14949" t="s">
        <v>826</v>
      </c>
      <c r="E14949">
        <v>1</v>
      </c>
    </row>
    <row r="14950" spans="1:5" x14ac:dyDescent="0.25">
      <c r="A14950">
        <v>14949</v>
      </c>
      <c r="B14950">
        <v>3079109</v>
      </c>
      <c r="C14950" s="1" t="str">
        <f>HYPERLINK("http://stackoverflow.com/users/3079109", "Lutouch")</f>
        <v>Lutouch</v>
      </c>
      <c r="D14950" t="s">
        <v>31</v>
      </c>
      <c r="E14950">
        <v>1</v>
      </c>
    </row>
    <row r="14951" spans="1:5" x14ac:dyDescent="0.25">
      <c r="A14951">
        <v>14950</v>
      </c>
      <c r="B14951">
        <v>3079118</v>
      </c>
      <c r="C14951" s="1" t="str">
        <f>HYPERLINK("http://stackoverflow.com/users/3079118", "macdavid313")</f>
        <v>macdavid313</v>
      </c>
      <c r="D14951" t="s">
        <v>4</v>
      </c>
      <c r="E14951">
        <v>1</v>
      </c>
    </row>
    <row r="14952" spans="1:5" x14ac:dyDescent="0.25">
      <c r="A14952">
        <v>14951</v>
      </c>
      <c r="B14952">
        <v>966426</v>
      </c>
      <c r="C14952" s="1" t="str">
        <f>HYPERLINK("http://stackoverflow.com/users/966426", "Shusong")</f>
        <v>Shusong</v>
      </c>
      <c r="D14952" t="s">
        <v>5</v>
      </c>
      <c r="E14952">
        <v>1</v>
      </c>
    </row>
    <row r="14953" spans="1:5" x14ac:dyDescent="0.25">
      <c r="A14953">
        <v>14952</v>
      </c>
      <c r="B14953">
        <v>10174635</v>
      </c>
      <c r="C14953" s="1" t="str">
        <f>HYPERLINK("http://stackoverflow.com/users/10174635", "blueprintf")</f>
        <v>blueprintf</v>
      </c>
      <c r="D14953" t="s">
        <v>5</v>
      </c>
      <c r="E14953">
        <v>1</v>
      </c>
    </row>
    <row r="14954" spans="1:5" x14ac:dyDescent="0.25">
      <c r="A14954">
        <v>14953</v>
      </c>
      <c r="B14954">
        <v>8360590</v>
      </c>
      <c r="C14954" s="1" t="str">
        <f>HYPERLINK("http://stackoverflow.com/users/8360590", "Junko Xie")</f>
        <v>Junko Xie</v>
      </c>
      <c r="D14954" t="s">
        <v>5</v>
      </c>
      <c r="E14954">
        <v>1</v>
      </c>
    </row>
    <row r="14955" spans="1:5" x14ac:dyDescent="0.25">
      <c r="A14955">
        <v>14954</v>
      </c>
      <c r="B14955">
        <v>8360638</v>
      </c>
      <c r="C14955" s="1" t="str">
        <f>HYPERLINK("http://stackoverflow.com/users/8360638", "LSRain")</f>
        <v>LSRain</v>
      </c>
      <c r="D14955" t="s">
        <v>5</v>
      </c>
      <c r="E14955">
        <v>1</v>
      </c>
    </row>
    <row r="14956" spans="1:5" x14ac:dyDescent="0.25">
      <c r="A14956">
        <v>14955</v>
      </c>
      <c r="B14956">
        <v>965078</v>
      </c>
      <c r="C14956" s="1" t="str">
        <f>HYPERLINK("http://stackoverflow.com/users/965078", "orange8637")</f>
        <v>orange8637</v>
      </c>
      <c r="D14956" t="s">
        <v>21</v>
      </c>
      <c r="E14956">
        <v>1</v>
      </c>
    </row>
    <row r="14957" spans="1:5" x14ac:dyDescent="0.25">
      <c r="A14957">
        <v>14956</v>
      </c>
      <c r="B14957">
        <v>8355766</v>
      </c>
      <c r="C14957" s="1" t="str">
        <f>HYPERLINK("http://stackoverflow.com/users/8355766", "Jingwen")</f>
        <v>Jingwen</v>
      </c>
      <c r="D14957" t="s">
        <v>5</v>
      </c>
      <c r="E14957">
        <v>1</v>
      </c>
    </row>
    <row r="14958" spans="1:5" x14ac:dyDescent="0.25">
      <c r="A14958">
        <v>14957</v>
      </c>
      <c r="B14958">
        <v>964818</v>
      </c>
      <c r="C14958" s="1" t="str">
        <f>HYPERLINK("http://stackoverflow.com/users/964818", "Lucien")</f>
        <v>Lucien</v>
      </c>
      <c r="D14958" t="s">
        <v>22</v>
      </c>
      <c r="E14958">
        <v>1</v>
      </c>
    </row>
    <row r="14959" spans="1:5" x14ac:dyDescent="0.25">
      <c r="A14959">
        <v>14958</v>
      </c>
      <c r="B14959">
        <v>8355291</v>
      </c>
      <c r="C14959" s="1" t="str">
        <f>HYPERLINK("http://stackoverflow.com/users/8355291", "Leon_Ghibli")</f>
        <v>Leon_Ghibli</v>
      </c>
      <c r="D14959" t="s">
        <v>4</v>
      </c>
      <c r="E14959">
        <v>1</v>
      </c>
    </row>
    <row r="14960" spans="1:5" x14ac:dyDescent="0.25">
      <c r="A14960">
        <v>14959</v>
      </c>
      <c r="B14960">
        <v>8355319</v>
      </c>
      <c r="C14960" s="1" t="str">
        <f>HYPERLINK("http://stackoverflow.com/users/8355319", "Whitiny")</f>
        <v>Whitiny</v>
      </c>
      <c r="D14960" t="s">
        <v>96</v>
      </c>
      <c r="E14960">
        <v>1</v>
      </c>
    </row>
    <row r="14961" spans="1:5" x14ac:dyDescent="0.25">
      <c r="A14961">
        <v>14960</v>
      </c>
      <c r="B14961">
        <v>8355807</v>
      </c>
      <c r="C14961" s="1" t="str">
        <f>HYPERLINK("http://stackoverflow.com/users/8355807", "ZSYPRICH")</f>
        <v>ZSYPRICH</v>
      </c>
      <c r="D14961" t="s">
        <v>5</v>
      </c>
      <c r="E14961">
        <v>1</v>
      </c>
    </row>
    <row r="14962" spans="1:5" x14ac:dyDescent="0.25">
      <c r="A14962">
        <v>14961</v>
      </c>
      <c r="B14962">
        <v>8355952</v>
      </c>
      <c r="C14962" s="1" t="str">
        <f>HYPERLINK("http://stackoverflow.com/users/8355952", "Hu Yaodong")</f>
        <v>Hu Yaodong</v>
      </c>
      <c r="D14962" t="s">
        <v>4</v>
      </c>
      <c r="E14962">
        <v>1</v>
      </c>
    </row>
    <row r="14963" spans="1:5" x14ac:dyDescent="0.25">
      <c r="A14963">
        <v>14962</v>
      </c>
      <c r="B14963">
        <v>964729</v>
      </c>
      <c r="C14963" s="1" t="str">
        <f>HYPERLINK("http://stackoverflow.com/users/964729", "pantaovay")</f>
        <v>pantaovay</v>
      </c>
      <c r="D14963" t="s">
        <v>5</v>
      </c>
      <c r="E14963">
        <v>1</v>
      </c>
    </row>
    <row r="14964" spans="1:5" x14ac:dyDescent="0.25">
      <c r="A14964">
        <v>14963</v>
      </c>
      <c r="B14964">
        <v>10164426</v>
      </c>
      <c r="C14964" s="1" t="str">
        <f>HYPERLINK("http://stackoverflow.com/users/10164426", "kor")</f>
        <v>kor</v>
      </c>
      <c r="D14964" t="s">
        <v>27</v>
      </c>
      <c r="E14964">
        <v>1</v>
      </c>
    </row>
    <row r="14965" spans="1:5" x14ac:dyDescent="0.25">
      <c r="A14965">
        <v>14964</v>
      </c>
      <c r="B14965">
        <v>10164680</v>
      </c>
      <c r="C14965" s="1" t="str">
        <f>HYPERLINK("http://stackoverflow.com/users/10164680", "liang wang")</f>
        <v>liang wang</v>
      </c>
      <c r="D14965" t="s">
        <v>52</v>
      </c>
      <c r="E14965">
        <v>1</v>
      </c>
    </row>
    <row r="14966" spans="1:5" x14ac:dyDescent="0.25">
      <c r="A14966">
        <v>14965</v>
      </c>
      <c r="B14966">
        <v>10164739</v>
      </c>
      <c r="C14966" s="1" t="str">
        <f>HYPERLINK("http://stackoverflow.com/users/10164739", "Iridescent1318")</f>
        <v>Iridescent1318</v>
      </c>
      <c r="D14966" t="s">
        <v>100</v>
      </c>
      <c r="E14966">
        <v>1</v>
      </c>
    </row>
    <row r="14967" spans="1:5" x14ac:dyDescent="0.25">
      <c r="A14967">
        <v>14966</v>
      </c>
      <c r="B14967">
        <v>6546647</v>
      </c>
      <c r="C14967" s="1" t="str">
        <f>HYPERLINK("http://stackoverflow.com/users/6546647", "ZDGF")</f>
        <v>ZDGF</v>
      </c>
      <c r="D14967" t="s">
        <v>154</v>
      </c>
      <c r="E14967">
        <v>1</v>
      </c>
    </row>
    <row r="14968" spans="1:5" x14ac:dyDescent="0.25">
      <c r="A14968">
        <v>14967</v>
      </c>
      <c r="B14968">
        <v>8355116</v>
      </c>
      <c r="C14968" s="1" t="str">
        <f>HYPERLINK("http://stackoverflow.com/users/8355116", "Wang Hao")</f>
        <v>Wang Hao</v>
      </c>
      <c r="D14968" t="s">
        <v>52</v>
      </c>
      <c r="E14968">
        <v>1</v>
      </c>
    </row>
    <row r="14969" spans="1:5" x14ac:dyDescent="0.25">
      <c r="A14969">
        <v>14968</v>
      </c>
      <c r="B14969">
        <v>8355190</v>
      </c>
      <c r="C14969" s="1" t="str">
        <f>HYPERLINK("http://stackoverflow.com/users/8355190", "Guojun Xie")</f>
        <v>Guojun Xie</v>
      </c>
      <c r="D14969" t="s">
        <v>118</v>
      </c>
      <c r="E14969">
        <v>1</v>
      </c>
    </row>
    <row r="14970" spans="1:5" x14ac:dyDescent="0.25">
      <c r="A14970">
        <v>14969</v>
      </c>
      <c r="B14970">
        <v>8355215</v>
      </c>
      <c r="C14970" s="1" t="str">
        <f>HYPERLINK("http://stackoverflow.com/users/8355215", "Y.Max")</f>
        <v>Y.Max</v>
      </c>
      <c r="D14970" t="s">
        <v>16</v>
      </c>
      <c r="E14970">
        <v>1</v>
      </c>
    </row>
    <row r="14971" spans="1:5" x14ac:dyDescent="0.25">
      <c r="A14971">
        <v>14970</v>
      </c>
      <c r="B14971">
        <v>942295</v>
      </c>
      <c r="C14971" s="1" t="str">
        <f>HYPERLINK("http://stackoverflow.com/users/942295", "1212e")</f>
        <v>1212e</v>
      </c>
      <c r="D14971" t="s">
        <v>5</v>
      </c>
      <c r="E14971">
        <v>1</v>
      </c>
    </row>
    <row r="14972" spans="1:5" x14ac:dyDescent="0.25">
      <c r="A14972">
        <v>14971</v>
      </c>
      <c r="B14972">
        <v>2988614</v>
      </c>
      <c r="C14972" s="1" t="str">
        <f>HYPERLINK("http://stackoverflow.com/users/2988614", "ScottDing")</f>
        <v>ScottDing</v>
      </c>
      <c r="D14972" t="s">
        <v>827</v>
      </c>
      <c r="E14972">
        <v>1</v>
      </c>
    </row>
    <row r="14973" spans="1:5" x14ac:dyDescent="0.25">
      <c r="A14973">
        <v>14972</v>
      </c>
      <c r="B14973">
        <v>948971</v>
      </c>
      <c r="C14973" s="1" t="str">
        <f>HYPERLINK("http://stackoverflow.com/users/948971", "Liu Yongtai")</f>
        <v>Liu Yongtai</v>
      </c>
      <c r="D14973" t="s">
        <v>56</v>
      </c>
      <c r="E14973">
        <v>1</v>
      </c>
    </row>
    <row r="14974" spans="1:5" x14ac:dyDescent="0.25">
      <c r="A14974">
        <v>14973</v>
      </c>
      <c r="B14974">
        <v>10160291</v>
      </c>
      <c r="C14974" s="1" t="str">
        <f>HYPERLINK("http://stackoverflow.com/users/10160291", "Capital Web")</f>
        <v>Capital Web</v>
      </c>
      <c r="D14974" t="s">
        <v>320</v>
      </c>
      <c r="E14974">
        <v>1</v>
      </c>
    </row>
    <row r="14975" spans="1:5" x14ac:dyDescent="0.25">
      <c r="A14975">
        <v>14974</v>
      </c>
      <c r="B14975">
        <v>10160351</v>
      </c>
      <c r="C14975" s="1" t="str">
        <f>HYPERLINK("http://stackoverflow.com/users/10160351", "Jane Jia")</f>
        <v>Jane Jia</v>
      </c>
      <c r="D14975" t="s">
        <v>5</v>
      </c>
      <c r="E14975">
        <v>1</v>
      </c>
    </row>
    <row r="14976" spans="1:5" x14ac:dyDescent="0.25">
      <c r="A14976">
        <v>14975</v>
      </c>
      <c r="B14976">
        <v>10150840</v>
      </c>
      <c r="C14976" s="1" t="str">
        <f>HYPERLINK("http://stackoverflow.com/users/10150840", "Morry pomelo")</f>
        <v>Morry pomelo</v>
      </c>
      <c r="D14976" t="s">
        <v>4</v>
      </c>
      <c r="E14976">
        <v>1</v>
      </c>
    </row>
    <row r="14977" spans="1:5" x14ac:dyDescent="0.25">
      <c r="A14977">
        <v>14976</v>
      </c>
      <c r="B14977">
        <v>957157</v>
      </c>
      <c r="C14977" s="1" t="str">
        <f>HYPERLINK("http://stackoverflow.com/users/957157", "Lijie Wang")</f>
        <v>Lijie Wang</v>
      </c>
      <c r="D14977" t="s">
        <v>5</v>
      </c>
      <c r="E14977">
        <v>1</v>
      </c>
    </row>
    <row r="14978" spans="1:5" x14ac:dyDescent="0.25">
      <c r="A14978">
        <v>14977</v>
      </c>
      <c r="B14978">
        <v>956550</v>
      </c>
      <c r="C14978" s="1" t="str">
        <f>HYPERLINK("http://stackoverflow.com/users/956550", "尨龙-Walker")</f>
        <v>尨龙-Walker</v>
      </c>
      <c r="D14978" t="s">
        <v>22</v>
      </c>
      <c r="E14978">
        <v>1</v>
      </c>
    </row>
    <row r="14979" spans="1:5" x14ac:dyDescent="0.25">
      <c r="A14979">
        <v>14978</v>
      </c>
      <c r="B14979">
        <v>4806489</v>
      </c>
      <c r="C14979" s="1" t="str">
        <f>HYPERLINK("http://stackoverflow.com/users/4806489", "Tsung")</f>
        <v>Tsung</v>
      </c>
      <c r="D14979" t="s">
        <v>446</v>
      </c>
      <c r="E14979">
        <v>1</v>
      </c>
    </row>
    <row r="14980" spans="1:5" x14ac:dyDescent="0.25">
      <c r="A14980">
        <v>14979</v>
      </c>
      <c r="B14980">
        <v>934188</v>
      </c>
      <c r="C14980" s="1" t="str">
        <f>HYPERLINK("http://stackoverflow.com/users/934188", "zhlifly")</f>
        <v>zhlifly</v>
      </c>
      <c r="D14980" t="s">
        <v>21</v>
      </c>
      <c r="E14980">
        <v>1</v>
      </c>
    </row>
    <row r="14981" spans="1:5" x14ac:dyDescent="0.25">
      <c r="A14981">
        <v>14980</v>
      </c>
      <c r="B14981">
        <v>8335321</v>
      </c>
      <c r="C14981" s="1" t="str">
        <f>HYPERLINK("http://stackoverflow.com/users/8335321", "John_Zhong")</f>
        <v>John_Zhong</v>
      </c>
      <c r="D14981" t="s">
        <v>42</v>
      </c>
      <c r="E14981">
        <v>1</v>
      </c>
    </row>
    <row r="14982" spans="1:5" x14ac:dyDescent="0.25">
      <c r="A14982">
        <v>14981</v>
      </c>
      <c r="B14982">
        <v>8335347</v>
      </c>
      <c r="C14982" s="1" t="str">
        <f>HYPERLINK("http://stackoverflow.com/users/8335347", "Cheb Sr")</f>
        <v>Cheb Sr</v>
      </c>
      <c r="D14982" t="s">
        <v>118</v>
      </c>
      <c r="E14982">
        <v>1</v>
      </c>
    </row>
    <row r="14983" spans="1:5" x14ac:dyDescent="0.25">
      <c r="A14983">
        <v>14982</v>
      </c>
      <c r="B14983">
        <v>8335719</v>
      </c>
      <c r="C14983" s="1" t="str">
        <f>HYPERLINK("http://stackoverflow.com/users/8335719", "leoung")</f>
        <v>leoung</v>
      </c>
      <c r="D14983" t="s">
        <v>4</v>
      </c>
      <c r="E14983">
        <v>1</v>
      </c>
    </row>
    <row r="14984" spans="1:5" x14ac:dyDescent="0.25">
      <c r="A14984">
        <v>14983</v>
      </c>
      <c r="B14984">
        <v>8335726</v>
      </c>
      <c r="C14984" s="1" t="str">
        <f>HYPERLINK("http://stackoverflow.com/users/8335726", "Y.hao")</f>
        <v>Y.hao</v>
      </c>
      <c r="D14984" t="s">
        <v>427</v>
      </c>
      <c r="E14984">
        <v>1</v>
      </c>
    </row>
    <row r="14985" spans="1:5" x14ac:dyDescent="0.25">
      <c r="A14985">
        <v>14984</v>
      </c>
      <c r="B14985">
        <v>8335759</v>
      </c>
      <c r="C14985" s="1" t="str">
        <f>HYPERLINK("http://stackoverflow.com/users/8335759", "Qian Wang")</f>
        <v>Qian Wang</v>
      </c>
      <c r="D14985" t="s">
        <v>5</v>
      </c>
      <c r="E14985">
        <v>1</v>
      </c>
    </row>
    <row r="14986" spans="1:5" x14ac:dyDescent="0.25">
      <c r="A14986">
        <v>14985</v>
      </c>
      <c r="B14986">
        <v>8335923</v>
      </c>
      <c r="C14986" s="1" t="str">
        <f>HYPERLINK("http://stackoverflow.com/users/8335923", "Red 233")</f>
        <v>Red 233</v>
      </c>
      <c r="D14986" t="s">
        <v>177</v>
      </c>
      <c r="E14986">
        <v>1</v>
      </c>
    </row>
    <row r="14987" spans="1:5" x14ac:dyDescent="0.25">
      <c r="A14987">
        <v>14986</v>
      </c>
      <c r="B14987">
        <v>8336003</v>
      </c>
      <c r="C14987" s="1" t="str">
        <f>HYPERLINK("http://stackoverflow.com/users/8336003", "JustinTang")</f>
        <v>JustinTang</v>
      </c>
      <c r="D14987" t="s">
        <v>4</v>
      </c>
      <c r="E14987">
        <v>1</v>
      </c>
    </row>
    <row r="14988" spans="1:5" x14ac:dyDescent="0.25">
      <c r="A14988">
        <v>14987</v>
      </c>
      <c r="B14988">
        <v>8336021</v>
      </c>
      <c r="C14988" s="1" t="str">
        <f>HYPERLINK("http://stackoverflow.com/users/8336021", "Colin Du")</f>
        <v>Colin Du</v>
      </c>
      <c r="D14988" t="s">
        <v>47</v>
      </c>
      <c r="E14988">
        <v>1</v>
      </c>
    </row>
    <row r="14989" spans="1:5" x14ac:dyDescent="0.25">
      <c r="A14989">
        <v>14988</v>
      </c>
      <c r="B14989">
        <v>986975</v>
      </c>
      <c r="C14989" s="1" t="str">
        <f>HYPERLINK("http://stackoverflow.com/users/986975", "Boy")</f>
        <v>Boy</v>
      </c>
      <c r="D14989" t="s">
        <v>4</v>
      </c>
      <c r="E14989">
        <v>1</v>
      </c>
    </row>
    <row r="14990" spans="1:5" x14ac:dyDescent="0.25">
      <c r="A14990">
        <v>14989</v>
      </c>
      <c r="B14990">
        <v>10179195</v>
      </c>
      <c r="C14990" s="1" t="str">
        <f>HYPERLINK("http://stackoverflow.com/users/10179195", "Jian Zhou")</f>
        <v>Jian Zhou</v>
      </c>
      <c r="D14990" t="s">
        <v>108</v>
      </c>
      <c r="E14990">
        <v>1</v>
      </c>
    </row>
    <row r="14991" spans="1:5" x14ac:dyDescent="0.25">
      <c r="A14991">
        <v>14990</v>
      </c>
      <c r="B14991">
        <v>10179597</v>
      </c>
      <c r="C14991" s="1" t="str">
        <f>HYPERLINK("http://stackoverflow.com/users/10179597", "yuan zuochao")</f>
        <v>yuan zuochao</v>
      </c>
      <c r="D14991" t="s">
        <v>55</v>
      </c>
      <c r="E14991">
        <v>1</v>
      </c>
    </row>
    <row r="14992" spans="1:5" x14ac:dyDescent="0.25">
      <c r="A14992">
        <v>14991</v>
      </c>
      <c r="B14992">
        <v>6559549</v>
      </c>
      <c r="C14992" s="1" t="str">
        <f>HYPERLINK("http://stackoverflow.com/users/6559549", "0xE8551CCB")</f>
        <v>0xE8551CCB</v>
      </c>
      <c r="D14992" t="s">
        <v>5</v>
      </c>
      <c r="E14992">
        <v>1</v>
      </c>
    </row>
    <row r="14993" spans="1:5" x14ac:dyDescent="0.25">
      <c r="A14993">
        <v>14992</v>
      </c>
      <c r="B14993">
        <v>986128</v>
      </c>
      <c r="C14993" s="1" t="str">
        <f>HYPERLINK("http://stackoverflow.com/users/986128", "yantinglan")</f>
        <v>yantinglan</v>
      </c>
      <c r="D14993" t="s">
        <v>5</v>
      </c>
      <c r="E14993">
        <v>1</v>
      </c>
    </row>
    <row r="14994" spans="1:5" x14ac:dyDescent="0.25">
      <c r="A14994">
        <v>14993</v>
      </c>
      <c r="B14994">
        <v>986354</v>
      </c>
      <c r="C14994" s="1" t="str">
        <f>HYPERLINK("http://stackoverflow.com/users/986354", "Chongyu Zhu")</f>
        <v>Chongyu Zhu</v>
      </c>
      <c r="D14994" t="s">
        <v>5</v>
      </c>
      <c r="E14994">
        <v>1</v>
      </c>
    </row>
    <row r="14995" spans="1:5" x14ac:dyDescent="0.25">
      <c r="A14995">
        <v>14994</v>
      </c>
      <c r="B14995">
        <v>3005481</v>
      </c>
      <c r="C14995" s="1" t="str">
        <f>HYPERLINK("http://stackoverflow.com/users/3005481", "hahaxy")</f>
        <v>hahaxy</v>
      </c>
      <c r="D14995" t="s">
        <v>8</v>
      </c>
      <c r="E14995">
        <v>1</v>
      </c>
    </row>
    <row r="14996" spans="1:5" x14ac:dyDescent="0.25">
      <c r="A14996">
        <v>14995</v>
      </c>
      <c r="B14996">
        <v>8360951</v>
      </c>
      <c r="C14996" s="1" t="str">
        <f>HYPERLINK("http://stackoverflow.com/users/8360951", "Alen.W")</f>
        <v>Alen.W</v>
      </c>
      <c r="D14996" t="s">
        <v>7</v>
      </c>
      <c r="E14996">
        <v>1</v>
      </c>
    </row>
    <row r="14997" spans="1:5" x14ac:dyDescent="0.25">
      <c r="A14997">
        <v>14996</v>
      </c>
      <c r="B14997">
        <v>8360959</v>
      </c>
      <c r="C14997" s="1" t="str">
        <f>HYPERLINK("http://stackoverflow.com/users/8360959", "Cliff Tian")</f>
        <v>Cliff Tian</v>
      </c>
      <c r="D14997" t="s">
        <v>4</v>
      </c>
      <c r="E14997">
        <v>1</v>
      </c>
    </row>
    <row r="14998" spans="1:5" x14ac:dyDescent="0.25">
      <c r="A14998">
        <v>14997</v>
      </c>
      <c r="B14998">
        <v>987473</v>
      </c>
      <c r="C14998" s="1" t="str">
        <f>HYPERLINK("http://stackoverflow.com/users/987473", "nkwd")</f>
        <v>nkwd</v>
      </c>
      <c r="D14998" t="s">
        <v>5</v>
      </c>
      <c r="E14998">
        <v>1</v>
      </c>
    </row>
    <row r="14999" spans="1:5" x14ac:dyDescent="0.25">
      <c r="A14999">
        <v>14998</v>
      </c>
      <c r="B14999">
        <v>8374403</v>
      </c>
      <c r="C14999" s="1" t="str">
        <f>HYPERLINK("http://stackoverflow.com/users/8374403", "XieJiamiao")</f>
        <v>XieJiamiao</v>
      </c>
      <c r="D14999" t="s">
        <v>7</v>
      </c>
      <c r="E14999">
        <v>1</v>
      </c>
    </row>
    <row r="15000" spans="1:5" x14ac:dyDescent="0.25">
      <c r="A15000">
        <v>14999</v>
      </c>
      <c r="B15000">
        <v>8374570</v>
      </c>
      <c r="C15000" s="1" t="str">
        <f>HYPERLINK("http://stackoverflow.com/users/8374570", "wise man Mukhtar")</f>
        <v>wise man Mukhtar</v>
      </c>
      <c r="D15000" t="s">
        <v>5</v>
      </c>
      <c r="E15000">
        <v>1</v>
      </c>
    </row>
    <row r="15001" spans="1:5" x14ac:dyDescent="0.25">
      <c r="A15001">
        <v>15000</v>
      </c>
      <c r="B15001">
        <v>8374626</v>
      </c>
      <c r="C15001" s="1" t="str">
        <f>HYPERLINK("http://stackoverflow.com/users/8374626", "Devin")</f>
        <v>Devin</v>
      </c>
      <c r="D15001" t="s">
        <v>16</v>
      </c>
      <c r="E15001">
        <v>1</v>
      </c>
    </row>
    <row r="15002" spans="1:5" x14ac:dyDescent="0.25">
      <c r="A15002">
        <v>15001</v>
      </c>
      <c r="B15002">
        <v>8374829</v>
      </c>
      <c r="C15002" s="1" t="str">
        <f>HYPERLINK("http://stackoverflow.com/users/8374829", "user8374829")</f>
        <v>user8374829</v>
      </c>
      <c r="D15002" t="s">
        <v>7</v>
      </c>
      <c r="E15002">
        <v>1</v>
      </c>
    </row>
    <row r="15003" spans="1:5" x14ac:dyDescent="0.25">
      <c r="A15003">
        <v>15002</v>
      </c>
      <c r="B15003">
        <v>1005716</v>
      </c>
      <c r="C15003" s="1" t="str">
        <f>HYPERLINK("http://stackoverflow.com/users/1005716", "Nogard")</f>
        <v>Nogard</v>
      </c>
      <c r="D15003" t="s">
        <v>21</v>
      </c>
      <c r="E15003">
        <v>1</v>
      </c>
    </row>
    <row r="15004" spans="1:5" x14ac:dyDescent="0.25">
      <c r="A15004">
        <v>15003</v>
      </c>
      <c r="B15004">
        <v>3018600</v>
      </c>
      <c r="C15004" s="1" t="str">
        <f>HYPERLINK("http://stackoverflow.com/users/3018600", "starit")</f>
        <v>starit</v>
      </c>
      <c r="D15004" t="s">
        <v>377</v>
      </c>
      <c r="E15004">
        <v>1</v>
      </c>
    </row>
    <row r="15005" spans="1:5" x14ac:dyDescent="0.25">
      <c r="A15005">
        <v>15004</v>
      </c>
      <c r="B15005">
        <v>3018654</v>
      </c>
      <c r="C15005" s="1" t="str">
        <f>HYPERLINK("http://stackoverflow.com/users/3018654", "EpsilonX")</f>
        <v>EpsilonX</v>
      </c>
      <c r="D15005" t="s">
        <v>4</v>
      </c>
      <c r="E15005">
        <v>1</v>
      </c>
    </row>
    <row r="15006" spans="1:5" x14ac:dyDescent="0.25">
      <c r="A15006">
        <v>15005</v>
      </c>
      <c r="B15006">
        <v>4844285</v>
      </c>
      <c r="C15006" s="1" t="str">
        <f>HYPERLINK("http://stackoverflow.com/users/4844285", "user4844285")</f>
        <v>user4844285</v>
      </c>
      <c r="D15006" t="s">
        <v>118</v>
      </c>
      <c r="E15006">
        <v>1</v>
      </c>
    </row>
    <row r="15007" spans="1:5" x14ac:dyDescent="0.25">
      <c r="A15007">
        <v>15006</v>
      </c>
      <c r="B15007">
        <v>3021760</v>
      </c>
      <c r="C15007" s="1" t="str">
        <f>HYPERLINK("http://stackoverflow.com/users/3021760", "z_wolf_2011")</f>
        <v>z_wolf_2011</v>
      </c>
      <c r="D15007" t="s">
        <v>17</v>
      </c>
      <c r="E15007">
        <v>1</v>
      </c>
    </row>
    <row r="15008" spans="1:5" x14ac:dyDescent="0.25">
      <c r="A15008">
        <v>15007</v>
      </c>
      <c r="B15008">
        <v>10212569</v>
      </c>
      <c r="C15008" s="1" t="str">
        <f>HYPERLINK("http://stackoverflow.com/users/10212569", "Rain Bow")</f>
        <v>Rain Bow</v>
      </c>
      <c r="D15008" t="s">
        <v>410</v>
      </c>
      <c r="E15008">
        <v>1</v>
      </c>
    </row>
    <row r="15009" spans="1:5" x14ac:dyDescent="0.25">
      <c r="A15009">
        <v>15008</v>
      </c>
      <c r="B15009">
        <v>3041661</v>
      </c>
      <c r="C15009" s="1" t="str">
        <f>HYPERLINK("http://stackoverflow.com/users/3041661", "cx1cjj1106")</f>
        <v>cx1cjj1106</v>
      </c>
      <c r="D15009" t="s">
        <v>5</v>
      </c>
      <c r="E15009">
        <v>1</v>
      </c>
    </row>
    <row r="15010" spans="1:5" x14ac:dyDescent="0.25">
      <c r="A15010">
        <v>15009</v>
      </c>
      <c r="B15010">
        <v>6587902</v>
      </c>
      <c r="C15010" s="1" t="str">
        <f>HYPERLINK("http://stackoverflow.com/users/6587902", "CigarZh")</f>
        <v>CigarZh</v>
      </c>
      <c r="D15010" t="s">
        <v>4</v>
      </c>
      <c r="E15010">
        <v>1</v>
      </c>
    </row>
    <row r="15011" spans="1:5" x14ac:dyDescent="0.25">
      <c r="A15011">
        <v>15010</v>
      </c>
      <c r="B15011">
        <v>3036049</v>
      </c>
      <c r="C15011" s="1" t="str">
        <f>HYPERLINK("http://stackoverflow.com/users/3036049", "Darth-L")</f>
        <v>Darth-L</v>
      </c>
      <c r="D15011" t="s">
        <v>5</v>
      </c>
      <c r="E15011">
        <v>1</v>
      </c>
    </row>
    <row r="15012" spans="1:5" x14ac:dyDescent="0.25">
      <c r="A15012">
        <v>15011</v>
      </c>
      <c r="B15012">
        <v>8393832</v>
      </c>
      <c r="C15012" s="1" t="str">
        <f>HYPERLINK("http://stackoverflow.com/users/8393832", "L.Winter")</f>
        <v>L.Winter</v>
      </c>
      <c r="D15012" t="s">
        <v>25</v>
      </c>
      <c r="E15012">
        <v>1</v>
      </c>
    </row>
    <row r="15013" spans="1:5" x14ac:dyDescent="0.25">
      <c r="A15013">
        <v>15012</v>
      </c>
      <c r="B15013">
        <v>8393935</v>
      </c>
      <c r="C15013" s="1" t="str">
        <f>HYPERLINK("http://stackoverflow.com/users/8393935", "AxionL Ariel")</f>
        <v>AxionL Ariel</v>
      </c>
      <c r="D15013" t="s">
        <v>25</v>
      </c>
      <c r="E15013">
        <v>1</v>
      </c>
    </row>
    <row r="15014" spans="1:5" x14ac:dyDescent="0.25">
      <c r="A15014">
        <v>15013</v>
      </c>
      <c r="B15014">
        <v>8394149</v>
      </c>
      <c r="C15014" s="1" t="str">
        <f>HYPERLINK("http://stackoverflow.com/users/8394149", "Jason Yang")</f>
        <v>Jason Yang</v>
      </c>
      <c r="D15014" t="s">
        <v>4</v>
      </c>
      <c r="E15014">
        <v>1</v>
      </c>
    </row>
    <row r="15015" spans="1:5" x14ac:dyDescent="0.25">
      <c r="A15015">
        <v>15014</v>
      </c>
      <c r="B15015">
        <v>4858490</v>
      </c>
      <c r="C15015" s="1" t="str">
        <f>HYPERLINK("http://stackoverflow.com/users/4858490", "viks")</f>
        <v>viks</v>
      </c>
      <c r="D15015" t="s">
        <v>275</v>
      </c>
      <c r="E15015">
        <v>1</v>
      </c>
    </row>
    <row r="15016" spans="1:5" x14ac:dyDescent="0.25">
      <c r="A15016">
        <v>15015</v>
      </c>
      <c r="B15016">
        <v>4858513</v>
      </c>
      <c r="C15016" s="1" t="str">
        <f>HYPERLINK("http://stackoverflow.com/users/4858513", "viile")</f>
        <v>viile</v>
      </c>
      <c r="D15016" t="s">
        <v>4</v>
      </c>
      <c r="E15016">
        <v>1</v>
      </c>
    </row>
    <row r="15017" spans="1:5" x14ac:dyDescent="0.25">
      <c r="A15017">
        <v>15016</v>
      </c>
      <c r="B15017">
        <v>4858611</v>
      </c>
      <c r="C15017" s="1" t="str">
        <f>HYPERLINK("http://stackoverflow.com/users/4858611", "leihn")</f>
        <v>leihn</v>
      </c>
      <c r="D15017" t="s">
        <v>5</v>
      </c>
      <c r="E15017">
        <v>1</v>
      </c>
    </row>
    <row r="15018" spans="1:5" x14ac:dyDescent="0.25">
      <c r="A15018">
        <v>15017</v>
      </c>
      <c r="B15018">
        <v>10200707</v>
      </c>
      <c r="C15018" s="1" t="str">
        <f>HYPERLINK("http://stackoverflow.com/users/10200707", "lujiuming")</f>
        <v>lujiuming</v>
      </c>
      <c r="D15018" t="s">
        <v>55</v>
      </c>
      <c r="E15018">
        <v>1</v>
      </c>
    </row>
    <row r="15019" spans="1:5" x14ac:dyDescent="0.25">
      <c r="A15019">
        <v>15018</v>
      </c>
      <c r="B15019">
        <v>10200744</v>
      </c>
      <c r="C15019" s="1" t="str">
        <f>HYPERLINK("http://stackoverflow.com/users/10200744", "Mick Chen")</f>
        <v>Mick Chen</v>
      </c>
      <c r="D15019" t="s">
        <v>7</v>
      </c>
      <c r="E15019">
        <v>1</v>
      </c>
    </row>
    <row r="15020" spans="1:5" x14ac:dyDescent="0.25">
      <c r="A15020">
        <v>15019</v>
      </c>
      <c r="B15020">
        <v>10201330</v>
      </c>
      <c r="C15020" s="1" t="str">
        <f>HYPERLINK("http://stackoverflow.com/users/10201330", "James Yang")</f>
        <v>James Yang</v>
      </c>
      <c r="D15020" t="s">
        <v>4</v>
      </c>
      <c r="E15020">
        <v>1</v>
      </c>
    </row>
    <row r="15021" spans="1:5" x14ac:dyDescent="0.25">
      <c r="A15021">
        <v>15020</v>
      </c>
      <c r="B15021">
        <v>10201372</v>
      </c>
      <c r="C15021" s="1" t="str">
        <f>HYPERLINK("http://stackoverflow.com/users/10201372", "li xujun")</f>
        <v>li xujun</v>
      </c>
      <c r="D15021" t="s">
        <v>5</v>
      </c>
      <c r="E15021">
        <v>1</v>
      </c>
    </row>
    <row r="15022" spans="1:5" x14ac:dyDescent="0.25">
      <c r="A15022">
        <v>15021</v>
      </c>
      <c r="B15022">
        <v>4852133</v>
      </c>
      <c r="C15022" s="1" t="str">
        <f>HYPERLINK("http://stackoverflow.com/users/4852133", "Megas Liu")</f>
        <v>Megas Liu</v>
      </c>
      <c r="D15022" t="s">
        <v>5</v>
      </c>
      <c r="E15022">
        <v>1</v>
      </c>
    </row>
    <row r="15023" spans="1:5" x14ac:dyDescent="0.25">
      <c r="A15023">
        <v>15022</v>
      </c>
      <c r="B15023">
        <v>4854306</v>
      </c>
      <c r="C15023" s="1" t="str">
        <f>HYPERLINK("http://stackoverflow.com/users/4854306", "cheart")</f>
        <v>cheart</v>
      </c>
      <c r="D15023" t="s">
        <v>5</v>
      </c>
      <c r="E15023">
        <v>1</v>
      </c>
    </row>
    <row r="15024" spans="1:5" x14ac:dyDescent="0.25">
      <c r="A15024">
        <v>15023</v>
      </c>
      <c r="B15024">
        <v>6577341</v>
      </c>
      <c r="C15024" s="1" t="str">
        <f>HYPERLINK("http://stackoverflow.com/users/6577341", "chong yang")</f>
        <v>chong yang</v>
      </c>
      <c r="D15024" t="s">
        <v>5</v>
      </c>
      <c r="E15024">
        <v>1</v>
      </c>
    </row>
    <row r="15025" spans="1:5" x14ac:dyDescent="0.25">
      <c r="A15025">
        <v>15024</v>
      </c>
      <c r="B15025">
        <v>8389385</v>
      </c>
      <c r="C15025" s="1" t="str">
        <f>HYPERLINK("http://stackoverflow.com/users/8389385", "Shy")</f>
        <v>Shy</v>
      </c>
      <c r="D15025" t="s">
        <v>5</v>
      </c>
      <c r="E15025">
        <v>1</v>
      </c>
    </row>
    <row r="15026" spans="1:5" x14ac:dyDescent="0.25">
      <c r="A15026">
        <v>15025</v>
      </c>
      <c r="B15026">
        <v>1007314</v>
      </c>
      <c r="C15026" s="1" t="str">
        <f>HYPERLINK("http://stackoverflow.com/users/1007314", "Harrison Feng")</f>
        <v>Harrison Feng</v>
      </c>
      <c r="D15026" t="s">
        <v>5</v>
      </c>
      <c r="E15026">
        <v>1</v>
      </c>
    </row>
    <row r="15027" spans="1:5" x14ac:dyDescent="0.25">
      <c r="A15027">
        <v>15026</v>
      </c>
      <c r="B15027">
        <v>10200675</v>
      </c>
      <c r="C15027" s="1" t="str">
        <f>HYPERLINK("http://stackoverflow.com/users/10200675", "ericho dy")</f>
        <v>ericho dy</v>
      </c>
      <c r="D15027" t="s">
        <v>55</v>
      </c>
      <c r="E15027">
        <v>1</v>
      </c>
    </row>
    <row r="15028" spans="1:5" x14ac:dyDescent="0.25">
      <c r="A15028">
        <v>15027</v>
      </c>
      <c r="B15028">
        <v>10195988</v>
      </c>
      <c r="C15028" s="1" t="str">
        <f>HYPERLINK("http://stackoverflow.com/users/10195988", "Ricardo li")</f>
        <v>Ricardo li</v>
      </c>
      <c r="D15028" t="s">
        <v>5</v>
      </c>
      <c r="E15028">
        <v>1</v>
      </c>
    </row>
    <row r="15029" spans="1:5" x14ac:dyDescent="0.25">
      <c r="A15029">
        <v>15028</v>
      </c>
      <c r="B15029">
        <v>8381860</v>
      </c>
      <c r="C15029" s="1" t="str">
        <f>HYPERLINK("http://stackoverflow.com/users/8381860", "zhiwei zhao")</f>
        <v>zhiwei zhao</v>
      </c>
      <c r="D15029" t="s">
        <v>636</v>
      </c>
      <c r="E15029">
        <v>1</v>
      </c>
    </row>
    <row r="15030" spans="1:5" x14ac:dyDescent="0.25">
      <c r="A15030">
        <v>15029</v>
      </c>
      <c r="B15030">
        <v>3027148</v>
      </c>
      <c r="C15030" s="1" t="str">
        <f>HYPERLINK("http://stackoverflow.com/users/3027148", "xiaolanlianhua")</f>
        <v>xiaolanlianhua</v>
      </c>
      <c r="D15030" t="s">
        <v>5</v>
      </c>
      <c r="E15030">
        <v>1</v>
      </c>
    </row>
    <row r="15031" spans="1:5" x14ac:dyDescent="0.25">
      <c r="A15031">
        <v>15030</v>
      </c>
      <c r="B15031">
        <v>2935061</v>
      </c>
      <c r="C15031" s="1" t="str">
        <f>HYPERLINK("http://stackoverflow.com/users/2935061", "cgy1989")</f>
        <v>cgy1989</v>
      </c>
      <c r="D15031" t="s">
        <v>5</v>
      </c>
      <c r="E15031">
        <v>1</v>
      </c>
    </row>
    <row r="15032" spans="1:5" x14ac:dyDescent="0.25">
      <c r="A15032">
        <v>15031</v>
      </c>
      <c r="B15032">
        <v>2935975</v>
      </c>
      <c r="C15032" s="1" t="str">
        <f>HYPERLINK("http://stackoverflow.com/users/2935975", "LikeRedRabbit")</f>
        <v>LikeRedRabbit</v>
      </c>
      <c r="D15032" t="s">
        <v>37</v>
      </c>
      <c r="E15032">
        <v>1</v>
      </c>
    </row>
    <row r="15033" spans="1:5" x14ac:dyDescent="0.25">
      <c r="A15033">
        <v>15032</v>
      </c>
      <c r="B15033">
        <v>4767148</v>
      </c>
      <c r="C15033" s="1" t="str">
        <f>HYPERLINK("http://stackoverflow.com/users/4767148", "Phen Chen")</f>
        <v>Phen Chen</v>
      </c>
      <c r="D15033" t="s">
        <v>62</v>
      </c>
      <c r="E15033">
        <v>1</v>
      </c>
    </row>
    <row r="15034" spans="1:5" x14ac:dyDescent="0.25">
      <c r="A15034">
        <v>15033</v>
      </c>
      <c r="B15034">
        <v>4767478</v>
      </c>
      <c r="C15034" s="1" t="str">
        <f>HYPERLINK("http://stackoverflow.com/users/4767478", "Jeremiah Yan")</f>
        <v>Jeremiah Yan</v>
      </c>
      <c r="D15034" t="s">
        <v>62</v>
      </c>
      <c r="E15034">
        <v>1</v>
      </c>
    </row>
    <row r="15035" spans="1:5" x14ac:dyDescent="0.25">
      <c r="A15035">
        <v>15034</v>
      </c>
      <c r="B15035">
        <v>10109663</v>
      </c>
      <c r="C15035" s="1" t="str">
        <f>HYPERLINK("http://stackoverflow.com/users/10109663", "kkcapsule")</f>
        <v>kkcapsule</v>
      </c>
      <c r="D15035" t="s">
        <v>828</v>
      </c>
      <c r="E15035">
        <v>1</v>
      </c>
    </row>
    <row r="15036" spans="1:5" x14ac:dyDescent="0.25">
      <c r="A15036">
        <v>15035</v>
      </c>
      <c r="B15036">
        <v>2939810</v>
      </c>
      <c r="C15036" s="1" t="str">
        <f>HYPERLINK("http://stackoverflow.com/users/2939810", "justgaoyuan")</f>
        <v>justgaoyuan</v>
      </c>
      <c r="D15036" t="s">
        <v>37</v>
      </c>
      <c r="E15036">
        <v>1</v>
      </c>
    </row>
    <row r="15037" spans="1:5" x14ac:dyDescent="0.25">
      <c r="A15037">
        <v>15036</v>
      </c>
      <c r="B15037">
        <v>863107</v>
      </c>
      <c r="C15037" s="1" t="str">
        <f>HYPERLINK("http://stackoverflow.com/users/863107", "WiBeyond")</f>
        <v>WiBeyond</v>
      </c>
      <c r="D15037" t="s">
        <v>5</v>
      </c>
      <c r="E15037">
        <v>1</v>
      </c>
    </row>
    <row r="15038" spans="1:5" x14ac:dyDescent="0.25">
      <c r="A15038">
        <v>15037</v>
      </c>
      <c r="B15038">
        <v>2939888</v>
      </c>
      <c r="C15038" s="1" t="str">
        <f>HYPERLINK("http://stackoverflow.com/users/2939888", "Xin Zhang")</f>
        <v>Xin Zhang</v>
      </c>
      <c r="D15038" t="s">
        <v>5</v>
      </c>
      <c r="E15038">
        <v>1</v>
      </c>
    </row>
    <row r="15039" spans="1:5" x14ac:dyDescent="0.25">
      <c r="A15039">
        <v>15038</v>
      </c>
      <c r="B15039">
        <v>10113057</v>
      </c>
      <c r="C15039" s="1" t="str">
        <f>HYPERLINK("http://stackoverflow.com/users/10113057", "Houwang")</f>
        <v>Houwang</v>
      </c>
      <c r="D15039" t="s">
        <v>5</v>
      </c>
      <c r="E15039">
        <v>1</v>
      </c>
    </row>
    <row r="15040" spans="1:5" x14ac:dyDescent="0.25">
      <c r="A15040">
        <v>15039</v>
      </c>
      <c r="B15040">
        <v>10113418</v>
      </c>
      <c r="C15040" s="1" t="str">
        <f>HYPERLINK("http://stackoverflow.com/users/10113418", "Bruce Xu")</f>
        <v>Bruce Xu</v>
      </c>
      <c r="D15040" t="s">
        <v>4</v>
      </c>
      <c r="E15040">
        <v>1</v>
      </c>
    </row>
    <row r="15041" spans="1:5" x14ac:dyDescent="0.25">
      <c r="A15041">
        <v>15040</v>
      </c>
      <c r="B15041">
        <v>8296757</v>
      </c>
      <c r="C15041" s="1" t="str">
        <f>HYPERLINK("http://stackoverflow.com/users/8296757", "Deqi Tang")</f>
        <v>Deqi Tang</v>
      </c>
      <c r="D15041" t="s">
        <v>62</v>
      </c>
      <c r="E15041">
        <v>1</v>
      </c>
    </row>
    <row r="15042" spans="1:5" x14ac:dyDescent="0.25">
      <c r="A15042">
        <v>15041</v>
      </c>
      <c r="B15042">
        <v>8300574</v>
      </c>
      <c r="C15042" s="1" t="str">
        <f>HYPERLINK("http://stackoverflow.com/users/8300574", "Sushmit")</f>
        <v>Sushmit</v>
      </c>
      <c r="D15042" t="s">
        <v>4</v>
      </c>
      <c r="E15042">
        <v>1</v>
      </c>
    </row>
    <row r="15043" spans="1:5" x14ac:dyDescent="0.25">
      <c r="A15043">
        <v>15042</v>
      </c>
      <c r="B15043">
        <v>6503335</v>
      </c>
      <c r="C15043" s="1" t="str">
        <f>HYPERLINK("http://stackoverflow.com/users/6503335", "灵魂惊叹符")</f>
        <v>灵魂惊叹符</v>
      </c>
      <c r="D15043" t="s">
        <v>131</v>
      </c>
      <c r="E15043">
        <v>1</v>
      </c>
    </row>
    <row r="15044" spans="1:5" x14ac:dyDescent="0.25">
      <c r="A15044">
        <v>15043</v>
      </c>
      <c r="B15044">
        <v>10121617</v>
      </c>
      <c r="C15044" s="1" t="str">
        <f>HYPERLINK("http://stackoverflow.com/users/10121617", "SunChuquin")</f>
        <v>SunChuquin</v>
      </c>
      <c r="D15044" t="s">
        <v>829</v>
      </c>
      <c r="E15044">
        <v>1</v>
      </c>
    </row>
    <row r="15045" spans="1:5" x14ac:dyDescent="0.25">
      <c r="A15045">
        <v>15044</v>
      </c>
      <c r="B15045">
        <v>10125087</v>
      </c>
      <c r="C15045" s="1" t="str">
        <f>HYPERLINK("http://stackoverflow.com/users/10125087", "chinayangyongyong")</f>
        <v>chinayangyongyong</v>
      </c>
      <c r="D15045" t="s">
        <v>16</v>
      </c>
      <c r="E15045">
        <v>1</v>
      </c>
    </row>
    <row r="15046" spans="1:5" x14ac:dyDescent="0.25">
      <c r="A15046">
        <v>15045</v>
      </c>
      <c r="B15046">
        <v>10121366</v>
      </c>
      <c r="C15046" s="1" t="str">
        <f>HYPERLINK("http://stackoverflow.com/users/10121366", "James Hsieh")</f>
        <v>James Hsieh</v>
      </c>
      <c r="D15046" t="s">
        <v>4</v>
      </c>
      <c r="E15046">
        <v>1</v>
      </c>
    </row>
    <row r="15047" spans="1:5" x14ac:dyDescent="0.25">
      <c r="A15047">
        <v>15046</v>
      </c>
      <c r="B15047">
        <v>8305114</v>
      </c>
      <c r="C15047" s="1" t="str">
        <f>HYPERLINK("http://stackoverflow.com/users/8305114", "fanatic ks")</f>
        <v>fanatic ks</v>
      </c>
      <c r="D15047" t="s">
        <v>399</v>
      </c>
      <c r="E15047">
        <v>1</v>
      </c>
    </row>
    <row r="15048" spans="1:5" x14ac:dyDescent="0.25">
      <c r="A15048">
        <v>15047</v>
      </c>
      <c r="B15048">
        <v>8305187</v>
      </c>
      <c r="C15048" s="1" t="str">
        <f>HYPERLINK("http://stackoverflow.com/users/8305187", "Jon R")</f>
        <v>Jon R</v>
      </c>
      <c r="D15048" t="s">
        <v>5</v>
      </c>
      <c r="E15048">
        <v>1</v>
      </c>
    </row>
    <row r="15049" spans="1:5" x14ac:dyDescent="0.25">
      <c r="A15049">
        <v>15048</v>
      </c>
      <c r="B15049">
        <v>8305321</v>
      </c>
      <c r="C15049" s="1" t="str">
        <f>HYPERLINK("http://stackoverflow.com/users/8305321", "Changli Zhu")</f>
        <v>Changli Zhu</v>
      </c>
      <c r="D15049" t="s">
        <v>5</v>
      </c>
      <c r="E15049">
        <v>1</v>
      </c>
    </row>
    <row r="15050" spans="1:5" x14ac:dyDescent="0.25">
      <c r="A15050">
        <v>15049</v>
      </c>
      <c r="B15050">
        <v>8305510</v>
      </c>
      <c r="C15050" s="1" t="str">
        <f>HYPERLINK("http://stackoverflow.com/users/8305510", "Troy pan")</f>
        <v>Troy pan</v>
      </c>
      <c r="D15050" t="s">
        <v>830</v>
      </c>
      <c r="E15050">
        <v>1</v>
      </c>
    </row>
    <row r="15051" spans="1:5" x14ac:dyDescent="0.25">
      <c r="A15051">
        <v>15050</v>
      </c>
      <c r="B15051">
        <v>6499304</v>
      </c>
      <c r="C15051" s="1" t="str">
        <f>HYPERLINK("http://stackoverflow.com/users/6499304", "Stan Jiao")</f>
        <v>Stan Jiao</v>
      </c>
      <c r="D15051" t="s">
        <v>4</v>
      </c>
      <c r="E15051">
        <v>1</v>
      </c>
    </row>
    <row r="15052" spans="1:5" x14ac:dyDescent="0.25">
      <c r="A15052">
        <v>15051</v>
      </c>
      <c r="B15052">
        <v>2943585</v>
      </c>
      <c r="C15052" s="1" t="str">
        <f>HYPERLINK("http://stackoverflow.com/users/2943585", "bilibili")</f>
        <v>bilibili</v>
      </c>
      <c r="D15052" t="s">
        <v>37</v>
      </c>
      <c r="E15052">
        <v>1</v>
      </c>
    </row>
    <row r="15053" spans="1:5" x14ac:dyDescent="0.25">
      <c r="A15053">
        <v>15052</v>
      </c>
      <c r="B15053">
        <v>879737</v>
      </c>
      <c r="C15053" s="1" t="str">
        <f>HYPERLINK("http://stackoverflow.com/users/879737", "Jan")</f>
        <v>Jan</v>
      </c>
      <c r="D15053" t="s">
        <v>5</v>
      </c>
      <c r="E15053">
        <v>1</v>
      </c>
    </row>
    <row r="15054" spans="1:5" x14ac:dyDescent="0.25">
      <c r="A15054">
        <v>15053</v>
      </c>
      <c r="B15054">
        <v>880164</v>
      </c>
      <c r="C15054" s="1" t="str">
        <f>HYPERLINK("http://stackoverflow.com/users/880164", "yangshaobo")</f>
        <v>yangshaobo</v>
      </c>
      <c r="D15054" t="s">
        <v>5</v>
      </c>
      <c r="E15054">
        <v>1</v>
      </c>
    </row>
    <row r="15055" spans="1:5" x14ac:dyDescent="0.25">
      <c r="A15055">
        <v>15054</v>
      </c>
      <c r="B15055">
        <v>880419</v>
      </c>
      <c r="C15055" s="1" t="str">
        <f>HYPERLINK("http://stackoverflow.com/users/880419", "Jason Koo")</f>
        <v>Jason Koo</v>
      </c>
      <c r="D15055" t="s">
        <v>5</v>
      </c>
      <c r="E15055">
        <v>1</v>
      </c>
    </row>
    <row r="15056" spans="1:5" x14ac:dyDescent="0.25">
      <c r="A15056">
        <v>15055</v>
      </c>
      <c r="B15056">
        <v>881618</v>
      </c>
      <c r="C15056" s="1" t="str">
        <f>HYPERLINK("http://stackoverflow.com/users/881618", "guoxj")</f>
        <v>guoxj</v>
      </c>
      <c r="D15056" t="s">
        <v>4</v>
      </c>
      <c r="E15056">
        <v>1</v>
      </c>
    </row>
    <row r="15057" spans="1:5" x14ac:dyDescent="0.25">
      <c r="A15057">
        <v>15056</v>
      </c>
      <c r="B15057">
        <v>881845</v>
      </c>
      <c r="C15057" s="1" t="str">
        <f>HYPERLINK("http://stackoverflow.com/users/881845", "JavaCS")</f>
        <v>JavaCS</v>
      </c>
      <c r="D15057" t="s">
        <v>5</v>
      </c>
      <c r="E15057">
        <v>1</v>
      </c>
    </row>
    <row r="15058" spans="1:5" x14ac:dyDescent="0.25">
      <c r="A15058">
        <v>15057</v>
      </c>
      <c r="B15058">
        <v>10121164</v>
      </c>
      <c r="C15058" s="1" t="str">
        <f>HYPERLINK("http://stackoverflow.com/users/10121164", "belle sun")</f>
        <v>belle sun</v>
      </c>
      <c r="D15058" t="s">
        <v>131</v>
      </c>
      <c r="E15058">
        <v>1</v>
      </c>
    </row>
    <row r="15059" spans="1:5" x14ac:dyDescent="0.25">
      <c r="A15059">
        <v>15058</v>
      </c>
      <c r="B15059">
        <v>8310145</v>
      </c>
      <c r="C15059" s="1" t="str">
        <f>HYPERLINK("http://stackoverflow.com/users/8310145", "Liu Zhe")</f>
        <v>Liu Zhe</v>
      </c>
      <c r="D15059" t="s">
        <v>5</v>
      </c>
      <c r="E15059">
        <v>1</v>
      </c>
    </row>
    <row r="15060" spans="1:5" x14ac:dyDescent="0.25">
      <c r="A15060">
        <v>15059</v>
      </c>
      <c r="B15060">
        <v>2960657</v>
      </c>
      <c r="C15060" s="1" t="str">
        <f>HYPERLINK("http://stackoverflow.com/users/2960657", "bear_lau")</f>
        <v>bear_lau</v>
      </c>
      <c r="D15060" t="s">
        <v>17</v>
      </c>
      <c r="E15060">
        <v>1</v>
      </c>
    </row>
    <row r="15061" spans="1:5" x14ac:dyDescent="0.25">
      <c r="A15061">
        <v>15060</v>
      </c>
      <c r="B15061">
        <v>8313511</v>
      </c>
      <c r="C15061" s="1" t="str">
        <f>HYPERLINK("http://stackoverflow.com/users/8313511", "   papi")</f>
        <v xml:space="preserve">   papi</v>
      </c>
      <c r="D15061" t="s">
        <v>4</v>
      </c>
      <c r="E15061">
        <v>1</v>
      </c>
    </row>
    <row r="15062" spans="1:5" x14ac:dyDescent="0.25">
      <c r="A15062">
        <v>15061</v>
      </c>
      <c r="B15062">
        <v>8313716</v>
      </c>
      <c r="C15062" s="1" t="str">
        <f>HYPERLINK("http://stackoverflow.com/users/8313716", "fpg100")</f>
        <v>fpg100</v>
      </c>
      <c r="D15062" t="s">
        <v>5</v>
      </c>
      <c r="E15062">
        <v>1</v>
      </c>
    </row>
    <row r="15063" spans="1:5" x14ac:dyDescent="0.25">
      <c r="A15063">
        <v>15062</v>
      </c>
      <c r="B15063">
        <v>8313732</v>
      </c>
      <c r="C15063" s="1" t="str">
        <f>HYPERLINK("http://stackoverflow.com/users/8313732", "han cheryl")</f>
        <v>han cheryl</v>
      </c>
      <c r="D15063" t="s">
        <v>5</v>
      </c>
      <c r="E15063">
        <v>1</v>
      </c>
    </row>
    <row r="15064" spans="1:5" x14ac:dyDescent="0.25">
      <c r="A15064">
        <v>15063</v>
      </c>
      <c r="B15064">
        <v>8313934</v>
      </c>
      <c r="C15064" s="1" t="str">
        <f>HYPERLINK("http://stackoverflow.com/users/8313934", "Marshall QIU")</f>
        <v>Marshall QIU</v>
      </c>
      <c r="D15064" t="s">
        <v>5</v>
      </c>
      <c r="E15064">
        <v>1</v>
      </c>
    </row>
    <row r="15065" spans="1:5" x14ac:dyDescent="0.25">
      <c r="A15065">
        <v>15064</v>
      </c>
      <c r="B15065">
        <v>8314060</v>
      </c>
      <c r="C15065" s="1" t="str">
        <f>HYPERLINK("http://stackoverflow.com/users/8314060", "Ge Zhu")</f>
        <v>Ge Zhu</v>
      </c>
      <c r="D15065" t="s">
        <v>55</v>
      </c>
      <c r="E15065">
        <v>1</v>
      </c>
    </row>
    <row r="15066" spans="1:5" x14ac:dyDescent="0.25">
      <c r="A15066">
        <v>15065</v>
      </c>
      <c r="B15066">
        <v>8314591</v>
      </c>
      <c r="C15066" s="1" t="str">
        <f>HYPERLINK("http://stackoverflow.com/users/8314591", "Shane Chan")</f>
        <v>Shane Chan</v>
      </c>
      <c r="D15066" t="s">
        <v>55</v>
      </c>
      <c r="E15066">
        <v>1</v>
      </c>
    </row>
    <row r="15067" spans="1:5" x14ac:dyDescent="0.25">
      <c r="A15067">
        <v>15066</v>
      </c>
      <c r="B15067">
        <v>8314643</v>
      </c>
      <c r="C15067" s="1" t="str">
        <f>HYPERLINK("http://stackoverflow.com/users/8314643", "董鑫洋")</f>
        <v>董鑫洋</v>
      </c>
      <c r="D15067" t="s">
        <v>33</v>
      </c>
      <c r="E15067">
        <v>1</v>
      </c>
    </row>
    <row r="15068" spans="1:5" x14ac:dyDescent="0.25">
      <c r="A15068">
        <v>15067</v>
      </c>
      <c r="B15068">
        <v>8317790</v>
      </c>
      <c r="C15068" s="1" t="str">
        <f>HYPERLINK("http://stackoverflow.com/users/8317790", "Chris.Lin")</f>
        <v>Chris.Lin</v>
      </c>
      <c r="D15068" t="s">
        <v>4</v>
      </c>
      <c r="E15068">
        <v>1</v>
      </c>
    </row>
    <row r="15069" spans="1:5" x14ac:dyDescent="0.25">
      <c r="A15069">
        <v>15068</v>
      </c>
      <c r="B15069">
        <v>8317995</v>
      </c>
      <c r="C15069" s="1" t="str">
        <f>HYPERLINK("http://stackoverflow.com/users/8317995", "zy liu")</f>
        <v>zy liu</v>
      </c>
      <c r="D15069" t="s">
        <v>47</v>
      </c>
      <c r="E15069">
        <v>1</v>
      </c>
    </row>
    <row r="15070" spans="1:5" x14ac:dyDescent="0.25">
      <c r="A15070">
        <v>15069</v>
      </c>
      <c r="B15070">
        <v>8318001</v>
      </c>
      <c r="C15070" s="1" t="str">
        <f>HYPERLINK("http://stackoverflow.com/users/8318001", "CoolNight")</f>
        <v>CoolNight</v>
      </c>
      <c r="D15070" t="s">
        <v>831</v>
      </c>
      <c r="E15070">
        <v>1</v>
      </c>
    </row>
    <row r="15071" spans="1:5" x14ac:dyDescent="0.25">
      <c r="A15071">
        <v>15070</v>
      </c>
      <c r="B15071">
        <v>8318020</v>
      </c>
      <c r="C15071" s="1" t="str">
        <f>HYPERLINK("http://stackoverflow.com/users/8318020", "World Song")</f>
        <v>World Song</v>
      </c>
      <c r="D15071" t="s">
        <v>5</v>
      </c>
      <c r="E15071">
        <v>1</v>
      </c>
    </row>
    <row r="15072" spans="1:5" x14ac:dyDescent="0.25">
      <c r="A15072">
        <v>15071</v>
      </c>
      <c r="B15072">
        <v>8318297</v>
      </c>
      <c r="C15072" s="1" t="str">
        <f>HYPERLINK("http://stackoverflow.com/users/8318297", "Feng Jin")</f>
        <v>Feng Jin</v>
      </c>
      <c r="D15072" t="s">
        <v>16</v>
      </c>
      <c r="E15072">
        <v>1</v>
      </c>
    </row>
    <row r="15073" spans="1:5" x14ac:dyDescent="0.25">
      <c r="A15073">
        <v>15072</v>
      </c>
      <c r="B15073">
        <v>2976011</v>
      </c>
      <c r="C15073" s="1" t="str">
        <f>HYPERLINK("http://stackoverflow.com/users/2976011", "Jnu_Simba")</f>
        <v>Jnu_Simba</v>
      </c>
      <c r="D15073" t="s">
        <v>21</v>
      </c>
      <c r="E15073">
        <v>1</v>
      </c>
    </row>
    <row r="15074" spans="1:5" x14ac:dyDescent="0.25">
      <c r="A15074">
        <v>15073</v>
      </c>
      <c r="B15074">
        <v>8331764</v>
      </c>
      <c r="C15074" s="1" t="str">
        <f>HYPERLINK("http://stackoverflow.com/users/8331764", "Jingzhe Tang")</f>
        <v>Jingzhe Tang</v>
      </c>
      <c r="D15074" t="s">
        <v>5</v>
      </c>
      <c r="E15074">
        <v>1</v>
      </c>
    </row>
    <row r="15075" spans="1:5" x14ac:dyDescent="0.25">
      <c r="A15075">
        <v>15074</v>
      </c>
      <c r="B15075">
        <v>4806396</v>
      </c>
      <c r="C15075" s="1" t="str">
        <f>HYPERLINK("http://stackoverflow.com/users/4806396", "enkey")</f>
        <v>enkey</v>
      </c>
      <c r="D15075" t="s">
        <v>5</v>
      </c>
      <c r="E15075">
        <v>1</v>
      </c>
    </row>
    <row r="15076" spans="1:5" x14ac:dyDescent="0.25">
      <c r="A15076">
        <v>15075</v>
      </c>
      <c r="B15076">
        <v>10142556</v>
      </c>
      <c r="C15076" s="1" t="str">
        <f>HYPERLINK("http://stackoverflow.com/users/10142556", "Louis")</f>
        <v>Louis</v>
      </c>
      <c r="D15076" t="s">
        <v>4</v>
      </c>
      <c r="E15076">
        <v>1</v>
      </c>
    </row>
    <row r="15077" spans="1:5" x14ac:dyDescent="0.25">
      <c r="A15077">
        <v>15076</v>
      </c>
      <c r="B15077">
        <v>10142777</v>
      </c>
      <c r="C15077" s="1" t="str">
        <f>HYPERLINK("http://stackoverflow.com/users/10142777", "Nick Han")</f>
        <v>Nick Han</v>
      </c>
      <c r="D15077" t="s">
        <v>5</v>
      </c>
      <c r="E15077">
        <v>1</v>
      </c>
    </row>
    <row r="15078" spans="1:5" x14ac:dyDescent="0.25">
      <c r="A15078">
        <v>15077</v>
      </c>
      <c r="B15078">
        <v>10142806</v>
      </c>
      <c r="C15078" s="1" t="str">
        <f>HYPERLINK("http://stackoverflow.com/users/10142806", "Peng Huang")</f>
        <v>Peng Huang</v>
      </c>
      <c r="D15078" t="s">
        <v>16</v>
      </c>
      <c r="E15078">
        <v>1</v>
      </c>
    </row>
    <row r="15079" spans="1:5" x14ac:dyDescent="0.25">
      <c r="A15079">
        <v>15078</v>
      </c>
      <c r="B15079">
        <v>10142908</v>
      </c>
      <c r="C15079" s="1" t="str">
        <f>HYPERLINK("http://stackoverflow.com/users/10142908", "ruosongchen")</f>
        <v>ruosongchen</v>
      </c>
      <c r="D15079" t="s">
        <v>58</v>
      </c>
      <c r="E15079">
        <v>1</v>
      </c>
    </row>
    <row r="15080" spans="1:5" x14ac:dyDescent="0.25">
      <c r="A15080">
        <v>15079</v>
      </c>
      <c r="B15080">
        <v>10146793</v>
      </c>
      <c r="C15080" s="1" t="str">
        <f>HYPERLINK("http://stackoverflow.com/users/10146793", "Chare Guo")</f>
        <v>Chare Guo</v>
      </c>
      <c r="D15080" t="s">
        <v>114</v>
      </c>
      <c r="E15080">
        <v>1</v>
      </c>
    </row>
    <row r="15081" spans="1:5" x14ac:dyDescent="0.25">
      <c r="A15081">
        <v>15080</v>
      </c>
      <c r="B15081">
        <v>8330922</v>
      </c>
      <c r="C15081" s="1" t="str">
        <f>HYPERLINK("http://stackoverflow.com/users/8330922", "余鸿靖")</f>
        <v>余鸿靖</v>
      </c>
      <c r="D15081" t="s">
        <v>62</v>
      </c>
      <c r="E15081">
        <v>1</v>
      </c>
    </row>
    <row r="15082" spans="1:5" x14ac:dyDescent="0.25">
      <c r="A15082">
        <v>15081</v>
      </c>
      <c r="B15082">
        <v>2965001</v>
      </c>
      <c r="C15082" s="1" t="str">
        <f>HYPERLINK("http://stackoverflow.com/users/2965001", "Mike Adams Swara")</f>
        <v>Mike Adams Swara</v>
      </c>
      <c r="D15082" t="s">
        <v>90</v>
      </c>
      <c r="E15082">
        <v>1</v>
      </c>
    </row>
    <row r="15083" spans="1:5" x14ac:dyDescent="0.25">
      <c r="A15083">
        <v>15082</v>
      </c>
      <c r="B15083">
        <v>10137769</v>
      </c>
      <c r="C15083" s="1" t="str">
        <f>HYPERLINK("http://stackoverflow.com/users/10137769", "watercooledcondensers")</f>
        <v>watercooledcondensers</v>
      </c>
      <c r="D15083" t="s">
        <v>832</v>
      </c>
      <c r="E15083">
        <v>1</v>
      </c>
    </row>
    <row r="15084" spans="1:5" x14ac:dyDescent="0.25">
      <c r="A15084">
        <v>15083</v>
      </c>
      <c r="B15084">
        <v>8322563</v>
      </c>
      <c r="C15084" s="1" t="str">
        <f>HYPERLINK("http://stackoverflow.com/users/8322563", "sennmac")</f>
        <v>sennmac</v>
      </c>
      <c r="D15084" t="s">
        <v>4</v>
      </c>
      <c r="E15084">
        <v>1</v>
      </c>
    </row>
    <row r="15085" spans="1:5" x14ac:dyDescent="0.25">
      <c r="A15085">
        <v>15084</v>
      </c>
      <c r="B15085">
        <v>8322610</v>
      </c>
      <c r="C15085" s="1" t="str">
        <f>HYPERLINK("http://stackoverflow.com/users/8322610", "Fangyuan Chi")</f>
        <v>Fangyuan Chi</v>
      </c>
      <c r="D15085" t="s">
        <v>5</v>
      </c>
      <c r="E15085">
        <v>1</v>
      </c>
    </row>
    <row r="15086" spans="1:5" x14ac:dyDescent="0.25">
      <c r="A15086">
        <v>15085</v>
      </c>
      <c r="B15086">
        <v>915579</v>
      </c>
      <c r="C15086" s="1" t="str">
        <f>HYPERLINK("http://stackoverflow.com/users/915579", "lin04com")</f>
        <v>lin04com</v>
      </c>
      <c r="D15086" t="s">
        <v>4</v>
      </c>
      <c r="E15086">
        <v>1</v>
      </c>
    </row>
    <row r="15087" spans="1:5" x14ac:dyDescent="0.25">
      <c r="A15087">
        <v>15086</v>
      </c>
      <c r="B15087">
        <v>914288</v>
      </c>
      <c r="C15087" s="1" t="str">
        <f>HYPERLINK("http://stackoverflow.com/users/914288", "lytrarian")</f>
        <v>lytrarian</v>
      </c>
      <c r="D15087" t="s">
        <v>56</v>
      </c>
      <c r="E15087">
        <v>1</v>
      </c>
    </row>
    <row r="15088" spans="1:5" x14ac:dyDescent="0.25">
      <c r="A15088">
        <v>15087</v>
      </c>
      <c r="B15088">
        <v>848440</v>
      </c>
      <c r="C15088" s="1" t="str">
        <f>HYPERLINK("http://stackoverflow.com/users/848440", "nebular")</f>
        <v>nebular</v>
      </c>
      <c r="D15088" t="s">
        <v>5</v>
      </c>
      <c r="E15088">
        <v>1</v>
      </c>
    </row>
    <row r="15089" spans="1:5" x14ac:dyDescent="0.25">
      <c r="A15089">
        <v>15088</v>
      </c>
      <c r="B15089">
        <v>10091365</v>
      </c>
      <c r="C15089" s="1" t="str">
        <f>HYPERLINK("http://stackoverflow.com/users/10091365", "Sheck")</f>
        <v>Sheck</v>
      </c>
      <c r="D15089" t="s">
        <v>5</v>
      </c>
      <c r="E15089">
        <v>1</v>
      </c>
    </row>
    <row r="15090" spans="1:5" x14ac:dyDescent="0.25">
      <c r="A15090">
        <v>15089</v>
      </c>
      <c r="B15090">
        <v>4754220</v>
      </c>
      <c r="C15090" s="1" t="str">
        <f>HYPERLINK("http://stackoverflow.com/users/4754220", "be4you")</f>
        <v>be4you</v>
      </c>
      <c r="D15090" t="s">
        <v>4</v>
      </c>
      <c r="E15090">
        <v>1</v>
      </c>
    </row>
    <row r="15091" spans="1:5" x14ac:dyDescent="0.25">
      <c r="A15091">
        <v>15090</v>
      </c>
      <c r="B15091">
        <v>849221</v>
      </c>
      <c r="C15091" s="1" t="str">
        <f>HYPERLINK("http://stackoverflow.com/users/849221", "Gang Chen")</f>
        <v>Gang Chen</v>
      </c>
      <c r="D15091" t="s">
        <v>4</v>
      </c>
      <c r="E15091">
        <v>1</v>
      </c>
    </row>
    <row r="15092" spans="1:5" x14ac:dyDescent="0.25">
      <c r="A15092">
        <v>15091</v>
      </c>
      <c r="B15092">
        <v>849770</v>
      </c>
      <c r="C15092" s="1" t="str">
        <f>HYPERLINK("http://stackoverflow.com/users/849770", "Crane Jin")</f>
        <v>Crane Jin</v>
      </c>
      <c r="D15092" t="s">
        <v>4</v>
      </c>
      <c r="E15092">
        <v>1</v>
      </c>
    </row>
    <row r="15093" spans="1:5" x14ac:dyDescent="0.25">
      <c r="A15093">
        <v>15092</v>
      </c>
      <c r="B15093">
        <v>6482801</v>
      </c>
      <c r="C15093" s="1" t="str">
        <f>HYPERLINK("http://stackoverflow.com/users/6482801", "Lazy")</f>
        <v>Lazy</v>
      </c>
      <c r="D15093" t="s">
        <v>7</v>
      </c>
      <c r="E15093">
        <v>1</v>
      </c>
    </row>
    <row r="15094" spans="1:5" x14ac:dyDescent="0.25">
      <c r="A15094">
        <v>15093</v>
      </c>
      <c r="B15094">
        <v>6483211</v>
      </c>
      <c r="C15094" s="1" t="str">
        <f>HYPERLINK("http://stackoverflow.com/users/6483211", "hyifeng")</f>
        <v>hyifeng</v>
      </c>
      <c r="D15094" t="s">
        <v>42</v>
      </c>
      <c r="E15094">
        <v>1</v>
      </c>
    </row>
    <row r="15095" spans="1:5" x14ac:dyDescent="0.25">
      <c r="A15095">
        <v>15094</v>
      </c>
      <c r="B15095">
        <v>855121</v>
      </c>
      <c r="C15095" s="1" t="str">
        <f>HYPERLINK("http://stackoverflow.com/users/855121", "foxty")</f>
        <v>foxty</v>
      </c>
      <c r="D15095" t="s">
        <v>17</v>
      </c>
      <c r="E15095">
        <v>1</v>
      </c>
    </row>
    <row r="15096" spans="1:5" x14ac:dyDescent="0.25">
      <c r="A15096">
        <v>15095</v>
      </c>
      <c r="B15096">
        <v>8283866</v>
      </c>
      <c r="C15096" s="1" t="str">
        <f>HYPERLINK("http://stackoverflow.com/users/8283866", "ning jia")</f>
        <v>ning jia</v>
      </c>
      <c r="D15096" t="s">
        <v>4</v>
      </c>
      <c r="E15096">
        <v>1</v>
      </c>
    </row>
    <row r="15097" spans="1:5" x14ac:dyDescent="0.25">
      <c r="A15097">
        <v>15096</v>
      </c>
      <c r="B15097">
        <v>6486891</v>
      </c>
      <c r="C15097" s="1" t="str">
        <f>HYPERLINK("http://stackoverflow.com/users/6486891", "jicius")</f>
        <v>jicius</v>
      </c>
      <c r="D15097" t="s">
        <v>5</v>
      </c>
      <c r="E15097">
        <v>1</v>
      </c>
    </row>
    <row r="15098" spans="1:5" x14ac:dyDescent="0.25">
      <c r="A15098">
        <v>15097</v>
      </c>
      <c r="B15098">
        <v>6487182</v>
      </c>
      <c r="C15098" s="1" t="str">
        <f>HYPERLINK("http://stackoverflow.com/users/6487182", "Peter Zhao")</f>
        <v>Peter Zhao</v>
      </c>
      <c r="D15098" t="s">
        <v>131</v>
      </c>
      <c r="E15098">
        <v>1</v>
      </c>
    </row>
    <row r="15099" spans="1:5" x14ac:dyDescent="0.25">
      <c r="A15099">
        <v>15098</v>
      </c>
      <c r="B15099">
        <v>861614</v>
      </c>
      <c r="C15099" s="1" t="str">
        <f>HYPERLINK("http://stackoverflow.com/users/861614", "xia tian")</f>
        <v>xia tian</v>
      </c>
      <c r="D15099" t="s">
        <v>17</v>
      </c>
      <c r="E15099">
        <v>1</v>
      </c>
    </row>
    <row r="15100" spans="1:5" x14ac:dyDescent="0.25">
      <c r="A15100">
        <v>15099</v>
      </c>
      <c r="B15100">
        <v>861731</v>
      </c>
      <c r="C15100" s="1" t="str">
        <f>HYPERLINK("http://stackoverflow.com/users/861731", "Hugang Gao")</f>
        <v>Hugang Gao</v>
      </c>
      <c r="D15100" t="s">
        <v>4</v>
      </c>
      <c r="E15100">
        <v>1</v>
      </c>
    </row>
    <row r="15101" spans="1:5" x14ac:dyDescent="0.25">
      <c r="A15101">
        <v>15100</v>
      </c>
      <c r="B15101">
        <v>2930523</v>
      </c>
      <c r="C15101" s="1" t="str">
        <f>HYPERLINK("http://stackoverflow.com/users/2930523", "dirtysalt")</f>
        <v>dirtysalt</v>
      </c>
      <c r="D15101" t="s">
        <v>5</v>
      </c>
      <c r="E15101">
        <v>1</v>
      </c>
    </row>
    <row r="15102" spans="1:5" x14ac:dyDescent="0.25">
      <c r="A15102">
        <v>15101</v>
      </c>
      <c r="B15102">
        <v>8288125</v>
      </c>
      <c r="C15102" s="1" t="str">
        <f>HYPERLINK("http://stackoverflow.com/users/8288125", "ching wood")</f>
        <v>ching wood</v>
      </c>
      <c r="D15102" t="s">
        <v>131</v>
      </c>
      <c r="E15102">
        <v>1</v>
      </c>
    </row>
    <row r="15103" spans="1:5" x14ac:dyDescent="0.25">
      <c r="A15103">
        <v>15102</v>
      </c>
      <c r="B15103">
        <v>8288127</v>
      </c>
      <c r="C15103" s="1" t="str">
        <f>HYPERLINK("http://stackoverflow.com/users/8288127", "khaleej")</f>
        <v>khaleej</v>
      </c>
      <c r="D15103" t="s">
        <v>4</v>
      </c>
      <c r="E15103">
        <v>1</v>
      </c>
    </row>
    <row r="15104" spans="1:5" x14ac:dyDescent="0.25">
      <c r="A15104">
        <v>15103</v>
      </c>
      <c r="B15104">
        <v>8288206</v>
      </c>
      <c r="C15104" s="1" t="str">
        <f>HYPERLINK("http://stackoverflow.com/users/8288206", "NotAnonymity")</f>
        <v>NotAnonymity</v>
      </c>
      <c r="D15104" t="s">
        <v>28</v>
      </c>
      <c r="E15104">
        <v>1</v>
      </c>
    </row>
    <row r="15105" spans="1:5" x14ac:dyDescent="0.25">
      <c r="A15105">
        <v>15104</v>
      </c>
      <c r="B15105">
        <v>8288380</v>
      </c>
      <c r="C15105" s="1" t="str">
        <f>HYPERLINK("http://stackoverflow.com/users/8288380", "Ethan")</f>
        <v>Ethan</v>
      </c>
      <c r="D15105" t="s">
        <v>4</v>
      </c>
      <c r="E15105">
        <v>1</v>
      </c>
    </row>
    <row r="15106" spans="1:5" x14ac:dyDescent="0.25">
      <c r="A15106">
        <v>15105</v>
      </c>
      <c r="B15106">
        <v>2918397</v>
      </c>
      <c r="C15106" s="1" t="str">
        <f>HYPERLINK("http://stackoverflow.com/users/2918397", "cshwill")</f>
        <v>cshwill</v>
      </c>
      <c r="D15106" t="s">
        <v>5</v>
      </c>
      <c r="E15106">
        <v>1</v>
      </c>
    </row>
    <row r="15107" spans="1:5" x14ac:dyDescent="0.25">
      <c r="A15107">
        <v>15106</v>
      </c>
      <c r="B15107">
        <v>2918416</v>
      </c>
      <c r="C15107" s="1" t="str">
        <f>HYPERLINK("http://stackoverflow.com/users/2918416", "YiDiJiMao")</f>
        <v>YiDiJiMao</v>
      </c>
      <c r="D15107" t="s">
        <v>17</v>
      </c>
      <c r="E15107">
        <v>1</v>
      </c>
    </row>
    <row r="15108" spans="1:5" x14ac:dyDescent="0.25">
      <c r="A15108">
        <v>15107</v>
      </c>
      <c r="B15108">
        <v>2918912</v>
      </c>
      <c r="C15108" s="1" t="str">
        <f>HYPERLINK("http://stackoverflow.com/users/2918912", "Shuai Yuan")</f>
        <v>Shuai Yuan</v>
      </c>
      <c r="D15108" t="s">
        <v>4</v>
      </c>
      <c r="E15108">
        <v>1</v>
      </c>
    </row>
    <row r="15109" spans="1:5" x14ac:dyDescent="0.25">
      <c r="A15109">
        <v>15108</v>
      </c>
      <c r="B15109">
        <v>2918923</v>
      </c>
      <c r="C15109" s="1" t="str">
        <f>HYPERLINK("http://stackoverflow.com/users/2918923", "Sooongz")</f>
        <v>Sooongz</v>
      </c>
      <c r="D15109" t="s">
        <v>4</v>
      </c>
      <c r="E15109">
        <v>1</v>
      </c>
    </row>
    <row r="15110" spans="1:5" x14ac:dyDescent="0.25">
      <c r="A15110">
        <v>15109</v>
      </c>
      <c r="B15110">
        <v>4751187</v>
      </c>
      <c r="C15110" s="1" t="str">
        <f>HYPERLINK("http://stackoverflow.com/users/4751187", "Fredpata")</f>
        <v>Fredpata</v>
      </c>
      <c r="D15110" t="s">
        <v>4</v>
      </c>
      <c r="E15110">
        <v>1</v>
      </c>
    </row>
    <row r="15111" spans="1:5" x14ac:dyDescent="0.25">
      <c r="A15111">
        <v>15110</v>
      </c>
      <c r="B15111">
        <v>836476</v>
      </c>
      <c r="C15111" s="1" t="str">
        <f>HYPERLINK("http://stackoverflow.com/users/836476", "Marooned_SMJ")</f>
        <v>Marooned_SMJ</v>
      </c>
      <c r="D15111" t="s">
        <v>21</v>
      </c>
      <c r="E15111">
        <v>1</v>
      </c>
    </row>
    <row r="15112" spans="1:5" x14ac:dyDescent="0.25">
      <c r="A15112">
        <v>15111</v>
      </c>
      <c r="B15112">
        <v>4738960</v>
      </c>
      <c r="C15112" s="1" t="str">
        <f>HYPERLINK("http://stackoverflow.com/users/4738960", "tuzhao")</f>
        <v>tuzhao</v>
      </c>
      <c r="D15112" t="s">
        <v>28</v>
      </c>
      <c r="E15112">
        <v>1</v>
      </c>
    </row>
    <row r="15113" spans="1:5" x14ac:dyDescent="0.25">
      <c r="A15113">
        <v>15112</v>
      </c>
      <c r="B15113">
        <v>6463551</v>
      </c>
      <c r="C15113" s="1" t="str">
        <f>HYPERLINK("http://stackoverflow.com/users/6463551", "eloahman")</f>
        <v>eloahman</v>
      </c>
      <c r="D15113" t="s">
        <v>446</v>
      </c>
      <c r="E15113">
        <v>1</v>
      </c>
    </row>
    <row r="15114" spans="1:5" x14ac:dyDescent="0.25">
      <c r="A15114">
        <v>15113</v>
      </c>
      <c r="B15114">
        <v>10081663</v>
      </c>
      <c r="C15114" s="1" t="str">
        <f>HYPERLINK("http://stackoverflow.com/users/10081663", "Ned2017")</f>
        <v>Ned2017</v>
      </c>
      <c r="D15114" t="s">
        <v>108</v>
      </c>
      <c r="E15114">
        <v>1</v>
      </c>
    </row>
    <row r="15115" spans="1:5" x14ac:dyDescent="0.25">
      <c r="A15115">
        <v>15114</v>
      </c>
      <c r="B15115">
        <v>8256341</v>
      </c>
      <c r="C15115" s="1" t="str">
        <f>HYPERLINK("http://stackoverflow.com/users/8256341", "sunyaoyu")</f>
        <v>sunyaoyu</v>
      </c>
      <c r="D15115" t="s">
        <v>5</v>
      </c>
      <c r="E15115">
        <v>1</v>
      </c>
    </row>
    <row r="15116" spans="1:5" x14ac:dyDescent="0.25">
      <c r="A15116">
        <v>15115</v>
      </c>
      <c r="B15116">
        <v>8256763</v>
      </c>
      <c r="C15116" s="1" t="str">
        <f>HYPERLINK("http://stackoverflow.com/users/8256763", "zhanghb")</f>
        <v>zhanghb</v>
      </c>
      <c r="D15116" t="s">
        <v>833</v>
      </c>
      <c r="E15116">
        <v>1</v>
      </c>
    </row>
    <row r="15117" spans="1:5" x14ac:dyDescent="0.25">
      <c r="A15117">
        <v>15116</v>
      </c>
      <c r="B15117">
        <v>8256980</v>
      </c>
      <c r="C15117" s="1" t="str">
        <f>HYPERLINK("http://stackoverflow.com/users/8256980", "Ali Esmaeili Charkhab")</f>
        <v>Ali Esmaeili Charkhab</v>
      </c>
      <c r="D15117" t="s">
        <v>74</v>
      </c>
      <c r="E15117">
        <v>1</v>
      </c>
    </row>
    <row r="15118" spans="1:5" x14ac:dyDescent="0.25">
      <c r="A15118">
        <v>15117</v>
      </c>
      <c r="B15118">
        <v>8257009</v>
      </c>
      <c r="C15118" s="1" t="str">
        <f>HYPERLINK("http://stackoverflow.com/users/8257009", "John_Wang")</f>
        <v>John_Wang</v>
      </c>
      <c r="D15118" t="s">
        <v>5</v>
      </c>
      <c r="E15118">
        <v>1</v>
      </c>
    </row>
    <row r="15119" spans="1:5" x14ac:dyDescent="0.25">
      <c r="A15119">
        <v>15118</v>
      </c>
      <c r="B15119">
        <v>6459491</v>
      </c>
      <c r="C15119" s="1" t="str">
        <f>HYPERLINK("http://stackoverflow.com/users/6459491", "Anoper Yan")</f>
        <v>Anoper Yan</v>
      </c>
      <c r="D15119" t="s">
        <v>834</v>
      </c>
      <c r="E15119">
        <v>1</v>
      </c>
    </row>
    <row r="15120" spans="1:5" x14ac:dyDescent="0.25">
      <c r="A15120">
        <v>15119</v>
      </c>
      <c r="B15120">
        <v>2905820</v>
      </c>
      <c r="C15120" s="1" t="str">
        <f>HYPERLINK("http://stackoverflow.com/users/2905820", "sandy")</f>
        <v>sandy</v>
      </c>
      <c r="D15120" t="s">
        <v>22</v>
      </c>
      <c r="E15120">
        <v>1</v>
      </c>
    </row>
    <row r="15121" spans="1:5" x14ac:dyDescent="0.25">
      <c r="A15121">
        <v>15120</v>
      </c>
      <c r="B15121">
        <v>2910371</v>
      </c>
      <c r="C15121" s="1" t="str">
        <f>HYPERLINK("http://stackoverflow.com/users/2910371", "ybbswc")</f>
        <v>ybbswc</v>
      </c>
      <c r="D15121" t="s">
        <v>113</v>
      </c>
      <c r="E15121">
        <v>1</v>
      </c>
    </row>
    <row r="15122" spans="1:5" x14ac:dyDescent="0.25">
      <c r="A15122">
        <v>15121</v>
      </c>
      <c r="B15122">
        <v>10086686</v>
      </c>
      <c r="C15122" s="1" t="str">
        <f>HYPERLINK("http://stackoverflow.com/users/10086686", "tao stella")</f>
        <v>tao stella</v>
      </c>
      <c r="D15122" t="s">
        <v>5</v>
      </c>
      <c r="E15122">
        <v>1</v>
      </c>
    </row>
    <row r="15123" spans="1:5" x14ac:dyDescent="0.25">
      <c r="A15123">
        <v>15122</v>
      </c>
      <c r="B15123">
        <v>10087012</v>
      </c>
      <c r="C15123" s="1" t="str">
        <f>HYPERLINK("http://stackoverflow.com/users/10087012", "Troy")</f>
        <v>Troy</v>
      </c>
      <c r="D15123" t="s">
        <v>12</v>
      </c>
      <c r="E15123">
        <v>1</v>
      </c>
    </row>
    <row r="15124" spans="1:5" x14ac:dyDescent="0.25">
      <c r="A15124">
        <v>15123</v>
      </c>
      <c r="B15124">
        <v>10087060</v>
      </c>
      <c r="C15124" s="1" t="str">
        <f>HYPERLINK("http://stackoverflow.com/users/10087060", "Yu Yan")</f>
        <v>Yu Yan</v>
      </c>
      <c r="D15124" t="s">
        <v>184</v>
      </c>
      <c r="E15124">
        <v>1</v>
      </c>
    </row>
    <row r="15125" spans="1:5" x14ac:dyDescent="0.25">
      <c r="A15125">
        <v>15124</v>
      </c>
      <c r="B15125">
        <v>8269853</v>
      </c>
      <c r="C15125" s="1" t="str">
        <f>HYPERLINK("http://stackoverflow.com/users/8269853", "Yong ming")</f>
        <v>Yong ming</v>
      </c>
      <c r="D15125" t="s">
        <v>5</v>
      </c>
      <c r="E15125">
        <v>1</v>
      </c>
    </row>
    <row r="15126" spans="1:5" x14ac:dyDescent="0.25">
      <c r="A15126">
        <v>15125</v>
      </c>
      <c r="B15126">
        <v>8269877</v>
      </c>
      <c r="C15126" s="1" t="str">
        <f>HYPERLINK("http://stackoverflow.com/users/8269877", "wenliang")</f>
        <v>wenliang</v>
      </c>
      <c r="D15126" t="s">
        <v>4</v>
      </c>
      <c r="E15126">
        <v>1</v>
      </c>
    </row>
    <row r="15127" spans="1:5" x14ac:dyDescent="0.25">
      <c r="A15127">
        <v>15126</v>
      </c>
      <c r="B15127">
        <v>8269913</v>
      </c>
      <c r="C15127" s="1" t="str">
        <f>HYPERLINK("http://stackoverflow.com/users/8269913", "张夏骏")</f>
        <v>张夏骏</v>
      </c>
      <c r="D15127" t="s">
        <v>4</v>
      </c>
      <c r="E15127">
        <v>1</v>
      </c>
    </row>
    <row r="15128" spans="1:5" x14ac:dyDescent="0.25">
      <c r="A15128">
        <v>15127</v>
      </c>
      <c r="B15128">
        <v>8269938</v>
      </c>
      <c r="C15128" s="1" t="str">
        <f>HYPERLINK("http://stackoverflow.com/users/8269938", "yang qihai")</f>
        <v>yang qihai</v>
      </c>
      <c r="D15128" t="s">
        <v>7</v>
      </c>
      <c r="E15128">
        <v>1</v>
      </c>
    </row>
    <row r="15129" spans="1:5" x14ac:dyDescent="0.25">
      <c r="A15129">
        <v>15128</v>
      </c>
      <c r="B15129">
        <v>721391</v>
      </c>
      <c r="C15129" s="1" t="str">
        <f>HYPERLINK("http://stackoverflow.com/users/721391", "Justin")</f>
        <v>Justin</v>
      </c>
      <c r="D15129" t="s">
        <v>5</v>
      </c>
      <c r="E15129">
        <v>1</v>
      </c>
    </row>
    <row r="15130" spans="1:5" x14ac:dyDescent="0.25">
      <c r="A15130">
        <v>15129</v>
      </c>
      <c r="B15130">
        <v>721496</v>
      </c>
      <c r="C15130" s="1" t="str">
        <f>HYPERLINK("http://stackoverflow.com/users/721496", "Patz")</f>
        <v>Patz</v>
      </c>
      <c r="D15130" t="s">
        <v>5</v>
      </c>
      <c r="E15130">
        <v>1</v>
      </c>
    </row>
    <row r="15131" spans="1:5" x14ac:dyDescent="0.25">
      <c r="A15131">
        <v>15130</v>
      </c>
      <c r="B15131">
        <v>6409134</v>
      </c>
      <c r="C15131" s="1" t="str">
        <f>HYPERLINK("http://stackoverflow.com/users/6409134", "Zhao")</f>
        <v>Zhao</v>
      </c>
      <c r="D15131" t="s">
        <v>4</v>
      </c>
      <c r="E15131">
        <v>1</v>
      </c>
    </row>
    <row r="15132" spans="1:5" x14ac:dyDescent="0.25">
      <c r="A15132">
        <v>15131</v>
      </c>
      <c r="B15132">
        <v>8198426</v>
      </c>
      <c r="C15132" s="1" t="str">
        <f>HYPERLINK("http://stackoverflow.com/users/8198426", "MurasakiMio")</f>
        <v>MurasakiMio</v>
      </c>
      <c r="D15132" t="s">
        <v>25</v>
      </c>
      <c r="E15132">
        <v>1</v>
      </c>
    </row>
    <row r="15133" spans="1:5" x14ac:dyDescent="0.25">
      <c r="A15133">
        <v>15132</v>
      </c>
      <c r="B15133">
        <v>2848223</v>
      </c>
      <c r="C15133" s="1" t="str">
        <f>HYPERLINK("http://stackoverflow.com/users/2848223", "Jeanhwea")</f>
        <v>Jeanhwea</v>
      </c>
      <c r="D15133" t="s">
        <v>5</v>
      </c>
      <c r="E15133">
        <v>1</v>
      </c>
    </row>
    <row r="15134" spans="1:5" x14ac:dyDescent="0.25">
      <c r="A15134">
        <v>15133</v>
      </c>
      <c r="B15134">
        <v>10016573</v>
      </c>
      <c r="C15134" s="1" t="str">
        <f>HYPERLINK("http://stackoverflow.com/users/10016573", "Optimus")</f>
        <v>Optimus</v>
      </c>
      <c r="D15134" t="s">
        <v>74</v>
      </c>
      <c r="E15134">
        <v>1</v>
      </c>
    </row>
    <row r="15135" spans="1:5" x14ac:dyDescent="0.25">
      <c r="A15135">
        <v>15134</v>
      </c>
      <c r="B15135">
        <v>10016890</v>
      </c>
      <c r="C15135" s="1" t="str">
        <f>HYPERLINK("http://stackoverflow.com/users/10016890", "Nate")</f>
        <v>Nate</v>
      </c>
      <c r="D15135" t="s">
        <v>28</v>
      </c>
      <c r="E15135">
        <v>1</v>
      </c>
    </row>
    <row r="15136" spans="1:5" x14ac:dyDescent="0.25">
      <c r="A15136">
        <v>15135</v>
      </c>
      <c r="B15136">
        <v>10017358</v>
      </c>
      <c r="C15136" s="1" t="str">
        <f>HYPERLINK("http://stackoverflow.com/users/10017358", "dqli")</f>
        <v>dqli</v>
      </c>
      <c r="D15136" t="s">
        <v>270</v>
      </c>
      <c r="E15136">
        <v>1</v>
      </c>
    </row>
    <row r="15137" spans="1:5" x14ac:dyDescent="0.25">
      <c r="A15137">
        <v>15136</v>
      </c>
      <c r="B15137">
        <v>8202991</v>
      </c>
      <c r="C15137" s="1" t="str">
        <f>HYPERLINK("http://stackoverflow.com/users/8202991", "LeonLee")</f>
        <v>LeonLee</v>
      </c>
      <c r="D15137" t="s">
        <v>7</v>
      </c>
      <c r="E15137">
        <v>1</v>
      </c>
    </row>
    <row r="15138" spans="1:5" x14ac:dyDescent="0.25">
      <c r="A15138">
        <v>15137</v>
      </c>
      <c r="B15138">
        <v>6415351</v>
      </c>
      <c r="C15138" s="1" t="str">
        <f>HYPERLINK("http://stackoverflow.com/users/6415351", "Micheal")</f>
        <v>Micheal</v>
      </c>
      <c r="D15138" t="s">
        <v>52</v>
      </c>
      <c r="E15138">
        <v>1</v>
      </c>
    </row>
    <row r="15139" spans="1:5" x14ac:dyDescent="0.25">
      <c r="A15139">
        <v>15138</v>
      </c>
      <c r="B15139">
        <v>10024829</v>
      </c>
      <c r="C15139" s="1" t="str">
        <f>HYPERLINK("http://stackoverflow.com/users/10024829", "user10024829")</f>
        <v>user10024829</v>
      </c>
      <c r="D15139" t="s">
        <v>5</v>
      </c>
      <c r="E15139">
        <v>1</v>
      </c>
    </row>
    <row r="15140" spans="1:5" x14ac:dyDescent="0.25">
      <c r="A15140">
        <v>15139</v>
      </c>
      <c r="B15140">
        <v>10025209</v>
      </c>
      <c r="C15140" s="1" t="str">
        <f>HYPERLINK("http://stackoverflow.com/users/10025209", "Nengjun Hu")</f>
        <v>Nengjun Hu</v>
      </c>
      <c r="D15140" t="s">
        <v>4</v>
      </c>
      <c r="E15140">
        <v>1</v>
      </c>
    </row>
    <row r="15141" spans="1:5" x14ac:dyDescent="0.25">
      <c r="A15141">
        <v>15140</v>
      </c>
      <c r="B15141">
        <v>10029520</v>
      </c>
      <c r="C15141" s="1" t="str">
        <f>HYPERLINK("http://stackoverflow.com/users/10029520", "Mr.Stack")</f>
        <v>Mr.Stack</v>
      </c>
      <c r="D15141" t="s">
        <v>12</v>
      </c>
      <c r="E15141">
        <v>1</v>
      </c>
    </row>
    <row r="15142" spans="1:5" x14ac:dyDescent="0.25">
      <c r="A15142">
        <v>15141</v>
      </c>
      <c r="B15142">
        <v>8214015</v>
      </c>
      <c r="C15142" s="1" t="str">
        <f>HYPERLINK("http://stackoverflow.com/users/8214015", "ming")</f>
        <v>ming</v>
      </c>
      <c r="D15142" t="s">
        <v>5</v>
      </c>
      <c r="E15142">
        <v>1</v>
      </c>
    </row>
    <row r="15143" spans="1:5" x14ac:dyDescent="0.25">
      <c r="A15143">
        <v>15142</v>
      </c>
      <c r="B15143">
        <v>8214047</v>
      </c>
      <c r="C15143" s="1" t="str">
        <f>HYPERLINK("http://stackoverflow.com/users/8214047", "Q. Ao")</f>
        <v>Q. Ao</v>
      </c>
      <c r="D15143" t="s">
        <v>5</v>
      </c>
      <c r="E15143">
        <v>1</v>
      </c>
    </row>
    <row r="15144" spans="1:5" x14ac:dyDescent="0.25">
      <c r="A15144">
        <v>15143</v>
      </c>
      <c r="B15144">
        <v>8214235</v>
      </c>
      <c r="C15144" s="1" t="str">
        <f>HYPERLINK("http://stackoverflow.com/users/8214235", "Yuhong Lim")</f>
        <v>Yuhong Lim</v>
      </c>
      <c r="D15144" t="s">
        <v>7</v>
      </c>
      <c r="E15144">
        <v>1</v>
      </c>
    </row>
    <row r="15145" spans="1:5" x14ac:dyDescent="0.25">
      <c r="A15145">
        <v>15144</v>
      </c>
      <c r="B15145">
        <v>8214540</v>
      </c>
      <c r="C15145" s="1" t="str">
        <f>HYPERLINK("http://stackoverflow.com/users/8214540", "HaoHaoP")</f>
        <v>HaoHaoP</v>
      </c>
      <c r="D15145" t="s">
        <v>36</v>
      </c>
      <c r="E15145">
        <v>1</v>
      </c>
    </row>
    <row r="15146" spans="1:5" x14ac:dyDescent="0.25">
      <c r="A15146">
        <v>15145</v>
      </c>
      <c r="B15146">
        <v>8214664</v>
      </c>
      <c r="C15146" s="1" t="str">
        <f>HYPERLINK("http://stackoverflow.com/users/8214664", "Long.kx")</f>
        <v>Long.kx</v>
      </c>
      <c r="D15146" t="s">
        <v>5</v>
      </c>
      <c r="E15146">
        <v>1</v>
      </c>
    </row>
    <row r="15147" spans="1:5" x14ac:dyDescent="0.25">
      <c r="A15147">
        <v>15146</v>
      </c>
      <c r="B15147">
        <v>10021709</v>
      </c>
      <c r="C15147" s="1" t="str">
        <f>HYPERLINK("http://stackoverflow.com/users/10021709", "linmomo")</f>
        <v>linmomo</v>
      </c>
      <c r="D15147" t="s">
        <v>74</v>
      </c>
      <c r="E15147">
        <v>1</v>
      </c>
    </row>
    <row r="15148" spans="1:5" x14ac:dyDescent="0.25">
      <c r="A15148">
        <v>15147</v>
      </c>
      <c r="B15148">
        <v>10021776</v>
      </c>
      <c r="C15148" s="1" t="str">
        <f>HYPERLINK("http://stackoverflow.com/users/10021776", "dong wenqi")</f>
        <v>dong wenqi</v>
      </c>
      <c r="D15148" t="s">
        <v>5</v>
      </c>
      <c r="E15148">
        <v>1</v>
      </c>
    </row>
    <row r="15149" spans="1:5" x14ac:dyDescent="0.25">
      <c r="A15149">
        <v>15148</v>
      </c>
      <c r="B15149">
        <v>746501</v>
      </c>
      <c r="C15149" s="1" t="str">
        <f>HYPERLINK("http://stackoverflow.com/users/746501", "Jacky")</f>
        <v>Jacky</v>
      </c>
      <c r="D15149" t="s">
        <v>35</v>
      </c>
      <c r="E15149">
        <v>1</v>
      </c>
    </row>
    <row r="15150" spans="1:5" x14ac:dyDescent="0.25">
      <c r="A15150">
        <v>15149</v>
      </c>
      <c r="B15150">
        <v>745591</v>
      </c>
      <c r="C15150" s="1" t="str">
        <f>HYPERLINK("http://stackoverflow.com/users/745591", "Syd Xu")</f>
        <v>Syd Xu</v>
      </c>
      <c r="D15150" t="s">
        <v>5</v>
      </c>
      <c r="E15150">
        <v>1</v>
      </c>
    </row>
    <row r="15151" spans="1:5" x14ac:dyDescent="0.25">
      <c r="A15151">
        <v>15150</v>
      </c>
      <c r="B15151">
        <v>9982395</v>
      </c>
      <c r="C15151" s="1" t="str">
        <f>HYPERLINK("http://stackoverflow.com/users/9982395", "adam shen")</f>
        <v>adam shen</v>
      </c>
      <c r="D15151" t="s">
        <v>4</v>
      </c>
      <c r="E15151">
        <v>1</v>
      </c>
    </row>
    <row r="15152" spans="1:5" x14ac:dyDescent="0.25">
      <c r="A15152">
        <v>15151</v>
      </c>
      <c r="B15152">
        <v>8167663</v>
      </c>
      <c r="C15152" s="1" t="str">
        <f>HYPERLINK("http://stackoverflow.com/users/8167663", "Yingcong")</f>
        <v>Yingcong</v>
      </c>
      <c r="D15152" t="s">
        <v>5</v>
      </c>
      <c r="E15152">
        <v>1</v>
      </c>
    </row>
    <row r="15153" spans="1:5" x14ac:dyDescent="0.25">
      <c r="A15153">
        <v>15152</v>
      </c>
      <c r="B15153">
        <v>2818301</v>
      </c>
      <c r="C15153" s="1" t="str">
        <f>HYPERLINK("http://stackoverflow.com/users/2818301", "lijc1990")</f>
        <v>lijc1990</v>
      </c>
      <c r="D15153" t="s">
        <v>5</v>
      </c>
      <c r="E15153">
        <v>1</v>
      </c>
    </row>
    <row r="15154" spans="1:5" x14ac:dyDescent="0.25">
      <c r="A15154">
        <v>15153</v>
      </c>
      <c r="B15154">
        <v>2818650</v>
      </c>
      <c r="C15154" s="1" t="str">
        <f>HYPERLINK("http://stackoverflow.com/users/2818650", "YoungShook")</f>
        <v>YoungShook</v>
      </c>
      <c r="D15154" t="s">
        <v>5</v>
      </c>
      <c r="E15154">
        <v>1</v>
      </c>
    </row>
    <row r="15155" spans="1:5" x14ac:dyDescent="0.25">
      <c r="A15155">
        <v>15154</v>
      </c>
      <c r="B15155">
        <v>2818776</v>
      </c>
      <c r="C15155" s="1" t="str">
        <f>HYPERLINK("http://stackoverflow.com/users/2818776", "Diors Dev")</f>
        <v>Diors Dev</v>
      </c>
      <c r="D15155" t="s">
        <v>5</v>
      </c>
      <c r="E15155">
        <v>1</v>
      </c>
    </row>
    <row r="15156" spans="1:5" x14ac:dyDescent="0.25">
      <c r="A15156">
        <v>15155</v>
      </c>
      <c r="B15156">
        <v>2835242</v>
      </c>
      <c r="C15156" s="1" t="str">
        <f>HYPERLINK("http://stackoverflow.com/users/2835242", "Hucheng")</f>
        <v>Hucheng</v>
      </c>
      <c r="D15156" t="s">
        <v>5</v>
      </c>
      <c r="E15156">
        <v>1</v>
      </c>
    </row>
    <row r="15157" spans="1:5" x14ac:dyDescent="0.25">
      <c r="A15157">
        <v>15156</v>
      </c>
      <c r="B15157">
        <v>2826706</v>
      </c>
      <c r="C15157" s="1" t="str">
        <f>HYPERLINK("http://stackoverflow.com/users/2826706", "Kris")</f>
        <v>Kris</v>
      </c>
      <c r="D15157" t="s">
        <v>4</v>
      </c>
      <c r="E15157">
        <v>1</v>
      </c>
    </row>
    <row r="15158" spans="1:5" x14ac:dyDescent="0.25">
      <c r="A15158">
        <v>15157</v>
      </c>
      <c r="B15158">
        <v>8186082</v>
      </c>
      <c r="C15158" s="1" t="str">
        <f>HYPERLINK("http://stackoverflow.com/users/8186082", "MXY")</f>
        <v>MXY</v>
      </c>
      <c r="D15158" t="s">
        <v>118</v>
      </c>
      <c r="E15158">
        <v>1</v>
      </c>
    </row>
    <row r="15159" spans="1:5" x14ac:dyDescent="0.25">
      <c r="A15159">
        <v>15158</v>
      </c>
      <c r="B15159">
        <v>10003720</v>
      </c>
      <c r="C15159" s="1" t="str">
        <f>HYPERLINK("http://stackoverflow.com/users/10003720", "Cong Zhang")</f>
        <v>Cong Zhang</v>
      </c>
      <c r="D15159" t="s">
        <v>15</v>
      </c>
      <c r="E15159">
        <v>1</v>
      </c>
    </row>
    <row r="15160" spans="1:5" x14ac:dyDescent="0.25">
      <c r="A15160">
        <v>15159</v>
      </c>
      <c r="B15160">
        <v>10003859</v>
      </c>
      <c r="C15160" s="1" t="str">
        <f>HYPERLINK("http://stackoverflow.com/users/10003859", "gehan")</f>
        <v>gehan</v>
      </c>
      <c r="D15160" t="s">
        <v>4</v>
      </c>
      <c r="E15160">
        <v>1</v>
      </c>
    </row>
    <row r="15161" spans="1:5" x14ac:dyDescent="0.25">
      <c r="A15161">
        <v>15160</v>
      </c>
      <c r="B15161">
        <v>705295</v>
      </c>
      <c r="C15161" s="1" t="str">
        <f>HYPERLINK("http://stackoverflow.com/users/705295", "Thinking Song")</f>
        <v>Thinking Song</v>
      </c>
      <c r="D15161" t="s">
        <v>31</v>
      </c>
      <c r="E15161">
        <v>1</v>
      </c>
    </row>
    <row r="15162" spans="1:5" x14ac:dyDescent="0.25">
      <c r="A15162">
        <v>15161</v>
      </c>
      <c r="B15162">
        <v>8194156</v>
      </c>
      <c r="C15162" s="1" t="str">
        <f>HYPERLINK("http://stackoverflow.com/users/8194156", "Juxuny Wu")</f>
        <v>Juxuny Wu</v>
      </c>
      <c r="D15162" t="s">
        <v>47</v>
      </c>
      <c r="E15162">
        <v>1</v>
      </c>
    </row>
    <row r="15163" spans="1:5" x14ac:dyDescent="0.25">
      <c r="A15163">
        <v>15162</v>
      </c>
      <c r="B15163">
        <v>719300</v>
      </c>
      <c r="C15163" s="1" t="str">
        <f>HYPERLINK("http://stackoverflow.com/users/719300", "moonToBy")</f>
        <v>moonToBy</v>
      </c>
      <c r="D15163" t="s">
        <v>28</v>
      </c>
      <c r="E15163">
        <v>1</v>
      </c>
    </row>
    <row r="15164" spans="1:5" x14ac:dyDescent="0.25">
      <c r="A15164">
        <v>15163</v>
      </c>
      <c r="B15164">
        <v>714711</v>
      </c>
      <c r="C15164" s="1" t="str">
        <f>HYPERLINK("http://stackoverflow.com/users/714711", "xufan6")</f>
        <v>xufan6</v>
      </c>
      <c r="D15164" t="s">
        <v>12</v>
      </c>
      <c r="E15164">
        <v>1</v>
      </c>
    </row>
    <row r="15165" spans="1:5" x14ac:dyDescent="0.25">
      <c r="A15165">
        <v>15164</v>
      </c>
      <c r="B15165">
        <v>714542</v>
      </c>
      <c r="C15165" s="1" t="str">
        <f>HYPERLINK("http://stackoverflow.com/users/714542", "pjq")</f>
        <v>pjq</v>
      </c>
      <c r="D15165" t="s">
        <v>4</v>
      </c>
      <c r="E15165">
        <v>1</v>
      </c>
    </row>
    <row r="15166" spans="1:5" x14ac:dyDescent="0.25">
      <c r="A15166">
        <v>15165</v>
      </c>
      <c r="B15166">
        <v>8239891</v>
      </c>
      <c r="C15166" s="1" t="str">
        <f>HYPERLINK("http://stackoverflow.com/users/8239891", "LogicWang")</f>
        <v>LogicWang</v>
      </c>
      <c r="D15166" t="s">
        <v>447</v>
      </c>
      <c r="E15166">
        <v>1</v>
      </c>
    </row>
    <row r="15167" spans="1:5" x14ac:dyDescent="0.25">
      <c r="A15167">
        <v>15166</v>
      </c>
      <c r="B15167">
        <v>6438001</v>
      </c>
      <c r="C15167" s="1" t="str">
        <f>HYPERLINK("http://stackoverflow.com/users/6438001", "wei he")</f>
        <v>wei he</v>
      </c>
      <c r="D15167" t="s">
        <v>25</v>
      </c>
      <c r="E15167">
        <v>1</v>
      </c>
    </row>
    <row r="15168" spans="1:5" x14ac:dyDescent="0.25">
      <c r="A15168">
        <v>15167</v>
      </c>
      <c r="B15168">
        <v>2881802</v>
      </c>
      <c r="C15168" s="1" t="str">
        <f>HYPERLINK("http://stackoverflow.com/users/2881802", "chaman")</f>
        <v>chaman</v>
      </c>
      <c r="D15168" t="s">
        <v>4</v>
      </c>
      <c r="E15168">
        <v>1</v>
      </c>
    </row>
    <row r="15169" spans="1:5" x14ac:dyDescent="0.25">
      <c r="A15169">
        <v>15168</v>
      </c>
      <c r="B15169">
        <v>2881961</v>
      </c>
      <c r="C15169" s="1" t="str">
        <f>HYPERLINK("http://stackoverflow.com/users/2881961", "allenzhaocn")</f>
        <v>allenzhaocn</v>
      </c>
      <c r="D15169" t="s">
        <v>5</v>
      </c>
      <c r="E15169">
        <v>1</v>
      </c>
    </row>
    <row r="15170" spans="1:5" x14ac:dyDescent="0.25">
      <c r="A15170">
        <v>15169</v>
      </c>
      <c r="B15170">
        <v>2882204</v>
      </c>
      <c r="C15170" s="1" t="str">
        <f>HYPERLINK("http://stackoverflow.com/users/2882204", "user2882204")</f>
        <v>user2882204</v>
      </c>
      <c r="D15170" t="s">
        <v>17</v>
      </c>
      <c r="E15170">
        <v>1</v>
      </c>
    </row>
    <row r="15171" spans="1:5" x14ac:dyDescent="0.25">
      <c r="A15171">
        <v>15170</v>
      </c>
      <c r="B15171">
        <v>4715967</v>
      </c>
      <c r="C15171" s="1" t="str">
        <f>HYPERLINK("http://stackoverflow.com/users/4715967", "Xuefeng Qi")</f>
        <v>Xuefeng Qi</v>
      </c>
      <c r="D15171" t="s">
        <v>5</v>
      </c>
      <c r="E15171">
        <v>1</v>
      </c>
    </row>
    <row r="15172" spans="1:5" x14ac:dyDescent="0.25">
      <c r="A15172">
        <v>15171</v>
      </c>
      <c r="B15172">
        <v>10051833</v>
      </c>
      <c r="C15172" s="1" t="str">
        <f>HYPERLINK("http://stackoverflow.com/users/10051833", "Lesa Mealor")</f>
        <v>Lesa Mealor</v>
      </c>
      <c r="D15172" t="s">
        <v>118</v>
      </c>
      <c r="E15172">
        <v>1</v>
      </c>
    </row>
    <row r="15173" spans="1:5" x14ac:dyDescent="0.25">
      <c r="A15173">
        <v>15172</v>
      </c>
      <c r="B15173">
        <v>6441506</v>
      </c>
      <c r="C15173" s="1" t="str">
        <f>HYPERLINK("http://stackoverflow.com/users/6441506", "Jin Bai")</f>
        <v>Jin Bai</v>
      </c>
      <c r="D15173" t="s">
        <v>5</v>
      </c>
      <c r="E15173">
        <v>1</v>
      </c>
    </row>
    <row r="15174" spans="1:5" x14ac:dyDescent="0.25">
      <c r="A15174">
        <v>15173</v>
      </c>
      <c r="B15174">
        <v>2881360</v>
      </c>
      <c r="C15174" s="1" t="str">
        <f>HYPERLINK("http://stackoverflow.com/users/2881360", "Ryekee")</f>
        <v>Ryekee</v>
      </c>
      <c r="D15174" t="s">
        <v>54</v>
      </c>
      <c r="E15174">
        <v>1</v>
      </c>
    </row>
    <row r="15175" spans="1:5" x14ac:dyDescent="0.25">
      <c r="A15175">
        <v>15174</v>
      </c>
      <c r="B15175">
        <v>2881443</v>
      </c>
      <c r="C15175" s="1" t="str">
        <f>HYPERLINK("http://stackoverflow.com/users/2881443", "MayKiller")</f>
        <v>MayKiller</v>
      </c>
      <c r="D15175" t="s">
        <v>835</v>
      </c>
      <c r="E15175">
        <v>1</v>
      </c>
    </row>
    <row r="15176" spans="1:5" x14ac:dyDescent="0.25">
      <c r="A15176">
        <v>15175</v>
      </c>
      <c r="B15176">
        <v>2881504</v>
      </c>
      <c r="C15176" s="1" t="str">
        <f>HYPERLINK("http://stackoverflow.com/users/2881504", "fenric")</f>
        <v>fenric</v>
      </c>
      <c r="D15176" t="s">
        <v>12</v>
      </c>
      <c r="E15176">
        <v>1</v>
      </c>
    </row>
    <row r="15177" spans="1:5" x14ac:dyDescent="0.25">
      <c r="A15177">
        <v>15176</v>
      </c>
      <c r="B15177">
        <v>2881680</v>
      </c>
      <c r="C15177" s="1" t="str">
        <f>HYPERLINK("http://stackoverflow.com/users/2881680", "Wesley Lee")</f>
        <v>Wesley Lee</v>
      </c>
      <c r="D15177" t="s">
        <v>35</v>
      </c>
      <c r="E15177">
        <v>1</v>
      </c>
    </row>
    <row r="15178" spans="1:5" x14ac:dyDescent="0.25">
      <c r="A15178">
        <v>15177</v>
      </c>
      <c r="B15178">
        <v>6455800</v>
      </c>
      <c r="C15178" s="1" t="str">
        <f>HYPERLINK("http://stackoverflow.com/users/6455800", "wang.wenzheng")</f>
        <v>wang.wenzheng</v>
      </c>
      <c r="D15178" t="s">
        <v>5</v>
      </c>
      <c r="E15178">
        <v>1</v>
      </c>
    </row>
    <row r="15179" spans="1:5" x14ac:dyDescent="0.25">
      <c r="A15179">
        <v>15178</v>
      </c>
      <c r="B15179">
        <v>8252196</v>
      </c>
      <c r="C15179" s="1" t="str">
        <f>HYPERLINK("http://stackoverflow.com/users/8252196", "Hazzacheng")</f>
        <v>Hazzacheng</v>
      </c>
      <c r="D15179" t="s">
        <v>55</v>
      </c>
      <c r="E15179">
        <v>1</v>
      </c>
    </row>
    <row r="15180" spans="1:5" x14ac:dyDescent="0.25">
      <c r="A15180">
        <v>15179</v>
      </c>
      <c r="B15180">
        <v>8252434</v>
      </c>
      <c r="C15180" s="1" t="str">
        <f>HYPERLINK("http://stackoverflow.com/users/8252434", "Venus")</f>
        <v>Venus</v>
      </c>
      <c r="D15180" t="s">
        <v>25</v>
      </c>
      <c r="E15180">
        <v>1</v>
      </c>
    </row>
    <row r="15181" spans="1:5" x14ac:dyDescent="0.25">
      <c r="A15181">
        <v>15180</v>
      </c>
      <c r="B15181">
        <v>8252815</v>
      </c>
      <c r="C15181" s="1" t="str">
        <f>HYPERLINK("http://stackoverflow.com/users/8252815", "Mac Kojo")</f>
        <v>Mac Kojo</v>
      </c>
      <c r="D15181" t="s">
        <v>4</v>
      </c>
      <c r="E15181">
        <v>1</v>
      </c>
    </row>
    <row r="15182" spans="1:5" x14ac:dyDescent="0.25">
      <c r="A15182">
        <v>15181</v>
      </c>
      <c r="B15182">
        <v>10068657</v>
      </c>
      <c r="C15182" s="1" t="str">
        <f>HYPERLINK("http://stackoverflow.com/users/10068657", "LEE NIUYU")</f>
        <v>LEE NIUYU</v>
      </c>
      <c r="D15182" t="s">
        <v>4</v>
      </c>
      <c r="E15182">
        <v>1</v>
      </c>
    </row>
    <row r="15183" spans="1:5" x14ac:dyDescent="0.25">
      <c r="A15183">
        <v>15182</v>
      </c>
      <c r="B15183">
        <v>10068731</v>
      </c>
      <c r="C15183" s="1" t="str">
        <f>HYPERLINK("http://stackoverflow.com/users/10068731", "XiangQi.Zheng")</f>
        <v>XiangQi.Zheng</v>
      </c>
      <c r="D15183" t="s">
        <v>15</v>
      </c>
      <c r="E15183">
        <v>1</v>
      </c>
    </row>
    <row r="15184" spans="1:5" x14ac:dyDescent="0.25">
      <c r="A15184">
        <v>15183</v>
      </c>
      <c r="B15184">
        <v>2892904</v>
      </c>
      <c r="C15184" s="1" t="str">
        <f>HYPERLINK("http://stackoverflow.com/users/2892904", "Avery")</f>
        <v>Avery</v>
      </c>
      <c r="D15184" t="s">
        <v>5</v>
      </c>
      <c r="E15184">
        <v>1</v>
      </c>
    </row>
    <row r="15185" spans="1:5" x14ac:dyDescent="0.25">
      <c r="A15185">
        <v>15184</v>
      </c>
      <c r="B15185">
        <v>2893764</v>
      </c>
      <c r="C15185" s="1" t="str">
        <f>HYPERLINK("http://stackoverflow.com/users/2893764", "user2893764")</f>
        <v>user2893764</v>
      </c>
      <c r="D15185" t="s">
        <v>5</v>
      </c>
      <c r="E15185">
        <v>1</v>
      </c>
    </row>
    <row r="15186" spans="1:5" x14ac:dyDescent="0.25">
      <c r="A15186">
        <v>15185</v>
      </c>
      <c r="B15186">
        <v>8248302</v>
      </c>
      <c r="C15186" s="1" t="str">
        <f>HYPERLINK("http://stackoverflow.com/users/8248302", "user8248302")</f>
        <v>user8248302</v>
      </c>
      <c r="D15186" t="s">
        <v>114</v>
      </c>
      <c r="E15186">
        <v>1</v>
      </c>
    </row>
    <row r="15187" spans="1:5" x14ac:dyDescent="0.25">
      <c r="A15187">
        <v>15186</v>
      </c>
      <c r="B15187">
        <v>10064237</v>
      </c>
      <c r="C15187" s="1" t="str">
        <f>HYPERLINK("http://stackoverflow.com/users/10064237", "Jinlong Wang")</f>
        <v>Jinlong Wang</v>
      </c>
      <c r="D15187" t="s">
        <v>7</v>
      </c>
      <c r="E15187">
        <v>1</v>
      </c>
    </row>
    <row r="15188" spans="1:5" x14ac:dyDescent="0.25">
      <c r="A15188">
        <v>15187</v>
      </c>
      <c r="B15188">
        <v>800660</v>
      </c>
      <c r="C15188" s="1" t="str">
        <f>HYPERLINK("http://stackoverflow.com/users/800660", "carllee")</f>
        <v>carllee</v>
      </c>
      <c r="D15188" t="s">
        <v>5</v>
      </c>
      <c r="E15188">
        <v>1</v>
      </c>
    </row>
    <row r="15189" spans="1:5" x14ac:dyDescent="0.25">
      <c r="A15189">
        <v>15188</v>
      </c>
      <c r="B15189">
        <v>800711</v>
      </c>
      <c r="C15189" s="1" t="str">
        <f>HYPERLINK("http://stackoverflow.com/users/800711", "szrambo")</f>
        <v>szrambo</v>
      </c>
      <c r="D15189" t="s">
        <v>17</v>
      </c>
      <c r="E15189">
        <v>1</v>
      </c>
    </row>
    <row r="15190" spans="1:5" x14ac:dyDescent="0.25">
      <c r="A15190">
        <v>15189</v>
      </c>
      <c r="B15190">
        <v>4720245</v>
      </c>
      <c r="C15190" s="1" t="str">
        <f>HYPERLINK("http://stackoverflow.com/users/4720245", "Michael Chou")</f>
        <v>Michael Chou</v>
      </c>
      <c r="D15190" t="s">
        <v>5</v>
      </c>
      <c r="E15190">
        <v>1</v>
      </c>
    </row>
    <row r="15191" spans="1:5" x14ac:dyDescent="0.25">
      <c r="A15191">
        <v>15190</v>
      </c>
      <c r="B15191">
        <v>10059651</v>
      </c>
      <c r="C15191" s="1" t="str">
        <f>HYPERLINK("http://stackoverflow.com/users/10059651", "Jin Ji")</f>
        <v>Jin Ji</v>
      </c>
      <c r="D15191" t="s">
        <v>214</v>
      </c>
      <c r="E15191">
        <v>1</v>
      </c>
    </row>
    <row r="15192" spans="1:5" x14ac:dyDescent="0.25">
      <c r="A15192">
        <v>15191</v>
      </c>
      <c r="B15192">
        <v>6448085</v>
      </c>
      <c r="C15192" s="1" t="str">
        <f>HYPERLINK("http://stackoverflow.com/users/6448085", "Waterstrong")</f>
        <v>Waterstrong</v>
      </c>
      <c r="D15192" t="s">
        <v>28</v>
      </c>
      <c r="E15192">
        <v>1</v>
      </c>
    </row>
    <row r="15193" spans="1:5" x14ac:dyDescent="0.25">
      <c r="A15193">
        <v>15192</v>
      </c>
      <c r="B15193">
        <v>4703713</v>
      </c>
      <c r="C15193" s="1" t="str">
        <f>HYPERLINK("http://stackoverflow.com/users/4703713", "tworuler")</f>
        <v>tworuler</v>
      </c>
      <c r="D15193" t="s">
        <v>4</v>
      </c>
      <c r="E15193">
        <v>1</v>
      </c>
    </row>
    <row r="15194" spans="1:5" x14ac:dyDescent="0.25">
      <c r="A15194">
        <v>15193</v>
      </c>
      <c r="B15194">
        <v>4699801</v>
      </c>
      <c r="C15194" s="1" t="str">
        <f>HYPERLINK("http://stackoverflow.com/users/4699801", "Little pupil")</f>
        <v>Little pupil</v>
      </c>
      <c r="D15194" t="s">
        <v>15</v>
      </c>
      <c r="E15194">
        <v>1</v>
      </c>
    </row>
    <row r="15195" spans="1:5" x14ac:dyDescent="0.25">
      <c r="A15195">
        <v>15194</v>
      </c>
      <c r="B15195">
        <v>8223288</v>
      </c>
      <c r="C15195" s="1" t="str">
        <f>HYPERLINK("http://stackoverflow.com/users/8223288", "Qian Wei")</f>
        <v>Qian Wei</v>
      </c>
      <c r="D15195" t="s">
        <v>55</v>
      </c>
      <c r="E15195">
        <v>1</v>
      </c>
    </row>
    <row r="15196" spans="1:5" x14ac:dyDescent="0.25">
      <c r="A15196">
        <v>15195</v>
      </c>
      <c r="B15196">
        <v>8223401</v>
      </c>
      <c r="C15196" s="1" t="str">
        <f>HYPERLINK("http://stackoverflow.com/users/8223401", "guobiao.xiao")</f>
        <v>guobiao.xiao</v>
      </c>
      <c r="D15196" t="s">
        <v>25</v>
      </c>
      <c r="E15196">
        <v>1</v>
      </c>
    </row>
    <row r="15197" spans="1:5" x14ac:dyDescent="0.25">
      <c r="A15197">
        <v>15196</v>
      </c>
      <c r="B15197">
        <v>8223431</v>
      </c>
      <c r="C15197" s="1" t="str">
        <f>HYPERLINK("http://stackoverflow.com/users/8223431", "Jerryyuanyuan")</f>
        <v>Jerryyuanyuan</v>
      </c>
      <c r="D15197" t="s">
        <v>4</v>
      </c>
      <c r="E15197">
        <v>1</v>
      </c>
    </row>
    <row r="15198" spans="1:5" x14ac:dyDescent="0.25">
      <c r="A15198">
        <v>15197</v>
      </c>
      <c r="B15198">
        <v>4703368</v>
      </c>
      <c r="C15198" s="1" t="str">
        <f>HYPERLINK("http://stackoverflow.com/users/4703368", "Terry wang")</f>
        <v>Terry wang</v>
      </c>
      <c r="D15198" t="s">
        <v>5</v>
      </c>
      <c r="E15198">
        <v>1</v>
      </c>
    </row>
    <row r="15199" spans="1:5" x14ac:dyDescent="0.25">
      <c r="A15199">
        <v>15198</v>
      </c>
      <c r="B15199">
        <v>4703551</v>
      </c>
      <c r="C15199" s="1" t="str">
        <f>HYPERLINK("http://stackoverflow.com/users/4703551", "iexpos")</f>
        <v>iexpos</v>
      </c>
      <c r="D15199" t="s">
        <v>5</v>
      </c>
      <c r="E15199">
        <v>1</v>
      </c>
    </row>
    <row r="15200" spans="1:5" x14ac:dyDescent="0.25">
      <c r="A15200">
        <v>15199</v>
      </c>
      <c r="B15200">
        <v>8218364</v>
      </c>
      <c r="C15200" s="1" t="str">
        <f>HYPERLINK("http://stackoverflow.com/users/8218364", "Young")</f>
        <v>Young</v>
      </c>
      <c r="D15200" t="s">
        <v>52</v>
      </c>
      <c r="E15200">
        <v>1</v>
      </c>
    </row>
    <row r="15201" spans="1:5" x14ac:dyDescent="0.25">
      <c r="A15201">
        <v>15200</v>
      </c>
      <c r="B15201">
        <v>8218654</v>
      </c>
      <c r="C15201" s="1" t="str">
        <f>HYPERLINK("http://stackoverflow.com/users/8218654", "tzws")</f>
        <v>tzws</v>
      </c>
      <c r="D15201" t="s">
        <v>5</v>
      </c>
      <c r="E15201">
        <v>1</v>
      </c>
    </row>
    <row r="15202" spans="1:5" x14ac:dyDescent="0.25">
      <c r="A15202">
        <v>15201</v>
      </c>
      <c r="B15202">
        <v>8218714</v>
      </c>
      <c r="C15202" s="1" t="str">
        <f>HYPERLINK("http://stackoverflow.com/users/8218714", "Junde Chen")</f>
        <v>Junde Chen</v>
      </c>
      <c r="D15202" t="s">
        <v>131</v>
      </c>
      <c r="E15202">
        <v>1</v>
      </c>
    </row>
    <row r="15203" spans="1:5" x14ac:dyDescent="0.25">
      <c r="A15203">
        <v>15202</v>
      </c>
      <c r="B15203">
        <v>8218804</v>
      </c>
      <c r="C15203" s="1" t="str">
        <f>HYPERLINK("http://stackoverflow.com/users/8218804", "Bowen Tan")</f>
        <v>Bowen Tan</v>
      </c>
      <c r="D15203" t="s">
        <v>5</v>
      </c>
      <c r="E15203">
        <v>1</v>
      </c>
    </row>
    <row r="15204" spans="1:5" x14ac:dyDescent="0.25">
      <c r="A15204">
        <v>15203</v>
      </c>
      <c r="B15204">
        <v>8218889</v>
      </c>
      <c r="C15204" s="1" t="str">
        <f>HYPERLINK("http://stackoverflow.com/users/8218889", "Jeremiah")</f>
        <v>Jeremiah</v>
      </c>
      <c r="D15204" t="s">
        <v>836</v>
      </c>
      <c r="E15204">
        <v>1</v>
      </c>
    </row>
    <row r="15205" spans="1:5" x14ac:dyDescent="0.25">
      <c r="A15205">
        <v>15204</v>
      </c>
      <c r="B15205">
        <v>8218970</v>
      </c>
      <c r="C15205" s="1" t="str">
        <f>HYPERLINK("http://stackoverflow.com/users/8218970", "xinsen zhang")</f>
        <v>xinsen zhang</v>
      </c>
      <c r="D15205" t="s">
        <v>25</v>
      </c>
      <c r="E15205">
        <v>1</v>
      </c>
    </row>
    <row r="15206" spans="1:5" x14ac:dyDescent="0.25">
      <c r="A15206">
        <v>15205</v>
      </c>
      <c r="B15206">
        <v>4699363</v>
      </c>
      <c r="C15206" s="1" t="str">
        <f>HYPERLINK("http://stackoverflow.com/users/4699363", "JH Lee")</f>
        <v>JH Lee</v>
      </c>
      <c r="D15206" t="s">
        <v>5</v>
      </c>
      <c r="E15206">
        <v>1</v>
      </c>
    </row>
    <row r="15207" spans="1:5" x14ac:dyDescent="0.25">
      <c r="A15207">
        <v>15206</v>
      </c>
      <c r="B15207">
        <v>10043192</v>
      </c>
      <c r="C15207" s="1" t="str">
        <f>HYPERLINK("http://stackoverflow.com/users/10043192", "wucai tian")</f>
        <v>wucai tian</v>
      </c>
      <c r="D15207" t="s">
        <v>47</v>
      </c>
      <c r="E15207">
        <v>1</v>
      </c>
    </row>
    <row r="15208" spans="1:5" x14ac:dyDescent="0.25">
      <c r="A15208">
        <v>15207</v>
      </c>
      <c r="B15208">
        <v>10047395</v>
      </c>
      <c r="C15208" s="1" t="str">
        <f>HYPERLINK("http://stackoverflow.com/users/10047395", "Dillon J.")</f>
        <v>Dillon J.</v>
      </c>
      <c r="D15208" t="s">
        <v>55</v>
      </c>
      <c r="E15208">
        <v>1</v>
      </c>
    </row>
    <row r="15209" spans="1:5" x14ac:dyDescent="0.25">
      <c r="A15209">
        <v>15208</v>
      </c>
      <c r="B15209">
        <v>8223816</v>
      </c>
      <c r="C15209" s="1" t="str">
        <f>HYPERLINK("http://stackoverflow.com/users/8223816", "Ryan Lee")</f>
        <v>Ryan Lee</v>
      </c>
      <c r="D15209" t="s">
        <v>7</v>
      </c>
      <c r="E15209">
        <v>1</v>
      </c>
    </row>
    <row r="15210" spans="1:5" x14ac:dyDescent="0.25">
      <c r="A15210">
        <v>15209</v>
      </c>
      <c r="B15210">
        <v>8227153</v>
      </c>
      <c r="C15210" s="1" t="str">
        <f>HYPERLINK("http://stackoverflow.com/users/8227153", "Mitz Suyi")</f>
        <v>Mitz Suyi</v>
      </c>
      <c r="D15210" t="s">
        <v>25</v>
      </c>
      <c r="E15210">
        <v>1</v>
      </c>
    </row>
    <row r="15211" spans="1:5" x14ac:dyDescent="0.25">
      <c r="A15211">
        <v>15210</v>
      </c>
      <c r="B15211">
        <v>8227205</v>
      </c>
      <c r="C15211" s="1" t="str">
        <f>HYPERLINK("http://stackoverflow.com/users/8227205", "Magic Prism")</f>
        <v>Magic Prism</v>
      </c>
      <c r="D15211" t="s">
        <v>33</v>
      </c>
      <c r="E15211">
        <v>1</v>
      </c>
    </row>
    <row r="15212" spans="1:5" x14ac:dyDescent="0.25">
      <c r="A15212">
        <v>15211</v>
      </c>
      <c r="B15212">
        <v>6305827</v>
      </c>
      <c r="C15212" s="1" t="str">
        <f>HYPERLINK("http://stackoverflow.com/users/6305827", "Godruoyi")</f>
        <v>Godruoyi</v>
      </c>
      <c r="D15212" t="s">
        <v>62</v>
      </c>
      <c r="E15212">
        <v>1</v>
      </c>
    </row>
    <row r="15213" spans="1:5" x14ac:dyDescent="0.25">
      <c r="A15213">
        <v>15212</v>
      </c>
      <c r="B15213">
        <v>548242</v>
      </c>
      <c r="C15213" s="1" t="str">
        <f>HYPERLINK("http://stackoverflow.com/users/548242", "hongqn")</f>
        <v>hongqn</v>
      </c>
      <c r="D15213" t="s">
        <v>5</v>
      </c>
      <c r="E15213">
        <v>1</v>
      </c>
    </row>
    <row r="15214" spans="1:5" x14ac:dyDescent="0.25">
      <c r="A15214">
        <v>15213</v>
      </c>
      <c r="B15214">
        <v>548770</v>
      </c>
      <c r="C15214" s="1" t="str">
        <f>HYPERLINK("http://stackoverflow.com/users/548770", "zongfeng")</f>
        <v>zongfeng</v>
      </c>
      <c r="D15214" t="s">
        <v>13</v>
      </c>
      <c r="E15214">
        <v>1</v>
      </c>
    </row>
    <row r="15215" spans="1:5" x14ac:dyDescent="0.25">
      <c r="A15215">
        <v>15214</v>
      </c>
      <c r="B15215">
        <v>540773</v>
      </c>
      <c r="C15215" s="1" t="str">
        <f>HYPERLINK("http://stackoverflow.com/users/540773", "Tom Mu")</f>
        <v>Tom Mu</v>
      </c>
      <c r="D15215" t="s">
        <v>22</v>
      </c>
      <c r="E15215">
        <v>1</v>
      </c>
    </row>
    <row r="15216" spans="1:5" x14ac:dyDescent="0.25">
      <c r="A15216">
        <v>15215</v>
      </c>
      <c r="B15216">
        <v>9899170</v>
      </c>
      <c r="C15216" s="1" t="str">
        <f>HYPERLINK("http://stackoverflow.com/users/9899170", "AnyenLee")</f>
        <v>AnyenLee</v>
      </c>
      <c r="D15216" t="s">
        <v>52</v>
      </c>
      <c r="E15216">
        <v>1</v>
      </c>
    </row>
    <row r="15217" spans="1:5" x14ac:dyDescent="0.25">
      <c r="A15217">
        <v>15216</v>
      </c>
      <c r="B15217">
        <v>8084741</v>
      </c>
      <c r="C15217" s="1" t="str">
        <f>HYPERLINK("http://stackoverflow.com/users/8084741", "Tomoya")</f>
        <v>Tomoya</v>
      </c>
      <c r="D15217" t="s">
        <v>5</v>
      </c>
      <c r="E15217">
        <v>1</v>
      </c>
    </row>
    <row r="15218" spans="1:5" x14ac:dyDescent="0.25">
      <c r="A15218">
        <v>15217</v>
      </c>
      <c r="B15218">
        <v>8085526</v>
      </c>
      <c r="C15218" s="1" t="str">
        <f>HYPERLINK("http://stackoverflow.com/users/8085526", "Thomas Zou")</f>
        <v>Thomas Zou</v>
      </c>
      <c r="D15218" t="s">
        <v>25</v>
      </c>
      <c r="E15218">
        <v>1</v>
      </c>
    </row>
    <row r="15219" spans="1:5" x14ac:dyDescent="0.25">
      <c r="A15219">
        <v>15218</v>
      </c>
      <c r="B15219">
        <v>2726317</v>
      </c>
      <c r="C15219" s="1" t="str">
        <f>HYPERLINK("http://stackoverflow.com/users/2726317", "sacho")</f>
        <v>sacho</v>
      </c>
      <c r="D15219" t="s">
        <v>4</v>
      </c>
      <c r="E15219">
        <v>1</v>
      </c>
    </row>
    <row r="15220" spans="1:5" x14ac:dyDescent="0.25">
      <c r="A15220">
        <v>15219</v>
      </c>
      <c r="B15220">
        <v>2726330</v>
      </c>
      <c r="C15220" s="1" t="str">
        <f>HYPERLINK("http://stackoverflow.com/users/2726330", "user2726330")</f>
        <v>user2726330</v>
      </c>
      <c r="D15220" t="s">
        <v>90</v>
      </c>
      <c r="E15220">
        <v>1</v>
      </c>
    </row>
    <row r="15221" spans="1:5" x14ac:dyDescent="0.25">
      <c r="A15221">
        <v>15220</v>
      </c>
      <c r="B15221">
        <v>526118</v>
      </c>
      <c r="C15221" s="1" t="str">
        <f>HYPERLINK("http://stackoverflow.com/users/526118", "sunflower")</f>
        <v>sunflower</v>
      </c>
      <c r="D15221" t="s">
        <v>5</v>
      </c>
      <c r="E15221">
        <v>1</v>
      </c>
    </row>
    <row r="15222" spans="1:5" x14ac:dyDescent="0.25">
      <c r="A15222">
        <v>15221</v>
      </c>
      <c r="B15222">
        <v>8080404</v>
      </c>
      <c r="C15222" s="1" t="str">
        <f>HYPERLINK("http://stackoverflow.com/users/8080404", "BrotherYang")</f>
        <v>BrotherYang</v>
      </c>
      <c r="D15222" t="s">
        <v>4</v>
      </c>
      <c r="E15222">
        <v>1</v>
      </c>
    </row>
    <row r="15223" spans="1:5" x14ac:dyDescent="0.25">
      <c r="A15223">
        <v>15222</v>
      </c>
      <c r="B15223">
        <v>533239</v>
      </c>
      <c r="C15223" s="1" t="str">
        <f>HYPERLINK("http://stackoverflow.com/users/533239", "Wei Shi")</f>
        <v>Wei Shi</v>
      </c>
      <c r="D15223" t="s">
        <v>5</v>
      </c>
      <c r="E15223">
        <v>1</v>
      </c>
    </row>
    <row r="15224" spans="1:5" x14ac:dyDescent="0.25">
      <c r="A15224">
        <v>15223</v>
      </c>
      <c r="B15224">
        <v>9885337</v>
      </c>
      <c r="C15224" s="1" t="str">
        <f>HYPERLINK("http://stackoverflow.com/users/9885337", "Tommah1000")</f>
        <v>Tommah1000</v>
      </c>
      <c r="D15224" t="s">
        <v>4</v>
      </c>
      <c r="E15224">
        <v>1</v>
      </c>
    </row>
    <row r="15225" spans="1:5" x14ac:dyDescent="0.25">
      <c r="A15225">
        <v>15224</v>
      </c>
      <c r="B15225">
        <v>9885360</v>
      </c>
      <c r="C15225" s="1" t="str">
        <f>HYPERLINK("http://stackoverflow.com/users/9885360", "Charith")</f>
        <v>Charith</v>
      </c>
      <c r="D15225" t="s">
        <v>241</v>
      </c>
      <c r="E15225">
        <v>1</v>
      </c>
    </row>
    <row r="15226" spans="1:5" x14ac:dyDescent="0.25">
      <c r="A15226">
        <v>15225</v>
      </c>
      <c r="B15226">
        <v>9889977</v>
      </c>
      <c r="C15226" s="1" t="str">
        <f>HYPERLINK("http://stackoverflow.com/users/9889977", "A.Fardin")</f>
        <v>A.Fardin</v>
      </c>
      <c r="D15226" t="s">
        <v>10</v>
      </c>
      <c r="E15226">
        <v>1</v>
      </c>
    </row>
    <row r="15227" spans="1:5" x14ac:dyDescent="0.25">
      <c r="A15227">
        <v>15226</v>
      </c>
      <c r="B15227">
        <v>8076065</v>
      </c>
      <c r="C15227" s="1" t="str">
        <f>HYPERLINK("http://stackoverflow.com/users/8076065", "Jack")</f>
        <v>Jack</v>
      </c>
      <c r="D15227" t="s">
        <v>837</v>
      </c>
      <c r="E15227">
        <v>1</v>
      </c>
    </row>
    <row r="15228" spans="1:5" x14ac:dyDescent="0.25">
      <c r="A15228">
        <v>15227</v>
      </c>
      <c r="B15228">
        <v>8076145</v>
      </c>
      <c r="C15228" s="1" t="str">
        <f>HYPERLINK("http://stackoverflow.com/users/8076145", "Bruce")</f>
        <v>Bruce</v>
      </c>
      <c r="D15228" t="s">
        <v>5</v>
      </c>
      <c r="E15228">
        <v>1</v>
      </c>
    </row>
    <row r="15229" spans="1:5" x14ac:dyDescent="0.25">
      <c r="A15229">
        <v>15228</v>
      </c>
      <c r="B15229">
        <v>8076333</v>
      </c>
      <c r="C15229" s="1" t="str">
        <f>HYPERLINK("http://stackoverflow.com/users/8076333", "Andy Lee")</f>
        <v>Andy Lee</v>
      </c>
      <c r="D15229" t="s">
        <v>74</v>
      </c>
      <c r="E15229">
        <v>1</v>
      </c>
    </row>
    <row r="15230" spans="1:5" x14ac:dyDescent="0.25">
      <c r="A15230">
        <v>15229</v>
      </c>
      <c r="B15230">
        <v>517360</v>
      </c>
      <c r="C15230" s="1" t="str">
        <f>HYPERLINK("http://stackoverflow.com/users/517360", "Zhang Mingquan Mike")</f>
        <v>Zhang Mingquan Mike</v>
      </c>
      <c r="D15230" t="s">
        <v>4</v>
      </c>
      <c r="E15230">
        <v>1</v>
      </c>
    </row>
    <row r="15231" spans="1:5" x14ac:dyDescent="0.25">
      <c r="A15231">
        <v>15230</v>
      </c>
      <c r="B15231">
        <v>9907819</v>
      </c>
      <c r="C15231" s="1" t="str">
        <f>HYPERLINK("http://stackoverflow.com/users/9907819", "shilong bao")</f>
        <v>shilong bao</v>
      </c>
      <c r="D15231" t="s">
        <v>13</v>
      </c>
      <c r="E15231">
        <v>1</v>
      </c>
    </row>
    <row r="15232" spans="1:5" x14ac:dyDescent="0.25">
      <c r="A15232">
        <v>15231</v>
      </c>
      <c r="B15232">
        <v>8096933</v>
      </c>
      <c r="C15232" s="1" t="str">
        <f>HYPERLINK("http://stackoverflow.com/users/8096933", "shengjie")</f>
        <v>shengjie</v>
      </c>
      <c r="D15232" t="s">
        <v>7</v>
      </c>
      <c r="E15232">
        <v>1</v>
      </c>
    </row>
    <row r="15233" spans="1:5" x14ac:dyDescent="0.25">
      <c r="A15233">
        <v>15232</v>
      </c>
      <c r="B15233">
        <v>4583907</v>
      </c>
      <c r="C15233" s="1" t="str">
        <f>HYPERLINK("http://stackoverflow.com/users/4583907", "Hannah Fei")</f>
        <v>Hannah Fei</v>
      </c>
      <c r="D15233" t="s">
        <v>5</v>
      </c>
      <c r="E15233">
        <v>1</v>
      </c>
    </row>
    <row r="15234" spans="1:5" x14ac:dyDescent="0.25">
      <c r="A15234">
        <v>15233</v>
      </c>
      <c r="B15234">
        <v>6310623</v>
      </c>
      <c r="C15234" s="1" t="str">
        <f>HYPERLINK("http://stackoverflow.com/users/6310623", "Jingxuan Zhou")</f>
        <v>Jingxuan Zhou</v>
      </c>
      <c r="D15234" t="s">
        <v>47</v>
      </c>
      <c r="E15234">
        <v>1</v>
      </c>
    </row>
    <row r="15235" spans="1:5" x14ac:dyDescent="0.25">
      <c r="A15235">
        <v>15234</v>
      </c>
      <c r="B15235">
        <v>6313702</v>
      </c>
      <c r="C15235" s="1" t="str">
        <f>HYPERLINK("http://stackoverflow.com/users/6313702", "Mars Yu")</f>
        <v>Mars Yu</v>
      </c>
      <c r="D15235" t="s">
        <v>4</v>
      </c>
      <c r="E15235">
        <v>1</v>
      </c>
    </row>
    <row r="15236" spans="1:5" x14ac:dyDescent="0.25">
      <c r="A15236">
        <v>15235</v>
      </c>
      <c r="B15236">
        <v>6313842</v>
      </c>
      <c r="C15236" s="1" t="str">
        <f>HYPERLINK("http://stackoverflow.com/users/6313842", "Nick Wang")</f>
        <v>Nick Wang</v>
      </c>
      <c r="D15236" t="s">
        <v>4</v>
      </c>
      <c r="E15236">
        <v>1</v>
      </c>
    </row>
    <row r="15237" spans="1:5" x14ac:dyDescent="0.25">
      <c r="A15237">
        <v>15236</v>
      </c>
      <c r="B15237">
        <v>6313914</v>
      </c>
      <c r="C15237" s="1" t="str">
        <f>HYPERLINK("http://stackoverflow.com/users/6313914", "Wei Zhao")</f>
        <v>Wei Zhao</v>
      </c>
      <c r="D15237" t="s">
        <v>16</v>
      </c>
      <c r="E15237">
        <v>1</v>
      </c>
    </row>
    <row r="15238" spans="1:5" x14ac:dyDescent="0.25">
      <c r="A15238">
        <v>15237</v>
      </c>
      <c r="B15238">
        <v>2751714</v>
      </c>
      <c r="C15238" s="1" t="str">
        <f>HYPERLINK("http://stackoverflow.com/users/2751714", "iMegatron")</f>
        <v>iMegatron</v>
      </c>
      <c r="D15238" t="s">
        <v>4</v>
      </c>
      <c r="E15238">
        <v>1</v>
      </c>
    </row>
    <row r="15239" spans="1:5" x14ac:dyDescent="0.25">
      <c r="A15239">
        <v>15238</v>
      </c>
      <c r="B15239">
        <v>8101702</v>
      </c>
      <c r="C15239" s="1" t="str">
        <f>HYPERLINK("http://stackoverflow.com/users/8101702", "胡兴淋")</f>
        <v>胡兴淋</v>
      </c>
      <c r="D15239" t="s">
        <v>266</v>
      </c>
      <c r="E15239">
        <v>1</v>
      </c>
    </row>
    <row r="15240" spans="1:5" x14ac:dyDescent="0.25">
      <c r="A15240">
        <v>15239</v>
      </c>
      <c r="B15240">
        <v>8101805</v>
      </c>
      <c r="C15240" s="1" t="str">
        <f>HYPERLINK("http://stackoverflow.com/users/8101805", "user8101805")</f>
        <v>user8101805</v>
      </c>
      <c r="D15240" t="s">
        <v>4</v>
      </c>
      <c r="E15240">
        <v>1</v>
      </c>
    </row>
    <row r="15241" spans="1:5" x14ac:dyDescent="0.25">
      <c r="A15241">
        <v>15240</v>
      </c>
      <c r="B15241">
        <v>2756002</v>
      </c>
      <c r="C15241" s="1" t="str">
        <f>HYPERLINK("http://stackoverflow.com/users/2756002", "lieanu")</f>
        <v>lieanu</v>
      </c>
      <c r="D15241" t="s">
        <v>5</v>
      </c>
      <c r="E15241">
        <v>1</v>
      </c>
    </row>
    <row r="15242" spans="1:5" x14ac:dyDescent="0.25">
      <c r="A15242">
        <v>15241</v>
      </c>
      <c r="B15242">
        <v>2756018</v>
      </c>
      <c r="C15242" s="1" t="str">
        <f>HYPERLINK("http://stackoverflow.com/users/2756018", "picksomething")</f>
        <v>picksomething</v>
      </c>
      <c r="D15242" t="s">
        <v>17</v>
      </c>
      <c r="E15242">
        <v>1</v>
      </c>
    </row>
    <row r="15243" spans="1:5" x14ac:dyDescent="0.25">
      <c r="A15243">
        <v>15242</v>
      </c>
      <c r="B15243">
        <v>2756065</v>
      </c>
      <c r="C15243" s="1" t="str">
        <f>HYPERLINK("http://stackoverflow.com/users/2756065", "icyfox")</f>
        <v>icyfox</v>
      </c>
      <c r="D15243" t="s">
        <v>838</v>
      </c>
      <c r="E15243">
        <v>1</v>
      </c>
    </row>
    <row r="15244" spans="1:5" x14ac:dyDescent="0.25">
      <c r="A15244">
        <v>15243</v>
      </c>
      <c r="B15244">
        <v>6317902</v>
      </c>
      <c r="C15244" s="1" t="str">
        <f>HYPERLINK("http://stackoverflow.com/users/6317902", "x_wildwind")</f>
        <v>x_wildwind</v>
      </c>
      <c r="D15244" t="s">
        <v>5</v>
      </c>
      <c r="E15244">
        <v>1</v>
      </c>
    </row>
    <row r="15245" spans="1:5" x14ac:dyDescent="0.25">
      <c r="A15245">
        <v>15244</v>
      </c>
      <c r="B15245">
        <v>6317957</v>
      </c>
      <c r="C15245" s="1" t="str">
        <f>HYPERLINK("http://stackoverflow.com/users/6317957", "Uriel Tan")</f>
        <v>Uriel Tan</v>
      </c>
      <c r="D15245" t="s">
        <v>5</v>
      </c>
      <c r="E15245">
        <v>1</v>
      </c>
    </row>
    <row r="15246" spans="1:5" x14ac:dyDescent="0.25">
      <c r="A15246">
        <v>15245</v>
      </c>
      <c r="B15246">
        <v>6317965</v>
      </c>
      <c r="C15246" s="1" t="str">
        <f>HYPERLINK("http://stackoverflow.com/users/6317965", "Mark Li")</f>
        <v>Mark Li</v>
      </c>
      <c r="D15246" t="s">
        <v>7</v>
      </c>
      <c r="E15246">
        <v>1</v>
      </c>
    </row>
    <row r="15247" spans="1:5" x14ac:dyDescent="0.25">
      <c r="A15247">
        <v>15246</v>
      </c>
      <c r="B15247">
        <v>8109600</v>
      </c>
      <c r="C15247" s="1" t="str">
        <f>HYPERLINK("http://stackoverflow.com/users/8109600", "nrxsh")</f>
        <v>nrxsh</v>
      </c>
      <c r="D15247" t="s">
        <v>87</v>
      </c>
      <c r="E15247">
        <v>1</v>
      </c>
    </row>
    <row r="15248" spans="1:5" x14ac:dyDescent="0.25">
      <c r="A15248">
        <v>15247</v>
      </c>
      <c r="B15248">
        <v>8109634</v>
      </c>
      <c r="C15248" s="1" t="str">
        <f>HYPERLINK("http://stackoverflow.com/users/8109634", "Leander LXZ")</f>
        <v>Leander LXZ</v>
      </c>
      <c r="D15248" t="s">
        <v>266</v>
      </c>
      <c r="E15248">
        <v>1</v>
      </c>
    </row>
    <row r="15249" spans="1:5" x14ac:dyDescent="0.25">
      <c r="A15249">
        <v>15248</v>
      </c>
      <c r="B15249">
        <v>8109651</v>
      </c>
      <c r="C15249" s="1" t="str">
        <f>HYPERLINK("http://stackoverflow.com/users/8109651", "BakedRibs")</f>
        <v>BakedRibs</v>
      </c>
      <c r="D15249" t="s">
        <v>822</v>
      </c>
      <c r="E15249">
        <v>1</v>
      </c>
    </row>
    <row r="15250" spans="1:5" x14ac:dyDescent="0.25">
      <c r="A15250">
        <v>15249</v>
      </c>
      <c r="B15250">
        <v>8109726</v>
      </c>
      <c r="C15250" s="1" t="str">
        <f>HYPERLINK("http://stackoverflow.com/users/8109726", "Gary Smith")</f>
        <v>Gary Smith</v>
      </c>
      <c r="D15250" t="s">
        <v>839</v>
      </c>
      <c r="E15250">
        <v>1</v>
      </c>
    </row>
    <row r="15251" spans="1:5" x14ac:dyDescent="0.25">
      <c r="A15251">
        <v>15250</v>
      </c>
      <c r="B15251">
        <v>8109841</v>
      </c>
      <c r="C15251" s="1" t="str">
        <f>HYPERLINK("http://stackoverflow.com/users/8109841", "Thomas Young")</f>
        <v>Thomas Young</v>
      </c>
      <c r="D15251" t="s">
        <v>4</v>
      </c>
      <c r="E15251">
        <v>1</v>
      </c>
    </row>
    <row r="15252" spans="1:5" x14ac:dyDescent="0.25">
      <c r="A15252">
        <v>15251</v>
      </c>
      <c r="B15252">
        <v>8110028</v>
      </c>
      <c r="C15252" s="1" t="str">
        <f>HYPERLINK("http://stackoverflow.com/users/8110028", "yanhang Lu")</f>
        <v>yanhang Lu</v>
      </c>
      <c r="D15252" t="s">
        <v>118</v>
      </c>
      <c r="E15252">
        <v>1</v>
      </c>
    </row>
    <row r="15253" spans="1:5" x14ac:dyDescent="0.25">
      <c r="A15253">
        <v>15252</v>
      </c>
      <c r="B15253">
        <v>8110095</v>
      </c>
      <c r="C15253" s="1" t="str">
        <f>HYPERLINK("http://stackoverflow.com/users/8110095", "BobLiang")</f>
        <v>BobLiang</v>
      </c>
      <c r="D15253" t="s">
        <v>5</v>
      </c>
      <c r="E15253">
        <v>1</v>
      </c>
    </row>
    <row r="15254" spans="1:5" x14ac:dyDescent="0.25">
      <c r="A15254">
        <v>15253</v>
      </c>
      <c r="B15254">
        <v>8110212</v>
      </c>
      <c r="C15254" s="1" t="str">
        <f>HYPERLINK("http://stackoverflow.com/users/8110212", "Yang")</f>
        <v>Yang</v>
      </c>
      <c r="D15254" t="s">
        <v>33</v>
      </c>
      <c r="E15254">
        <v>1</v>
      </c>
    </row>
    <row r="15255" spans="1:5" x14ac:dyDescent="0.25">
      <c r="A15255">
        <v>15254</v>
      </c>
      <c r="B15255">
        <v>8110218</v>
      </c>
      <c r="C15255" s="1" t="str">
        <f>HYPERLINK("http://stackoverflow.com/users/8110218", "QiWu Chou")</f>
        <v>QiWu Chou</v>
      </c>
      <c r="D15255" t="s">
        <v>52</v>
      </c>
      <c r="E15255">
        <v>1</v>
      </c>
    </row>
    <row r="15256" spans="1:5" x14ac:dyDescent="0.25">
      <c r="A15256">
        <v>15255</v>
      </c>
      <c r="B15256">
        <v>8110302</v>
      </c>
      <c r="C15256" s="1" t="str">
        <f>HYPERLINK("http://stackoverflow.com/users/8110302", "xie fei")</f>
        <v>xie fei</v>
      </c>
      <c r="D15256" t="s">
        <v>5</v>
      </c>
      <c r="E15256">
        <v>1</v>
      </c>
    </row>
    <row r="15257" spans="1:5" x14ac:dyDescent="0.25">
      <c r="A15257">
        <v>15256</v>
      </c>
      <c r="B15257">
        <v>9854610</v>
      </c>
      <c r="C15257" s="1" t="str">
        <f>HYPERLINK("http://stackoverflow.com/users/9854610", "Micha Jordan")</f>
        <v>Micha Jordan</v>
      </c>
      <c r="D15257" t="s">
        <v>4</v>
      </c>
      <c r="E15257">
        <v>1</v>
      </c>
    </row>
    <row r="15258" spans="1:5" x14ac:dyDescent="0.25">
      <c r="A15258">
        <v>15257</v>
      </c>
      <c r="B15258">
        <v>9854675</v>
      </c>
      <c r="C15258" s="1" t="str">
        <f>HYPERLINK("http://stackoverflow.com/users/9854675", "Dong Chen")</f>
        <v>Dong Chen</v>
      </c>
      <c r="D15258" t="s">
        <v>25</v>
      </c>
      <c r="E15258">
        <v>1</v>
      </c>
    </row>
    <row r="15259" spans="1:5" x14ac:dyDescent="0.25">
      <c r="A15259">
        <v>15258</v>
      </c>
      <c r="B15259">
        <v>6259049</v>
      </c>
      <c r="C15259" s="1" t="str">
        <f>HYPERLINK("http://stackoverflow.com/users/6259049", "Andy.HU")</f>
        <v>Andy.HU</v>
      </c>
      <c r="D15259" t="s">
        <v>25</v>
      </c>
      <c r="E15259">
        <v>1</v>
      </c>
    </row>
    <row r="15260" spans="1:5" x14ac:dyDescent="0.25">
      <c r="A15260">
        <v>15259</v>
      </c>
      <c r="B15260">
        <v>6259144</v>
      </c>
      <c r="C15260" s="1" t="str">
        <f>HYPERLINK("http://stackoverflow.com/users/6259144", "James Rehtal")</f>
        <v>James Rehtal</v>
      </c>
      <c r="D15260" t="s">
        <v>16</v>
      </c>
      <c r="E15260">
        <v>1</v>
      </c>
    </row>
    <row r="15261" spans="1:5" x14ac:dyDescent="0.25">
      <c r="A15261">
        <v>15260</v>
      </c>
      <c r="B15261">
        <v>6259275</v>
      </c>
      <c r="C15261" s="1" t="str">
        <f>HYPERLINK("http://stackoverflow.com/users/6259275", "Kamisama")</f>
        <v>Kamisama</v>
      </c>
      <c r="D15261" t="s">
        <v>12</v>
      </c>
      <c r="E15261">
        <v>1</v>
      </c>
    </row>
    <row r="15262" spans="1:5" x14ac:dyDescent="0.25">
      <c r="A15262">
        <v>15261</v>
      </c>
      <c r="B15262">
        <v>461359</v>
      </c>
      <c r="C15262" s="1" t="str">
        <f>HYPERLINK("http://stackoverflow.com/users/461359", "Sacha")</f>
        <v>Sacha</v>
      </c>
      <c r="D15262" t="s">
        <v>4</v>
      </c>
      <c r="E15262">
        <v>1</v>
      </c>
    </row>
    <row r="15263" spans="1:5" x14ac:dyDescent="0.25">
      <c r="A15263">
        <v>15262</v>
      </c>
      <c r="B15263">
        <v>467644</v>
      </c>
      <c r="C15263" s="1" t="str">
        <f>HYPERLINK("http://stackoverflow.com/users/467644", "abing")</f>
        <v>abing</v>
      </c>
      <c r="D15263" t="s">
        <v>135</v>
      </c>
      <c r="E15263">
        <v>1</v>
      </c>
    </row>
    <row r="15264" spans="1:5" x14ac:dyDescent="0.25">
      <c r="A15264">
        <v>15263</v>
      </c>
      <c r="B15264">
        <v>6259581</v>
      </c>
      <c r="C15264" s="1" t="str">
        <f>HYPERLINK("http://stackoverflow.com/users/6259581", "user90909")</f>
        <v>user90909</v>
      </c>
      <c r="D15264" t="s">
        <v>95</v>
      </c>
      <c r="E15264">
        <v>1</v>
      </c>
    </row>
    <row r="15265" spans="1:5" x14ac:dyDescent="0.25">
      <c r="A15265">
        <v>15264</v>
      </c>
      <c r="B15265">
        <v>8037471</v>
      </c>
      <c r="C15265" s="1" t="str">
        <f>HYPERLINK("http://stackoverflow.com/users/8037471", "Wulihua")</f>
        <v>Wulihua</v>
      </c>
      <c r="D15265" t="s">
        <v>21</v>
      </c>
      <c r="E15265">
        <v>1</v>
      </c>
    </row>
    <row r="15266" spans="1:5" x14ac:dyDescent="0.25">
      <c r="A15266">
        <v>15265</v>
      </c>
      <c r="B15266">
        <v>9859515</v>
      </c>
      <c r="C15266" s="1" t="str">
        <f>HYPERLINK("http://stackoverflow.com/users/9859515", "asny")</f>
        <v>asny</v>
      </c>
      <c r="D15266" t="s">
        <v>10</v>
      </c>
      <c r="E15266">
        <v>1</v>
      </c>
    </row>
    <row r="15267" spans="1:5" x14ac:dyDescent="0.25">
      <c r="A15267">
        <v>15266</v>
      </c>
      <c r="B15267">
        <v>2695341</v>
      </c>
      <c r="C15267" s="1" t="str">
        <f>HYPERLINK("http://stackoverflow.com/users/2695341", "jochen")</f>
        <v>jochen</v>
      </c>
      <c r="D15267" t="s">
        <v>8</v>
      </c>
      <c r="E15267">
        <v>1</v>
      </c>
    </row>
    <row r="15268" spans="1:5" x14ac:dyDescent="0.25">
      <c r="A15268">
        <v>15267</v>
      </c>
      <c r="B15268">
        <v>2695555</v>
      </c>
      <c r="C15268" s="1" t="str">
        <f>HYPERLINK("http://stackoverflow.com/users/2695555", "Hoxily")</f>
        <v>Hoxily</v>
      </c>
      <c r="D15268" t="s">
        <v>12</v>
      </c>
      <c r="E15268">
        <v>1</v>
      </c>
    </row>
    <row r="15269" spans="1:5" x14ac:dyDescent="0.25">
      <c r="A15269">
        <v>15268</v>
      </c>
      <c r="B15269">
        <v>8051078</v>
      </c>
      <c r="C15269" s="1" t="str">
        <f>HYPERLINK("http://stackoverflow.com/users/8051078", "bdai")</f>
        <v>bdai</v>
      </c>
      <c r="D15269" t="s">
        <v>33</v>
      </c>
      <c r="E15269">
        <v>1</v>
      </c>
    </row>
    <row r="15270" spans="1:5" x14ac:dyDescent="0.25">
      <c r="A15270">
        <v>15269</v>
      </c>
      <c r="B15270">
        <v>8051093</v>
      </c>
      <c r="C15270" s="1" t="str">
        <f>HYPERLINK("http://stackoverflow.com/users/8051093", "Jimmy Fan")</f>
        <v>Jimmy Fan</v>
      </c>
      <c r="D15270" t="s">
        <v>4</v>
      </c>
      <c r="E15270">
        <v>1</v>
      </c>
    </row>
    <row r="15271" spans="1:5" x14ac:dyDescent="0.25">
      <c r="A15271">
        <v>15270</v>
      </c>
      <c r="B15271">
        <v>8051125</v>
      </c>
      <c r="C15271" s="1" t="str">
        <f>HYPERLINK("http://stackoverflow.com/users/8051125", "user8051125")</f>
        <v>user8051125</v>
      </c>
      <c r="D15271" t="s">
        <v>5</v>
      </c>
      <c r="E15271">
        <v>1</v>
      </c>
    </row>
    <row r="15272" spans="1:5" x14ac:dyDescent="0.25">
      <c r="A15272">
        <v>15271</v>
      </c>
      <c r="B15272">
        <v>480540</v>
      </c>
      <c r="C15272" s="1" t="str">
        <f>HYPERLINK("http://stackoverflow.com/users/480540", "hmfly")</f>
        <v>hmfly</v>
      </c>
      <c r="D15272" t="s">
        <v>12</v>
      </c>
      <c r="E15272">
        <v>1</v>
      </c>
    </row>
    <row r="15273" spans="1:5" x14ac:dyDescent="0.25">
      <c r="A15273">
        <v>15272</v>
      </c>
      <c r="B15273">
        <v>474161</v>
      </c>
      <c r="C15273" s="1" t="str">
        <f>HYPERLINK("http://stackoverflow.com/users/474161", "Max")</f>
        <v>Max</v>
      </c>
      <c r="D15273" t="s">
        <v>4</v>
      </c>
      <c r="E15273">
        <v>1</v>
      </c>
    </row>
    <row r="15274" spans="1:5" x14ac:dyDescent="0.25">
      <c r="A15274">
        <v>15273</v>
      </c>
      <c r="B15274">
        <v>474231</v>
      </c>
      <c r="C15274" s="1" t="str">
        <f>HYPERLINK("http://stackoverflow.com/users/474231", "Huang Jian")</f>
        <v>Huang Jian</v>
      </c>
      <c r="D15274" t="s">
        <v>118</v>
      </c>
      <c r="E15274">
        <v>1</v>
      </c>
    </row>
    <row r="15275" spans="1:5" x14ac:dyDescent="0.25">
      <c r="A15275">
        <v>15274</v>
      </c>
      <c r="B15275">
        <v>8041616</v>
      </c>
      <c r="C15275" s="1" t="str">
        <f>HYPERLINK("http://stackoverflow.com/users/8041616", "Jian Zhang")</f>
        <v>Jian Zhang</v>
      </c>
      <c r="D15275" t="s">
        <v>4</v>
      </c>
      <c r="E15275">
        <v>1</v>
      </c>
    </row>
    <row r="15276" spans="1:5" x14ac:dyDescent="0.25">
      <c r="A15276">
        <v>15275</v>
      </c>
      <c r="B15276">
        <v>2691560</v>
      </c>
      <c r="C15276" s="1" t="str">
        <f>HYPERLINK("http://stackoverflow.com/users/2691560", "Joe")</f>
        <v>Joe</v>
      </c>
      <c r="D15276" t="s">
        <v>5</v>
      </c>
      <c r="E15276">
        <v>1</v>
      </c>
    </row>
    <row r="15277" spans="1:5" x14ac:dyDescent="0.25">
      <c r="A15277">
        <v>15276</v>
      </c>
      <c r="B15277">
        <v>2691684</v>
      </c>
      <c r="C15277" s="1" t="str">
        <f>HYPERLINK("http://stackoverflow.com/users/2691684", "mmix")</f>
        <v>mmix</v>
      </c>
      <c r="D15277" t="s">
        <v>71</v>
      </c>
      <c r="E15277">
        <v>1</v>
      </c>
    </row>
    <row r="15278" spans="1:5" x14ac:dyDescent="0.25">
      <c r="A15278">
        <v>15277</v>
      </c>
      <c r="B15278">
        <v>2713304</v>
      </c>
      <c r="C15278" s="1" t="str">
        <f>HYPERLINK("http://stackoverflow.com/users/2713304", "user2713304")</f>
        <v>user2713304</v>
      </c>
      <c r="D15278" t="s">
        <v>52</v>
      </c>
      <c r="E15278">
        <v>1</v>
      </c>
    </row>
    <row r="15279" spans="1:5" x14ac:dyDescent="0.25">
      <c r="A15279">
        <v>15278</v>
      </c>
      <c r="B15279">
        <v>6283783</v>
      </c>
      <c r="C15279" s="1" t="str">
        <f>HYPERLINK("http://stackoverflow.com/users/6283783", "zerodaY")</f>
        <v>zerodaY</v>
      </c>
      <c r="D15279" t="s">
        <v>4</v>
      </c>
      <c r="E15279">
        <v>1</v>
      </c>
    </row>
    <row r="15280" spans="1:5" x14ac:dyDescent="0.25">
      <c r="A15280">
        <v>15279</v>
      </c>
      <c r="B15280">
        <v>498126</v>
      </c>
      <c r="C15280" s="1" t="str">
        <f>HYPERLINK("http://stackoverflow.com/users/498126", "Remous")</f>
        <v>Remous</v>
      </c>
      <c r="D15280" t="s">
        <v>22</v>
      </c>
      <c r="E15280">
        <v>1</v>
      </c>
    </row>
    <row r="15281" spans="1:5" x14ac:dyDescent="0.25">
      <c r="A15281">
        <v>15280</v>
      </c>
      <c r="B15281">
        <v>509346</v>
      </c>
      <c r="C15281" s="1" t="str">
        <f>HYPERLINK("http://stackoverflow.com/users/509346", "EoneZhang")</f>
        <v>EoneZhang</v>
      </c>
      <c r="D15281" t="s">
        <v>62</v>
      </c>
      <c r="E15281">
        <v>1</v>
      </c>
    </row>
    <row r="15282" spans="1:5" x14ac:dyDescent="0.25">
      <c r="A15282">
        <v>15281</v>
      </c>
      <c r="B15282">
        <v>510375</v>
      </c>
      <c r="C15282" s="1" t="str">
        <f>HYPERLINK("http://stackoverflow.com/users/510375", "yinruzhi")</f>
        <v>yinruzhi</v>
      </c>
      <c r="D15282" t="s">
        <v>108</v>
      </c>
      <c r="E15282">
        <v>1</v>
      </c>
    </row>
    <row r="15283" spans="1:5" x14ac:dyDescent="0.25">
      <c r="A15283">
        <v>15282</v>
      </c>
      <c r="B15283">
        <v>8068018</v>
      </c>
      <c r="C15283" s="1" t="str">
        <f>HYPERLINK("http://stackoverflow.com/users/8068018", "CrazySummerday")</f>
        <v>CrazySummerday</v>
      </c>
      <c r="D15283" t="s">
        <v>28</v>
      </c>
      <c r="E15283">
        <v>1</v>
      </c>
    </row>
    <row r="15284" spans="1:5" x14ac:dyDescent="0.25">
      <c r="A15284">
        <v>15283</v>
      </c>
      <c r="B15284">
        <v>8068083</v>
      </c>
      <c r="C15284" s="1" t="str">
        <f>HYPERLINK("http://stackoverflow.com/users/8068083", "Liyu Sun")</f>
        <v>Liyu Sun</v>
      </c>
      <c r="D15284" t="s">
        <v>87</v>
      </c>
      <c r="E15284">
        <v>1</v>
      </c>
    </row>
    <row r="15285" spans="1:5" x14ac:dyDescent="0.25">
      <c r="A15285">
        <v>15284</v>
      </c>
      <c r="B15285">
        <v>8068209</v>
      </c>
      <c r="C15285" s="1" t="str">
        <f>HYPERLINK("http://stackoverflow.com/users/8068209", "B.Yang")</f>
        <v>B.Yang</v>
      </c>
      <c r="D15285" t="s">
        <v>4</v>
      </c>
      <c r="E15285">
        <v>1</v>
      </c>
    </row>
    <row r="15286" spans="1:5" x14ac:dyDescent="0.25">
      <c r="A15286">
        <v>15285</v>
      </c>
      <c r="B15286">
        <v>6280298</v>
      </c>
      <c r="C15286" s="1" t="str">
        <f>HYPERLINK("http://stackoverflow.com/users/6280298", "vjman")</f>
        <v>vjman</v>
      </c>
      <c r="D15286" t="s">
        <v>16</v>
      </c>
      <c r="E15286">
        <v>1</v>
      </c>
    </row>
    <row r="15287" spans="1:5" x14ac:dyDescent="0.25">
      <c r="A15287">
        <v>15286</v>
      </c>
      <c r="B15287">
        <v>6280409</v>
      </c>
      <c r="C15287" s="1" t="str">
        <f>HYPERLINK("http://stackoverflow.com/users/6280409", "Hconk")</f>
        <v>Hconk</v>
      </c>
      <c r="D15287" t="s">
        <v>840</v>
      </c>
      <c r="E15287">
        <v>1</v>
      </c>
    </row>
    <row r="15288" spans="1:5" x14ac:dyDescent="0.25">
      <c r="A15288">
        <v>15287</v>
      </c>
      <c r="B15288">
        <v>4552903</v>
      </c>
      <c r="C15288" s="1" t="str">
        <f>HYPERLINK("http://stackoverflow.com/users/4552903", "daiwen")</f>
        <v>daiwen</v>
      </c>
      <c r="D15288" t="s">
        <v>312</v>
      </c>
      <c r="E15288">
        <v>1</v>
      </c>
    </row>
    <row r="15289" spans="1:5" x14ac:dyDescent="0.25">
      <c r="A15289">
        <v>15288</v>
      </c>
      <c r="B15289">
        <v>4553080</v>
      </c>
      <c r="C15289" s="1" t="str">
        <f>HYPERLINK("http://stackoverflow.com/users/4553080", "Wu Wenwu")</f>
        <v>Wu Wenwu</v>
      </c>
      <c r="D15289" t="s">
        <v>17</v>
      </c>
      <c r="E15289">
        <v>1</v>
      </c>
    </row>
    <row r="15290" spans="1:5" x14ac:dyDescent="0.25">
      <c r="A15290">
        <v>15289</v>
      </c>
      <c r="B15290">
        <v>2713207</v>
      </c>
      <c r="C15290" s="1" t="str">
        <f>HYPERLINK("http://stackoverflow.com/users/2713207", "yanglihui")</f>
        <v>yanglihui</v>
      </c>
      <c r="D15290" t="s">
        <v>5</v>
      </c>
      <c r="E15290">
        <v>1</v>
      </c>
    </row>
    <row r="15291" spans="1:5" x14ac:dyDescent="0.25">
      <c r="A15291">
        <v>15290</v>
      </c>
      <c r="B15291">
        <v>2709492</v>
      </c>
      <c r="C15291" s="1" t="str">
        <f>HYPERLINK("http://stackoverflow.com/users/2709492", "daozhuang-sc9")</f>
        <v>daozhuang-sc9</v>
      </c>
      <c r="D15291" t="s">
        <v>5</v>
      </c>
      <c r="E15291">
        <v>1</v>
      </c>
    </row>
    <row r="15292" spans="1:5" x14ac:dyDescent="0.25">
      <c r="A15292">
        <v>15291</v>
      </c>
      <c r="B15292">
        <v>2709507</v>
      </c>
      <c r="C15292" s="1" t="str">
        <f>HYPERLINK("http://stackoverflow.com/users/2709507", "Peter")</f>
        <v>Peter</v>
      </c>
      <c r="D15292" t="s">
        <v>5</v>
      </c>
      <c r="E15292">
        <v>1</v>
      </c>
    </row>
    <row r="15293" spans="1:5" x14ac:dyDescent="0.25">
      <c r="A15293">
        <v>15292</v>
      </c>
      <c r="B15293">
        <v>2709543</v>
      </c>
      <c r="C15293" s="1" t="str">
        <f>HYPERLINK("http://stackoverflow.com/users/2709543", "workerman")</f>
        <v>workerman</v>
      </c>
      <c r="D15293" t="s">
        <v>4</v>
      </c>
      <c r="E15293">
        <v>1</v>
      </c>
    </row>
    <row r="15294" spans="1:5" x14ac:dyDescent="0.25">
      <c r="A15294">
        <v>15293</v>
      </c>
      <c r="B15294">
        <v>8055045</v>
      </c>
      <c r="C15294" s="1" t="str">
        <f>HYPERLINK("http://stackoverflow.com/users/8055045", "Yang Bo")</f>
        <v>Yang Bo</v>
      </c>
      <c r="D15294" t="s">
        <v>74</v>
      </c>
      <c r="E15294">
        <v>1</v>
      </c>
    </row>
    <row r="15295" spans="1:5" x14ac:dyDescent="0.25">
      <c r="A15295">
        <v>15294</v>
      </c>
      <c r="B15295">
        <v>6271667</v>
      </c>
      <c r="C15295" s="1" t="str">
        <f>HYPERLINK("http://stackoverflow.com/users/6271667", "Li Ang")</f>
        <v>Li Ang</v>
      </c>
      <c r="D15295" t="s">
        <v>55</v>
      </c>
      <c r="E15295">
        <v>1</v>
      </c>
    </row>
    <row r="15296" spans="1:5" x14ac:dyDescent="0.25">
      <c r="A15296">
        <v>15295</v>
      </c>
      <c r="B15296">
        <v>9868010</v>
      </c>
      <c r="C15296" s="1" t="str">
        <f>HYPERLINK("http://stackoverflow.com/users/9868010", "Via Chemical")</f>
        <v>Via Chemical</v>
      </c>
      <c r="D15296" t="s">
        <v>841</v>
      </c>
      <c r="E15296">
        <v>1</v>
      </c>
    </row>
    <row r="15297" spans="1:5" x14ac:dyDescent="0.25">
      <c r="A15297">
        <v>15296</v>
      </c>
      <c r="B15297">
        <v>9868166</v>
      </c>
      <c r="C15297" s="1" t="str">
        <f>HYPERLINK("http://stackoverflow.com/users/9868166", "Benjamin Yin")</f>
        <v>Benjamin Yin</v>
      </c>
      <c r="D15297" t="s">
        <v>5</v>
      </c>
      <c r="E15297">
        <v>1</v>
      </c>
    </row>
    <row r="15298" spans="1:5" x14ac:dyDescent="0.25">
      <c r="A15298">
        <v>15297</v>
      </c>
      <c r="B15298">
        <v>4536856</v>
      </c>
      <c r="C15298" s="1" t="str">
        <f>HYPERLINK("http://stackoverflow.com/users/4536856", "石京昶")</f>
        <v>石京昶</v>
      </c>
      <c r="D15298" t="s">
        <v>54</v>
      </c>
      <c r="E15298">
        <v>1</v>
      </c>
    </row>
    <row r="15299" spans="1:5" x14ac:dyDescent="0.25">
      <c r="A15299">
        <v>15298</v>
      </c>
      <c r="B15299">
        <v>8050995</v>
      </c>
      <c r="C15299" s="1" t="str">
        <f>HYPERLINK("http://stackoverflow.com/users/8050995", "Jiacen Zhang")</f>
        <v>Jiacen Zhang</v>
      </c>
      <c r="D15299" t="s">
        <v>4</v>
      </c>
      <c r="E15299">
        <v>1</v>
      </c>
    </row>
    <row r="15300" spans="1:5" x14ac:dyDescent="0.25">
      <c r="A15300">
        <v>15299</v>
      </c>
      <c r="B15300">
        <v>2779446</v>
      </c>
      <c r="C15300" s="1" t="str">
        <f>HYPERLINK("http://stackoverflow.com/users/2779446", "t2digg")</f>
        <v>t2digg</v>
      </c>
      <c r="D15300" t="s">
        <v>37</v>
      </c>
      <c r="E15300">
        <v>1</v>
      </c>
    </row>
    <row r="15301" spans="1:5" x14ac:dyDescent="0.25">
      <c r="A15301">
        <v>15300</v>
      </c>
      <c r="B15301">
        <v>9944376</v>
      </c>
      <c r="C15301" s="1" t="str">
        <f>HYPERLINK("http://stackoverflow.com/users/9944376", "jinyutao")</f>
        <v>jinyutao</v>
      </c>
      <c r="D15301" t="s">
        <v>4</v>
      </c>
      <c r="E15301">
        <v>1</v>
      </c>
    </row>
    <row r="15302" spans="1:5" x14ac:dyDescent="0.25">
      <c r="A15302">
        <v>15301</v>
      </c>
      <c r="B15302">
        <v>9944465</v>
      </c>
      <c r="C15302" s="1" t="str">
        <f>HYPERLINK("http://stackoverflow.com/users/9944465", "ZhengXian Li")</f>
        <v>ZhengXian Li</v>
      </c>
      <c r="D15302" t="s">
        <v>33</v>
      </c>
      <c r="E15302">
        <v>1</v>
      </c>
    </row>
    <row r="15303" spans="1:5" x14ac:dyDescent="0.25">
      <c r="A15303">
        <v>15302</v>
      </c>
      <c r="B15303">
        <v>9944473</v>
      </c>
      <c r="C15303" s="1" t="str">
        <f>HYPERLINK("http://stackoverflow.com/users/9944473", "H. He")</f>
        <v>H. He</v>
      </c>
      <c r="D15303" t="s">
        <v>5</v>
      </c>
      <c r="E15303">
        <v>1</v>
      </c>
    </row>
    <row r="15304" spans="1:5" x14ac:dyDescent="0.25">
      <c r="A15304">
        <v>15303</v>
      </c>
      <c r="B15304">
        <v>613900</v>
      </c>
      <c r="C15304" s="1" t="str">
        <f>HYPERLINK("http://stackoverflow.com/users/613900", "Laoer")</f>
        <v>Laoer</v>
      </c>
      <c r="D15304" t="s">
        <v>4</v>
      </c>
      <c r="E15304">
        <v>1</v>
      </c>
    </row>
    <row r="15305" spans="1:5" x14ac:dyDescent="0.25">
      <c r="A15305">
        <v>15304</v>
      </c>
      <c r="B15305">
        <v>613991</v>
      </c>
      <c r="C15305" s="1" t="str">
        <f>HYPERLINK("http://stackoverflow.com/users/613991", "Ning")</f>
        <v>Ning</v>
      </c>
      <c r="D15305" t="s">
        <v>21</v>
      </c>
      <c r="E15305">
        <v>1</v>
      </c>
    </row>
    <row r="15306" spans="1:5" x14ac:dyDescent="0.25">
      <c r="A15306">
        <v>15305</v>
      </c>
      <c r="B15306">
        <v>4615001</v>
      </c>
      <c r="C15306" s="1" t="str">
        <f>HYPERLINK("http://stackoverflow.com/users/4615001", "caronyan")</f>
        <v>caronyan</v>
      </c>
      <c r="D15306" t="s">
        <v>4</v>
      </c>
      <c r="E15306">
        <v>1</v>
      </c>
    </row>
    <row r="15307" spans="1:5" x14ac:dyDescent="0.25">
      <c r="A15307">
        <v>15306</v>
      </c>
      <c r="B15307">
        <v>6344804</v>
      </c>
      <c r="C15307" s="1" t="str">
        <f>HYPERLINK("http://stackoverflow.com/users/6344804", "HuWeishan")</f>
        <v>HuWeishan</v>
      </c>
      <c r="D15307" t="s">
        <v>16</v>
      </c>
      <c r="E15307">
        <v>1</v>
      </c>
    </row>
    <row r="15308" spans="1:5" x14ac:dyDescent="0.25">
      <c r="A15308">
        <v>15307</v>
      </c>
      <c r="B15308">
        <v>6344832</v>
      </c>
      <c r="C15308" s="1" t="str">
        <f>HYPERLINK("http://stackoverflow.com/users/6344832", "Q Zhang")</f>
        <v>Q Zhang</v>
      </c>
      <c r="D15308" t="s">
        <v>5</v>
      </c>
      <c r="E15308">
        <v>1</v>
      </c>
    </row>
    <row r="15309" spans="1:5" x14ac:dyDescent="0.25">
      <c r="A15309">
        <v>15308</v>
      </c>
      <c r="B15309">
        <v>6344896</v>
      </c>
      <c r="C15309" s="1" t="str">
        <f>HYPERLINK("http://stackoverflow.com/users/6344896", "Damon Snow")</f>
        <v>Damon Snow</v>
      </c>
      <c r="D15309" t="s">
        <v>5</v>
      </c>
      <c r="E15309">
        <v>1</v>
      </c>
    </row>
    <row r="15310" spans="1:5" x14ac:dyDescent="0.25">
      <c r="A15310">
        <v>15309</v>
      </c>
      <c r="B15310">
        <v>6345148</v>
      </c>
      <c r="C15310" s="1" t="str">
        <f>HYPERLINK("http://stackoverflow.com/users/6345148", "Dangzhihua")</f>
        <v>Dangzhihua</v>
      </c>
      <c r="D15310" t="s">
        <v>28</v>
      </c>
      <c r="E15310">
        <v>1</v>
      </c>
    </row>
    <row r="15311" spans="1:5" x14ac:dyDescent="0.25">
      <c r="A15311">
        <v>15310</v>
      </c>
      <c r="B15311">
        <v>6345186</v>
      </c>
      <c r="C15311" s="1" t="str">
        <f>HYPERLINK("http://stackoverflow.com/users/6345186", "刘洋.cn")</f>
        <v>刘洋.cn</v>
      </c>
      <c r="D15311" t="s">
        <v>4</v>
      </c>
      <c r="E15311">
        <v>1</v>
      </c>
    </row>
    <row r="15312" spans="1:5" x14ac:dyDescent="0.25">
      <c r="A15312">
        <v>15311</v>
      </c>
      <c r="B15312">
        <v>627656</v>
      </c>
      <c r="C15312" s="1" t="str">
        <f>HYPERLINK("http://stackoverflow.com/users/627656", "hifly")</f>
        <v>hifly</v>
      </c>
      <c r="D15312" t="s">
        <v>4</v>
      </c>
      <c r="E15312">
        <v>1</v>
      </c>
    </row>
    <row r="15313" spans="1:5" x14ac:dyDescent="0.25">
      <c r="A15313">
        <v>15312</v>
      </c>
      <c r="B15313">
        <v>627764</v>
      </c>
      <c r="C15313" s="1" t="str">
        <f>HYPERLINK("http://stackoverflow.com/users/627764", "sourbell")</f>
        <v>sourbell</v>
      </c>
      <c r="D15313" t="s">
        <v>3</v>
      </c>
      <c r="E15313">
        <v>1</v>
      </c>
    </row>
    <row r="15314" spans="1:5" x14ac:dyDescent="0.25">
      <c r="A15314">
        <v>15313</v>
      </c>
      <c r="B15314">
        <v>621000</v>
      </c>
      <c r="C15314" s="1" t="str">
        <f>HYPERLINK("http://stackoverflow.com/users/621000", "yudapang")</f>
        <v>yudapang</v>
      </c>
      <c r="D15314" t="s">
        <v>5</v>
      </c>
      <c r="E15314">
        <v>1</v>
      </c>
    </row>
    <row r="15315" spans="1:5" x14ac:dyDescent="0.25">
      <c r="A15315">
        <v>15314</v>
      </c>
      <c r="B15315">
        <v>8134329</v>
      </c>
      <c r="C15315" s="1" t="str">
        <f>HYPERLINK("http://stackoverflow.com/users/8134329", "Fly.Mo")</f>
        <v>Fly.Mo</v>
      </c>
      <c r="D15315" t="s">
        <v>154</v>
      </c>
      <c r="E15315">
        <v>1</v>
      </c>
    </row>
    <row r="15316" spans="1:5" x14ac:dyDescent="0.25">
      <c r="A15316">
        <v>15315</v>
      </c>
      <c r="B15316">
        <v>8134370</v>
      </c>
      <c r="C15316" s="1" t="str">
        <f>HYPERLINK("http://stackoverflow.com/users/8134370", "Smiley")</f>
        <v>Smiley</v>
      </c>
      <c r="D15316" t="s">
        <v>842</v>
      </c>
      <c r="E15316">
        <v>1</v>
      </c>
    </row>
    <row r="15317" spans="1:5" x14ac:dyDescent="0.25">
      <c r="A15317">
        <v>15316</v>
      </c>
      <c r="B15317">
        <v>8134389</v>
      </c>
      <c r="C15317" s="1" t="str">
        <f>HYPERLINK("http://stackoverflow.com/users/8134389", "Pascal")</f>
        <v>Pascal</v>
      </c>
      <c r="D15317" t="s">
        <v>74</v>
      </c>
      <c r="E15317">
        <v>1</v>
      </c>
    </row>
    <row r="15318" spans="1:5" x14ac:dyDescent="0.25">
      <c r="A15318">
        <v>15317</v>
      </c>
      <c r="B15318">
        <v>8134425</v>
      </c>
      <c r="C15318" s="1" t="str">
        <f>HYPERLINK("http://stackoverflow.com/users/8134425", "chainsky")</f>
        <v>chainsky</v>
      </c>
      <c r="D15318" t="s">
        <v>10</v>
      </c>
      <c r="E15318">
        <v>1</v>
      </c>
    </row>
    <row r="15319" spans="1:5" x14ac:dyDescent="0.25">
      <c r="A15319">
        <v>15318</v>
      </c>
      <c r="B15319">
        <v>8134446</v>
      </c>
      <c r="C15319" s="1" t="str">
        <f>HYPERLINK("http://stackoverflow.com/users/8134446", "XinYan")</f>
        <v>XinYan</v>
      </c>
      <c r="D15319" t="s">
        <v>16</v>
      </c>
      <c r="E15319">
        <v>1</v>
      </c>
    </row>
    <row r="15320" spans="1:5" x14ac:dyDescent="0.25">
      <c r="A15320">
        <v>15319</v>
      </c>
      <c r="B15320">
        <v>8134458</v>
      </c>
      <c r="C15320" s="1" t="str">
        <f>HYPERLINK("http://stackoverflow.com/users/8134458", "hao.lin")</f>
        <v>hao.lin</v>
      </c>
      <c r="D15320" t="s">
        <v>7</v>
      </c>
      <c r="E15320">
        <v>1</v>
      </c>
    </row>
    <row r="15321" spans="1:5" x14ac:dyDescent="0.25">
      <c r="A15321">
        <v>15320</v>
      </c>
      <c r="B15321">
        <v>8134491</v>
      </c>
      <c r="C15321" s="1" t="str">
        <f>HYPERLINK("http://stackoverflow.com/users/8134491", "Amily2017")</f>
        <v>Amily2017</v>
      </c>
      <c r="D15321" t="s">
        <v>5</v>
      </c>
      <c r="E15321">
        <v>1</v>
      </c>
    </row>
    <row r="15322" spans="1:5" x14ac:dyDescent="0.25">
      <c r="A15322">
        <v>15321</v>
      </c>
      <c r="B15322">
        <v>8134521</v>
      </c>
      <c r="C15322" s="1" t="str">
        <f>HYPERLINK("http://stackoverflow.com/users/8134521", "mack")</f>
        <v>mack</v>
      </c>
      <c r="D15322" t="s">
        <v>843</v>
      </c>
      <c r="E15322">
        <v>1</v>
      </c>
    </row>
    <row r="15323" spans="1:5" x14ac:dyDescent="0.25">
      <c r="A15323">
        <v>15322</v>
      </c>
      <c r="B15323">
        <v>8134544</v>
      </c>
      <c r="C15323" s="1" t="str">
        <f>HYPERLINK("http://stackoverflow.com/users/8134544", "expade")</f>
        <v>expade</v>
      </c>
      <c r="D15323" t="s">
        <v>15</v>
      </c>
      <c r="E15323">
        <v>1</v>
      </c>
    </row>
    <row r="15324" spans="1:5" x14ac:dyDescent="0.25">
      <c r="A15324">
        <v>15323</v>
      </c>
      <c r="B15324">
        <v>2784292</v>
      </c>
      <c r="C15324" s="1" t="str">
        <f>HYPERLINK("http://stackoverflow.com/users/2784292", "McDolphin")</f>
        <v>McDolphin</v>
      </c>
      <c r="D15324" t="s">
        <v>56</v>
      </c>
      <c r="E15324">
        <v>1</v>
      </c>
    </row>
    <row r="15325" spans="1:5" x14ac:dyDescent="0.25">
      <c r="A15325">
        <v>15324</v>
      </c>
      <c r="B15325">
        <v>627549</v>
      </c>
      <c r="C15325" s="1" t="str">
        <f>HYPERLINK("http://stackoverflow.com/users/627549", "Sid Xing")</f>
        <v>Sid Xing</v>
      </c>
      <c r="D15325" t="s">
        <v>12</v>
      </c>
      <c r="E15325">
        <v>1</v>
      </c>
    </row>
    <row r="15326" spans="1:5" x14ac:dyDescent="0.25">
      <c r="A15326">
        <v>15325</v>
      </c>
      <c r="B15326">
        <v>573974</v>
      </c>
      <c r="C15326" s="1" t="str">
        <f>HYPERLINK("http://stackoverflow.com/users/573974", "yangjunpro")</f>
        <v>yangjunpro</v>
      </c>
      <c r="D15326" t="s">
        <v>5</v>
      </c>
      <c r="E15326">
        <v>1</v>
      </c>
    </row>
    <row r="15327" spans="1:5" x14ac:dyDescent="0.25">
      <c r="A15327">
        <v>15326</v>
      </c>
      <c r="B15327">
        <v>2760147</v>
      </c>
      <c r="C15327" s="1" t="str">
        <f>HYPERLINK("http://stackoverflow.com/users/2760147", "judy")</f>
        <v>judy</v>
      </c>
      <c r="D15327" t="s">
        <v>5</v>
      </c>
      <c r="E15327">
        <v>1</v>
      </c>
    </row>
    <row r="15328" spans="1:5" x14ac:dyDescent="0.25">
      <c r="A15328">
        <v>15327</v>
      </c>
      <c r="B15328">
        <v>6323014</v>
      </c>
      <c r="C15328" s="1" t="str">
        <f>HYPERLINK("http://stackoverflow.com/users/6323014", "Patrick.Pan")</f>
        <v>Patrick.Pan</v>
      </c>
      <c r="D15328" t="s">
        <v>7</v>
      </c>
      <c r="E15328">
        <v>1</v>
      </c>
    </row>
    <row r="15329" spans="1:5" x14ac:dyDescent="0.25">
      <c r="A15329">
        <v>15328</v>
      </c>
      <c r="B15329">
        <v>6314472</v>
      </c>
      <c r="C15329" s="1" t="str">
        <f>HYPERLINK("http://stackoverflow.com/users/6314472", "Yang Wan")</f>
        <v>Yang Wan</v>
      </c>
      <c r="D15329" t="s">
        <v>5</v>
      </c>
      <c r="E15329">
        <v>1</v>
      </c>
    </row>
    <row r="15330" spans="1:5" x14ac:dyDescent="0.25">
      <c r="A15330">
        <v>15329</v>
      </c>
      <c r="B15330">
        <v>6323115</v>
      </c>
      <c r="C15330" s="1" t="str">
        <f>HYPERLINK("http://stackoverflow.com/users/6323115", "Wendy Lee")</f>
        <v>Wendy Lee</v>
      </c>
      <c r="D15330" t="s">
        <v>7</v>
      </c>
      <c r="E15330">
        <v>1</v>
      </c>
    </row>
    <row r="15331" spans="1:5" x14ac:dyDescent="0.25">
      <c r="A15331">
        <v>15330</v>
      </c>
      <c r="B15331">
        <v>9927449</v>
      </c>
      <c r="C15331" s="1" t="str">
        <f>HYPERLINK("http://stackoverflow.com/users/9927449", "Dang Dajun")</f>
        <v>Dang Dajun</v>
      </c>
      <c r="D15331" t="s">
        <v>4</v>
      </c>
      <c r="E15331">
        <v>1</v>
      </c>
    </row>
    <row r="15332" spans="1:5" x14ac:dyDescent="0.25">
      <c r="A15332">
        <v>15331</v>
      </c>
      <c r="B15332">
        <v>9927979</v>
      </c>
      <c r="C15332" s="1" t="str">
        <f>HYPERLINK("http://stackoverflow.com/users/9927979", "Zunfeng Chen")</f>
        <v>Zunfeng Chen</v>
      </c>
      <c r="D15332" t="s">
        <v>38</v>
      </c>
      <c r="E15332">
        <v>1</v>
      </c>
    </row>
    <row r="15333" spans="1:5" x14ac:dyDescent="0.25">
      <c r="A15333">
        <v>15332</v>
      </c>
      <c r="B15333">
        <v>8113551</v>
      </c>
      <c r="C15333" s="1" t="str">
        <f>HYPERLINK("http://stackoverflow.com/users/8113551", "Megas Liu")</f>
        <v>Megas Liu</v>
      </c>
      <c r="D15333" t="s">
        <v>5</v>
      </c>
      <c r="E15333">
        <v>1</v>
      </c>
    </row>
    <row r="15334" spans="1:5" x14ac:dyDescent="0.25">
      <c r="A15334">
        <v>15333</v>
      </c>
      <c r="B15334">
        <v>8113809</v>
      </c>
      <c r="C15334" s="1" t="str">
        <f>HYPERLINK("http://stackoverflow.com/users/8113809", "Jialu Han")</f>
        <v>Jialu Han</v>
      </c>
      <c r="D15334" t="s">
        <v>16</v>
      </c>
      <c r="E15334">
        <v>1</v>
      </c>
    </row>
    <row r="15335" spans="1:5" x14ac:dyDescent="0.25">
      <c r="A15335">
        <v>15334</v>
      </c>
      <c r="B15335">
        <v>6325153</v>
      </c>
      <c r="C15335" s="1" t="str">
        <f>HYPERLINK("http://stackoverflow.com/users/6325153", "陈昇辉")</f>
        <v>陈昇辉</v>
      </c>
      <c r="D15335" t="s">
        <v>844</v>
      </c>
      <c r="E15335">
        <v>1</v>
      </c>
    </row>
    <row r="15336" spans="1:5" x14ac:dyDescent="0.25">
      <c r="A15336">
        <v>15335</v>
      </c>
      <c r="B15336">
        <v>6325352</v>
      </c>
      <c r="C15336" s="1" t="str">
        <f>HYPERLINK("http://stackoverflow.com/users/6325352", "Albert Chu")</f>
        <v>Albert Chu</v>
      </c>
      <c r="D15336" t="s">
        <v>79</v>
      </c>
      <c r="E15336">
        <v>1</v>
      </c>
    </row>
    <row r="15337" spans="1:5" x14ac:dyDescent="0.25">
      <c r="A15337">
        <v>15336</v>
      </c>
      <c r="B15337">
        <v>8118600</v>
      </c>
      <c r="C15337" s="1" t="str">
        <f>HYPERLINK("http://stackoverflow.com/users/8118600", "Rain")</f>
        <v>Rain</v>
      </c>
      <c r="D15337" t="s">
        <v>4</v>
      </c>
      <c r="E15337">
        <v>1</v>
      </c>
    </row>
    <row r="15338" spans="1:5" x14ac:dyDescent="0.25">
      <c r="A15338">
        <v>15337</v>
      </c>
      <c r="B15338">
        <v>9935759</v>
      </c>
      <c r="C15338" s="1" t="str">
        <f>HYPERLINK("http://stackoverflow.com/users/9935759", "Ruijia Zha")</f>
        <v>Ruijia Zha</v>
      </c>
      <c r="D15338" t="s">
        <v>5</v>
      </c>
      <c r="E15338">
        <v>1</v>
      </c>
    </row>
    <row r="15339" spans="1:5" x14ac:dyDescent="0.25">
      <c r="A15339">
        <v>15338</v>
      </c>
      <c r="B15339">
        <v>8121977</v>
      </c>
      <c r="C15339" s="1" t="str">
        <f>HYPERLINK("http://stackoverflow.com/users/8121977", "c0de")</f>
        <v>c0de</v>
      </c>
      <c r="D15339" t="s">
        <v>5</v>
      </c>
      <c r="E15339">
        <v>1</v>
      </c>
    </row>
    <row r="15340" spans="1:5" x14ac:dyDescent="0.25">
      <c r="A15340">
        <v>15339</v>
      </c>
      <c r="B15340">
        <v>2771510</v>
      </c>
      <c r="C15340" s="1" t="str">
        <f>HYPERLINK("http://stackoverflow.com/users/2771510", "MatthewGuo")</f>
        <v>MatthewGuo</v>
      </c>
      <c r="D15340" t="s">
        <v>37</v>
      </c>
      <c r="E15340">
        <v>1</v>
      </c>
    </row>
    <row r="15341" spans="1:5" x14ac:dyDescent="0.25">
      <c r="A15341">
        <v>15340</v>
      </c>
      <c r="B15341">
        <v>2776258</v>
      </c>
      <c r="C15341" s="1" t="str">
        <f>HYPERLINK("http://stackoverflow.com/users/2776258", "gengfei")</f>
        <v>gengfei</v>
      </c>
      <c r="D15341" t="s">
        <v>4</v>
      </c>
      <c r="E15341">
        <v>1</v>
      </c>
    </row>
    <row r="15342" spans="1:5" x14ac:dyDescent="0.25">
      <c r="A15342">
        <v>15341</v>
      </c>
      <c r="B15342">
        <v>2776476</v>
      </c>
      <c r="C15342" s="1" t="str">
        <f>HYPERLINK("http://stackoverflow.com/users/2776476", "Jin GuangHe")</f>
        <v>Jin GuangHe</v>
      </c>
      <c r="D15342" t="s">
        <v>845</v>
      </c>
      <c r="E15342">
        <v>1</v>
      </c>
    </row>
    <row r="15343" spans="1:5" x14ac:dyDescent="0.25">
      <c r="A15343">
        <v>15342</v>
      </c>
      <c r="B15343">
        <v>9940796</v>
      </c>
      <c r="C15343" s="1" t="str">
        <f>HYPERLINK("http://stackoverflow.com/users/9940796", "Never")</f>
        <v>Never</v>
      </c>
      <c r="D15343" t="s">
        <v>4</v>
      </c>
      <c r="E15343">
        <v>1</v>
      </c>
    </row>
    <row r="15344" spans="1:5" x14ac:dyDescent="0.25">
      <c r="A15344">
        <v>15343</v>
      </c>
      <c r="B15344">
        <v>2815530</v>
      </c>
      <c r="C15344" s="1" t="str">
        <f>HYPERLINK("http://stackoverflow.com/users/2815530", "debiancc")</f>
        <v>debiancc</v>
      </c>
      <c r="D15344" t="s">
        <v>4</v>
      </c>
      <c r="E15344">
        <v>1</v>
      </c>
    </row>
    <row r="15345" spans="1:5" x14ac:dyDescent="0.25">
      <c r="A15345">
        <v>15344</v>
      </c>
      <c r="B15345">
        <v>9981733</v>
      </c>
      <c r="C15345" s="1" t="str">
        <f>HYPERLINK("http://stackoverflow.com/users/9981733", "andy gong")</f>
        <v>andy gong</v>
      </c>
      <c r="D15345" t="s">
        <v>5</v>
      </c>
      <c r="E15345">
        <v>1</v>
      </c>
    </row>
    <row r="15346" spans="1:5" x14ac:dyDescent="0.25">
      <c r="A15346">
        <v>15345</v>
      </c>
      <c r="B15346">
        <v>8163485</v>
      </c>
      <c r="C15346" s="1" t="str">
        <f>HYPERLINK("http://stackoverflow.com/users/8163485", "ZhouZhao")</f>
        <v>ZhouZhao</v>
      </c>
      <c r="D15346" t="s">
        <v>4</v>
      </c>
      <c r="E15346">
        <v>1</v>
      </c>
    </row>
    <row r="15347" spans="1:5" x14ac:dyDescent="0.25">
      <c r="A15347">
        <v>15346</v>
      </c>
      <c r="B15347">
        <v>2815124</v>
      </c>
      <c r="C15347" s="1" t="str">
        <f>HYPERLINK("http://stackoverflow.com/users/2815124", "lxc")</f>
        <v>lxc</v>
      </c>
      <c r="D15347" t="s">
        <v>846</v>
      </c>
      <c r="E15347">
        <v>1</v>
      </c>
    </row>
    <row r="15348" spans="1:5" x14ac:dyDescent="0.25">
      <c r="A15348">
        <v>15347</v>
      </c>
      <c r="B15348">
        <v>9986666</v>
      </c>
      <c r="C15348" s="1" t="str">
        <f>HYPERLINK("http://stackoverflow.com/users/9986666", "wangfan")</f>
        <v>wangfan</v>
      </c>
      <c r="D15348" t="s">
        <v>5</v>
      </c>
      <c r="E15348">
        <v>1</v>
      </c>
    </row>
    <row r="15349" spans="1:5" x14ac:dyDescent="0.25">
      <c r="A15349">
        <v>15348</v>
      </c>
      <c r="B15349">
        <v>8172074</v>
      </c>
      <c r="C15349" s="1" t="str">
        <f>HYPERLINK("http://stackoverflow.com/users/8172074", "yaoyaminaco")</f>
        <v>yaoyaminaco</v>
      </c>
      <c r="D15349" t="s">
        <v>108</v>
      </c>
      <c r="E15349">
        <v>1</v>
      </c>
    </row>
    <row r="15350" spans="1:5" x14ac:dyDescent="0.25">
      <c r="A15350">
        <v>15349</v>
      </c>
      <c r="B15350">
        <v>8172118</v>
      </c>
      <c r="C15350" s="1" t="str">
        <f>HYPERLINK("http://stackoverflow.com/users/8172118", "jakezhang")</f>
        <v>jakezhang</v>
      </c>
      <c r="D15350" t="s">
        <v>25</v>
      </c>
      <c r="E15350">
        <v>1</v>
      </c>
    </row>
    <row r="15351" spans="1:5" x14ac:dyDescent="0.25">
      <c r="A15351">
        <v>15350</v>
      </c>
      <c r="B15351">
        <v>8172354</v>
      </c>
      <c r="C15351" s="1" t="str">
        <f>HYPERLINK("http://stackoverflow.com/users/8172354", "Lewis Zhang")</f>
        <v>Lewis Zhang</v>
      </c>
      <c r="D15351" t="s">
        <v>5</v>
      </c>
      <c r="E15351">
        <v>1</v>
      </c>
    </row>
    <row r="15352" spans="1:5" x14ac:dyDescent="0.25">
      <c r="A15352">
        <v>15351</v>
      </c>
      <c r="B15352">
        <v>9990146</v>
      </c>
      <c r="C15352" s="1" t="str">
        <f>HYPERLINK("http://stackoverflow.com/users/9990146", "Ryan Leung")</f>
        <v>Ryan Leung</v>
      </c>
      <c r="D15352" t="s">
        <v>5</v>
      </c>
      <c r="E15352">
        <v>1</v>
      </c>
    </row>
    <row r="15353" spans="1:5" x14ac:dyDescent="0.25">
      <c r="A15353">
        <v>15352</v>
      </c>
      <c r="B15353">
        <v>8176152</v>
      </c>
      <c r="C15353" s="1" t="str">
        <f>HYPERLINK("http://stackoverflow.com/users/8176152", "Skywalker Yang")</f>
        <v>Skywalker Yang</v>
      </c>
      <c r="D15353" t="s">
        <v>28</v>
      </c>
      <c r="E15353">
        <v>1</v>
      </c>
    </row>
    <row r="15354" spans="1:5" x14ac:dyDescent="0.25">
      <c r="A15354">
        <v>15353</v>
      </c>
      <c r="B15354">
        <v>8176560</v>
      </c>
      <c r="C15354" s="1" t="str">
        <f>HYPERLINK("http://stackoverflow.com/users/8176560", "Gordon Antonius Udo")</f>
        <v>Gordon Antonius Udo</v>
      </c>
      <c r="D15354" t="s">
        <v>22</v>
      </c>
      <c r="E15354">
        <v>1</v>
      </c>
    </row>
    <row r="15355" spans="1:5" x14ac:dyDescent="0.25">
      <c r="A15355">
        <v>15354</v>
      </c>
      <c r="B15355">
        <v>8180645</v>
      </c>
      <c r="C15355" s="1" t="str">
        <f>HYPERLINK("http://stackoverflow.com/users/8180645", "Baum")</f>
        <v>Baum</v>
      </c>
      <c r="D15355" t="s">
        <v>5</v>
      </c>
      <c r="E15355">
        <v>1</v>
      </c>
    </row>
    <row r="15356" spans="1:5" x14ac:dyDescent="0.25">
      <c r="A15356">
        <v>15355</v>
      </c>
      <c r="B15356">
        <v>8180651</v>
      </c>
      <c r="C15356" s="1" t="str">
        <f>HYPERLINK("http://stackoverflow.com/users/8180651", "luoyecao")</f>
        <v>luoyecao</v>
      </c>
      <c r="D15356" t="s">
        <v>118</v>
      </c>
      <c r="E15356">
        <v>1</v>
      </c>
    </row>
    <row r="15357" spans="1:5" x14ac:dyDescent="0.25">
      <c r="A15357">
        <v>15356</v>
      </c>
      <c r="B15357">
        <v>8180733</v>
      </c>
      <c r="C15357" s="1" t="str">
        <f>HYPERLINK("http://stackoverflow.com/users/8180733", "Bruno Deng")</f>
        <v>Bruno Deng</v>
      </c>
      <c r="D15357" t="s">
        <v>4</v>
      </c>
      <c r="E15357">
        <v>1</v>
      </c>
    </row>
    <row r="15358" spans="1:5" x14ac:dyDescent="0.25">
      <c r="A15358">
        <v>15357</v>
      </c>
      <c r="B15358">
        <v>8180734</v>
      </c>
      <c r="C15358" s="1" t="str">
        <f>HYPERLINK("http://stackoverflow.com/users/8180734", "Abraham")</f>
        <v>Abraham</v>
      </c>
      <c r="D15358" t="s">
        <v>55</v>
      </c>
      <c r="E15358">
        <v>1</v>
      </c>
    </row>
    <row r="15359" spans="1:5" x14ac:dyDescent="0.25">
      <c r="A15359">
        <v>15358</v>
      </c>
      <c r="B15359">
        <v>6363332</v>
      </c>
      <c r="C15359" s="1" t="str">
        <f>HYPERLINK("http://stackoverflow.com/users/6363332", "looperwb")</f>
        <v>looperwb</v>
      </c>
      <c r="D15359" t="s">
        <v>15</v>
      </c>
      <c r="E15359">
        <v>1</v>
      </c>
    </row>
    <row r="15360" spans="1:5" x14ac:dyDescent="0.25">
      <c r="A15360">
        <v>15359</v>
      </c>
      <c r="B15360">
        <v>6363433</v>
      </c>
      <c r="C15360" s="1" t="str">
        <f>HYPERLINK("http://stackoverflow.com/users/6363433", "Hangtong.lee")</f>
        <v>Hangtong.lee</v>
      </c>
      <c r="D15360" t="s">
        <v>57</v>
      </c>
      <c r="E15360">
        <v>1</v>
      </c>
    </row>
    <row r="15361" spans="1:5" x14ac:dyDescent="0.25">
      <c r="A15361">
        <v>15360</v>
      </c>
      <c r="B15361">
        <v>659167</v>
      </c>
      <c r="C15361" s="1" t="str">
        <f>HYPERLINK("http://stackoverflow.com/users/659167", "Pixilated")</f>
        <v>Pixilated</v>
      </c>
      <c r="D15361" t="s">
        <v>847</v>
      </c>
      <c r="E15361">
        <v>1</v>
      </c>
    </row>
    <row r="15362" spans="1:5" x14ac:dyDescent="0.25">
      <c r="A15362">
        <v>15361</v>
      </c>
      <c r="B15362">
        <v>9973333</v>
      </c>
      <c r="C15362" s="1" t="str">
        <f>HYPERLINK("http://stackoverflow.com/users/9973333", "Xin Ying")</f>
        <v>Xin Ying</v>
      </c>
      <c r="D15362" t="s">
        <v>33</v>
      </c>
      <c r="E15362">
        <v>1</v>
      </c>
    </row>
    <row r="15363" spans="1:5" x14ac:dyDescent="0.25">
      <c r="A15363">
        <v>15362</v>
      </c>
      <c r="B15363">
        <v>9973491</v>
      </c>
      <c r="C15363" s="1" t="str">
        <f>HYPERLINK("http://stackoverflow.com/users/9973491", "I am gamer")</f>
        <v>I am gamer</v>
      </c>
      <c r="D15363" t="s">
        <v>5</v>
      </c>
      <c r="E15363">
        <v>1</v>
      </c>
    </row>
    <row r="15364" spans="1:5" x14ac:dyDescent="0.25">
      <c r="A15364">
        <v>15363</v>
      </c>
      <c r="B15364">
        <v>9973705</v>
      </c>
      <c r="C15364" s="1" t="str">
        <f>HYPERLINK("http://stackoverflow.com/users/9973705", "sephtecs")</f>
        <v>sephtecs</v>
      </c>
      <c r="D15364" t="s">
        <v>848</v>
      </c>
      <c r="E15364">
        <v>1</v>
      </c>
    </row>
    <row r="15365" spans="1:5" x14ac:dyDescent="0.25">
      <c r="A15365">
        <v>15364</v>
      </c>
      <c r="B15365">
        <v>2807822</v>
      </c>
      <c r="C15365" s="1" t="str">
        <f>HYPERLINK("http://stackoverflow.com/users/2807822", "Jimmy")</f>
        <v>Jimmy</v>
      </c>
      <c r="D15365" t="s">
        <v>17</v>
      </c>
      <c r="E15365">
        <v>1</v>
      </c>
    </row>
    <row r="15366" spans="1:5" x14ac:dyDescent="0.25">
      <c r="A15366">
        <v>15365</v>
      </c>
      <c r="B15366">
        <v>2807897</v>
      </c>
      <c r="C15366" s="1" t="str">
        <f>HYPERLINK("http://stackoverflow.com/users/2807897", "shamiao")</f>
        <v>shamiao</v>
      </c>
      <c r="D15366" t="s">
        <v>113</v>
      </c>
      <c r="E15366">
        <v>1</v>
      </c>
    </row>
    <row r="15367" spans="1:5" x14ac:dyDescent="0.25">
      <c r="A15367">
        <v>15366</v>
      </c>
      <c r="B15367">
        <v>8159428</v>
      </c>
      <c r="C15367" s="1" t="str">
        <f>HYPERLINK("http://stackoverflow.com/users/8159428", "Jian Qiang Li")</f>
        <v>Jian Qiang Li</v>
      </c>
      <c r="D15367" t="s">
        <v>74</v>
      </c>
      <c r="E15367">
        <v>1</v>
      </c>
    </row>
    <row r="15368" spans="1:5" x14ac:dyDescent="0.25">
      <c r="A15368">
        <v>15367</v>
      </c>
      <c r="B15368">
        <v>9977243</v>
      </c>
      <c r="C15368" s="1" t="str">
        <f>HYPERLINK("http://stackoverflow.com/users/9977243", "Simon Cheng")</f>
        <v>Simon Cheng</v>
      </c>
      <c r="D15368" t="s">
        <v>108</v>
      </c>
      <c r="E15368">
        <v>1</v>
      </c>
    </row>
    <row r="15369" spans="1:5" x14ac:dyDescent="0.25">
      <c r="A15369">
        <v>15368</v>
      </c>
      <c r="B15369">
        <v>9977270</v>
      </c>
      <c r="C15369" s="1" t="str">
        <f>HYPERLINK("http://stackoverflow.com/users/9977270", "Junyi Zhu")</f>
        <v>Junyi Zhu</v>
      </c>
      <c r="D15369" t="s">
        <v>4</v>
      </c>
      <c r="E15369">
        <v>1</v>
      </c>
    </row>
    <row r="15370" spans="1:5" x14ac:dyDescent="0.25">
      <c r="A15370">
        <v>15369</v>
      </c>
      <c r="B15370">
        <v>9960873</v>
      </c>
      <c r="C15370" s="1" t="str">
        <f>HYPERLINK("http://stackoverflow.com/users/9960873", "Sheng Li")</f>
        <v>Sheng Li</v>
      </c>
      <c r="D15370" t="s">
        <v>33</v>
      </c>
      <c r="E15370">
        <v>1</v>
      </c>
    </row>
    <row r="15371" spans="1:5" x14ac:dyDescent="0.25">
      <c r="A15371">
        <v>15370</v>
      </c>
      <c r="B15371">
        <v>9961075</v>
      </c>
      <c r="C15371" s="1" t="str">
        <f>HYPERLINK("http://stackoverflow.com/users/9961075", "Pedro Cristovão")</f>
        <v>Pedro Cristovão</v>
      </c>
      <c r="D15371" t="s">
        <v>5</v>
      </c>
      <c r="E15371">
        <v>1</v>
      </c>
    </row>
    <row r="15372" spans="1:5" x14ac:dyDescent="0.25">
      <c r="A15372">
        <v>15371</v>
      </c>
      <c r="B15372">
        <v>6357338</v>
      </c>
      <c r="C15372" s="1" t="str">
        <f>HYPERLINK("http://stackoverflow.com/users/6357338", "PaulZJ")</f>
        <v>PaulZJ</v>
      </c>
      <c r="D15372" t="s">
        <v>5</v>
      </c>
      <c r="E15372">
        <v>1</v>
      </c>
    </row>
    <row r="15373" spans="1:5" x14ac:dyDescent="0.25">
      <c r="A15373">
        <v>15372</v>
      </c>
      <c r="B15373">
        <v>8147085</v>
      </c>
      <c r="C15373" s="1" t="str">
        <f>HYPERLINK("http://stackoverflow.com/users/8147085", "weisir")</f>
        <v>weisir</v>
      </c>
      <c r="D15373" t="s">
        <v>7</v>
      </c>
      <c r="E15373">
        <v>1</v>
      </c>
    </row>
    <row r="15374" spans="1:5" x14ac:dyDescent="0.25">
      <c r="A15374">
        <v>15373</v>
      </c>
      <c r="B15374">
        <v>4631035</v>
      </c>
      <c r="C15374" s="1" t="str">
        <f>HYPERLINK("http://stackoverflow.com/users/4631035", "Lianghui Wei")</f>
        <v>Lianghui Wei</v>
      </c>
      <c r="D15374" t="s">
        <v>4</v>
      </c>
      <c r="E15374">
        <v>1</v>
      </c>
    </row>
    <row r="15375" spans="1:5" x14ac:dyDescent="0.25">
      <c r="A15375">
        <v>15374</v>
      </c>
      <c r="B15375">
        <v>6348989</v>
      </c>
      <c r="C15375" s="1" t="str">
        <f>HYPERLINK("http://stackoverflow.com/users/6348989", "Sherwin")</f>
        <v>Sherwin</v>
      </c>
      <c r="D15375" t="s">
        <v>5</v>
      </c>
      <c r="E15375">
        <v>1</v>
      </c>
    </row>
    <row r="15376" spans="1:5" x14ac:dyDescent="0.25">
      <c r="A15376">
        <v>15375</v>
      </c>
      <c r="B15376">
        <v>6349170</v>
      </c>
      <c r="C15376" s="1" t="str">
        <f>HYPERLINK("http://stackoverflow.com/users/6349170", "China_Zhao")</f>
        <v>China_Zhao</v>
      </c>
      <c r="D15376" t="s">
        <v>4</v>
      </c>
      <c r="E15376">
        <v>1</v>
      </c>
    </row>
    <row r="15377" spans="1:5" x14ac:dyDescent="0.25">
      <c r="A15377">
        <v>15376</v>
      </c>
      <c r="B15377">
        <v>6349264</v>
      </c>
      <c r="C15377" s="1" t="str">
        <f>HYPERLINK("http://stackoverflow.com/users/6349264", "X.He")</f>
        <v>X.He</v>
      </c>
      <c r="D15377" t="s">
        <v>54</v>
      </c>
      <c r="E15377">
        <v>1</v>
      </c>
    </row>
    <row r="15378" spans="1:5" x14ac:dyDescent="0.25">
      <c r="A15378">
        <v>15377</v>
      </c>
      <c r="B15378">
        <v>6353497</v>
      </c>
      <c r="C15378" s="1" t="str">
        <f>HYPERLINK("http://stackoverflow.com/users/6353497", "Ji Hammer")</f>
        <v>Ji Hammer</v>
      </c>
      <c r="D15378" t="s">
        <v>725</v>
      </c>
      <c r="E15378">
        <v>1</v>
      </c>
    </row>
    <row r="15379" spans="1:5" x14ac:dyDescent="0.25">
      <c r="A15379">
        <v>15378</v>
      </c>
      <c r="B15379">
        <v>8143127</v>
      </c>
      <c r="C15379" s="1" t="str">
        <f>HYPERLINK("http://stackoverflow.com/users/8143127", "KC Wang")</f>
        <v>KC Wang</v>
      </c>
      <c r="D15379" t="s">
        <v>5</v>
      </c>
      <c r="E15379">
        <v>1</v>
      </c>
    </row>
    <row r="15380" spans="1:5" x14ac:dyDescent="0.25">
      <c r="A15380">
        <v>15379</v>
      </c>
      <c r="B15380">
        <v>628079</v>
      </c>
      <c r="C15380" s="1" t="str">
        <f>HYPERLINK("http://stackoverflow.com/users/628079", "Jerry Guo")</f>
        <v>Jerry Guo</v>
      </c>
      <c r="D15380" t="s">
        <v>12</v>
      </c>
      <c r="E15380">
        <v>1</v>
      </c>
    </row>
    <row r="15381" spans="1:5" x14ac:dyDescent="0.25">
      <c r="A15381">
        <v>15380</v>
      </c>
      <c r="B15381">
        <v>9952901</v>
      </c>
      <c r="C15381" s="1" t="str">
        <f>HYPERLINK("http://stackoverflow.com/users/9952901", "LiamYoung")</f>
        <v>LiamYoung</v>
      </c>
      <c r="D15381" t="s">
        <v>4</v>
      </c>
      <c r="E15381">
        <v>1</v>
      </c>
    </row>
    <row r="15382" spans="1:5" x14ac:dyDescent="0.25">
      <c r="A15382">
        <v>15381</v>
      </c>
      <c r="B15382">
        <v>9953187</v>
      </c>
      <c r="C15382" s="1" t="str">
        <f>HYPERLINK("http://stackoverflow.com/users/9953187", "Erik Sterneberg")</f>
        <v>Erik Sterneberg</v>
      </c>
      <c r="D15382" t="s">
        <v>7</v>
      </c>
      <c r="E15382">
        <v>1</v>
      </c>
    </row>
    <row r="15383" spans="1:5" x14ac:dyDescent="0.25">
      <c r="A15383">
        <v>15382</v>
      </c>
      <c r="B15383">
        <v>2803763</v>
      </c>
      <c r="C15383" s="1" t="str">
        <f>HYPERLINK("http://stackoverflow.com/users/2803763", "Willing")</f>
        <v>Willing</v>
      </c>
      <c r="D15383" t="s">
        <v>4</v>
      </c>
      <c r="E15383">
        <v>1</v>
      </c>
    </row>
    <row r="15384" spans="1:5" x14ac:dyDescent="0.25">
      <c r="A15384">
        <v>15383</v>
      </c>
      <c r="B15384">
        <v>2803764</v>
      </c>
      <c r="C15384" s="1" t="str">
        <f>HYPERLINK("http://stackoverflow.com/users/2803764", "dreamans")</f>
        <v>dreamans</v>
      </c>
      <c r="D15384" t="s">
        <v>5</v>
      </c>
      <c r="E15384">
        <v>1</v>
      </c>
    </row>
    <row r="15385" spans="1:5" x14ac:dyDescent="0.25">
      <c r="A15385">
        <v>15384</v>
      </c>
      <c r="B15385">
        <v>2803902</v>
      </c>
      <c r="C15385" s="1" t="str">
        <f>HYPERLINK("http://stackoverflow.com/users/2803902", "StephenLee")</f>
        <v>StephenLee</v>
      </c>
      <c r="D15385" t="s">
        <v>4</v>
      </c>
      <c r="E15385">
        <v>1</v>
      </c>
    </row>
    <row r="15386" spans="1:5" x14ac:dyDescent="0.25">
      <c r="A15386">
        <v>15385</v>
      </c>
      <c r="B15386">
        <v>651393</v>
      </c>
      <c r="C15386" s="1" t="str">
        <f>HYPERLINK("http://stackoverflow.com/users/651393", "Isabella")</f>
        <v>Isabella</v>
      </c>
      <c r="D15386" t="s">
        <v>4</v>
      </c>
      <c r="E15386">
        <v>1</v>
      </c>
    </row>
    <row r="15387" spans="1:5" x14ac:dyDescent="0.25">
      <c r="A15387">
        <v>15386</v>
      </c>
      <c r="B15387">
        <v>651656</v>
      </c>
      <c r="C15387" s="1" t="str">
        <f>HYPERLINK("http://stackoverflow.com/users/651656", "Ding")</f>
        <v>Ding</v>
      </c>
      <c r="D15387" t="s">
        <v>5</v>
      </c>
      <c r="E15387">
        <v>1</v>
      </c>
    </row>
    <row r="15388" spans="1:5" x14ac:dyDescent="0.25">
      <c r="A15388">
        <v>15387</v>
      </c>
      <c r="B15388">
        <v>653064</v>
      </c>
      <c r="C15388" s="1" t="str">
        <f>HYPERLINK("http://stackoverflow.com/users/653064", "Rory Ye")</f>
        <v>Rory Ye</v>
      </c>
      <c r="D15388" t="s">
        <v>4</v>
      </c>
      <c r="E15388">
        <v>1</v>
      </c>
    </row>
    <row r="15389" spans="1:5" x14ac:dyDescent="0.25">
      <c r="A15389">
        <v>15388</v>
      </c>
      <c r="B15389">
        <v>653067</v>
      </c>
      <c r="C15389" s="1" t="str">
        <f>HYPERLINK("http://stackoverflow.com/users/653067", "Xinwei")</f>
        <v>Xinwei</v>
      </c>
      <c r="D15389" t="s">
        <v>5</v>
      </c>
      <c r="E15389">
        <v>1</v>
      </c>
    </row>
    <row r="15390" spans="1:5" x14ac:dyDescent="0.25">
      <c r="A15390">
        <v>15389</v>
      </c>
      <c r="B15390">
        <v>9965338</v>
      </c>
      <c r="C15390" s="1" t="str">
        <f>HYPERLINK("http://stackoverflow.com/users/9965338", "johnny")</f>
        <v>johnny</v>
      </c>
      <c r="D15390" t="s">
        <v>4</v>
      </c>
      <c r="E15390">
        <v>1</v>
      </c>
    </row>
    <row r="15391" spans="1:5" x14ac:dyDescent="0.25">
      <c r="A15391">
        <v>15390</v>
      </c>
      <c r="B15391">
        <v>9965744</v>
      </c>
      <c r="C15391" s="1" t="str">
        <f>HYPERLINK("http://stackoverflow.com/users/9965744", "Steven")</f>
        <v>Steven</v>
      </c>
      <c r="D15391" t="s">
        <v>135</v>
      </c>
      <c r="E15391">
        <v>1</v>
      </c>
    </row>
    <row r="15392" spans="1:5" x14ac:dyDescent="0.25">
      <c r="A15392">
        <v>15391</v>
      </c>
      <c r="B15392">
        <v>8155137</v>
      </c>
      <c r="C15392" s="1" t="str">
        <f>HYPERLINK("http://stackoverflow.com/users/8155137", "F0dream")</f>
        <v>F0dream</v>
      </c>
      <c r="D15392" t="s">
        <v>52</v>
      </c>
      <c r="E15392">
        <v>1</v>
      </c>
    </row>
    <row r="15393" spans="1:5" x14ac:dyDescent="0.25">
      <c r="A15393">
        <v>15392</v>
      </c>
      <c r="B15393">
        <v>6360007</v>
      </c>
      <c r="C15393" s="1" t="str">
        <f>HYPERLINK("http://stackoverflow.com/users/6360007", "Dylan.Wong")</f>
        <v>Dylan.Wong</v>
      </c>
      <c r="D15393" t="s">
        <v>33</v>
      </c>
      <c r="E15393">
        <v>1</v>
      </c>
    </row>
    <row r="15394" spans="1:5" x14ac:dyDescent="0.25">
      <c r="A15394">
        <v>15393</v>
      </c>
      <c r="B15394">
        <v>2803404</v>
      </c>
      <c r="C15394" s="1" t="str">
        <f>HYPERLINK("http://stackoverflow.com/users/2803404", "Alfie")</f>
        <v>Alfie</v>
      </c>
      <c r="D15394" t="s">
        <v>5</v>
      </c>
      <c r="E15394">
        <v>1</v>
      </c>
    </row>
    <row r="15395" spans="1:5" x14ac:dyDescent="0.25">
      <c r="A15395">
        <v>15394</v>
      </c>
      <c r="B15395">
        <v>2595007</v>
      </c>
      <c r="C15395" s="1" t="str">
        <f>HYPERLINK("http://stackoverflow.com/users/2595007", "李牛克斯")</f>
        <v>李牛克斯</v>
      </c>
      <c r="D15395" t="s">
        <v>28</v>
      </c>
      <c r="E15395">
        <v>1</v>
      </c>
    </row>
    <row r="15396" spans="1:5" x14ac:dyDescent="0.25">
      <c r="A15396">
        <v>15395</v>
      </c>
      <c r="B15396">
        <v>6186102</v>
      </c>
      <c r="C15396" s="1" t="str">
        <f>HYPERLINK("http://stackoverflow.com/users/6186102", "yangs")</f>
        <v>yangs</v>
      </c>
      <c r="D15396" t="s">
        <v>5</v>
      </c>
      <c r="E15396">
        <v>1</v>
      </c>
    </row>
    <row r="15397" spans="1:5" x14ac:dyDescent="0.25">
      <c r="A15397">
        <v>15396</v>
      </c>
      <c r="B15397">
        <v>6186160</v>
      </c>
      <c r="C15397" s="1" t="str">
        <f>HYPERLINK("http://stackoverflow.com/users/6186160", "南风暮雪")</f>
        <v>南风暮雪</v>
      </c>
      <c r="D15397" t="s">
        <v>33</v>
      </c>
      <c r="E15397">
        <v>1</v>
      </c>
    </row>
    <row r="15398" spans="1:5" x14ac:dyDescent="0.25">
      <c r="A15398">
        <v>15397</v>
      </c>
      <c r="B15398">
        <v>2593734</v>
      </c>
      <c r="C15398" s="1" t="str">
        <f>HYPERLINK("http://stackoverflow.com/users/2593734", "AaronHope")</f>
        <v>AaronHope</v>
      </c>
      <c r="D15398" t="s">
        <v>5</v>
      </c>
      <c r="E15398">
        <v>1</v>
      </c>
    </row>
    <row r="15399" spans="1:5" x14ac:dyDescent="0.25">
      <c r="A15399">
        <v>15398</v>
      </c>
      <c r="B15399">
        <v>2594288</v>
      </c>
      <c r="C15399" s="1" t="str">
        <f>HYPERLINK("http://stackoverflow.com/users/2594288", "hrabbit-eric")</f>
        <v>hrabbit-eric</v>
      </c>
      <c r="D15399" t="s">
        <v>4</v>
      </c>
      <c r="E15399">
        <v>1</v>
      </c>
    </row>
    <row r="15400" spans="1:5" x14ac:dyDescent="0.25">
      <c r="A15400">
        <v>15399</v>
      </c>
      <c r="B15400">
        <v>6170745</v>
      </c>
      <c r="C15400" s="1" t="str">
        <f>HYPERLINK("http://stackoverflow.com/users/6170745", "Wei Liang")</f>
        <v>Wei Liang</v>
      </c>
      <c r="D15400" t="s">
        <v>5</v>
      </c>
      <c r="E15400">
        <v>1</v>
      </c>
    </row>
    <row r="15401" spans="1:5" x14ac:dyDescent="0.25">
      <c r="A15401">
        <v>15400</v>
      </c>
      <c r="B15401">
        <v>6171018</v>
      </c>
      <c r="C15401" s="1" t="str">
        <f>HYPERLINK("http://stackoverflow.com/users/6171018", "jerome")</f>
        <v>jerome</v>
      </c>
      <c r="D15401" t="s">
        <v>29</v>
      </c>
      <c r="E15401">
        <v>1</v>
      </c>
    </row>
    <row r="15402" spans="1:5" x14ac:dyDescent="0.25">
      <c r="A15402">
        <v>15401</v>
      </c>
      <c r="B15402">
        <v>2584037</v>
      </c>
      <c r="C15402" s="1" t="str">
        <f>HYPERLINK("http://stackoverflow.com/users/2584037", "Vaudin")</f>
        <v>Vaudin</v>
      </c>
      <c r="D15402" t="s">
        <v>849</v>
      </c>
      <c r="E15402">
        <v>1</v>
      </c>
    </row>
    <row r="15403" spans="1:5" x14ac:dyDescent="0.25">
      <c r="A15403">
        <v>15402</v>
      </c>
      <c r="B15403">
        <v>2585685</v>
      </c>
      <c r="C15403" s="1" t="str">
        <f>HYPERLINK("http://stackoverflow.com/users/2585685", "adaiye")</f>
        <v>adaiye</v>
      </c>
      <c r="D15403" t="s">
        <v>12</v>
      </c>
      <c r="E15403">
        <v>1</v>
      </c>
    </row>
    <row r="15404" spans="1:5" x14ac:dyDescent="0.25">
      <c r="A15404">
        <v>15403</v>
      </c>
      <c r="B15404">
        <v>7950444</v>
      </c>
      <c r="C15404" s="1" t="str">
        <f>HYPERLINK("http://stackoverflow.com/users/7950444", "Vicar")</f>
        <v>Vicar</v>
      </c>
      <c r="D15404" t="s">
        <v>96</v>
      </c>
      <c r="E15404">
        <v>1</v>
      </c>
    </row>
    <row r="15405" spans="1:5" x14ac:dyDescent="0.25">
      <c r="A15405">
        <v>15404</v>
      </c>
      <c r="B15405">
        <v>7950614</v>
      </c>
      <c r="C15405" s="1" t="str">
        <f>HYPERLINK("http://stackoverflow.com/users/7950614", "暖水之冰")</f>
        <v>暖水之冰</v>
      </c>
      <c r="D15405" t="s">
        <v>55</v>
      </c>
      <c r="E15405">
        <v>1</v>
      </c>
    </row>
    <row r="15406" spans="1:5" x14ac:dyDescent="0.25">
      <c r="A15406">
        <v>15405</v>
      </c>
      <c r="B15406">
        <v>7950752</v>
      </c>
      <c r="C15406" s="1" t="str">
        <f>HYPERLINK("http://stackoverflow.com/users/7950752", "LitSword")</f>
        <v>LitSword</v>
      </c>
      <c r="D15406" t="s">
        <v>5</v>
      </c>
      <c r="E15406">
        <v>1</v>
      </c>
    </row>
    <row r="15407" spans="1:5" x14ac:dyDescent="0.25">
      <c r="A15407">
        <v>15406</v>
      </c>
      <c r="B15407">
        <v>7950760</v>
      </c>
      <c r="C15407" s="1" t="str">
        <f>HYPERLINK("http://stackoverflow.com/users/7950760", "renyson")</f>
        <v>renyson</v>
      </c>
      <c r="D15407" t="s">
        <v>4</v>
      </c>
      <c r="E15407">
        <v>1</v>
      </c>
    </row>
    <row r="15408" spans="1:5" x14ac:dyDescent="0.25">
      <c r="A15408">
        <v>15407</v>
      </c>
      <c r="B15408">
        <v>298474</v>
      </c>
      <c r="C15408" s="1" t="str">
        <f>HYPERLINK("http://stackoverflow.com/users/298474", "ninglg")</f>
        <v>ninglg</v>
      </c>
      <c r="D15408" t="s">
        <v>5</v>
      </c>
      <c r="E15408">
        <v>1</v>
      </c>
    </row>
    <row r="15409" spans="1:5" x14ac:dyDescent="0.25">
      <c r="A15409">
        <v>15408</v>
      </c>
      <c r="B15409">
        <v>6151680</v>
      </c>
      <c r="C15409" s="1" t="str">
        <f>HYPERLINK("http://stackoverflow.com/users/6151680", "stlnkm")</f>
        <v>stlnkm</v>
      </c>
      <c r="D15409" t="s">
        <v>7</v>
      </c>
      <c r="E15409">
        <v>1</v>
      </c>
    </row>
    <row r="15410" spans="1:5" x14ac:dyDescent="0.25">
      <c r="A15410">
        <v>15409</v>
      </c>
      <c r="B15410">
        <v>9733197</v>
      </c>
      <c r="C15410" s="1" t="str">
        <f>HYPERLINK("http://stackoverflow.com/users/9733197", "Chuan")</f>
        <v>Chuan</v>
      </c>
      <c r="D15410" t="s">
        <v>5</v>
      </c>
      <c r="E15410">
        <v>1</v>
      </c>
    </row>
    <row r="15411" spans="1:5" x14ac:dyDescent="0.25">
      <c r="A15411">
        <v>15410</v>
      </c>
      <c r="B15411">
        <v>9733297</v>
      </c>
      <c r="C15411" s="1" t="str">
        <f>HYPERLINK("http://stackoverflow.com/users/9733297", "Pengum Jin")</f>
        <v>Pengum Jin</v>
      </c>
      <c r="D15411" t="s">
        <v>33</v>
      </c>
      <c r="E15411">
        <v>1</v>
      </c>
    </row>
    <row r="15412" spans="1:5" x14ac:dyDescent="0.25">
      <c r="A15412">
        <v>15411</v>
      </c>
      <c r="B15412">
        <v>9733444</v>
      </c>
      <c r="C15412" s="1" t="str">
        <f>HYPERLINK("http://stackoverflow.com/users/9733444", "MoonGladeCat")</f>
        <v>MoonGladeCat</v>
      </c>
      <c r="D15412" t="s">
        <v>4</v>
      </c>
      <c r="E15412">
        <v>1</v>
      </c>
    </row>
    <row r="15413" spans="1:5" x14ac:dyDescent="0.25">
      <c r="A15413">
        <v>15412</v>
      </c>
      <c r="B15413">
        <v>7942871</v>
      </c>
      <c r="C15413" s="1" t="str">
        <f>HYPERLINK("http://stackoverflow.com/users/7942871", "Fred. Yang")</f>
        <v>Fred. Yang</v>
      </c>
      <c r="D15413" t="s">
        <v>5</v>
      </c>
      <c r="E15413">
        <v>1</v>
      </c>
    </row>
    <row r="15414" spans="1:5" x14ac:dyDescent="0.25">
      <c r="A15414">
        <v>15413</v>
      </c>
      <c r="B15414">
        <v>7943125</v>
      </c>
      <c r="C15414" s="1" t="str">
        <f>HYPERLINK("http://stackoverflow.com/users/7943125", "Junyu")</f>
        <v>Junyu</v>
      </c>
      <c r="D15414" t="s">
        <v>7</v>
      </c>
      <c r="E15414">
        <v>1</v>
      </c>
    </row>
    <row r="15415" spans="1:5" x14ac:dyDescent="0.25">
      <c r="A15415">
        <v>15414</v>
      </c>
      <c r="B15415">
        <v>7935560</v>
      </c>
      <c r="C15415" s="1" t="str">
        <f>HYPERLINK("http://stackoverflow.com/users/7935560", "Zhang Wei")</f>
        <v>Zhang Wei</v>
      </c>
      <c r="D15415" t="s">
        <v>33</v>
      </c>
      <c r="E15415">
        <v>1</v>
      </c>
    </row>
    <row r="15416" spans="1:5" x14ac:dyDescent="0.25">
      <c r="A15416">
        <v>15415</v>
      </c>
      <c r="B15416">
        <v>4436616</v>
      </c>
      <c r="C15416" s="1" t="str">
        <f>HYPERLINK("http://stackoverflow.com/users/4436616", "likeyiyy")</f>
        <v>likeyiyy</v>
      </c>
      <c r="D15416" t="s">
        <v>4</v>
      </c>
      <c r="E15416">
        <v>1</v>
      </c>
    </row>
    <row r="15417" spans="1:5" x14ac:dyDescent="0.25">
      <c r="A15417">
        <v>15416</v>
      </c>
      <c r="B15417">
        <v>6164361</v>
      </c>
      <c r="C15417" s="1" t="str">
        <f>HYPERLINK("http://stackoverflow.com/users/6164361", "arthurhoo")</f>
        <v>arthurhoo</v>
      </c>
      <c r="D15417" t="s">
        <v>108</v>
      </c>
      <c r="E15417">
        <v>1</v>
      </c>
    </row>
    <row r="15418" spans="1:5" x14ac:dyDescent="0.25">
      <c r="A15418">
        <v>15417</v>
      </c>
      <c r="B15418">
        <v>2609636</v>
      </c>
      <c r="C15418" s="1" t="str">
        <f>HYPERLINK("http://stackoverflow.com/users/2609636", "shan")</f>
        <v>shan</v>
      </c>
      <c r="D15418" t="s">
        <v>5</v>
      </c>
      <c r="E15418">
        <v>1</v>
      </c>
    </row>
    <row r="15419" spans="1:5" x14ac:dyDescent="0.25">
      <c r="A15419">
        <v>15418</v>
      </c>
      <c r="B15419">
        <v>4469188</v>
      </c>
      <c r="C15419" s="1" t="str">
        <f>HYPERLINK("http://stackoverflow.com/users/4469188", "x-ray")</f>
        <v>x-ray</v>
      </c>
      <c r="D15419" t="s">
        <v>5</v>
      </c>
      <c r="E15419">
        <v>1</v>
      </c>
    </row>
    <row r="15420" spans="1:5" x14ac:dyDescent="0.25">
      <c r="A15420">
        <v>15419</v>
      </c>
      <c r="B15420">
        <v>6197459</v>
      </c>
      <c r="C15420" s="1" t="str">
        <f>HYPERLINK("http://stackoverflow.com/users/6197459", "wman")</f>
        <v>wman</v>
      </c>
      <c r="D15420" t="s">
        <v>28</v>
      </c>
      <c r="E15420">
        <v>1</v>
      </c>
    </row>
    <row r="15421" spans="1:5" x14ac:dyDescent="0.25">
      <c r="A15421">
        <v>15420</v>
      </c>
      <c r="B15421">
        <v>6197479</v>
      </c>
      <c r="C15421" s="1" t="str">
        <f>HYPERLINK("http://stackoverflow.com/users/6197479", "Qiang Wang")</f>
        <v>Qiang Wang</v>
      </c>
      <c r="D15421" t="s">
        <v>4</v>
      </c>
      <c r="E15421">
        <v>1</v>
      </c>
    </row>
    <row r="15422" spans="1:5" x14ac:dyDescent="0.25">
      <c r="A15422">
        <v>15421</v>
      </c>
      <c r="B15422">
        <v>6197622</v>
      </c>
      <c r="C15422" s="1" t="str">
        <f>HYPERLINK("http://stackoverflow.com/users/6197622", "weiwei xiao")</f>
        <v>weiwei xiao</v>
      </c>
      <c r="D15422" t="s">
        <v>17</v>
      </c>
      <c r="E15422">
        <v>1</v>
      </c>
    </row>
    <row r="15423" spans="1:5" x14ac:dyDescent="0.25">
      <c r="A15423">
        <v>15422</v>
      </c>
      <c r="B15423">
        <v>6197748</v>
      </c>
      <c r="C15423" s="1" t="str">
        <f>HYPERLINK("http://stackoverflow.com/users/6197748", "J.Lu")</f>
        <v>J.Lu</v>
      </c>
      <c r="D15423" t="s">
        <v>4</v>
      </c>
      <c r="E15423">
        <v>1</v>
      </c>
    </row>
    <row r="15424" spans="1:5" x14ac:dyDescent="0.25">
      <c r="A15424">
        <v>15423</v>
      </c>
      <c r="B15424">
        <v>6198120</v>
      </c>
      <c r="C15424" s="1" t="str">
        <f>HYPERLINK("http://stackoverflow.com/users/6198120", "DogWangWangWang")</f>
        <v>DogWangWangWang</v>
      </c>
      <c r="D15424" t="s">
        <v>16</v>
      </c>
      <c r="E15424">
        <v>1</v>
      </c>
    </row>
    <row r="15425" spans="1:5" x14ac:dyDescent="0.25">
      <c r="A15425">
        <v>15424</v>
      </c>
      <c r="B15425">
        <v>7973703</v>
      </c>
      <c r="C15425" s="1" t="str">
        <f>HYPERLINK("http://stackoverflow.com/users/7973703", "Aaron_Gan")</f>
        <v>Aaron_Gan</v>
      </c>
      <c r="D15425" t="s">
        <v>52</v>
      </c>
      <c r="E15425">
        <v>1</v>
      </c>
    </row>
    <row r="15426" spans="1:5" x14ac:dyDescent="0.25">
      <c r="A15426">
        <v>15425</v>
      </c>
      <c r="B15426">
        <v>9792358</v>
      </c>
      <c r="C15426" s="1" t="str">
        <f>HYPERLINK("http://stackoverflow.com/users/9792358", "fcmpww")</f>
        <v>fcmpww</v>
      </c>
      <c r="D15426" t="s">
        <v>850</v>
      </c>
      <c r="E15426">
        <v>1</v>
      </c>
    </row>
    <row r="15427" spans="1:5" x14ac:dyDescent="0.25">
      <c r="A15427">
        <v>15426</v>
      </c>
      <c r="B15427">
        <v>369107</v>
      </c>
      <c r="C15427" s="1" t="str">
        <f>HYPERLINK("http://stackoverflow.com/users/369107", "david")</f>
        <v>david</v>
      </c>
      <c r="D15427" t="s">
        <v>5</v>
      </c>
      <c r="E15427">
        <v>1</v>
      </c>
    </row>
    <row r="15428" spans="1:5" x14ac:dyDescent="0.25">
      <c r="A15428">
        <v>15427</v>
      </c>
      <c r="B15428">
        <v>2594776</v>
      </c>
      <c r="C15428" s="1" t="str">
        <f>HYPERLINK("http://stackoverflow.com/users/2594776", "xausee")</f>
        <v>xausee</v>
      </c>
      <c r="D15428" t="s">
        <v>17</v>
      </c>
      <c r="E15428">
        <v>1</v>
      </c>
    </row>
    <row r="15429" spans="1:5" x14ac:dyDescent="0.25">
      <c r="A15429">
        <v>15428</v>
      </c>
      <c r="B15429">
        <v>2594811</v>
      </c>
      <c r="C15429" s="1" t="str">
        <f>HYPERLINK("http://stackoverflow.com/users/2594811", "steelmancc")</f>
        <v>steelmancc</v>
      </c>
      <c r="D15429" t="s">
        <v>851</v>
      </c>
      <c r="E15429">
        <v>1</v>
      </c>
    </row>
    <row r="15430" spans="1:5" x14ac:dyDescent="0.25">
      <c r="A15430">
        <v>15429</v>
      </c>
      <c r="B15430">
        <v>6186258</v>
      </c>
      <c r="C15430" s="1" t="str">
        <f>HYPERLINK("http://stackoverflow.com/users/6186258", "Pira")</f>
        <v>Pira</v>
      </c>
      <c r="D15430" t="s">
        <v>630</v>
      </c>
      <c r="E15430">
        <v>1</v>
      </c>
    </row>
    <row r="15431" spans="1:5" x14ac:dyDescent="0.25">
      <c r="A15431">
        <v>15430</v>
      </c>
      <c r="B15431">
        <v>9771519</v>
      </c>
      <c r="C15431" s="1" t="str">
        <f>HYPERLINK("http://stackoverflow.com/users/9771519", "21 Century Farmer")</f>
        <v>21 Century Farmer</v>
      </c>
      <c r="D15431" t="s">
        <v>564</v>
      </c>
      <c r="E15431">
        <v>1</v>
      </c>
    </row>
    <row r="15432" spans="1:5" x14ac:dyDescent="0.25">
      <c r="A15432">
        <v>15431</v>
      </c>
      <c r="B15432">
        <v>6192269</v>
      </c>
      <c r="C15432" s="1" t="str">
        <f>HYPERLINK("http://stackoverflow.com/users/6192269", "ZiuMnk")</f>
        <v>ZiuMnk</v>
      </c>
      <c r="D15432" t="s">
        <v>317</v>
      </c>
      <c r="E15432">
        <v>1</v>
      </c>
    </row>
    <row r="15433" spans="1:5" x14ac:dyDescent="0.25">
      <c r="A15433">
        <v>15432</v>
      </c>
      <c r="B15433">
        <v>6192399</v>
      </c>
      <c r="C15433" s="1" t="str">
        <f>HYPERLINK("http://stackoverflow.com/users/6192399", "ershixiong")</f>
        <v>ershixiong</v>
      </c>
      <c r="D15433" t="s">
        <v>5</v>
      </c>
      <c r="E15433">
        <v>1</v>
      </c>
    </row>
    <row r="15434" spans="1:5" x14ac:dyDescent="0.25">
      <c r="A15434">
        <v>15433</v>
      </c>
      <c r="B15434">
        <v>6192687</v>
      </c>
      <c r="C15434" s="1" t="str">
        <f>HYPERLINK("http://stackoverflow.com/users/6192687", "yanbin.fang")</f>
        <v>yanbin.fang</v>
      </c>
      <c r="D15434" t="s">
        <v>57</v>
      </c>
      <c r="E15434">
        <v>1</v>
      </c>
    </row>
    <row r="15435" spans="1:5" x14ac:dyDescent="0.25">
      <c r="A15435">
        <v>15434</v>
      </c>
      <c r="B15435">
        <v>6192824</v>
      </c>
      <c r="C15435" s="1" t="str">
        <f>HYPERLINK("http://stackoverflow.com/users/6192824", "Bruce Zhao")</f>
        <v>Bruce Zhao</v>
      </c>
      <c r="D15435" t="s">
        <v>4</v>
      </c>
      <c r="E15435">
        <v>1</v>
      </c>
    </row>
    <row r="15436" spans="1:5" x14ac:dyDescent="0.25">
      <c r="A15436">
        <v>15435</v>
      </c>
      <c r="B15436">
        <v>6192863</v>
      </c>
      <c r="C15436" s="1" t="str">
        <f>HYPERLINK("http://stackoverflow.com/users/6192863", "DarkHorse")</f>
        <v>DarkHorse</v>
      </c>
      <c r="D15436" t="s">
        <v>5</v>
      </c>
      <c r="E15436">
        <v>1</v>
      </c>
    </row>
    <row r="15437" spans="1:5" x14ac:dyDescent="0.25">
      <c r="A15437">
        <v>15436</v>
      </c>
      <c r="B15437">
        <v>336634</v>
      </c>
      <c r="C15437" s="1" t="str">
        <f>HYPERLINK("http://stackoverflow.com/users/336634", "Adam")</f>
        <v>Adam</v>
      </c>
      <c r="D15437" t="s">
        <v>5</v>
      </c>
      <c r="E15437">
        <v>1</v>
      </c>
    </row>
    <row r="15438" spans="1:5" x14ac:dyDescent="0.25">
      <c r="A15438">
        <v>15437</v>
      </c>
      <c r="B15438">
        <v>7966558</v>
      </c>
      <c r="C15438" s="1" t="str">
        <f>HYPERLINK("http://stackoverflow.com/users/7966558", "Kerie")</f>
        <v>Kerie</v>
      </c>
      <c r="D15438" t="s">
        <v>16</v>
      </c>
      <c r="E15438">
        <v>1</v>
      </c>
    </row>
    <row r="15439" spans="1:5" x14ac:dyDescent="0.25">
      <c r="A15439">
        <v>15438</v>
      </c>
      <c r="B15439">
        <v>7966655</v>
      </c>
      <c r="C15439" s="1" t="str">
        <f>HYPERLINK("http://stackoverflow.com/users/7966655", "qnxu")</f>
        <v>qnxu</v>
      </c>
      <c r="D15439" t="s">
        <v>5</v>
      </c>
      <c r="E15439">
        <v>1</v>
      </c>
    </row>
    <row r="15440" spans="1:5" x14ac:dyDescent="0.25">
      <c r="A15440">
        <v>15439</v>
      </c>
      <c r="B15440">
        <v>7966857</v>
      </c>
      <c r="C15440" s="1" t="str">
        <f>HYPERLINK("http://stackoverflow.com/users/7966857", "geziip")</f>
        <v>geziip</v>
      </c>
      <c r="D15440" t="s">
        <v>5</v>
      </c>
      <c r="E15440">
        <v>1</v>
      </c>
    </row>
    <row r="15441" spans="1:5" x14ac:dyDescent="0.25">
      <c r="A15441">
        <v>15440</v>
      </c>
      <c r="B15441">
        <v>7967171</v>
      </c>
      <c r="C15441" s="1" t="str">
        <f>HYPERLINK("http://stackoverflow.com/users/7967171", "jiajia zhao")</f>
        <v>jiajia zhao</v>
      </c>
      <c r="D15441" t="s">
        <v>5</v>
      </c>
      <c r="E15441">
        <v>1</v>
      </c>
    </row>
    <row r="15442" spans="1:5" x14ac:dyDescent="0.25">
      <c r="A15442">
        <v>15441</v>
      </c>
      <c r="B15442">
        <v>7967237</v>
      </c>
      <c r="C15442" s="1" t="str">
        <f>HYPERLINK("http://stackoverflow.com/users/7967237", "Kim.HakSong")</f>
        <v>Kim.HakSong</v>
      </c>
      <c r="D15442" t="s">
        <v>33</v>
      </c>
      <c r="E15442">
        <v>1</v>
      </c>
    </row>
    <row r="15443" spans="1:5" x14ac:dyDescent="0.25">
      <c r="A15443">
        <v>15442</v>
      </c>
      <c r="B15443">
        <v>9807391</v>
      </c>
      <c r="C15443" s="1" t="str">
        <f>HYPERLINK("http://stackoverflow.com/users/9807391", "thinkcly CHEN")</f>
        <v>thinkcly CHEN</v>
      </c>
      <c r="D15443" t="s">
        <v>5</v>
      </c>
      <c r="E15443">
        <v>1</v>
      </c>
    </row>
    <row r="15444" spans="1:5" x14ac:dyDescent="0.25">
      <c r="A15444">
        <v>15443</v>
      </c>
      <c r="B15444">
        <v>2644342</v>
      </c>
      <c r="C15444" s="1" t="str">
        <f>HYPERLINK("http://stackoverflow.com/users/2644342", "qiangpipi")</f>
        <v>qiangpipi</v>
      </c>
      <c r="D15444" t="s">
        <v>5</v>
      </c>
      <c r="E15444">
        <v>1</v>
      </c>
    </row>
    <row r="15445" spans="1:5" x14ac:dyDescent="0.25">
      <c r="A15445">
        <v>15444</v>
      </c>
      <c r="B15445">
        <v>7995569</v>
      </c>
      <c r="C15445" s="1" t="str">
        <f>HYPERLINK("http://stackoverflow.com/users/7995569", "cyclingpro")</f>
        <v>cyclingpro</v>
      </c>
      <c r="D15445" t="s">
        <v>25</v>
      </c>
      <c r="E15445">
        <v>1</v>
      </c>
    </row>
    <row r="15446" spans="1:5" x14ac:dyDescent="0.25">
      <c r="A15446">
        <v>15445</v>
      </c>
      <c r="B15446">
        <v>7995791</v>
      </c>
      <c r="C15446" s="1" t="str">
        <f>HYPERLINK("http://stackoverflow.com/users/7995791", "Jesse Gao")</f>
        <v>Jesse Gao</v>
      </c>
      <c r="D15446" t="s">
        <v>4</v>
      </c>
      <c r="E15446">
        <v>1</v>
      </c>
    </row>
    <row r="15447" spans="1:5" x14ac:dyDescent="0.25">
      <c r="A15447">
        <v>15446</v>
      </c>
      <c r="B15447">
        <v>7996137</v>
      </c>
      <c r="C15447" s="1" t="str">
        <f>HYPERLINK("http://stackoverflow.com/users/7996137", "Polly.L")</f>
        <v>Polly.L</v>
      </c>
      <c r="D15447" t="s">
        <v>11</v>
      </c>
      <c r="E15447">
        <v>1</v>
      </c>
    </row>
    <row r="15448" spans="1:5" x14ac:dyDescent="0.25">
      <c r="A15448">
        <v>15447</v>
      </c>
      <c r="B15448">
        <v>4494959</v>
      </c>
      <c r="C15448" s="1" t="str">
        <f>HYPERLINK("http://stackoverflow.com/users/4494959", "Ilya Fadin")</f>
        <v>Ilya Fadin</v>
      </c>
      <c r="D15448" t="s">
        <v>4</v>
      </c>
      <c r="E15448">
        <v>1</v>
      </c>
    </row>
    <row r="15449" spans="1:5" x14ac:dyDescent="0.25">
      <c r="A15449">
        <v>15448</v>
      </c>
      <c r="B15449">
        <v>8003331</v>
      </c>
      <c r="C15449" s="1" t="str">
        <f>HYPERLINK("http://stackoverflow.com/users/8003331", "Sigi Zhang")</f>
        <v>Sigi Zhang</v>
      </c>
      <c r="D15449" t="s">
        <v>5</v>
      </c>
      <c r="E15449">
        <v>1</v>
      </c>
    </row>
    <row r="15450" spans="1:5" x14ac:dyDescent="0.25">
      <c r="A15450">
        <v>15449</v>
      </c>
      <c r="B15450">
        <v>8003564</v>
      </c>
      <c r="C15450" s="1" t="str">
        <f>HYPERLINK("http://stackoverflow.com/users/8003564", "maxiaolin")</f>
        <v>maxiaolin</v>
      </c>
      <c r="D15450" t="s">
        <v>852</v>
      </c>
      <c r="E15450">
        <v>1</v>
      </c>
    </row>
    <row r="15451" spans="1:5" x14ac:dyDescent="0.25">
      <c r="A15451">
        <v>15450</v>
      </c>
      <c r="B15451">
        <v>370318</v>
      </c>
      <c r="C15451" s="1" t="str">
        <f>HYPERLINK("http://stackoverflow.com/users/370318", "Danny Siu")</f>
        <v>Danny Siu</v>
      </c>
      <c r="D15451" t="s">
        <v>5</v>
      </c>
      <c r="E15451">
        <v>1</v>
      </c>
    </row>
    <row r="15452" spans="1:5" x14ac:dyDescent="0.25">
      <c r="A15452">
        <v>15451</v>
      </c>
      <c r="B15452">
        <v>9800123</v>
      </c>
      <c r="C15452" s="1" t="str">
        <f>HYPERLINK("http://stackoverflow.com/users/9800123", "lasercoder")</f>
        <v>lasercoder</v>
      </c>
      <c r="D15452" t="s">
        <v>7</v>
      </c>
      <c r="E15452">
        <v>1</v>
      </c>
    </row>
    <row r="15453" spans="1:5" x14ac:dyDescent="0.25">
      <c r="A15453">
        <v>15452</v>
      </c>
      <c r="B15453">
        <v>9800162</v>
      </c>
      <c r="C15453" s="1" t="str">
        <f>HYPERLINK("http://stackoverflow.com/users/9800162", "Conan Feng")</f>
        <v>Conan Feng</v>
      </c>
      <c r="D15453" t="s">
        <v>4</v>
      </c>
      <c r="E15453">
        <v>1</v>
      </c>
    </row>
    <row r="15454" spans="1:5" x14ac:dyDescent="0.25">
      <c r="A15454">
        <v>15453</v>
      </c>
      <c r="B15454">
        <v>2659952</v>
      </c>
      <c r="C15454" s="1" t="str">
        <f>HYPERLINK("http://stackoverflow.com/users/2659952", "dajing030")</f>
        <v>dajing030</v>
      </c>
      <c r="D15454" t="s">
        <v>5</v>
      </c>
      <c r="E15454">
        <v>1</v>
      </c>
    </row>
    <row r="15455" spans="1:5" x14ac:dyDescent="0.25">
      <c r="A15455">
        <v>15454</v>
      </c>
      <c r="B15455">
        <v>419341</v>
      </c>
      <c r="C15455" s="1" t="str">
        <f>HYPERLINK("http://stackoverflow.com/users/419341", "Jiang Zhi-bo")</f>
        <v>Jiang Zhi-bo</v>
      </c>
      <c r="D15455" t="s">
        <v>4</v>
      </c>
      <c r="E15455">
        <v>1</v>
      </c>
    </row>
    <row r="15456" spans="1:5" x14ac:dyDescent="0.25">
      <c r="A15456">
        <v>15455</v>
      </c>
      <c r="B15456">
        <v>9823603</v>
      </c>
      <c r="C15456" s="1" t="str">
        <f>HYPERLINK("http://stackoverflow.com/users/9823603", "李易之")</f>
        <v>李易之</v>
      </c>
      <c r="D15456" t="s">
        <v>16</v>
      </c>
      <c r="E15456">
        <v>1</v>
      </c>
    </row>
    <row r="15457" spans="1:5" x14ac:dyDescent="0.25">
      <c r="A15457">
        <v>15456</v>
      </c>
      <c r="B15457">
        <v>6223488</v>
      </c>
      <c r="C15457" s="1" t="str">
        <f>HYPERLINK("http://stackoverflow.com/users/6223488", "Shaun Chan")</f>
        <v>Shaun Chan</v>
      </c>
      <c r="D15457" t="s">
        <v>16</v>
      </c>
      <c r="E15457">
        <v>1</v>
      </c>
    </row>
    <row r="15458" spans="1:5" x14ac:dyDescent="0.25">
      <c r="A15458">
        <v>15457</v>
      </c>
      <c r="B15458">
        <v>6223610</v>
      </c>
      <c r="C15458" s="1" t="str">
        <f>HYPERLINK("http://stackoverflow.com/users/6223610", "Sherhow Chain")</f>
        <v>Sherhow Chain</v>
      </c>
      <c r="D15458" t="s">
        <v>202</v>
      </c>
      <c r="E15458">
        <v>1</v>
      </c>
    </row>
    <row r="15459" spans="1:5" x14ac:dyDescent="0.25">
      <c r="A15459">
        <v>15458</v>
      </c>
      <c r="B15459">
        <v>6223953</v>
      </c>
      <c r="C15459" s="1" t="str">
        <f>HYPERLINK("http://stackoverflow.com/users/6223953", "Eow")</f>
        <v>Eow</v>
      </c>
      <c r="D15459" t="s">
        <v>4</v>
      </c>
      <c r="E15459">
        <v>1</v>
      </c>
    </row>
    <row r="15460" spans="1:5" x14ac:dyDescent="0.25">
      <c r="A15460">
        <v>15459</v>
      </c>
      <c r="B15460">
        <v>8017098</v>
      </c>
      <c r="C15460" s="1" t="str">
        <f>HYPERLINK("http://stackoverflow.com/users/8017098", "sheng zhong")</f>
        <v>sheng zhong</v>
      </c>
      <c r="D15460" t="s">
        <v>118</v>
      </c>
      <c r="E15460">
        <v>1</v>
      </c>
    </row>
    <row r="15461" spans="1:5" x14ac:dyDescent="0.25">
      <c r="A15461">
        <v>15460</v>
      </c>
      <c r="B15461">
        <v>8017157</v>
      </c>
      <c r="C15461" s="1" t="str">
        <f>HYPERLINK("http://stackoverflow.com/users/8017157", "Kai Huang")</f>
        <v>Kai Huang</v>
      </c>
      <c r="D15461" t="s">
        <v>5</v>
      </c>
      <c r="E15461">
        <v>1</v>
      </c>
    </row>
    <row r="15462" spans="1:5" x14ac:dyDescent="0.25">
      <c r="A15462">
        <v>15461</v>
      </c>
      <c r="B15462">
        <v>8017276</v>
      </c>
      <c r="C15462" s="1" t="str">
        <f>HYPERLINK("http://stackoverflow.com/users/8017276", "sinowatcher")</f>
        <v>sinowatcher</v>
      </c>
      <c r="D15462" t="s">
        <v>7</v>
      </c>
      <c r="E15462">
        <v>1</v>
      </c>
    </row>
    <row r="15463" spans="1:5" x14ac:dyDescent="0.25">
      <c r="A15463">
        <v>15462</v>
      </c>
      <c r="B15463">
        <v>8017349</v>
      </c>
      <c r="C15463" s="1" t="str">
        <f>HYPERLINK("http://stackoverflow.com/users/8017349", "一度凡尘")</f>
        <v>一度凡尘</v>
      </c>
      <c r="D15463" t="s">
        <v>415</v>
      </c>
      <c r="E15463">
        <v>1</v>
      </c>
    </row>
    <row r="15464" spans="1:5" x14ac:dyDescent="0.25">
      <c r="A15464">
        <v>15463</v>
      </c>
      <c r="B15464">
        <v>8017523</v>
      </c>
      <c r="C15464" s="1" t="str">
        <f>HYPERLINK("http://stackoverflow.com/users/8017523", "Bobz")</f>
        <v>Bobz</v>
      </c>
      <c r="D15464" t="s">
        <v>4</v>
      </c>
      <c r="E15464">
        <v>1</v>
      </c>
    </row>
    <row r="15465" spans="1:5" x14ac:dyDescent="0.25">
      <c r="A15465">
        <v>15464</v>
      </c>
      <c r="B15465">
        <v>8017644</v>
      </c>
      <c r="C15465" s="1" t="str">
        <f>HYPERLINK("http://stackoverflow.com/users/8017644", "QJY")</f>
        <v>QJY</v>
      </c>
      <c r="D15465" t="s">
        <v>853</v>
      </c>
      <c r="E15465">
        <v>1</v>
      </c>
    </row>
    <row r="15466" spans="1:5" x14ac:dyDescent="0.25">
      <c r="A15466">
        <v>15465</v>
      </c>
      <c r="B15466">
        <v>8017650</v>
      </c>
      <c r="C15466" s="1" t="str">
        <f>HYPERLINK("http://stackoverflow.com/users/8017650", "Mr. Ceong")</f>
        <v>Mr. Ceong</v>
      </c>
      <c r="D15466" t="s">
        <v>25</v>
      </c>
      <c r="E15466">
        <v>1</v>
      </c>
    </row>
    <row r="15467" spans="1:5" x14ac:dyDescent="0.25">
      <c r="A15467">
        <v>15466</v>
      </c>
      <c r="B15467">
        <v>6243234</v>
      </c>
      <c r="C15467" s="1" t="str">
        <f>HYPERLINK("http://stackoverflow.com/users/6243234", "Peter.Xiao")</f>
        <v>Peter.Xiao</v>
      </c>
      <c r="D15467" t="s">
        <v>854</v>
      </c>
      <c r="E15467">
        <v>1</v>
      </c>
    </row>
    <row r="15468" spans="1:5" x14ac:dyDescent="0.25">
      <c r="A15468">
        <v>15467</v>
      </c>
      <c r="B15468">
        <v>6243240</v>
      </c>
      <c r="C15468" s="1" t="str">
        <f>HYPERLINK("http://stackoverflow.com/users/6243240", "Tong")</f>
        <v>Tong</v>
      </c>
      <c r="D15468" t="s">
        <v>5</v>
      </c>
      <c r="E15468">
        <v>1</v>
      </c>
    </row>
    <row r="15469" spans="1:5" x14ac:dyDescent="0.25">
      <c r="A15469">
        <v>15468</v>
      </c>
      <c r="B15469">
        <v>6243511</v>
      </c>
      <c r="C15469" s="1" t="str">
        <f>HYPERLINK("http://stackoverflow.com/users/6243511", "zyzh")</f>
        <v>zyzh</v>
      </c>
      <c r="D15469" t="s">
        <v>79</v>
      </c>
      <c r="E15469">
        <v>1</v>
      </c>
    </row>
    <row r="15470" spans="1:5" x14ac:dyDescent="0.25">
      <c r="A15470">
        <v>15469</v>
      </c>
      <c r="B15470">
        <v>4515934</v>
      </c>
      <c r="C15470" s="1" t="str">
        <f>HYPERLINK("http://stackoverflow.com/users/4515934", "doublx")</f>
        <v>doublx</v>
      </c>
      <c r="D15470" t="s">
        <v>5</v>
      </c>
      <c r="E15470">
        <v>1</v>
      </c>
    </row>
    <row r="15471" spans="1:5" x14ac:dyDescent="0.25">
      <c r="A15471">
        <v>15470</v>
      </c>
      <c r="B15471">
        <v>8024813</v>
      </c>
      <c r="C15471" s="1" t="str">
        <f>HYPERLINK("http://stackoverflow.com/users/8024813", "dow")</f>
        <v>dow</v>
      </c>
      <c r="D15471" t="s">
        <v>801</v>
      </c>
      <c r="E15471">
        <v>1</v>
      </c>
    </row>
    <row r="15472" spans="1:5" x14ac:dyDescent="0.25">
      <c r="A15472">
        <v>15471</v>
      </c>
      <c r="B15472">
        <v>8024885</v>
      </c>
      <c r="C15472" s="1" t="str">
        <f>HYPERLINK("http://stackoverflow.com/users/8024885", "Abby")</f>
        <v>Abby</v>
      </c>
      <c r="D15472" t="s">
        <v>5</v>
      </c>
      <c r="E15472">
        <v>1</v>
      </c>
    </row>
    <row r="15473" spans="1:5" x14ac:dyDescent="0.25">
      <c r="A15473">
        <v>15472</v>
      </c>
      <c r="B15473">
        <v>8025196</v>
      </c>
      <c r="C15473" s="1" t="str">
        <f>HYPERLINK("http://stackoverflow.com/users/8025196", "user8025196")</f>
        <v>user8025196</v>
      </c>
      <c r="D15473" t="s">
        <v>5</v>
      </c>
      <c r="E15473">
        <v>1</v>
      </c>
    </row>
    <row r="15474" spans="1:5" x14ac:dyDescent="0.25">
      <c r="A15474">
        <v>15473</v>
      </c>
      <c r="B15474">
        <v>9837339</v>
      </c>
      <c r="C15474" s="1" t="str">
        <f>HYPERLINK("http://stackoverflow.com/users/9837339", "XianXing Ren")</f>
        <v>XianXing Ren</v>
      </c>
      <c r="D15474" t="s">
        <v>5</v>
      </c>
      <c r="E15474">
        <v>1</v>
      </c>
    </row>
    <row r="15475" spans="1:5" x14ac:dyDescent="0.25">
      <c r="A15475">
        <v>15474</v>
      </c>
      <c r="B15475">
        <v>9838009</v>
      </c>
      <c r="C15475" s="1" t="str">
        <f>HYPERLINK("http://stackoverflow.com/users/9838009", "Yan")</f>
        <v>Yan</v>
      </c>
      <c r="D15475" t="s">
        <v>10</v>
      </c>
      <c r="E15475">
        <v>1</v>
      </c>
    </row>
    <row r="15476" spans="1:5" x14ac:dyDescent="0.25">
      <c r="A15476">
        <v>15475</v>
      </c>
      <c r="B15476">
        <v>9838040</v>
      </c>
      <c r="C15476" s="1" t="str">
        <f>HYPERLINK("http://stackoverflow.com/users/9838040", "Yanjin Xu")</f>
        <v>Yanjin Xu</v>
      </c>
      <c r="D15476" t="s">
        <v>73</v>
      </c>
      <c r="E15476">
        <v>1</v>
      </c>
    </row>
    <row r="15477" spans="1:5" x14ac:dyDescent="0.25">
      <c r="A15477">
        <v>15476</v>
      </c>
      <c r="B15477">
        <v>8017722</v>
      </c>
      <c r="C15477" s="1" t="str">
        <f>HYPERLINK("http://stackoverflow.com/users/8017722", "Keith Liu")</f>
        <v>Keith Liu</v>
      </c>
      <c r="D15477" t="s">
        <v>131</v>
      </c>
      <c r="E15477">
        <v>1</v>
      </c>
    </row>
    <row r="15478" spans="1:5" x14ac:dyDescent="0.25">
      <c r="A15478">
        <v>15477</v>
      </c>
      <c r="B15478">
        <v>8017758</v>
      </c>
      <c r="C15478" s="1" t="str">
        <f>HYPERLINK("http://stackoverflow.com/users/8017758", "xinxisimple")</f>
        <v>xinxisimple</v>
      </c>
      <c r="D15478" t="s">
        <v>7</v>
      </c>
      <c r="E15478">
        <v>1</v>
      </c>
    </row>
    <row r="15479" spans="1:5" x14ac:dyDescent="0.25">
      <c r="A15479">
        <v>15478</v>
      </c>
      <c r="B15479">
        <v>8017764</v>
      </c>
      <c r="C15479" s="1" t="str">
        <f>HYPERLINK("http://stackoverflow.com/users/8017764", "Karen")</f>
        <v>Karen</v>
      </c>
      <c r="D15479" t="s">
        <v>7</v>
      </c>
      <c r="E15479">
        <v>1</v>
      </c>
    </row>
    <row r="15480" spans="1:5" x14ac:dyDescent="0.25">
      <c r="A15480">
        <v>15479</v>
      </c>
      <c r="B15480">
        <v>8017827</v>
      </c>
      <c r="C15480" s="1" t="str">
        <f>HYPERLINK("http://stackoverflow.com/users/8017827", "Jack Li")</f>
        <v>Jack Li</v>
      </c>
      <c r="D15480" t="s">
        <v>17</v>
      </c>
      <c r="E15480">
        <v>1</v>
      </c>
    </row>
    <row r="15481" spans="1:5" x14ac:dyDescent="0.25">
      <c r="A15481">
        <v>15480</v>
      </c>
      <c r="B15481">
        <v>8017837</v>
      </c>
      <c r="C15481" s="1" t="str">
        <f>HYPERLINK("http://stackoverflow.com/users/8017837", "Wen JinGe")</f>
        <v>Wen JinGe</v>
      </c>
      <c r="D15481" t="s">
        <v>320</v>
      </c>
      <c r="E15481">
        <v>1</v>
      </c>
    </row>
    <row r="15482" spans="1:5" x14ac:dyDescent="0.25">
      <c r="A15482">
        <v>15481</v>
      </c>
      <c r="B15482">
        <v>2681514</v>
      </c>
      <c r="C15482" s="1" t="str">
        <f>HYPERLINK("http://stackoverflow.com/users/2681514", "xiayumao")</f>
        <v>xiayumao</v>
      </c>
      <c r="D15482" t="s">
        <v>5</v>
      </c>
      <c r="E15482">
        <v>1</v>
      </c>
    </row>
    <row r="15483" spans="1:5" x14ac:dyDescent="0.25">
      <c r="A15483">
        <v>15482</v>
      </c>
      <c r="B15483">
        <v>2681538</v>
      </c>
      <c r="C15483" s="1" t="str">
        <f>HYPERLINK("http://stackoverflow.com/users/2681538", "he15his")</f>
        <v>he15his</v>
      </c>
      <c r="D15483" t="s">
        <v>17</v>
      </c>
      <c r="E15483">
        <v>1</v>
      </c>
    </row>
    <row r="15484" spans="1:5" x14ac:dyDescent="0.25">
      <c r="A15484">
        <v>15483</v>
      </c>
      <c r="B15484">
        <v>2681928</v>
      </c>
      <c r="C15484" s="1" t="str">
        <f>HYPERLINK("http://stackoverflow.com/users/2681928", "qingyiquan")</f>
        <v>qingyiquan</v>
      </c>
      <c r="D15484" t="s">
        <v>5</v>
      </c>
      <c r="E15484">
        <v>1</v>
      </c>
    </row>
    <row r="15485" spans="1:5" x14ac:dyDescent="0.25">
      <c r="A15485">
        <v>15484</v>
      </c>
      <c r="B15485">
        <v>2687786</v>
      </c>
      <c r="C15485" s="1" t="str">
        <f>HYPERLINK("http://stackoverflow.com/users/2687786", "XiaoYe")</f>
        <v>XiaoYe</v>
      </c>
      <c r="D15485" t="s">
        <v>12</v>
      </c>
      <c r="E15485">
        <v>1</v>
      </c>
    </row>
    <row r="15486" spans="1:5" x14ac:dyDescent="0.25">
      <c r="A15486">
        <v>15485</v>
      </c>
      <c r="B15486">
        <v>9844229</v>
      </c>
      <c r="C15486" s="1" t="str">
        <f>HYPERLINK("http://stackoverflow.com/users/9844229", "Chengxun Lee")</f>
        <v>Chengxun Lee</v>
      </c>
      <c r="D15486" t="s">
        <v>28</v>
      </c>
      <c r="E15486">
        <v>1</v>
      </c>
    </row>
    <row r="15487" spans="1:5" x14ac:dyDescent="0.25">
      <c r="A15487">
        <v>15486</v>
      </c>
      <c r="B15487">
        <v>6243767</v>
      </c>
      <c r="C15487" s="1" t="str">
        <f>HYPERLINK("http://stackoverflow.com/users/6243767", "Steven Guo")</f>
        <v>Steven Guo</v>
      </c>
      <c r="D15487" t="s">
        <v>5</v>
      </c>
      <c r="E15487">
        <v>1</v>
      </c>
    </row>
    <row r="15488" spans="1:5" x14ac:dyDescent="0.25">
      <c r="A15488">
        <v>15487</v>
      </c>
      <c r="B15488">
        <v>2687963</v>
      </c>
      <c r="C15488" s="1" t="str">
        <f>HYPERLINK("http://stackoverflow.com/users/2687963", "binghenzq")</f>
        <v>binghenzq</v>
      </c>
      <c r="D15488" t="s">
        <v>17</v>
      </c>
      <c r="E15488">
        <v>1</v>
      </c>
    </row>
    <row r="15489" spans="1:5" x14ac:dyDescent="0.25">
      <c r="A15489">
        <v>15488</v>
      </c>
      <c r="B15489">
        <v>2687979</v>
      </c>
      <c r="C15489" s="1" t="str">
        <f>HYPERLINK("http://stackoverflow.com/users/2687979", "Kevin He")</f>
        <v>Kevin He</v>
      </c>
      <c r="D15489" t="s">
        <v>7</v>
      </c>
      <c r="E15489">
        <v>1</v>
      </c>
    </row>
    <row r="15490" spans="1:5" x14ac:dyDescent="0.25">
      <c r="A15490">
        <v>15489</v>
      </c>
      <c r="B15490">
        <v>2688020</v>
      </c>
      <c r="C15490" s="1" t="str">
        <f>HYPERLINK("http://stackoverflow.com/users/2688020", "Leckie")</f>
        <v>Leckie</v>
      </c>
      <c r="D15490" t="s">
        <v>8</v>
      </c>
      <c r="E15490">
        <v>1</v>
      </c>
    </row>
    <row r="15491" spans="1:5" x14ac:dyDescent="0.25">
      <c r="A15491">
        <v>15490</v>
      </c>
      <c r="B15491">
        <v>4528005</v>
      </c>
      <c r="C15491" s="1" t="str">
        <f>HYPERLINK("http://stackoverflow.com/users/4528005", "qing xia")</f>
        <v>qing xia</v>
      </c>
      <c r="D15491" t="s">
        <v>5</v>
      </c>
      <c r="E15491">
        <v>1</v>
      </c>
    </row>
    <row r="15492" spans="1:5" x14ac:dyDescent="0.25">
      <c r="A15492">
        <v>15491</v>
      </c>
      <c r="B15492">
        <v>2687909</v>
      </c>
      <c r="C15492" s="1" t="str">
        <f>HYPERLINK("http://stackoverflow.com/users/2687909", "Sunny")</f>
        <v>Sunny</v>
      </c>
      <c r="D15492" t="s">
        <v>4</v>
      </c>
      <c r="E15492">
        <v>1</v>
      </c>
    </row>
    <row r="15493" spans="1:5" x14ac:dyDescent="0.25">
      <c r="A15493">
        <v>15492</v>
      </c>
      <c r="B15493">
        <v>9691234</v>
      </c>
      <c r="C15493" s="1" t="str">
        <f>HYPERLINK("http://stackoverflow.com/users/9691234", "Chen Xi")</f>
        <v>Chen Xi</v>
      </c>
      <c r="D15493" t="s">
        <v>5</v>
      </c>
      <c r="E15493">
        <v>1</v>
      </c>
    </row>
    <row r="15494" spans="1:5" x14ac:dyDescent="0.25">
      <c r="A15494">
        <v>15493</v>
      </c>
      <c r="B15494">
        <v>9691353</v>
      </c>
      <c r="C15494" s="1" t="str">
        <f>HYPERLINK("http://stackoverflow.com/users/9691353", "zhaoxq")</f>
        <v>zhaoxq</v>
      </c>
      <c r="D15494" t="s">
        <v>5</v>
      </c>
      <c r="E15494">
        <v>1</v>
      </c>
    </row>
    <row r="15495" spans="1:5" x14ac:dyDescent="0.25">
      <c r="A15495">
        <v>15494</v>
      </c>
      <c r="B15495">
        <v>4384526</v>
      </c>
      <c r="C15495" s="1" t="str">
        <f>HYPERLINK("http://stackoverflow.com/users/4384526", "yiran-ooo")</f>
        <v>yiran-ooo</v>
      </c>
      <c r="D15495" t="s">
        <v>5</v>
      </c>
      <c r="E15495">
        <v>1</v>
      </c>
    </row>
    <row r="15496" spans="1:5" x14ac:dyDescent="0.25">
      <c r="A15496">
        <v>15495</v>
      </c>
      <c r="B15496">
        <v>9690993</v>
      </c>
      <c r="C15496" s="1" t="str">
        <f>HYPERLINK("http://stackoverflow.com/users/9690993", "wasp")</f>
        <v>wasp</v>
      </c>
      <c r="D15496" t="s">
        <v>5</v>
      </c>
      <c r="E15496">
        <v>1</v>
      </c>
    </row>
    <row r="15497" spans="1:5" x14ac:dyDescent="0.25">
      <c r="A15497">
        <v>15496</v>
      </c>
      <c r="B15497">
        <v>9683524</v>
      </c>
      <c r="C15497" s="1" t="str">
        <f>HYPERLINK("http://stackoverflow.com/users/9683524", "xgzdgs")</f>
        <v>xgzdgs</v>
      </c>
      <c r="D15497" t="s">
        <v>4</v>
      </c>
      <c r="E15497">
        <v>1</v>
      </c>
    </row>
    <row r="15498" spans="1:5" x14ac:dyDescent="0.25">
      <c r="A15498">
        <v>15497</v>
      </c>
      <c r="B15498">
        <v>7882017</v>
      </c>
      <c r="C15498" s="1" t="str">
        <f>HYPERLINK("http://stackoverflow.com/users/7882017", "Shi-Xiaopeng")</f>
        <v>Shi-Xiaopeng</v>
      </c>
      <c r="D15498" t="s">
        <v>4</v>
      </c>
      <c r="E15498">
        <v>1</v>
      </c>
    </row>
    <row r="15499" spans="1:5" x14ac:dyDescent="0.25">
      <c r="A15499">
        <v>15498</v>
      </c>
      <c r="B15499">
        <v>7882345</v>
      </c>
      <c r="C15499" s="1" t="str">
        <f>HYPERLINK("http://stackoverflow.com/users/7882345", "Maksim")</f>
        <v>Maksim</v>
      </c>
      <c r="D15499" t="s">
        <v>4</v>
      </c>
      <c r="E15499">
        <v>1</v>
      </c>
    </row>
    <row r="15500" spans="1:5" x14ac:dyDescent="0.25">
      <c r="A15500">
        <v>15499</v>
      </c>
      <c r="B15500">
        <v>7882394</v>
      </c>
      <c r="C15500" s="1" t="str">
        <f>HYPERLINK("http://stackoverflow.com/users/7882394", "john chen")</f>
        <v>john chen</v>
      </c>
      <c r="D15500" t="s">
        <v>7</v>
      </c>
      <c r="E15500">
        <v>1</v>
      </c>
    </row>
    <row r="15501" spans="1:5" x14ac:dyDescent="0.25">
      <c r="A15501">
        <v>15500</v>
      </c>
      <c r="B15501">
        <v>7882564</v>
      </c>
      <c r="C15501" s="1" t="str">
        <f>HYPERLINK("http://stackoverflow.com/users/7882564", "Justin Hudgins")</f>
        <v>Justin Hudgins</v>
      </c>
      <c r="D15501" t="s">
        <v>5</v>
      </c>
      <c r="E15501">
        <v>1</v>
      </c>
    </row>
    <row r="15502" spans="1:5" x14ac:dyDescent="0.25">
      <c r="A15502">
        <v>15501</v>
      </c>
      <c r="B15502">
        <v>2492485</v>
      </c>
      <c r="C15502" s="1" t="str">
        <f>HYPERLINK("http://stackoverflow.com/users/2492485", "James.Xuan")</f>
        <v>James.Xuan</v>
      </c>
      <c r="D15502" t="s">
        <v>5</v>
      </c>
      <c r="E15502">
        <v>1</v>
      </c>
    </row>
    <row r="15503" spans="1:5" x14ac:dyDescent="0.25">
      <c r="A15503">
        <v>15502</v>
      </c>
      <c r="B15503">
        <v>2492559</v>
      </c>
      <c r="C15503" s="1" t="str">
        <f>HYPERLINK("http://stackoverflow.com/users/2492559", "ArayZou")</f>
        <v>ArayZou</v>
      </c>
      <c r="D15503" t="s">
        <v>4</v>
      </c>
      <c r="E15503">
        <v>1</v>
      </c>
    </row>
    <row r="15504" spans="1:5" x14ac:dyDescent="0.25">
      <c r="A15504">
        <v>15503</v>
      </c>
      <c r="B15504">
        <v>2492608</v>
      </c>
      <c r="C15504" s="1" t="str">
        <f>HYPERLINK("http://stackoverflow.com/users/2492608", "Dylan Chunng")</f>
        <v>Dylan Chunng</v>
      </c>
      <c r="D15504" t="s">
        <v>21</v>
      </c>
      <c r="E15504">
        <v>1</v>
      </c>
    </row>
    <row r="15505" spans="1:5" x14ac:dyDescent="0.25">
      <c r="A15505">
        <v>15504</v>
      </c>
      <c r="B15505">
        <v>2493231</v>
      </c>
      <c r="C15505" s="1" t="str">
        <f>HYPERLINK("http://stackoverflow.com/users/2493231", "joefink")</f>
        <v>joefink</v>
      </c>
      <c r="D15505" t="s">
        <v>5</v>
      </c>
      <c r="E15505">
        <v>1</v>
      </c>
    </row>
    <row r="15506" spans="1:5" x14ac:dyDescent="0.25">
      <c r="A15506">
        <v>15505</v>
      </c>
      <c r="B15506">
        <v>2493428</v>
      </c>
      <c r="C15506" s="1" t="str">
        <f>HYPERLINK("http://stackoverflow.com/users/2493428", "Self Doo")</f>
        <v>Self Doo</v>
      </c>
      <c r="D15506" t="s">
        <v>5</v>
      </c>
      <c r="E15506">
        <v>1</v>
      </c>
    </row>
    <row r="15507" spans="1:5" x14ac:dyDescent="0.25">
      <c r="A15507">
        <v>15506</v>
      </c>
      <c r="B15507">
        <v>7867579</v>
      </c>
      <c r="C15507" s="1" t="str">
        <f>HYPERLINK("http://stackoverflow.com/users/7867579", "jstztzy")</f>
        <v>jstztzy</v>
      </c>
      <c r="D15507" t="s">
        <v>448</v>
      </c>
      <c r="E15507">
        <v>1</v>
      </c>
    </row>
    <row r="15508" spans="1:5" x14ac:dyDescent="0.25">
      <c r="A15508">
        <v>15507</v>
      </c>
      <c r="B15508">
        <v>9661718</v>
      </c>
      <c r="C15508" s="1" t="str">
        <f>HYPERLINK("http://stackoverflow.com/users/9661718", "xushengqiang")</f>
        <v>xushengqiang</v>
      </c>
      <c r="D15508" t="s">
        <v>118</v>
      </c>
      <c r="E15508">
        <v>1</v>
      </c>
    </row>
    <row r="15509" spans="1:5" x14ac:dyDescent="0.25">
      <c r="A15509">
        <v>15508</v>
      </c>
      <c r="B15509">
        <v>4364607</v>
      </c>
      <c r="C15509" s="1" t="str">
        <f>HYPERLINK("http://stackoverflow.com/users/4364607", "hexiao")</f>
        <v>hexiao</v>
      </c>
      <c r="D15509" t="s">
        <v>7</v>
      </c>
      <c r="E15509">
        <v>1</v>
      </c>
    </row>
    <row r="15510" spans="1:5" x14ac:dyDescent="0.25">
      <c r="A15510">
        <v>15509</v>
      </c>
      <c r="B15510">
        <v>4364614</v>
      </c>
      <c r="C15510" s="1" t="str">
        <f>HYPERLINK("http://stackoverflow.com/users/4364614", "Spenser")</f>
        <v>Spenser</v>
      </c>
      <c r="D15510" t="s">
        <v>5</v>
      </c>
      <c r="E15510">
        <v>1</v>
      </c>
    </row>
    <row r="15511" spans="1:5" x14ac:dyDescent="0.25">
      <c r="A15511">
        <v>15510</v>
      </c>
      <c r="B15511">
        <v>7860686</v>
      </c>
      <c r="C15511" s="1" t="str">
        <f>HYPERLINK("http://stackoverflow.com/users/7860686", "ukuryo")</f>
        <v>ukuryo</v>
      </c>
      <c r="D15511" t="s">
        <v>57</v>
      </c>
      <c r="E15511">
        <v>1</v>
      </c>
    </row>
    <row r="15512" spans="1:5" x14ac:dyDescent="0.25">
      <c r="A15512">
        <v>15511</v>
      </c>
      <c r="B15512">
        <v>9669064</v>
      </c>
      <c r="C15512" s="1" t="str">
        <f>HYPERLINK("http://stackoverflow.com/users/9669064", "juan.yan")</f>
        <v>juan.yan</v>
      </c>
      <c r="D15512" t="s">
        <v>16</v>
      </c>
      <c r="E15512">
        <v>1</v>
      </c>
    </row>
    <row r="15513" spans="1:5" x14ac:dyDescent="0.25">
      <c r="A15513">
        <v>15512</v>
      </c>
      <c r="B15513">
        <v>2492113</v>
      </c>
      <c r="C15513" s="1" t="str">
        <f>HYPERLINK("http://stackoverflow.com/users/2492113", "Yingming")</f>
        <v>Yingming</v>
      </c>
      <c r="D15513" t="s">
        <v>5</v>
      </c>
      <c r="E15513">
        <v>1</v>
      </c>
    </row>
    <row r="15514" spans="1:5" x14ac:dyDescent="0.25">
      <c r="A15514">
        <v>15513</v>
      </c>
      <c r="B15514">
        <v>2492208</v>
      </c>
      <c r="C15514" s="1" t="str">
        <f>HYPERLINK("http://stackoverflow.com/users/2492208", "ivan")</f>
        <v>ivan</v>
      </c>
      <c r="D15514" t="s">
        <v>28</v>
      </c>
      <c r="E15514">
        <v>1</v>
      </c>
    </row>
    <row r="15515" spans="1:5" x14ac:dyDescent="0.25">
      <c r="A15515">
        <v>15514</v>
      </c>
      <c r="B15515">
        <v>2492382</v>
      </c>
      <c r="C15515" s="1" t="str">
        <f>HYPERLINK("http://stackoverflow.com/users/2492382", "Uyson")</f>
        <v>Uyson</v>
      </c>
      <c r="D15515" t="s">
        <v>5</v>
      </c>
      <c r="E15515">
        <v>1</v>
      </c>
    </row>
    <row r="15516" spans="1:5" x14ac:dyDescent="0.25">
      <c r="A15516">
        <v>15515</v>
      </c>
      <c r="B15516">
        <v>2492385</v>
      </c>
      <c r="C15516" s="1" t="str">
        <f>HYPERLINK("http://stackoverflow.com/users/2492385", "Chen")</f>
        <v>Chen</v>
      </c>
      <c r="D15516" t="s">
        <v>3</v>
      </c>
      <c r="E15516">
        <v>1</v>
      </c>
    </row>
    <row r="15517" spans="1:5" x14ac:dyDescent="0.25">
      <c r="A15517">
        <v>15516</v>
      </c>
      <c r="B15517">
        <v>6127898</v>
      </c>
      <c r="C15517" s="1" t="str">
        <f>HYPERLINK("http://stackoverflow.com/users/6127898", "cclink")</f>
        <v>cclink</v>
      </c>
      <c r="D15517" t="s">
        <v>16</v>
      </c>
      <c r="E15517">
        <v>1</v>
      </c>
    </row>
    <row r="15518" spans="1:5" x14ac:dyDescent="0.25">
      <c r="A15518">
        <v>15517</v>
      </c>
      <c r="B15518">
        <v>6127912</v>
      </c>
      <c r="C15518" s="1" t="str">
        <f>HYPERLINK("http://stackoverflow.com/users/6127912", "Feng 0476")</f>
        <v>Feng 0476</v>
      </c>
      <c r="D15518" t="s">
        <v>5</v>
      </c>
      <c r="E15518">
        <v>1</v>
      </c>
    </row>
    <row r="15519" spans="1:5" x14ac:dyDescent="0.25">
      <c r="A15519">
        <v>15518</v>
      </c>
      <c r="B15519">
        <v>9710987</v>
      </c>
      <c r="C15519" s="1" t="str">
        <f>HYPERLINK("http://stackoverflow.com/users/9710987", "user9710987")</f>
        <v>user9710987</v>
      </c>
      <c r="D15519" t="s">
        <v>13</v>
      </c>
      <c r="E15519">
        <v>1</v>
      </c>
    </row>
    <row r="15520" spans="1:5" x14ac:dyDescent="0.25">
      <c r="A15520">
        <v>15519</v>
      </c>
      <c r="B15520">
        <v>9711265</v>
      </c>
      <c r="C15520" s="1" t="str">
        <f>HYPERLINK("http://stackoverflow.com/users/9711265", "Ildar Nurgaliev")</f>
        <v>Ildar Nurgaliev</v>
      </c>
      <c r="D15520" t="s">
        <v>7</v>
      </c>
      <c r="E15520">
        <v>1</v>
      </c>
    </row>
    <row r="15521" spans="1:5" x14ac:dyDescent="0.25">
      <c r="A15521">
        <v>15520</v>
      </c>
      <c r="B15521">
        <v>9711567</v>
      </c>
      <c r="C15521" s="1" t="str">
        <f>HYPERLINK("http://stackoverflow.com/users/9711567", "A. Sun")</f>
        <v>A. Sun</v>
      </c>
      <c r="D15521" t="s">
        <v>5</v>
      </c>
      <c r="E15521">
        <v>1</v>
      </c>
    </row>
    <row r="15522" spans="1:5" x14ac:dyDescent="0.25">
      <c r="A15522">
        <v>15521</v>
      </c>
      <c r="B15522">
        <v>7901277</v>
      </c>
      <c r="C15522" s="1" t="str">
        <f>HYPERLINK("http://stackoverflow.com/users/7901277", "Charles")</f>
        <v>Charles</v>
      </c>
      <c r="D15522" t="s">
        <v>37</v>
      </c>
      <c r="E15522">
        <v>1</v>
      </c>
    </row>
    <row r="15523" spans="1:5" x14ac:dyDescent="0.25">
      <c r="A15523">
        <v>15522</v>
      </c>
      <c r="B15523">
        <v>7901768</v>
      </c>
      <c r="C15523" s="1" t="str">
        <f>HYPERLINK("http://stackoverflow.com/users/7901768", "chenxi nie")</f>
        <v>chenxi nie</v>
      </c>
      <c r="D15523" t="s">
        <v>19</v>
      </c>
      <c r="E15523">
        <v>1</v>
      </c>
    </row>
    <row r="15524" spans="1:5" x14ac:dyDescent="0.25">
      <c r="A15524">
        <v>15523</v>
      </c>
      <c r="B15524">
        <v>4408085</v>
      </c>
      <c r="C15524" s="1" t="str">
        <f>HYPERLINK("http://stackoverflow.com/users/4408085", "denverdino")</f>
        <v>denverdino</v>
      </c>
      <c r="D15524" t="s">
        <v>5</v>
      </c>
      <c r="E15524">
        <v>1</v>
      </c>
    </row>
    <row r="15525" spans="1:5" x14ac:dyDescent="0.25">
      <c r="A15525">
        <v>15524</v>
      </c>
      <c r="B15525">
        <v>7889055</v>
      </c>
      <c r="C15525" s="1" t="str">
        <f>HYPERLINK("http://stackoverflow.com/users/7889055", "Hu Le")</f>
        <v>Hu Le</v>
      </c>
      <c r="D15525" t="s">
        <v>5</v>
      </c>
      <c r="E15525">
        <v>1</v>
      </c>
    </row>
    <row r="15526" spans="1:5" x14ac:dyDescent="0.25">
      <c r="A15526">
        <v>15525</v>
      </c>
      <c r="B15526">
        <v>7889396</v>
      </c>
      <c r="C15526" s="1" t="str">
        <f>HYPERLINK("http://stackoverflow.com/users/7889396", "zysite")</f>
        <v>zysite</v>
      </c>
      <c r="D15526" t="s">
        <v>420</v>
      </c>
      <c r="E15526">
        <v>1</v>
      </c>
    </row>
    <row r="15527" spans="1:5" x14ac:dyDescent="0.25">
      <c r="A15527">
        <v>15526</v>
      </c>
      <c r="B15527">
        <v>7889639</v>
      </c>
      <c r="C15527" s="1" t="str">
        <f>HYPERLINK("http://stackoverflow.com/users/7889639", "Ben")</f>
        <v>Ben</v>
      </c>
      <c r="D15527" t="s">
        <v>5</v>
      </c>
      <c r="E15527">
        <v>1</v>
      </c>
    </row>
    <row r="15528" spans="1:5" x14ac:dyDescent="0.25">
      <c r="A15528">
        <v>15527</v>
      </c>
      <c r="B15528">
        <v>7907937</v>
      </c>
      <c r="C15528" s="1" t="str">
        <f>HYPERLINK("http://stackoverflow.com/users/7907937", "lucia-siran")</f>
        <v>lucia-siran</v>
      </c>
      <c r="D15528" t="s">
        <v>4</v>
      </c>
      <c r="E15528">
        <v>1</v>
      </c>
    </row>
    <row r="15529" spans="1:5" x14ac:dyDescent="0.25">
      <c r="A15529">
        <v>15528</v>
      </c>
      <c r="B15529">
        <v>6144327</v>
      </c>
      <c r="C15529" s="1" t="str">
        <f>HYPERLINK("http://stackoverflow.com/users/6144327", "JIa Zheng")</f>
        <v>JIa Zheng</v>
      </c>
      <c r="D15529" t="s">
        <v>4</v>
      </c>
      <c r="E15529">
        <v>1</v>
      </c>
    </row>
    <row r="15530" spans="1:5" x14ac:dyDescent="0.25">
      <c r="A15530">
        <v>15529</v>
      </c>
      <c r="B15530">
        <v>4415104</v>
      </c>
      <c r="C15530" s="1" t="str">
        <f>HYPERLINK("http://stackoverflow.com/users/4415104", "张凯栗")</f>
        <v>张凯栗</v>
      </c>
      <c r="D15530" t="s">
        <v>5</v>
      </c>
      <c r="E15530">
        <v>1</v>
      </c>
    </row>
    <row r="15531" spans="1:5" x14ac:dyDescent="0.25">
      <c r="A15531">
        <v>15530</v>
      </c>
      <c r="B15531">
        <v>7915091</v>
      </c>
      <c r="C15531" s="1" t="str">
        <f>HYPERLINK("http://stackoverflow.com/users/7915091", "Y.Li")</f>
        <v>Y.Li</v>
      </c>
      <c r="D15531" t="s">
        <v>4</v>
      </c>
      <c r="E15531">
        <v>1</v>
      </c>
    </row>
    <row r="15532" spans="1:5" x14ac:dyDescent="0.25">
      <c r="A15532">
        <v>15531</v>
      </c>
      <c r="B15532">
        <v>7922990</v>
      </c>
      <c r="C15532" s="1" t="str">
        <f>HYPERLINK("http://stackoverflow.com/users/7922990", "Fred B")</f>
        <v>Fred B</v>
      </c>
      <c r="D15532" t="s">
        <v>5</v>
      </c>
      <c r="E15532">
        <v>1</v>
      </c>
    </row>
    <row r="15533" spans="1:5" x14ac:dyDescent="0.25">
      <c r="A15533">
        <v>15532</v>
      </c>
      <c r="B15533">
        <v>7923406</v>
      </c>
      <c r="C15533" s="1" t="str">
        <f>HYPERLINK("http://stackoverflow.com/users/7923406", "Junglega")</f>
        <v>Junglega</v>
      </c>
      <c r="D15533" t="s">
        <v>374</v>
      </c>
      <c r="E15533">
        <v>1</v>
      </c>
    </row>
    <row r="15534" spans="1:5" x14ac:dyDescent="0.25">
      <c r="A15534">
        <v>15533</v>
      </c>
      <c r="B15534">
        <v>7929221</v>
      </c>
      <c r="C15534" s="1" t="str">
        <f>HYPERLINK("http://stackoverflow.com/users/7929221", "teethzp")</f>
        <v>teethzp</v>
      </c>
      <c r="D15534" t="s">
        <v>353</v>
      </c>
      <c r="E15534">
        <v>1</v>
      </c>
    </row>
    <row r="15535" spans="1:5" x14ac:dyDescent="0.25">
      <c r="A15535">
        <v>15534</v>
      </c>
      <c r="B15535">
        <v>7929394</v>
      </c>
      <c r="C15535" s="1" t="str">
        <f>HYPERLINK("http://stackoverflow.com/users/7929394", "袁维鹏")</f>
        <v>袁维鹏</v>
      </c>
      <c r="D15535" t="s">
        <v>16</v>
      </c>
      <c r="E15535">
        <v>1</v>
      </c>
    </row>
    <row r="15536" spans="1:5" x14ac:dyDescent="0.25">
      <c r="A15536">
        <v>15535</v>
      </c>
      <c r="B15536">
        <v>7929431</v>
      </c>
      <c r="C15536" s="1" t="str">
        <f>HYPERLINK("http://stackoverflow.com/users/7929431", "Alin Lin")</f>
        <v>Alin Lin</v>
      </c>
      <c r="D15536" t="s">
        <v>25</v>
      </c>
      <c r="E15536">
        <v>1</v>
      </c>
    </row>
    <row r="15537" spans="1:5" x14ac:dyDescent="0.25">
      <c r="A15537">
        <v>15536</v>
      </c>
      <c r="B15537">
        <v>7929499</v>
      </c>
      <c r="C15537" s="1" t="str">
        <f>HYPERLINK("http://stackoverflow.com/users/7929499", "genkimaru")</f>
        <v>genkimaru</v>
      </c>
      <c r="D15537" t="s">
        <v>4</v>
      </c>
      <c r="E15537">
        <v>1</v>
      </c>
    </row>
    <row r="15538" spans="1:5" x14ac:dyDescent="0.25">
      <c r="A15538">
        <v>15537</v>
      </c>
      <c r="B15538">
        <v>7929614</v>
      </c>
      <c r="C15538" s="1" t="str">
        <f>HYPERLINK("http://stackoverflow.com/users/7929614", "BeFabulousJia")</f>
        <v>BeFabulousJia</v>
      </c>
      <c r="D15538" t="s">
        <v>22</v>
      </c>
      <c r="E15538">
        <v>1</v>
      </c>
    </row>
    <row r="15539" spans="1:5" x14ac:dyDescent="0.25">
      <c r="A15539">
        <v>15538</v>
      </c>
      <c r="B15539">
        <v>7929683</v>
      </c>
      <c r="C15539" s="1" t="str">
        <f>HYPERLINK("http://stackoverflow.com/users/7929683", "Joel")</f>
        <v>Joel</v>
      </c>
      <c r="D15539" t="s">
        <v>4</v>
      </c>
      <c r="E15539">
        <v>1</v>
      </c>
    </row>
    <row r="15540" spans="1:5" x14ac:dyDescent="0.25">
      <c r="A15540">
        <v>15539</v>
      </c>
      <c r="B15540">
        <v>6061139</v>
      </c>
      <c r="C15540" s="1" t="str">
        <f>HYPERLINK("http://stackoverflow.com/users/6061139", "Dream Catcher")</f>
        <v>Dream Catcher</v>
      </c>
      <c r="D15540" t="s">
        <v>29</v>
      </c>
      <c r="E15540">
        <v>1</v>
      </c>
    </row>
    <row r="15541" spans="1:5" x14ac:dyDescent="0.25">
      <c r="A15541">
        <v>15540</v>
      </c>
      <c r="B15541">
        <v>7830724</v>
      </c>
      <c r="C15541" s="1" t="str">
        <f>HYPERLINK("http://stackoverflow.com/users/7830724", "Gavin Zhu")</f>
        <v>Gavin Zhu</v>
      </c>
      <c r="D15541" t="s">
        <v>4</v>
      </c>
      <c r="E15541">
        <v>1</v>
      </c>
    </row>
    <row r="15542" spans="1:5" x14ac:dyDescent="0.25">
      <c r="A15542">
        <v>15541</v>
      </c>
      <c r="B15542">
        <v>7830799</v>
      </c>
      <c r="C15542" s="1" t="str">
        <f>HYPERLINK("http://stackoverflow.com/users/7830799", "Dane.jiu")</f>
        <v>Dane.jiu</v>
      </c>
      <c r="D15542" t="s">
        <v>28</v>
      </c>
      <c r="E15542">
        <v>1</v>
      </c>
    </row>
    <row r="15543" spans="1:5" x14ac:dyDescent="0.25">
      <c r="A15543">
        <v>15542</v>
      </c>
      <c r="B15543">
        <v>7831443</v>
      </c>
      <c r="C15543" s="1" t="str">
        <f>HYPERLINK("http://stackoverflow.com/users/7831443", "Doom")</f>
        <v>Doom</v>
      </c>
      <c r="D15543" t="s">
        <v>5</v>
      </c>
      <c r="E15543">
        <v>1</v>
      </c>
    </row>
    <row r="15544" spans="1:5" x14ac:dyDescent="0.25">
      <c r="A15544">
        <v>15543</v>
      </c>
      <c r="B15544">
        <v>7831793</v>
      </c>
      <c r="C15544" s="1" t="str">
        <f>HYPERLINK("http://stackoverflow.com/users/7831793", "C. Gong")</f>
        <v>C. Gong</v>
      </c>
      <c r="D15544" t="s">
        <v>855</v>
      </c>
      <c r="E15544">
        <v>1</v>
      </c>
    </row>
    <row r="15545" spans="1:5" x14ac:dyDescent="0.25">
      <c r="A15545">
        <v>15544</v>
      </c>
      <c r="B15545">
        <v>2454944</v>
      </c>
      <c r="C15545" s="1" t="str">
        <f>HYPERLINK("http://stackoverflow.com/users/2454944", "Revir")</f>
        <v>Revir</v>
      </c>
      <c r="D15545" t="s">
        <v>4</v>
      </c>
      <c r="E15545">
        <v>1</v>
      </c>
    </row>
    <row r="15546" spans="1:5" x14ac:dyDescent="0.25">
      <c r="A15546">
        <v>15545</v>
      </c>
      <c r="B15546">
        <v>2455027</v>
      </c>
      <c r="C15546" s="1" t="str">
        <f>HYPERLINK("http://stackoverflow.com/users/2455027", "acwg")</f>
        <v>acwg</v>
      </c>
      <c r="D15546" t="s">
        <v>5</v>
      </c>
      <c r="E15546">
        <v>1</v>
      </c>
    </row>
    <row r="15547" spans="1:5" x14ac:dyDescent="0.25">
      <c r="A15547">
        <v>15546</v>
      </c>
      <c r="B15547">
        <v>2461955</v>
      </c>
      <c r="C15547" s="1" t="str">
        <f>HYPERLINK("http://stackoverflow.com/users/2461955", "zoloadang")</f>
        <v>zoloadang</v>
      </c>
      <c r="D15547" t="s">
        <v>856</v>
      </c>
      <c r="E15547">
        <v>1</v>
      </c>
    </row>
    <row r="15548" spans="1:5" x14ac:dyDescent="0.25">
      <c r="A15548">
        <v>15547</v>
      </c>
      <c r="B15548">
        <v>4344292</v>
      </c>
      <c r="C15548" s="1" t="str">
        <f>HYPERLINK("http://stackoverflow.com/users/4344292", "dengkai")</f>
        <v>dengkai</v>
      </c>
      <c r="D15548" t="s">
        <v>5</v>
      </c>
      <c r="E15548">
        <v>1</v>
      </c>
    </row>
    <row r="15549" spans="1:5" x14ac:dyDescent="0.25">
      <c r="A15549">
        <v>15548</v>
      </c>
      <c r="B15549">
        <v>4344496</v>
      </c>
      <c r="C15549" s="1" t="str">
        <f>HYPERLINK("http://stackoverflow.com/users/4344496", "Stone")</f>
        <v>Stone</v>
      </c>
      <c r="D15549" t="s">
        <v>857</v>
      </c>
      <c r="E15549">
        <v>1</v>
      </c>
    </row>
    <row r="15550" spans="1:5" x14ac:dyDescent="0.25">
      <c r="A15550">
        <v>15549</v>
      </c>
      <c r="B15550">
        <v>7839312</v>
      </c>
      <c r="C15550" s="1" t="str">
        <f>HYPERLINK("http://stackoverflow.com/users/7839312", "Dave Yin")</f>
        <v>Dave Yin</v>
      </c>
      <c r="D15550" t="s">
        <v>5</v>
      </c>
      <c r="E15550">
        <v>1</v>
      </c>
    </row>
    <row r="15551" spans="1:5" x14ac:dyDescent="0.25">
      <c r="A15551">
        <v>15550</v>
      </c>
      <c r="B15551">
        <v>7839563</v>
      </c>
      <c r="C15551" s="1" t="str">
        <f>HYPERLINK("http://stackoverflow.com/users/7839563", "王艾伦")</f>
        <v>王艾伦</v>
      </c>
      <c r="D15551" t="s">
        <v>4</v>
      </c>
      <c r="E15551">
        <v>1</v>
      </c>
    </row>
    <row r="15552" spans="1:5" x14ac:dyDescent="0.25">
      <c r="A15552">
        <v>15551</v>
      </c>
      <c r="B15552">
        <v>7839662</v>
      </c>
      <c r="C15552" s="1" t="str">
        <f>HYPERLINK("http://stackoverflow.com/users/7839662", "n Shannnon")</f>
        <v>n Shannnon</v>
      </c>
      <c r="D15552" t="s">
        <v>25</v>
      </c>
      <c r="E15552">
        <v>1</v>
      </c>
    </row>
    <row r="15553" spans="1:5" x14ac:dyDescent="0.25">
      <c r="A15553">
        <v>15552</v>
      </c>
      <c r="B15553">
        <v>7839818</v>
      </c>
      <c r="C15553" s="1" t="str">
        <f>HYPERLINK("http://stackoverflow.com/users/7839818", "Jianguo")</f>
        <v>Jianguo</v>
      </c>
      <c r="D15553" t="s">
        <v>28</v>
      </c>
      <c r="E15553">
        <v>1</v>
      </c>
    </row>
    <row r="15554" spans="1:5" x14ac:dyDescent="0.25">
      <c r="A15554">
        <v>15553</v>
      </c>
      <c r="B15554">
        <v>6074727</v>
      </c>
      <c r="C15554" s="1" t="str">
        <f>HYPERLINK("http://stackoverflow.com/users/6074727", "Rivaillesama")</f>
        <v>Rivaillesama</v>
      </c>
      <c r="D15554" t="s">
        <v>4</v>
      </c>
      <c r="E15554">
        <v>1</v>
      </c>
    </row>
    <row r="15555" spans="1:5" x14ac:dyDescent="0.25">
      <c r="A15555">
        <v>15554</v>
      </c>
      <c r="B15555">
        <v>6075126</v>
      </c>
      <c r="C15555" s="1" t="str">
        <f>HYPERLINK("http://stackoverflow.com/users/6075126", "Hebin")</f>
        <v>Hebin</v>
      </c>
      <c r="D15555" t="s">
        <v>5</v>
      </c>
      <c r="E15555">
        <v>1</v>
      </c>
    </row>
    <row r="15556" spans="1:5" x14ac:dyDescent="0.25">
      <c r="A15556">
        <v>15555</v>
      </c>
      <c r="B15556">
        <v>9648810</v>
      </c>
      <c r="C15556" s="1" t="str">
        <f>HYPERLINK("http://stackoverflow.com/users/9648810", "公羽维")</f>
        <v>公羽维</v>
      </c>
      <c r="D15556" t="s">
        <v>28</v>
      </c>
      <c r="E15556">
        <v>1</v>
      </c>
    </row>
    <row r="15557" spans="1:5" x14ac:dyDescent="0.25">
      <c r="A15557">
        <v>15556</v>
      </c>
      <c r="B15557">
        <v>4344692</v>
      </c>
      <c r="C15557" s="1" t="str">
        <f>HYPERLINK("http://stackoverflow.com/users/4344692", "SOG.Devopswalkers")</f>
        <v>SOG.Devopswalkers</v>
      </c>
      <c r="D15557" t="s">
        <v>4</v>
      </c>
      <c r="E15557">
        <v>1</v>
      </c>
    </row>
    <row r="15558" spans="1:5" x14ac:dyDescent="0.25">
      <c r="A15558">
        <v>15557</v>
      </c>
      <c r="B15558">
        <v>6080234</v>
      </c>
      <c r="C15558" s="1" t="str">
        <f>HYPERLINK("http://stackoverflow.com/users/6080234", "JImChan")</f>
        <v>JImChan</v>
      </c>
      <c r="D15558" t="s">
        <v>7</v>
      </c>
      <c r="E15558">
        <v>1</v>
      </c>
    </row>
    <row r="15559" spans="1:5" x14ac:dyDescent="0.25">
      <c r="A15559">
        <v>15558</v>
      </c>
      <c r="B15559">
        <v>9654205</v>
      </c>
      <c r="C15559" s="1" t="str">
        <f>HYPERLINK("http://stackoverflow.com/users/9654205", "Patrick")</f>
        <v>Patrick</v>
      </c>
      <c r="D15559" t="s">
        <v>5</v>
      </c>
      <c r="E15559">
        <v>1</v>
      </c>
    </row>
    <row r="15560" spans="1:5" x14ac:dyDescent="0.25">
      <c r="A15560">
        <v>15559</v>
      </c>
      <c r="B15560">
        <v>7845656</v>
      </c>
      <c r="C15560" s="1" t="str">
        <f>HYPERLINK("http://stackoverflow.com/users/7845656", "abgnwl")</f>
        <v>abgnwl</v>
      </c>
      <c r="D15560" t="s">
        <v>19</v>
      </c>
      <c r="E15560">
        <v>1</v>
      </c>
    </row>
    <row r="15561" spans="1:5" x14ac:dyDescent="0.25">
      <c r="A15561">
        <v>15560</v>
      </c>
      <c r="B15561">
        <v>7818491</v>
      </c>
      <c r="C15561" s="1" t="str">
        <f>HYPERLINK("http://stackoverflow.com/users/7818491", "Bruce")</f>
        <v>Bruce</v>
      </c>
      <c r="D15561" t="s">
        <v>4</v>
      </c>
      <c r="E15561">
        <v>1</v>
      </c>
    </row>
    <row r="15562" spans="1:5" x14ac:dyDescent="0.25">
      <c r="A15562">
        <v>15561</v>
      </c>
      <c r="B15562">
        <v>9633280</v>
      </c>
      <c r="C15562" s="1" t="str">
        <f>HYPERLINK("http://stackoverflow.com/users/9633280", "T. Jiang")</f>
        <v>T. Jiang</v>
      </c>
      <c r="D15562" t="s">
        <v>5</v>
      </c>
      <c r="E15562">
        <v>1</v>
      </c>
    </row>
    <row r="15563" spans="1:5" x14ac:dyDescent="0.25">
      <c r="A15563">
        <v>15562</v>
      </c>
      <c r="B15563">
        <v>9633581</v>
      </c>
      <c r="C15563" s="1" t="str">
        <f>HYPERLINK("http://stackoverflow.com/users/9633581", "woodhfut")</f>
        <v>woodhfut</v>
      </c>
      <c r="D15563" t="s">
        <v>5</v>
      </c>
      <c r="E15563">
        <v>1</v>
      </c>
    </row>
    <row r="15564" spans="1:5" x14ac:dyDescent="0.25">
      <c r="A15564">
        <v>15563</v>
      </c>
      <c r="B15564">
        <v>9633661</v>
      </c>
      <c r="C15564" s="1" t="str">
        <f>HYPERLINK("http://stackoverflow.com/users/9633661", "Douglas XIE")</f>
        <v>Douglas XIE</v>
      </c>
      <c r="D15564" t="s">
        <v>17</v>
      </c>
      <c r="E15564">
        <v>1</v>
      </c>
    </row>
    <row r="15565" spans="1:5" x14ac:dyDescent="0.25">
      <c r="A15565">
        <v>15564</v>
      </c>
      <c r="B15565">
        <v>9633701</v>
      </c>
      <c r="C15565" s="1" t="str">
        <f>HYPERLINK("http://stackoverflow.com/users/9633701", "Harry.C")</f>
        <v>Harry.C</v>
      </c>
      <c r="D15565" t="s">
        <v>28</v>
      </c>
      <c r="E15565">
        <v>1</v>
      </c>
    </row>
    <row r="15566" spans="1:5" x14ac:dyDescent="0.25">
      <c r="A15566">
        <v>15565</v>
      </c>
      <c r="B15566">
        <v>7824699</v>
      </c>
      <c r="C15566" s="1" t="str">
        <f>HYPERLINK("http://stackoverflow.com/users/7824699", "邱勇伟")</f>
        <v>邱勇伟</v>
      </c>
      <c r="D15566" t="s">
        <v>858</v>
      </c>
      <c r="E15566">
        <v>1</v>
      </c>
    </row>
    <row r="15567" spans="1:5" x14ac:dyDescent="0.25">
      <c r="A15567">
        <v>15566</v>
      </c>
      <c r="B15567">
        <v>2448177</v>
      </c>
      <c r="C15567" s="1" t="str">
        <f>HYPERLINK("http://stackoverflow.com/users/2448177", "Jorbe")</f>
        <v>Jorbe</v>
      </c>
      <c r="D15567" t="s">
        <v>12</v>
      </c>
      <c r="E15567">
        <v>1</v>
      </c>
    </row>
    <row r="15568" spans="1:5" x14ac:dyDescent="0.25">
      <c r="A15568">
        <v>15567</v>
      </c>
      <c r="B15568">
        <v>6055897</v>
      </c>
      <c r="C15568" s="1" t="str">
        <f>HYPERLINK("http://stackoverflow.com/users/6055897", "jiangpeng")</f>
        <v>jiangpeng</v>
      </c>
      <c r="D15568" t="s">
        <v>314</v>
      </c>
      <c r="E15568">
        <v>1</v>
      </c>
    </row>
    <row r="15569" spans="1:5" x14ac:dyDescent="0.25">
      <c r="A15569">
        <v>15568</v>
      </c>
      <c r="B15569">
        <v>2447413</v>
      </c>
      <c r="C15569" s="1" t="str">
        <f>HYPERLINK("http://stackoverflow.com/users/2447413", "Voldemort")</f>
        <v>Voldemort</v>
      </c>
      <c r="D15569" t="s">
        <v>5</v>
      </c>
      <c r="E15569">
        <v>1</v>
      </c>
    </row>
    <row r="15570" spans="1:5" x14ac:dyDescent="0.25">
      <c r="A15570">
        <v>15569</v>
      </c>
      <c r="B15570">
        <v>9618837</v>
      </c>
      <c r="C15570" s="1" t="str">
        <f>HYPERLINK("http://stackoverflow.com/users/9618837", "hlStack")</f>
        <v>hlStack</v>
      </c>
      <c r="D15570" t="s">
        <v>205</v>
      </c>
      <c r="E15570">
        <v>1</v>
      </c>
    </row>
    <row r="15571" spans="1:5" x14ac:dyDescent="0.25">
      <c r="A15571">
        <v>15570</v>
      </c>
      <c r="B15571">
        <v>9619476</v>
      </c>
      <c r="C15571" s="1" t="str">
        <f>HYPERLINK("http://stackoverflow.com/users/9619476", "xiaoqing li")</f>
        <v>xiaoqing li</v>
      </c>
      <c r="D15571" t="s">
        <v>5</v>
      </c>
      <c r="E15571">
        <v>1</v>
      </c>
    </row>
    <row r="15572" spans="1:5" x14ac:dyDescent="0.25">
      <c r="A15572">
        <v>15571</v>
      </c>
      <c r="B15572">
        <v>7811164</v>
      </c>
      <c r="C15572" s="1" t="str">
        <f>HYPERLINK("http://stackoverflow.com/users/7811164", "woodhaha")</f>
        <v>woodhaha</v>
      </c>
      <c r="D15572" t="s">
        <v>16</v>
      </c>
      <c r="E15572">
        <v>1</v>
      </c>
    </row>
    <row r="15573" spans="1:5" x14ac:dyDescent="0.25">
      <c r="A15573">
        <v>15572</v>
      </c>
      <c r="B15573">
        <v>6044038</v>
      </c>
      <c r="C15573" s="1" t="str">
        <f>HYPERLINK("http://stackoverflow.com/users/6044038", "user6044038")</f>
        <v>user6044038</v>
      </c>
      <c r="D15573" t="s">
        <v>7</v>
      </c>
      <c r="E15573">
        <v>1</v>
      </c>
    </row>
    <row r="15574" spans="1:5" x14ac:dyDescent="0.25">
      <c r="A15574">
        <v>15573</v>
      </c>
      <c r="B15574">
        <v>7804313</v>
      </c>
      <c r="C15574" s="1" t="str">
        <f>HYPERLINK("http://stackoverflow.com/users/7804313", "yeaphoon")</f>
        <v>yeaphoon</v>
      </c>
      <c r="D15574" t="s">
        <v>4</v>
      </c>
      <c r="E15574">
        <v>1</v>
      </c>
    </row>
    <row r="15575" spans="1:5" x14ac:dyDescent="0.25">
      <c r="A15575">
        <v>15574</v>
      </c>
      <c r="B15575">
        <v>7804520</v>
      </c>
      <c r="C15575" s="1" t="str">
        <f>HYPERLINK("http://stackoverflow.com/users/7804520", "Programmerbro")</f>
        <v>Programmerbro</v>
      </c>
      <c r="D15575" t="s">
        <v>4</v>
      </c>
      <c r="E15575">
        <v>1</v>
      </c>
    </row>
    <row r="15576" spans="1:5" x14ac:dyDescent="0.25">
      <c r="A15576">
        <v>15575</v>
      </c>
      <c r="B15576">
        <v>7796570</v>
      </c>
      <c r="C15576" s="1" t="str">
        <f>HYPERLINK("http://stackoverflow.com/users/7796570", "Vincent Leo")</f>
        <v>Vincent Leo</v>
      </c>
      <c r="D15576" t="s">
        <v>328</v>
      </c>
      <c r="E15576">
        <v>1</v>
      </c>
    </row>
    <row r="15577" spans="1:5" x14ac:dyDescent="0.25">
      <c r="A15577">
        <v>15576</v>
      </c>
      <c r="B15577">
        <v>7796791</v>
      </c>
      <c r="C15577" s="1" t="str">
        <f>HYPERLINK("http://stackoverflow.com/users/7796791", "Charles Wang")</f>
        <v>Charles Wang</v>
      </c>
      <c r="D15577" t="s">
        <v>55</v>
      </c>
      <c r="E15577">
        <v>1</v>
      </c>
    </row>
    <row r="15578" spans="1:5" x14ac:dyDescent="0.25">
      <c r="A15578">
        <v>15577</v>
      </c>
      <c r="B15578">
        <v>7796977</v>
      </c>
      <c r="C15578" s="1" t="str">
        <f>HYPERLINK("http://stackoverflow.com/users/7796977", "Cai Ming")</f>
        <v>Cai Ming</v>
      </c>
      <c r="D15578" t="s">
        <v>281</v>
      </c>
      <c r="E15578">
        <v>1</v>
      </c>
    </row>
    <row r="15579" spans="1:5" x14ac:dyDescent="0.25">
      <c r="A15579">
        <v>15578</v>
      </c>
      <c r="B15579">
        <v>7796194</v>
      </c>
      <c r="C15579" s="1" t="str">
        <f>HYPERLINK("http://stackoverflow.com/users/7796194", "zhihui xiao")</f>
        <v>zhihui xiao</v>
      </c>
      <c r="D15579" t="s">
        <v>4</v>
      </c>
      <c r="E15579">
        <v>1</v>
      </c>
    </row>
    <row r="15580" spans="1:5" x14ac:dyDescent="0.25">
      <c r="A15580">
        <v>15579</v>
      </c>
      <c r="B15580">
        <v>7796200</v>
      </c>
      <c r="C15580" s="1" t="str">
        <f>HYPERLINK("http://stackoverflow.com/users/7796200", "brian_sz")</f>
        <v>brian_sz</v>
      </c>
      <c r="D15580" t="s">
        <v>7</v>
      </c>
      <c r="E15580">
        <v>1</v>
      </c>
    </row>
    <row r="15581" spans="1:5" x14ac:dyDescent="0.25">
      <c r="A15581">
        <v>15580</v>
      </c>
      <c r="B15581">
        <v>7796231</v>
      </c>
      <c r="C15581" s="1" t="str">
        <f>HYPERLINK("http://stackoverflow.com/users/7796231", "McKing")</f>
        <v>McKing</v>
      </c>
      <c r="D15581" t="s">
        <v>5</v>
      </c>
      <c r="E15581">
        <v>1</v>
      </c>
    </row>
    <row r="15582" spans="1:5" x14ac:dyDescent="0.25">
      <c r="A15582">
        <v>15581</v>
      </c>
      <c r="B15582">
        <v>7796278</v>
      </c>
      <c r="C15582" s="1" t="str">
        <f>HYPERLINK("http://stackoverflow.com/users/7796278", "peng kun")</f>
        <v>peng kun</v>
      </c>
      <c r="D15582" t="s">
        <v>62</v>
      </c>
      <c r="E15582">
        <v>1</v>
      </c>
    </row>
    <row r="15583" spans="1:5" x14ac:dyDescent="0.25">
      <c r="A15583">
        <v>15582</v>
      </c>
      <c r="B15583">
        <v>7796488</v>
      </c>
      <c r="C15583" s="1" t="str">
        <f>HYPERLINK("http://stackoverflow.com/users/7796488", "Xi Yu")</f>
        <v>Xi Yu</v>
      </c>
      <c r="D15583" t="s">
        <v>95</v>
      </c>
      <c r="E15583">
        <v>1</v>
      </c>
    </row>
    <row r="15584" spans="1:5" x14ac:dyDescent="0.25">
      <c r="A15584">
        <v>15583</v>
      </c>
      <c r="B15584">
        <v>2423307</v>
      </c>
      <c r="C15584" s="1" t="str">
        <f>HYPERLINK("http://stackoverflow.com/users/2423307", "Nick Xu")</f>
        <v>Nick Xu</v>
      </c>
      <c r="D15584" t="s">
        <v>4</v>
      </c>
      <c r="E15584">
        <v>1</v>
      </c>
    </row>
    <row r="15585" spans="1:5" x14ac:dyDescent="0.25">
      <c r="A15585">
        <v>15584</v>
      </c>
      <c r="B15585">
        <v>2423489</v>
      </c>
      <c r="C15585" s="1" t="str">
        <f>HYPERLINK("http://stackoverflow.com/users/2423489", "ivlucks")</f>
        <v>ivlucks</v>
      </c>
      <c r="D15585" t="s">
        <v>859</v>
      </c>
      <c r="E15585">
        <v>1</v>
      </c>
    </row>
    <row r="15586" spans="1:5" x14ac:dyDescent="0.25">
      <c r="A15586">
        <v>15585</v>
      </c>
      <c r="B15586">
        <v>2423912</v>
      </c>
      <c r="C15586" s="1" t="str">
        <f>HYPERLINK("http://stackoverflow.com/users/2423912", "Jeremy")</f>
        <v>Jeremy</v>
      </c>
      <c r="D15586" t="s">
        <v>4</v>
      </c>
      <c r="E15586">
        <v>1</v>
      </c>
    </row>
    <row r="15587" spans="1:5" x14ac:dyDescent="0.25">
      <c r="A15587">
        <v>15586</v>
      </c>
      <c r="B15587">
        <v>2424125</v>
      </c>
      <c r="C15587" s="1" t="str">
        <f>HYPERLINK("http://stackoverflow.com/users/2424125", "Allan Xu")</f>
        <v>Allan Xu</v>
      </c>
      <c r="D15587" t="s">
        <v>17</v>
      </c>
      <c r="E15587">
        <v>1</v>
      </c>
    </row>
    <row r="15588" spans="1:5" x14ac:dyDescent="0.25">
      <c r="A15588">
        <v>15587</v>
      </c>
      <c r="B15588">
        <v>2424358</v>
      </c>
      <c r="C15588" s="1" t="str">
        <f>HYPERLINK("http://stackoverflow.com/users/2424358", "liubo")</f>
        <v>liubo</v>
      </c>
      <c r="D15588" t="s">
        <v>25</v>
      </c>
      <c r="E15588">
        <v>1</v>
      </c>
    </row>
    <row r="15589" spans="1:5" x14ac:dyDescent="0.25">
      <c r="A15589">
        <v>15588</v>
      </c>
      <c r="B15589">
        <v>9012355</v>
      </c>
      <c r="C15589" s="1" t="str">
        <f>HYPERLINK("http://stackoverflow.com/users/9012355", "谢正财")</f>
        <v>谢正财</v>
      </c>
      <c r="D15589" t="s">
        <v>7</v>
      </c>
      <c r="E15589">
        <v>1</v>
      </c>
    </row>
    <row r="15590" spans="1:5" x14ac:dyDescent="0.25">
      <c r="A15590">
        <v>15589</v>
      </c>
      <c r="B15590">
        <v>9012589</v>
      </c>
      <c r="C15590" s="1" t="str">
        <f>HYPERLINK("http://stackoverflow.com/users/9012589", "user9012589")</f>
        <v>user9012589</v>
      </c>
      <c r="D15590" t="s">
        <v>860</v>
      </c>
      <c r="E15590">
        <v>1</v>
      </c>
    </row>
    <row r="15591" spans="1:5" x14ac:dyDescent="0.25">
      <c r="A15591">
        <v>15590</v>
      </c>
      <c r="B15591">
        <v>9012920</v>
      </c>
      <c r="C15591" s="1" t="str">
        <f>HYPERLINK("http://stackoverflow.com/users/9012920", "chenrui Li")</f>
        <v>chenrui Li</v>
      </c>
      <c r="D15591" t="s">
        <v>25</v>
      </c>
      <c r="E15591">
        <v>1</v>
      </c>
    </row>
    <row r="15592" spans="1:5" x14ac:dyDescent="0.25">
      <c r="A15592">
        <v>15591</v>
      </c>
      <c r="B15592">
        <v>3597773</v>
      </c>
      <c r="C15592" s="1" t="str">
        <f>HYPERLINK("http://stackoverflow.com/users/3597773", "shawn")</f>
        <v>shawn</v>
      </c>
      <c r="D15592" t="s">
        <v>5</v>
      </c>
      <c r="E15592">
        <v>1</v>
      </c>
    </row>
    <row r="15593" spans="1:5" x14ac:dyDescent="0.25">
      <c r="A15593">
        <v>15592</v>
      </c>
      <c r="B15593">
        <v>10813634</v>
      </c>
      <c r="C15593" s="1" t="str">
        <f>HYPERLINK("http://stackoverflow.com/users/10813634", "tao yang")</f>
        <v>tao yang</v>
      </c>
      <c r="D15593" t="s">
        <v>4</v>
      </c>
      <c r="E15593">
        <v>1</v>
      </c>
    </row>
    <row r="15594" spans="1:5" x14ac:dyDescent="0.25">
      <c r="A15594">
        <v>15593</v>
      </c>
      <c r="B15594">
        <v>10813662</v>
      </c>
      <c r="C15594" s="1" t="str">
        <f>HYPERLINK("http://stackoverflow.com/users/10813662", "jie yang")</f>
        <v>jie yang</v>
      </c>
      <c r="D15594" t="s">
        <v>10</v>
      </c>
      <c r="E15594">
        <v>1</v>
      </c>
    </row>
    <row r="15595" spans="1:5" x14ac:dyDescent="0.25">
      <c r="A15595">
        <v>15594</v>
      </c>
      <c r="B15595">
        <v>10813874</v>
      </c>
      <c r="C15595" s="1" t="str">
        <f>HYPERLINK("http://stackoverflow.com/users/10813874", "zac")</f>
        <v>zac</v>
      </c>
      <c r="D15595" t="s">
        <v>7</v>
      </c>
      <c r="E15595">
        <v>1</v>
      </c>
    </row>
    <row r="15596" spans="1:5" x14ac:dyDescent="0.25">
      <c r="A15596">
        <v>15595</v>
      </c>
      <c r="B15596">
        <v>10813926</v>
      </c>
      <c r="C15596" s="1" t="str">
        <f>HYPERLINK("http://stackoverflow.com/users/10813926", "linxuan")</f>
        <v>linxuan</v>
      </c>
      <c r="D15596" t="s">
        <v>27</v>
      </c>
      <c r="E15596">
        <v>1</v>
      </c>
    </row>
    <row r="15597" spans="1:5" x14ac:dyDescent="0.25">
      <c r="A15597">
        <v>15596</v>
      </c>
      <c r="B15597">
        <v>10801598</v>
      </c>
      <c r="C15597" s="1" t="str">
        <f>HYPERLINK("http://stackoverflow.com/users/10801598", "Soku")</f>
        <v>Soku</v>
      </c>
      <c r="D15597" t="s">
        <v>55</v>
      </c>
      <c r="E15597">
        <v>1</v>
      </c>
    </row>
    <row r="15598" spans="1:5" x14ac:dyDescent="0.25">
      <c r="A15598">
        <v>15597</v>
      </c>
      <c r="B15598">
        <v>9003544</v>
      </c>
      <c r="C15598" s="1" t="str">
        <f>HYPERLINK("http://stackoverflow.com/users/9003544", "D.Joe")</f>
        <v>D.Joe</v>
      </c>
      <c r="D15598" t="s">
        <v>252</v>
      </c>
      <c r="E15598">
        <v>1</v>
      </c>
    </row>
    <row r="15599" spans="1:5" x14ac:dyDescent="0.25">
      <c r="A15599">
        <v>15598</v>
      </c>
      <c r="B15599">
        <v>7148981</v>
      </c>
      <c r="C15599" s="1" t="str">
        <f>HYPERLINK("http://stackoverflow.com/users/7148981", "Dong")</f>
        <v>Dong</v>
      </c>
      <c r="D15599" t="s">
        <v>7</v>
      </c>
      <c r="E15599">
        <v>1</v>
      </c>
    </row>
    <row r="15600" spans="1:5" x14ac:dyDescent="0.25">
      <c r="A15600">
        <v>15599</v>
      </c>
      <c r="B15600">
        <v>9006033</v>
      </c>
      <c r="C15600" s="1" t="str">
        <f>HYPERLINK("http://stackoverflow.com/users/9006033", "Neil Cai")</f>
        <v>Neil Cai</v>
      </c>
      <c r="D15600" t="s">
        <v>5</v>
      </c>
      <c r="E15600">
        <v>1</v>
      </c>
    </row>
    <row r="15601" spans="1:5" x14ac:dyDescent="0.25">
      <c r="A15601">
        <v>15600</v>
      </c>
      <c r="B15601">
        <v>9006273</v>
      </c>
      <c r="C15601" s="1" t="str">
        <f>HYPERLINK("http://stackoverflow.com/users/9006273", "Zane Q")</f>
        <v>Zane Q</v>
      </c>
      <c r="D15601" t="s">
        <v>57</v>
      </c>
      <c r="E15601">
        <v>1</v>
      </c>
    </row>
    <row r="15602" spans="1:5" x14ac:dyDescent="0.25">
      <c r="A15602">
        <v>15601</v>
      </c>
      <c r="B15602">
        <v>10805024</v>
      </c>
      <c r="C15602" s="1" t="str">
        <f>HYPERLINK("http://stackoverflow.com/users/10805024", "Guoxin Shao")</f>
        <v>Guoxin Shao</v>
      </c>
      <c r="D15602" t="s">
        <v>4</v>
      </c>
      <c r="E15602">
        <v>1</v>
      </c>
    </row>
    <row r="15603" spans="1:5" x14ac:dyDescent="0.25">
      <c r="A15603">
        <v>15602</v>
      </c>
      <c r="B15603">
        <v>10818659</v>
      </c>
      <c r="C15603" s="1" t="str">
        <f>HYPERLINK("http://stackoverflow.com/users/10818659", "freeskylover")</f>
        <v>freeskylover</v>
      </c>
      <c r="D15603" t="s">
        <v>25</v>
      </c>
      <c r="E15603">
        <v>1</v>
      </c>
    </row>
    <row r="15604" spans="1:5" x14ac:dyDescent="0.25">
      <c r="A15604">
        <v>15603</v>
      </c>
      <c r="B15604">
        <v>3604847</v>
      </c>
      <c r="C15604" s="1" t="str">
        <f>HYPERLINK("http://stackoverflow.com/users/3604847", "gisen_6")</f>
        <v>gisen_6</v>
      </c>
      <c r="D15604" t="s">
        <v>12</v>
      </c>
      <c r="E15604">
        <v>1</v>
      </c>
    </row>
    <row r="15605" spans="1:5" x14ac:dyDescent="0.25">
      <c r="A15605">
        <v>15604</v>
      </c>
      <c r="B15605">
        <v>7164393</v>
      </c>
      <c r="C15605" s="1" t="str">
        <f>HYPERLINK("http://stackoverflow.com/users/7164393", "Johnny Smith")</f>
        <v>Johnny Smith</v>
      </c>
      <c r="D15605" t="s">
        <v>4</v>
      </c>
      <c r="E15605">
        <v>1</v>
      </c>
    </row>
    <row r="15606" spans="1:5" x14ac:dyDescent="0.25">
      <c r="A15606">
        <v>15605</v>
      </c>
      <c r="B15606">
        <v>5412548</v>
      </c>
      <c r="C15606" s="1" t="str">
        <f>HYPERLINK("http://stackoverflow.com/users/5412548", "Ray Cai")</f>
        <v>Ray Cai</v>
      </c>
      <c r="D15606" t="s">
        <v>4</v>
      </c>
      <c r="E15606">
        <v>1</v>
      </c>
    </row>
    <row r="15607" spans="1:5" x14ac:dyDescent="0.25">
      <c r="A15607">
        <v>15606</v>
      </c>
      <c r="B15607">
        <v>5412667</v>
      </c>
      <c r="C15607" s="1" t="str">
        <f>HYPERLINK("http://stackoverflow.com/users/5412667", "Shawn Ding")</f>
        <v>Shawn Ding</v>
      </c>
      <c r="D15607" t="s">
        <v>7</v>
      </c>
      <c r="E15607">
        <v>1</v>
      </c>
    </row>
    <row r="15608" spans="1:5" x14ac:dyDescent="0.25">
      <c r="A15608">
        <v>15607</v>
      </c>
      <c r="B15608">
        <v>10823367</v>
      </c>
      <c r="C15608" s="1" t="str">
        <f>HYPERLINK("http://stackoverflow.com/users/10823367", "Leon Chan")</f>
        <v>Leon Chan</v>
      </c>
      <c r="D15608" t="s">
        <v>5</v>
      </c>
      <c r="E15608">
        <v>1</v>
      </c>
    </row>
    <row r="15609" spans="1:5" x14ac:dyDescent="0.25">
      <c r="A15609">
        <v>15608</v>
      </c>
      <c r="B15609">
        <v>10823466</v>
      </c>
      <c r="C15609" s="1" t="str">
        <f>HYPERLINK("http://stackoverflow.com/users/10823466", "Shui Mu")</f>
        <v>Shui Mu</v>
      </c>
      <c r="D15609" t="s">
        <v>62</v>
      </c>
      <c r="E15609">
        <v>1</v>
      </c>
    </row>
    <row r="15610" spans="1:5" x14ac:dyDescent="0.25">
      <c r="A15610">
        <v>15609</v>
      </c>
      <c r="B15610">
        <v>7157483</v>
      </c>
      <c r="C15610" s="1" t="str">
        <f>HYPERLINK("http://stackoverflow.com/users/7157483", "DHW.xiao")</f>
        <v>DHW.xiao</v>
      </c>
      <c r="D15610" t="s">
        <v>270</v>
      </c>
      <c r="E15610">
        <v>1</v>
      </c>
    </row>
    <row r="15611" spans="1:5" x14ac:dyDescent="0.25">
      <c r="A15611">
        <v>15610</v>
      </c>
      <c r="B15611">
        <v>7159984</v>
      </c>
      <c r="C15611" s="1" t="str">
        <f>HYPERLINK("http://stackoverflow.com/users/7159984", "dssocool")</f>
        <v>dssocool</v>
      </c>
      <c r="D15611" t="s">
        <v>4</v>
      </c>
      <c r="E15611">
        <v>1</v>
      </c>
    </row>
    <row r="15612" spans="1:5" x14ac:dyDescent="0.25">
      <c r="A15612">
        <v>15611</v>
      </c>
      <c r="B15612">
        <v>7160112</v>
      </c>
      <c r="C15612" s="1" t="str">
        <f>HYPERLINK("http://stackoverflow.com/users/7160112", "Drawn Yang")</f>
        <v>Drawn Yang</v>
      </c>
      <c r="D15612" t="s">
        <v>5</v>
      </c>
      <c r="E15612">
        <v>1</v>
      </c>
    </row>
    <row r="15613" spans="1:5" x14ac:dyDescent="0.25">
      <c r="A15613">
        <v>15612</v>
      </c>
      <c r="B15613">
        <v>9015207</v>
      </c>
      <c r="C15613" s="1" t="str">
        <f>HYPERLINK("http://stackoverflow.com/users/9015207", "Eli Bard")</f>
        <v>Eli Bard</v>
      </c>
      <c r="D15613" t="s">
        <v>131</v>
      </c>
      <c r="E15613">
        <v>1</v>
      </c>
    </row>
    <row r="15614" spans="1:5" x14ac:dyDescent="0.25">
      <c r="A15614">
        <v>15613</v>
      </c>
      <c r="B15614">
        <v>10818214</v>
      </c>
      <c r="C15614" s="1" t="str">
        <f>HYPERLINK("http://stackoverflow.com/users/10818214", "jih200")</f>
        <v>jih200</v>
      </c>
      <c r="D15614" t="s">
        <v>4</v>
      </c>
      <c r="E15614">
        <v>1</v>
      </c>
    </row>
    <row r="15615" spans="1:5" x14ac:dyDescent="0.25">
      <c r="A15615">
        <v>15614</v>
      </c>
      <c r="B15615">
        <v>1737249</v>
      </c>
      <c r="C15615" s="1" t="str">
        <f>HYPERLINK("http://stackoverflow.com/users/1737249", "Greg.Ge")</f>
        <v>Greg.Ge</v>
      </c>
      <c r="D15615" t="s">
        <v>4</v>
      </c>
      <c r="E15615">
        <v>1</v>
      </c>
    </row>
    <row r="15616" spans="1:5" x14ac:dyDescent="0.25">
      <c r="A15616">
        <v>15615</v>
      </c>
      <c r="B15616">
        <v>3555997</v>
      </c>
      <c r="C15616" s="1" t="str">
        <f>HYPERLINK("http://stackoverflow.com/users/3555997", "Liang Chen")</f>
        <v>Liang Chen</v>
      </c>
      <c r="D15616" t="s">
        <v>5</v>
      </c>
      <c r="E15616">
        <v>1</v>
      </c>
    </row>
    <row r="15617" spans="1:5" x14ac:dyDescent="0.25">
      <c r="A15617">
        <v>15616</v>
      </c>
      <c r="B15617">
        <v>3571927</v>
      </c>
      <c r="C15617" s="1" t="str">
        <f>HYPERLINK("http://stackoverflow.com/users/3571927", "morepenn")</f>
        <v>morepenn</v>
      </c>
      <c r="D15617" t="s">
        <v>5</v>
      </c>
      <c r="E15617">
        <v>1</v>
      </c>
    </row>
    <row r="15618" spans="1:5" x14ac:dyDescent="0.25">
      <c r="A15618">
        <v>15617</v>
      </c>
      <c r="B15618">
        <v>1754922</v>
      </c>
      <c r="C15618" s="1" t="str">
        <f>HYPERLINK("http://stackoverflow.com/users/1754922", "wuxj9531")</f>
        <v>wuxj9531</v>
      </c>
      <c r="D15618" t="s">
        <v>16</v>
      </c>
      <c r="E15618">
        <v>1</v>
      </c>
    </row>
    <row r="15619" spans="1:5" x14ac:dyDescent="0.25">
      <c r="A15619">
        <v>15618</v>
      </c>
      <c r="B15619">
        <v>1755027</v>
      </c>
      <c r="C15619" s="1" t="str">
        <f>HYPERLINK("http://stackoverflow.com/users/1755027", "farseer2012")</f>
        <v>farseer2012</v>
      </c>
      <c r="D15619" t="s">
        <v>4</v>
      </c>
      <c r="E15619">
        <v>1</v>
      </c>
    </row>
    <row r="15620" spans="1:5" x14ac:dyDescent="0.25">
      <c r="A15620">
        <v>15619</v>
      </c>
      <c r="B15620">
        <v>1755402</v>
      </c>
      <c r="C15620" s="1" t="str">
        <f>HYPERLINK("http://stackoverflow.com/users/1755402", "Jammie")</f>
        <v>Jammie</v>
      </c>
      <c r="D15620" t="s">
        <v>4</v>
      </c>
      <c r="E15620">
        <v>1</v>
      </c>
    </row>
    <row r="15621" spans="1:5" x14ac:dyDescent="0.25">
      <c r="A15621">
        <v>15620</v>
      </c>
      <c r="B15621">
        <v>1755599</v>
      </c>
      <c r="C15621" s="1" t="str">
        <f>HYPERLINK("http://stackoverflow.com/users/1755599", "Jenray")</f>
        <v>Jenray</v>
      </c>
      <c r="D15621" t="s">
        <v>5</v>
      </c>
      <c r="E15621">
        <v>1</v>
      </c>
    </row>
    <row r="15622" spans="1:5" x14ac:dyDescent="0.25">
      <c r="A15622">
        <v>15621</v>
      </c>
      <c r="B15622">
        <v>10789425</v>
      </c>
      <c r="C15622" s="1" t="str">
        <f>HYPERLINK("http://stackoverflow.com/users/10789425", "li wang")</f>
        <v>li wang</v>
      </c>
      <c r="D15622" t="s">
        <v>4</v>
      </c>
      <c r="E15622">
        <v>1</v>
      </c>
    </row>
    <row r="15623" spans="1:5" x14ac:dyDescent="0.25">
      <c r="A15623">
        <v>15622</v>
      </c>
      <c r="B15623">
        <v>8990369</v>
      </c>
      <c r="C15623" s="1" t="str">
        <f>HYPERLINK("http://stackoverflow.com/users/8990369", "Jason")</f>
        <v>Jason</v>
      </c>
      <c r="D15623" t="s">
        <v>7</v>
      </c>
      <c r="E15623">
        <v>1</v>
      </c>
    </row>
    <row r="15624" spans="1:5" x14ac:dyDescent="0.25">
      <c r="A15624">
        <v>15623</v>
      </c>
      <c r="B15624">
        <v>10783810</v>
      </c>
      <c r="C15624" s="1" t="str">
        <f>HYPERLINK("http://stackoverflow.com/users/10783810", "HuangYao")</f>
        <v>HuangYao</v>
      </c>
      <c r="D15624" t="s">
        <v>4</v>
      </c>
      <c r="E15624">
        <v>1</v>
      </c>
    </row>
    <row r="15625" spans="1:5" x14ac:dyDescent="0.25">
      <c r="A15625">
        <v>15624</v>
      </c>
      <c r="B15625">
        <v>10783887</v>
      </c>
      <c r="C15625" s="1" t="str">
        <f>HYPERLINK("http://stackoverflow.com/users/10783887", "Wang Allie")</f>
        <v>Wang Allie</v>
      </c>
      <c r="D15625" t="s">
        <v>5</v>
      </c>
      <c r="E15625">
        <v>1</v>
      </c>
    </row>
    <row r="15626" spans="1:5" x14ac:dyDescent="0.25">
      <c r="A15626">
        <v>15625</v>
      </c>
      <c r="B15626">
        <v>10783949</v>
      </c>
      <c r="C15626" s="1" t="str">
        <f>HYPERLINK("http://stackoverflow.com/users/10783949", "panels")</f>
        <v>panels</v>
      </c>
      <c r="D15626" t="s">
        <v>730</v>
      </c>
      <c r="E15626">
        <v>1</v>
      </c>
    </row>
    <row r="15627" spans="1:5" x14ac:dyDescent="0.25">
      <c r="A15627">
        <v>15626</v>
      </c>
      <c r="B15627">
        <v>7145103</v>
      </c>
      <c r="C15627" s="1" t="str">
        <f>HYPERLINK("http://stackoverflow.com/users/7145103", "Mr.V")</f>
        <v>Mr.V</v>
      </c>
      <c r="D15627" t="s">
        <v>193</v>
      </c>
      <c r="E15627">
        <v>1</v>
      </c>
    </row>
    <row r="15628" spans="1:5" x14ac:dyDescent="0.25">
      <c r="A15628">
        <v>15627</v>
      </c>
      <c r="B15628">
        <v>10797042</v>
      </c>
      <c r="C15628" s="1" t="str">
        <f>HYPERLINK("http://stackoverflow.com/users/10797042", "guyunzhe")</f>
        <v>guyunzhe</v>
      </c>
      <c r="D15628" t="s">
        <v>108</v>
      </c>
      <c r="E15628">
        <v>1</v>
      </c>
    </row>
    <row r="15629" spans="1:5" x14ac:dyDescent="0.25">
      <c r="A15629">
        <v>15628</v>
      </c>
      <c r="B15629">
        <v>10797237</v>
      </c>
      <c r="C15629" s="1" t="str">
        <f>HYPERLINK("http://stackoverflow.com/users/10797237", "huxiao1999")</f>
        <v>huxiao1999</v>
      </c>
      <c r="D15629" t="s">
        <v>8</v>
      </c>
      <c r="E15629">
        <v>1</v>
      </c>
    </row>
    <row r="15630" spans="1:5" x14ac:dyDescent="0.25">
      <c r="A15630">
        <v>15629</v>
      </c>
      <c r="B15630">
        <v>5391583</v>
      </c>
      <c r="C15630" s="1" t="str">
        <f>HYPERLINK("http://stackoverflow.com/users/5391583", "Yicun Chen")</f>
        <v>Yicun Chen</v>
      </c>
      <c r="D15630" t="s">
        <v>4</v>
      </c>
      <c r="E15630">
        <v>1</v>
      </c>
    </row>
    <row r="15631" spans="1:5" x14ac:dyDescent="0.25">
      <c r="A15631">
        <v>15630</v>
      </c>
      <c r="B15631">
        <v>5391591</v>
      </c>
      <c r="C15631" s="1" t="str">
        <f>HYPERLINK("http://stackoverflow.com/users/5391591", "Voleking")</f>
        <v>Voleking</v>
      </c>
      <c r="D15631" t="s">
        <v>5</v>
      </c>
      <c r="E15631">
        <v>1</v>
      </c>
    </row>
    <row r="15632" spans="1:5" x14ac:dyDescent="0.25">
      <c r="A15632">
        <v>15631</v>
      </c>
      <c r="B15632">
        <v>5391757</v>
      </c>
      <c r="C15632" s="1" t="str">
        <f>HYPERLINK("http://stackoverflow.com/users/5391757", "Liang Xu")</f>
        <v>Liang Xu</v>
      </c>
      <c r="D15632" t="s">
        <v>4</v>
      </c>
      <c r="E15632">
        <v>1</v>
      </c>
    </row>
    <row r="15633" spans="1:5" x14ac:dyDescent="0.25">
      <c r="A15633">
        <v>15632</v>
      </c>
      <c r="B15633">
        <v>10793414</v>
      </c>
      <c r="C15633" s="1" t="str">
        <f>HYPERLINK("http://stackoverflow.com/users/10793414", "yujie6")</f>
        <v>yujie6</v>
      </c>
      <c r="D15633" t="s">
        <v>4</v>
      </c>
      <c r="E15633">
        <v>1</v>
      </c>
    </row>
    <row r="15634" spans="1:5" x14ac:dyDescent="0.25">
      <c r="A15634">
        <v>15633</v>
      </c>
      <c r="B15634">
        <v>8991175</v>
      </c>
      <c r="C15634" s="1" t="str">
        <f>HYPERLINK("http://stackoverflow.com/users/8991175", "Cheng Xue")</f>
        <v>Cheng Xue</v>
      </c>
      <c r="D15634" t="s">
        <v>7</v>
      </c>
      <c r="E15634">
        <v>1</v>
      </c>
    </row>
    <row r="15635" spans="1:5" x14ac:dyDescent="0.25">
      <c r="A15635">
        <v>15634</v>
      </c>
      <c r="B15635">
        <v>3585603</v>
      </c>
      <c r="C15635" s="1" t="str">
        <f>HYPERLINK("http://stackoverflow.com/users/3585603", "栈小卫")</f>
        <v>栈小卫</v>
      </c>
      <c r="D15635" t="s">
        <v>4</v>
      </c>
      <c r="E15635">
        <v>1</v>
      </c>
    </row>
    <row r="15636" spans="1:5" x14ac:dyDescent="0.25">
      <c r="A15636">
        <v>15635</v>
      </c>
      <c r="B15636">
        <v>8995706</v>
      </c>
      <c r="C15636" s="1" t="str">
        <f>HYPERLINK("http://stackoverflow.com/users/8995706", "akgang")</f>
        <v>akgang</v>
      </c>
      <c r="D15636" t="s">
        <v>5</v>
      </c>
      <c r="E15636">
        <v>1</v>
      </c>
    </row>
    <row r="15637" spans="1:5" x14ac:dyDescent="0.25">
      <c r="A15637">
        <v>15636</v>
      </c>
      <c r="B15637">
        <v>7104800</v>
      </c>
      <c r="C15637" s="1" t="str">
        <f>HYPERLINK("http://stackoverflow.com/users/7104800", "Wagner Hsu")</f>
        <v>Wagner Hsu</v>
      </c>
      <c r="D15637" t="s">
        <v>4</v>
      </c>
      <c r="E15637">
        <v>1</v>
      </c>
    </row>
    <row r="15638" spans="1:5" x14ac:dyDescent="0.25">
      <c r="A15638">
        <v>15637</v>
      </c>
      <c r="B15638">
        <v>10750373</v>
      </c>
      <c r="C15638" s="1" t="str">
        <f>HYPERLINK("http://stackoverflow.com/users/10750373", "Yuwen")</f>
        <v>Yuwen</v>
      </c>
      <c r="D15638" t="s">
        <v>5</v>
      </c>
      <c r="E15638">
        <v>1</v>
      </c>
    </row>
    <row r="15639" spans="1:5" x14ac:dyDescent="0.25">
      <c r="A15639">
        <v>15638</v>
      </c>
      <c r="B15639">
        <v>3535202</v>
      </c>
      <c r="C15639" s="1" t="str">
        <f>HYPERLINK("http://stackoverflow.com/users/3535202", "Gerald")</f>
        <v>Gerald</v>
      </c>
      <c r="D15639" t="s">
        <v>4</v>
      </c>
      <c r="E15639">
        <v>1</v>
      </c>
    </row>
    <row r="15640" spans="1:5" x14ac:dyDescent="0.25">
      <c r="A15640">
        <v>15639</v>
      </c>
      <c r="B15640">
        <v>8936404</v>
      </c>
      <c r="C15640" s="1" t="str">
        <f>HYPERLINK("http://stackoverflow.com/users/8936404", "Krad Zhang")</f>
        <v>Krad Zhang</v>
      </c>
      <c r="D15640" t="s">
        <v>7</v>
      </c>
      <c r="E15640">
        <v>1</v>
      </c>
    </row>
    <row r="15641" spans="1:5" x14ac:dyDescent="0.25">
      <c r="A15641">
        <v>15640</v>
      </c>
      <c r="B15641">
        <v>8936406</v>
      </c>
      <c r="C15641" s="1" t="str">
        <f>HYPERLINK("http://stackoverflow.com/users/8936406", "Josaber")</f>
        <v>Josaber</v>
      </c>
      <c r="D15641" t="s">
        <v>131</v>
      </c>
      <c r="E15641">
        <v>1</v>
      </c>
    </row>
    <row r="15642" spans="1:5" x14ac:dyDescent="0.25">
      <c r="A15642">
        <v>15641</v>
      </c>
      <c r="B15642">
        <v>5346465</v>
      </c>
      <c r="C15642" s="1" t="str">
        <f>HYPERLINK("http://stackoverflow.com/users/5346465", "H.DXY")</f>
        <v>H.DXY</v>
      </c>
      <c r="D15642" t="s">
        <v>5</v>
      </c>
      <c r="E15642">
        <v>1</v>
      </c>
    </row>
    <row r="15643" spans="1:5" x14ac:dyDescent="0.25">
      <c r="A15643">
        <v>15642</v>
      </c>
      <c r="B15643">
        <v>5346479</v>
      </c>
      <c r="C15643" s="1" t="str">
        <f>HYPERLINK("http://stackoverflow.com/users/5346479", "X. Cheng")</f>
        <v>X. Cheng</v>
      </c>
      <c r="D15643" t="s">
        <v>37</v>
      </c>
      <c r="E15643">
        <v>1</v>
      </c>
    </row>
    <row r="15644" spans="1:5" x14ac:dyDescent="0.25">
      <c r="A15644">
        <v>15643</v>
      </c>
      <c r="B15644">
        <v>3534521</v>
      </c>
      <c r="C15644" s="1" t="str">
        <f>HYPERLINK("http://stackoverflow.com/users/3534521", "blueslee")</f>
        <v>blueslee</v>
      </c>
      <c r="D15644" t="s">
        <v>4</v>
      </c>
      <c r="E15644">
        <v>1</v>
      </c>
    </row>
    <row r="15645" spans="1:5" x14ac:dyDescent="0.25">
      <c r="A15645">
        <v>15644</v>
      </c>
      <c r="B15645">
        <v>3534847</v>
      </c>
      <c r="C15645" s="1" t="str">
        <f>HYPERLINK("http://stackoverflow.com/users/3534847", "cokefish")</f>
        <v>cokefish</v>
      </c>
      <c r="D15645" t="s">
        <v>5</v>
      </c>
      <c r="E15645">
        <v>1</v>
      </c>
    </row>
    <row r="15646" spans="1:5" x14ac:dyDescent="0.25">
      <c r="A15646">
        <v>15645</v>
      </c>
      <c r="B15646">
        <v>3523532</v>
      </c>
      <c r="C15646" s="1" t="str">
        <f>HYPERLINK("http://stackoverflow.com/users/3523532", "Alina")</f>
        <v>Alina</v>
      </c>
      <c r="D15646" t="s">
        <v>59</v>
      </c>
      <c r="E15646">
        <v>1</v>
      </c>
    </row>
    <row r="15647" spans="1:5" x14ac:dyDescent="0.25">
      <c r="A15647">
        <v>15646</v>
      </c>
      <c r="B15647">
        <v>8924030</v>
      </c>
      <c r="C15647" s="1" t="str">
        <f>HYPERLINK("http://stackoverflow.com/users/8924030", "gustave4u")</f>
        <v>gustave4u</v>
      </c>
      <c r="D15647" t="s">
        <v>131</v>
      </c>
      <c r="E15647">
        <v>1</v>
      </c>
    </row>
    <row r="15648" spans="1:5" x14ac:dyDescent="0.25">
      <c r="A15648">
        <v>15647</v>
      </c>
      <c r="B15648">
        <v>7089580</v>
      </c>
      <c r="C15648" s="1" t="str">
        <f>HYPERLINK("http://stackoverflow.com/users/7089580", "CubeSugarZhang")</f>
        <v>CubeSugarZhang</v>
      </c>
      <c r="D15648" t="s">
        <v>193</v>
      </c>
      <c r="E15648">
        <v>1</v>
      </c>
    </row>
    <row r="15649" spans="1:5" x14ac:dyDescent="0.25">
      <c r="A15649">
        <v>15648</v>
      </c>
      <c r="B15649">
        <v>1706393</v>
      </c>
      <c r="C15649" s="1" t="str">
        <f>HYPERLINK("http://stackoverflow.com/users/1706393", "Incumbent")</f>
        <v>Incumbent</v>
      </c>
      <c r="D15649" t="s">
        <v>3</v>
      </c>
      <c r="E15649">
        <v>1</v>
      </c>
    </row>
    <row r="15650" spans="1:5" x14ac:dyDescent="0.25">
      <c r="A15650">
        <v>15649</v>
      </c>
      <c r="B15650">
        <v>8928065</v>
      </c>
      <c r="C15650" s="1" t="str">
        <f>HYPERLINK("http://stackoverflow.com/users/8928065", "Dylan Cheung")</f>
        <v>Dylan Cheung</v>
      </c>
      <c r="D15650" t="s">
        <v>25</v>
      </c>
      <c r="E15650">
        <v>1</v>
      </c>
    </row>
    <row r="15651" spans="1:5" x14ac:dyDescent="0.25">
      <c r="A15651">
        <v>15650</v>
      </c>
      <c r="B15651">
        <v>10762904</v>
      </c>
      <c r="C15651" s="1" t="str">
        <f>HYPERLINK("http://stackoverflow.com/users/10762904", "张书豪")</f>
        <v>张书豪</v>
      </c>
      <c r="D15651" t="s">
        <v>108</v>
      </c>
      <c r="E15651">
        <v>1</v>
      </c>
    </row>
    <row r="15652" spans="1:5" x14ac:dyDescent="0.25">
      <c r="A15652">
        <v>15651</v>
      </c>
      <c r="B15652">
        <v>8953714</v>
      </c>
      <c r="C15652" s="1" t="str">
        <f>HYPERLINK("http://stackoverflow.com/users/8953714", "劉乃慈")</f>
        <v>劉乃慈</v>
      </c>
      <c r="D15652" t="s">
        <v>5</v>
      </c>
      <c r="E15652">
        <v>1</v>
      </c>
    </row>
    <row r="15653" spans="1:5" x14ac:dyDescent="0.25">
      <c r="A15653">
        <v>15652</v>
      </c>
      <c r="B15653">
        <v>3551394</v>
      </c>
      <c r="C15653" s="1" t="str">
        <f>HYPERLINK("http://stackoverflow.com/users/3551394", "hknakata")</f>
        <v>hknakata</v>
      </c>
      <c r="D15653" t="s">
        <v>49</v>
      </c>
      <c r="E15653">
        <v>1</v>
      </c>
    </row>
    <row r="15654" spans="1:5" x14ac:dyDescent="0.25">
      <c r="A15654">
        <v>15653</v>
      </c>
      <c r="B15654">
        <v>3551813</v>
      </c>
      <c r="C15654" s="1" t="str">
        <f>HYPERLINK("http://stackoverflow.com/users/3551813", "panda_Mo")</f>
        <v>panda_Mo</v>
      </c>
      <c r="D15654" t="s">
        <v>5</v>
      </c>
      <c r="E15654">
        <v>1</v>
      </c>
    </row>
    <row r="15655" spans="1:5" x14ac:dyDescent="0.25">
      <c r="A15655">
        <v>15654</v>
      </c>
      <c r="B15655">
        <v>7111188</v>
      </c>
      <c r="C15655" s="1" t="str">
        <f>HYPERLINK("http://stackoverflow.com/users/7111188", "Ethanonfire")</f>
        <v>Ethanonfire</v>
      </c>
      <c r="D15655" t="s">
        <v>5</v>
      </c>
      <c r="E15655">
        <v>1</v>
      </c>
    </row>
    <row r="15656" spans="1:5" x14ac:dyDescent="0.25">
      <c r="A15656">
        <v>15655</v>
      </c>
      <c r="B15656">
        <v>7111610</v>
      </c>
      <c r="C15656" s="1" t="str">
        <f>HYPERLINK("http://stackoverflow.com/users/7111610", "Frank Jiang")</f>
        <v>Frank Jiang</v>
      </c>
      <c r="D15656" t="s">
        <v>5</v>
      </c>
      <c r="E15656">
        <v>1</v>
      </c>
    </row>
    <row r="15657" spans="1:5" x14ac:dyDescent="0.25">
      <c r="A15657">
        <v>15656</v>
      </c>
      <c r="B15657">
        <v>10758586</v>
      </c>
      <c r="C15657" s="1" t="str">
        <f>HYPERLINK("http://stackoverflow.com/users/10758586", "permagnet")</f>
        <v>permagnet</v>
      </c>
      <c r="D15657" t="s">
        <v>861</v>
      </c>
      <c r="E15657">
        <v>1</v>
      </c>
    </row>
    <row r="15658" spans="1:5" x14ac:dyDescent="0.25">
      <c r="A15658">
        <v>15657</v>
      </c>
      <c r="B15658">
        <v>7107954</v>
      </c>
      <c r="C15658" s="1" t="str">
        <f>HYPERLINK("http://stackoverflow.com/users/7107954", "ObjectNotFound")</f>
        <v>ObjectNotFound</v>
      </c>
      <c r="D15658" t="s">
        <v>4</v>
      </c>
      <c r="E15658">
        <v>1</v>
      </c>
    </row>
    <row r="15659" spans="1:5" x14ac:dyDescent="0.25">
      <c r="A15659">
        <v>15658</v>
      </c>
      <c r="B15659">
        <v>8949203</v>
      </c>
      <c r="C15659" s="1" t="str">
        <f>HYPERLINK("http://stackoverflow.com/users/8949203", "Runlai Deng")</f>
        <v>Runlai Deng</v>
      </c>
      <c r="D15659" t="s">
        <v>7</v>
      </c>
      <c r="E15659">
        <v>1</v>
      </c>
    </row>
    <row r="15660" spans="1:5" x14ac:dyDescent="0.25">
      <c r="A15660">
        <v>15659</v>
      </c>
      <c r="B15660">
        <v>3547785</v>
      </c>
      <c r="C15660" s="1" t="str">
        <f>HYPERLINK("http://stackoverflow.com/users/3547785", "Liuzhengyang")</f>
        <v>Liuzhengyang</v>
      </c>
      <c r="D15660" t="s">
        <v>5</v>
      </c>
      <c r="E15660">
        <v>1</v>
      </c>
    </row>
    <row r="15661" spans="1:5" x14ac:dyDescent="0.25">
      <c r="A15661">
        <v>15660</v>
      </c>
      <c r="B15661">
        <v>3543745</v>
      </c>
      <c r="C15661" s="1" t="str">
        <f>HYPERLINK("http://stackoverflow.com/users/3543745", "Nagiur Rahaman")</f>
        <v>Nagiur Rahaman</v>
      </c>
      <c r="D15661" t="s">
        <v>269</v>
      </c>
      <c r="E15661">
        <v>1</v>
      </c>
    </row>
    <row r="15662" spans="1:5" x14ac:dyDescent="0.25">
      <c r="A15662">
        <v>15661</v>
      </c>
      <c r="B15662">
        <v>3543980</v>
      </c>
      <c r="C15662" s="1" t="str">
        <f>HYPERLINK("http://stackoverflow.com/users/3543980", "Jeffery MA")</f>
        <v>Jeffery MA</v>
      </c>
      <c r="D15662" t="s">
        <v>822</v>
      </c>
      <c r="E15662">
        <v>1</v>
      </c>
    </row>
    <row r="15663" spans="1:5" x14ac:dyDescent="0.25">
      <c r="A15663">
        <v>15662</v>
      </c>
      <c r="B15663">
        <v>10779713</v>
      </c>
      <c r="C15663" s="1" t="str">
        <f>HYPERLINK("http://stackoverflow.com/users/10779713", "kevin fu")</f>
        <v>kevin fu</v>
      </c>
      <c r="D15663" t="s">
        <v>7</v>
      </c>
      <c r="E15663">
        <v>1</v>
      </c>
    </row>
    <row r="15664" spans="1:5" x14ac:dyDescent="0.25">
      <c r="A15664">
        <v>15663</v>
      </c>
      <c r="B15664">
        <v>10779789</v>
      </c>
      <c r="C15664" s="1" t="str">
        <f>HYPERLINK("http://stackoverflow.com/users/10779789", "WEN Hao")</f>
        <v>WEN Hao</v>
      </c>
      <c r="D15664" t="s">
        <v>5</v>
      </c>
      <c r="E15664">
        <v>1</v>
      </c>
    </row>
    <row r="15665" spans="1:5" x14ac:dyDescent="0.25">
      <c r="A15665">
        <v>15664</v>
      </c>
      <c r="B15665">
        <v>10779836</v>
      </c>
      <c r="C15665" s="1" t="str">
        <f>HYPERLINK("http://stackoverflow.com/users/10779836", "boxss")</f>
        <v>boxss</v>
      </c>
      <c r="D15665" t="s">
        <v>458</v>
      </c>
      <c r="E15665">
        <v>1</v>
      </c>
    </row>
    <row r="15666" spans="1:5" x14ac:dyDescent="0.25">
      <c r="A15666">
        <v>15665</v>
      </c>
      <c r="B15666">
        <v>8975933</v>
      </c>
      <c r="C15666" s="1" t="str">
        <f>HYPERLINK("http://stackoverflow.com/users/8975933", "user8975933")</f>
        <v>user8975933</v>
      </c>
      <c r="D15666" t="s">
        <v>55</v>
      </c>
      <c r="E15666">
        <v>1</v>
      </c>
    </row>
    <row r="15667" spans="1:5" x14ac:dyDescent="0.25">
      <c r="A15667">
        <v>15666</v>
      </c>
      <c r="B15667">
        <v>8975967</v>
      </c>
      <c r="C15667" s="1" t="str">
        <f>HYPERLINK("http://stackoverflow.com/users/8975967", "王淀文")</f>
        <v>王淀文</v>
      </c>
      <c r="D15667" t="s">
        <v>5</v>
      </c>
      <c r="E15667">
        <v>1</v>
      </c>
    </row>
    <row r="15668" spans="1:5" x14ac:dyDescent="0.25">
      <c r="A15668">
        <v>15667</v>
      </c>
      <c r="B15668">
        <v>3571745</v>
      </c>
      <c r="C15668" s="1" t="str">
        <f>HYPERLINK("http://stackoverflow.com/users/3571745", "kevinojt")</f>
        <v>kevinojt</v>
      </c>
      <c r="D15668" t="s">
        <v>21</v>
      </c>
      <c r="E15668">
        <v>1</v>
      </c>
    </row>
    <row r="15669" spans="1:5" x14ac:dyDescent="0.25">
      <c r="A15669">
        <v>15668</v>
      </c>
      <c r="B15669">
        <v>3556509</v>
      </c>
      <c r="C15669" s="1" t="str">
        <f>HYPERLINK("http://stackoverflow.com/users/3556509", "MyRe")</f>
        <v>MyRe</v>
      </c>
      <c r="D15669" t="s">
        <v>47</v>
      </c>
      <c r="E15669">
        <v>1</v>
      </c>
    </row>
    <row r="15670" spans="1:5" x14ac:dyDescent="0.25">
      <c r="A15670">
        <v>15669</v>
      </c>
      <c r="B15670">
        <v>7122290</v>
      </c>
      <c r="C15670" s="1" t="str">
        <f>HYPERLINK("http://stackoverflow.com/users/7122290", "张佳亮")</f>
        <v>张佳亮</v>
      </c>
      <c r="D15670" t="s">
        <v>862</v>
      </c>
      <c r="E15670">
        <v>1</v>
      </c>
    </row>
    <row r="15671" spans="1:5" x14ac:dyDescent="0.25">
      <c r="A15671">
        <v>15670</v>
      </c>
      <c r="B15671">
        <v>7122801</v>
      </c>
      <c r="C15671" s="1" t="str">
        <f>HYPERLINK("http://stackoverflow.com/users/7122801", "David Mutabazi")</f>
        <v>David Mutabazi</v>
      </c>
      <c r="D15671" t="s">
        <v>28</v>
      </c>
      <c r="E15671">
        <v>1</v>
      </c>
    </row>
    <row r="15672" spans="1:5" x14ac:dyDescent="0.25">
      <c r="A15672">
        <v>15671</v>
      </c>
      <c r="B15672">
        <v>8962291</v>
      </c>
      <c r="C15672" s="1" t="str">
        <f>HYPERLINK("http://stackoverflow.com/users/8962291", "du tongtie")</f>
        <v>du tongtie</v>
      </c>
      <c r="D15672" t="s">
        <v>16</v>
      </c>
      <c r="E15672">
        <v>1</v>
      </c>
    </row>
    <row r="15673" spans="1:5" x14ac:dyDescent="0.25">
      <c r="A15673">
        <v>15672</v>
      </c>
      <c r="B15673">
        <v>3560337</v>
      </c>
      <c r="C15673" s="1" t="str">
        <f>HYPERLINK("http://stackoverflow.com/users/3560337", "chiafei")</f>
        <v>chiafei</v>
      </c>
      <c r="D15673" t="s">
        <v>5</v>
      </c>
      <c r="E15673">
        <v>1</v>
      </c>
    </row>
    <row r="15674" spans="1:5" x14ac:dyDescent="0.25">
      <c r="A15674">
        <v>15673</v>
      </c>
      <c r="B15674">
        <v>3560890</v>
      </c>
      <c r="C15674" s="1" t="str">
        <f>HYPERLINK("http://stackoverflow.com/users/3560890", "Norsie")</f>
        <v>Norsie</v>
      </c>
      <c r="D15674" t="s">
        <v>12</v>
      </c>
      <c r="E15674">
        <v>1</v>
      </c>
    </row>
    <row r="15675" spans="1:5" x14ac:dyDescent="0.25">
      <c r="A15675">
        <v>15674</v>
      </c>
      <c r="B15675">
        <v>7125396</v>
      </c>
      <c r="C15675" s="1" t="str">
        <f>HYPERLINK("http://stackoverflow.com/users/7125396", "Libin Yang")</f>
        <v>Libin Yang</v>
      </c>
      <c r="D15675" t="s">
        <v>4</v>
      </c>
      <c r="E15675">
        <v>1</v>
      </c>
    </row>
    <row r="15676" spans="1:5" x14ac:dyDescent="0.25">
      <c r="A15676">
        <v>15675</v>
      </c>
      <c r="B15676">
        <v>3564547</v>
      </c>
      <c r="C15676" s="1" t="str">
        <f>HYPERLINK("http://stackoverflow.com/users/3564547", "xingxing")</f>
        <v>xingxing</v>
      </c>
      <c r="D15676" t="s">
        <v>863</v>
      </c>
      <c r="E15676">
        <v>1</v>
      </c>
    </row>
    <row r="15677" spans="1:5" x14ac:dyDescent="0.25">
      <c r="A15677">
        <v>15676</v>
      </c>
      <c r="B15677">
        <v>10776019</v>
      </c>
      <c r="C15677" s="1" t="str">
        <f>HYPERLINK("http://stackoverflow.com/users/10776019", "Trumpet")</f>
        <v>Trumpet</v>
      </c>
      <c r="D15677" t="s">
        <v>5</v>
      </c>
      <c r="E15677">
        <v>1</v>
      </c>
    </row>
    <row r="15678" spans="1:5" x14ac:dyDescent="0.25">
      <c r="A15678">
        <v>15677</v>
      </c>
      <c r="B15678">
        <v>8970026</v>
      </c>
      <c r="C15678" s="1" t="str">
        <f>HYPERLINK("http://stackoverflow.com/users/8970026", "KevinJiang")</f>
        <v>KevinJiang</v>
      </c>
      <c r="D15678" t="s">
        <v>29</v>
      </c>
      <c r="E15678">
        <v>1</v>
      </c>
    </row>
    <row r="15679" spans="1:5" x14ac:dyDescent="0.25">
      <c r="A15679">
        <v>15678</v>
      </c>
      <c r="B15679">
        <v>8970076</v>
      </c>
      <c r="C15679" s="1" t="str">
        <f>HYPERLINK("http://stackoverflow.com/users/8970076", "Tong Zhang")</f>
        <v>Tong Zhang</v>
      </c>
      <c r="D15679" t="s">
        <v>266</v>
      </c>
      <c r="E15679">
        <v>1</v>
      </c>
    </row>
    <row r="15680" spans="1:5" x14ac:dyDescent="0.25">
      <c r="A15680">
        <v>15679</v>
      </c>
      <c r="B15680">
        <v>7107635</v>
      </c>
      <c r="C15680" s="1" t="str">
        <f>HYPERLINK("http://stackoverflow.com/users/7107635", "powderman")</f>
        <v>powderman</v>
      </c>
      <c r="D15680" t="s">
        <v>16</v>
      </c>
      <c r="E15680">
        <v>1</v>
      </c>
    </row>
    <row r="15681" spans="1:5" x14ac:dyDescent="0.25">
      <c r="A15681">
        <v>15680</v>
      </c>
      <c r="B15681">
        <v>5357915</v>
      </c>
      <c r="C15681" s="1" t="str">
        <f>HYPERLINK("http://stackoverflow.com/users/5357915", "mo6off")</f>
        <v>mo6off</v>
      </c>
      <c r="D15681" t="s">
        <v>57</v>
      </c>
      <c r="E15681">
        <v>1</v>
      </c>
    </row>
    <row r="15682" spans="1:5" x14ac:dyDescent="0.25">
      <c r="A15682">
        <v>15681</v>
      </c>
      <c r="B15682">
        <v>5357828</v>
      </c>
      <c r="C15682" s="1" t="str">
        <f>HYPERLINK("http://stackoverflow.com/users/5357828", "Frand")</f>
        <v>Frand</v>
      </c>
      <c r="D15682" t="s">
        <v>12</v>
      </c>
      <c r="E15682">
        <v>1</v>
      </c>
    </row>
    <row r="15683" spans="1:5" x14ac:dyDescent="0.25">
      <c r="A15683">
        <v>15682</v>
      </c>
      <c r="B15683">
        <v>7118552</v>
      </c>
      <c r="C15683" s="1" t="str">
        <f>HYPERLINK("http://stackoverflow.com/users/7118552", "Jin Wei")</f>
        <v>Jin Wei</v>
      </c>
      <c r="D15683" t="s">
        <v>55</v>
      </c>
      <c r="E15683">
        <v>1</v>
      </c>
    </row>
    <row r="15684" spans="1:5" x14ac:dyDescent="0.25">
      <c r="A15684">
        <v>15683</v>
      </c>
      <c r="B15684">
        <v>7118682</v>
      </c>
      <c r="C15684" s="1" t="str">
        <f>HYPERLINK("http://stackoverflow.com/users/7118682", "Gelbert")</f>
        <v>Gelbert</v>
      </c>
      <c r="D15684" t="s">
        <v>91</v>
      </c>
      <c r="E15684">
        <v>1</v>
      </c>
    </row>
    <row r="15685" spans="1:5" x14ac:dyDescent="0.25">
      <c r="A15685">
        <v>15684</v>
      </c>
      <c r="B15685">
        <v>3555657</v>
      </c>
      <c r="C15685" s="1" t="str">
        <f>HYPERLINK("http://stackoverflow.com/users/3555657", "tanwon")</f>
        <v>tanwon</v>
      </c>
      <c r="D15685" t="s">
        <v>4</v>
      </c>
      <c r="E15685">
        <v>1</v>
      </c>
    </row>
    <row r="15686" spans="1:5" x14ac:dyDescent="0.25">
      <c r="A15686">
        <v>15685</v>
      </c>
      <c r="B15686">
        <v>3555673</v>
      </c>
      <c r="C15686" s="1" t="str">
        <f>HYPERLINK("http://stackoverflow.com/users/3555673", "senhehe")</f>
        <v>senhehe</v>
      </c>
      <c r="D15686" t="s">
        <v>5</v>
      </c>
      <c r="E15686">
        <v>1</v>
      </c>
    </row>
    <row r="15687" spans="1:5" x14ac:dyDescent="0.25">
      <c r="A15687">
        <v>15686</v>
      </c>
      <c r="B15687">
        <v>3555688</v>
      </c>
      <c r="C15687" s="1" t="str">
        <f>HYPERLINK("http://stackoverflow.com/users/3555688", "Mr.Tomato")</f>
        <v>Mr.Tomato</v>
      </c>
      <c r="D15687" t="s">
        <v>5</v>
      </c>
      <c r="E15687">
        <v>1</v>
      </c>
    </row>
    <row r="15688" spans="1:5" x14ac:dyDescent="0.25">
      <c r="A15688">
        <v>15687</v>
      </c>
      <c r="B15688">
        <v>9077067</v>
      </c>
      <c r="C15688" s="1" t="str">
        <f>HYPERLINK("http://stackoverflow.com/users/9077067", "wzshiming")</f>
        <v>wzshiming</v>
      </c>
      <c r="D15688" t="s">
        <v>16</v>
      </c>
      <c r="E15688">
        <v>1</v>
      </c>
    </row>
    <row r="15689" spans="1:5" x14ac:dyDescent="0.25">
      <c r="A15689">
        <v>15688</v>
      </c>
      <c r="B15689">
        <v>3655284</v>
      </c>
      <c r="C15689" s="1" t="str">
        <f>HYPERLINK("http://stackoverflow.com/users/3655284", "omni360")</f>
        <v>omni360</v>
      </c>
      <c r="D15689" t="s">
        <v>5</v>
      </c>
      <c r="E15689">
        <v>1</v>
      </c>
    </row>
    <row r="15690" spans="1:5" x14ac:dyDescent="0.25">
      <c r="A15690">
        <v>15689</v>
      </c>
      <c r="B15690">
        <v>3655312</v>
      </c>
      <c r="C15690" s="1" t="str">
        <f>HYPERLINK("http://stackoverflow.com/users/3655312", "biubiu")</f>
        <v>biubiu</v>
      </c>
      <c r="D15690" t="s">
        <v>5</v>
      </c>
      <c r="E15690">
        <v>1</v>
      </c>
    </row>
    <row r="15691" spans="1:5" x14ac:dyDescent="0.25">
      <c r="A15691">
        <v>15690</v>
      </c>
      <c r="B15691">
        <v>3655363</v>
      </c>
      <c r="C15691" s="1" t="str">
        <f>HYPERLINK("http://stackoverflow.com/users/3655363", "senRsl")</f>
        <v>senRsl</v>
      </c>
      <c r="D15691" t="s">
        <v>5</v>
      </c>
      <c r="E15691">
        <v>1</v>
      </c>
    </row>
    <row r="15692" spans="1:5" x14ac:dyDescent="0.25">
      <c r="A15692">
        <v>15691</v>
      </c>
      <c r="B15692">
        <v>3655376</v>
      </c>
      <c r="C15692" s="1" t="str">
        <f>HYPERLINK("http://stackoverflow.com/users/3655376", "marianna_z")</f>
        <v>marianna_z</v>
      </c>
      <c r="D15692" t="s">
        <v>5</v>
      </c>
      <c r="E15692">
        <v>1</v>
      </c>
    </row>
    <row r="15693" spans="1:5" x14ac:dyDescent="0.25">
      <c r="A15693">
        <v>15692</v>
      </c>
      <c r="B15693">
        <v>1855315</v>
      </c>
      <c r="C15693" s="1" t="str">
        <f>HYPERLINK("http://stackoverflow.com/users/1855315", "Zoom.Quiet")</f>
        <v>Zoom.Quiet</v>
      </c>
      <c r="D15693" t="s">
        <v>59</v>
      </c>
      <c r="E15693">
        <v>1</v>
      </c>
    </row>
    <row r="15694" spans="1:5" x14ac:dyDescent="0.25">
      <c r="A15694">
        <v>15693</v>
      </c>
      <c r="B15694">
        <v>1847427</v>
      </c>
      <c r="C15694" s="1" t="str">
        <f>HYPERLINK("http://stackoverflow.com/users/1847427", "chuanming liu")</f>
        <v>chuanming liu</v>
      </c>
      <c r="D15694" t="s">
        <v>74</v>
      </c>
      <c r="E15694">
        <v>1</v>
      </c>
    </row>
    <row r="15695" spans="1:5" x14ac:dyDescent="0.25">
      <c r="A15695">
        <v>15694</v>
      </c>
      <c r="B15695">
        <v>5455750</v>
      </c>
      <c r="C15695" s="1" t="str">
        <f>HYPERLINK("http://stackoverflow.com/users/5455750", "Hover Zuo")</f>
        <v>Hover Zuo</v>
      </c>
      <c r="D15695" t="s">
        <v>131</v>
      </c>
      <c r="E15695">
        <v>1</v>
      </c>
    </row>
    <row r="15696" spans="1:5" x14ac:dyDescent="0.25">
      <c r="A15696">
        <v>15695</v>
      </c>
      <c r="B15696">
        <v>9076604</v>
      </c>
      <c r="C15696" s="1" t="str">
        <f>HYPERLINK("http://stackoverflow.com/users/9076604", "lance")</f>
        <v>lance</v>
      </c>
      <c r="D15696" t="s">
        <v>13</v>
      </c>
      <c r="E15696">
        <v>1</v>
      </c>
    </row>
    <row r="15697" spans="1:5" x14ac:dyDescent="0.25">
      <c r="A15697">
        <v>15696</v>
      </c>
      <c r="B15697">
        <v>1846877</v>
      </c>
      <c r="C15697" s="1" t="str">
        <f>HYPERLINK("http://stackoverflow.com/users/1846877", "bridaltask")</f>
        <v>bridaltask</v>
      </c>
      <c r="D15697" t="s">
        <v>21</v>
      </c>
      <c r="E15697">
        <v>1</v>
      </c>
    </row>
    <row r="15698" spans="1:5" x14ac:dyDescent="0.25">
      <c r="A15698">
        <v>15697</v>
      </c>
      <c r="B15698">
        <v>3651807</v>
      </c>
      <c r="C15698" s="1" t="str">
        <f>HYPERLINK("http://stackoverflow.com/users/3651807", "Brent")</f>
        <v>Brent</v>
      </c>
      <c r="D15698" t="s">
        <v>4</v>
      </c>
      <c r="E15698">
        <v>1</v>
      </c>
    </row>
    <row r="15699" spans="1:5" x14ac:dyDescent="0.25">
      <c r="A15699">
        <v>15698</v>
      </c>
      <c r="B15699">
        <v>3651492</v>
      </c>
      <c r="C15699" s="1" t="str">
        <f>HYPERLINK("http://stackoverflow.com/users/3651492", "luke")</f>
        <v>luke</v>
      </c>
      <c r="D15699" t="s">
        <v>5</v>
      </c>
      <c r="E15699">
        <v>1</v>
      </c>
    </row>
    <row r="15700" spans="1:5" x14ac:dyDescent="0.25">
      <c r="A15700">
        <v>15699</v>
      </c>
      <c r="B15700">
        <v>1837450</v>
      </c>
      <c r="C15700" s="1" t="str">
        <f>HYPERLINK("http://stackoverflow.com/users/1837450", "Sangych")</f>
        <v>Sangych</v>
      </c>
      <c r="D15700" t="s">
        <v>21</v>
      </c>
      <c r="E15700">
        <v>1</v>
      </c>
    </row>
    <row r="15701" spans="1:5" x14ac:dyDescent="0.25">
      <c r="A15701">
        <v>15700</v>
      </c>
      <c r="B15701">
        <v>1865652</v>
      </c>
      <c r="C15701" s="1" t="str">
        <f>HYPERLINK("http://stackoverflow.com/users/1865652", "user1865652")</f>
        <v>user1865652</v>
      </c>
      <c r="D15701" t="s">
        <v>4</v>
      </c>
      <c r="E15701">
        <v>1</v>
      </c>
    </row>
    <row r="15702" spans="1:5" x14ac:dyDescent="0.25">
      <c r="A15702">
        <v>15701</v>
      </c>
      <c r="B15702">
        <v>1865541</v>
      </c>
      <c r="C15702" s="1" t="str">
        <f>HYPERLINK("http://stackoverflow.com/users/1865541", "Scar")</f>
        <v>Scar</v>
      </c>
      <c r="D15702" t="s">
        <v>4</v>
      </c>
      <c r="E15702">
        <v>1</v>
      </c>
    </row>
    <row r="15703" spans="1:5" x14ac:dyDescent="0.25">
      <c r="A15703">
        <v>15702</v>
      </c>
      <c r="B15703">
        <v>9086582</v>
      </c>
      <c r="C15703" s="1" t="str">
        <f>HYPERLINK("http://stackoverflow.com/users/9086582", "JmJones")</f>
        <v>JmJones</v>
      </c>
      <c r="D15703" t="s">
        <v>16</v>
      </c>
      <c r="E15703">
        <v>1</v>
      </c>
    </row>
    <row r="15704" spans="1:5" x14ac:dyDescent="0.25">
      <c r="A15704">
        <v>15703</v>
      </c>
      <c r="B15704">
        <v>9086627</v>
      </c>
      <c r="C15704" s="1" t="str">
        <f>HYPERLINK("http://stackoverflow.com/users/9086627", "Maurice Zhang")</f>
        <v>Maurice Zhang</v>
      </c>
      <c r="D15704" t="s">
        <v>25</v>
      </c>
      <c r="E15704">
        <v>1</v>
      </c>
    </row>
    <row r="15705" spans="1:5" x14ac:dyDescent="0.25">
      <c r="A15705">
        <v>15704</v>
      </c>
      <c r="B15705">
        <v>9081646</v>
      </c>
      <c r="C15705" s="1" t="str">
        <f>HYPERLINK("http://stackoverflow.com/users/9081646", "wnsmp")</f>
        <v>wnsmp</v>
      </c>
      <c r="D15705" t="s">
        <v>52</v>
      </c>
      <c r="E15705">
        <v>1</v>
      </c>
    </row>
    <row r="15706" spans="1:5" x14ac:dyDescent="0.25">
      <c r="A15706">
        <v>15705</v>
      </c>
      <c r="B15706">
        <v>1855747</v>
      </c>
      <c r="C15706" s="1" t="str">
        <f>HYPERLINK("http://stackoverflow.com/users/1855747", "zehao")</f>
        <v>zehao</v>
      </c>
      <c r="D15706" t="s">
        <v>21</v>
      </c>
      <c r="E15706">
        <v>1</v>
      </c>
    </row>
    <row r="15707" spans="1:5" x14ac:dyDescent="0.25">
      <c r="A15707">
        <v>15706</v>
      </c>
      <c r="B15707">
        <v>1856049</v>
      </c>
      <c r="C15707" s="1" t="str">
        <f>HYPERLINK("http://stackoverflow.com/users/1856049", "cloay")</f>
        <v>cloay</v>
      </c>
      <c r="D15707" t="s">
        <v>5</v>
      </c>
      <c r="E15707">
        <v>1</v>
      </c>
    </row>
    <row r="15708" spans="1:5" x14ac:dyDescent="0.25">
      <c r="A15708">
        <v>15707</v>
      </c>
      <c r="B15708">
        <v>5464925</v>
      </c>
      <c r="C15708" s="1" t="str">
        <f>HYPERLINK("http://stackoverflow.com/users/5464925", "Harmonicahappy")</f>
        <v>Harmonicahappy</v>
      </c>
      <c r="D15708" t="s">
        <v>57</v>
      </c>
      <c r="E15708">
        <v>1</v>
      </c>
    </row>
    <row r="15709" spans="1:5" x14ac:dyDescent="0.25">
      <c r="A15709">
        <v>15708</v>
      </c>
      <c r="B15709">
        <v>5465145</v>
      </c>
      <c r="C15709" s="1" t="str">
        <f>HYPERLINK("http://stackoverflow.com/users/5465145", "夜空的序幕")</f>
        <v>夜空的序幕</v>
      </c>
      <c r="D15709" t="s">
        <v>12</v>
      </c>
      <c r="E15709">
        <v>1</v>
      </c>
    </row>
    <row r="15710" spans="1:5" x14ac:dyDescent="0.25">
      <c r="A15710">
        <v>15709</v>
      </c>
      <c r="B15710">
        <v>9086308</v>
      </c>
      <c r="C15710" s="1" t="str">
        <f>HYPERLINK("http://stackoverflow.com/users/9086308", "S.Gao")</f>
        <v>S.Gao</v>
      </c>
      <c r="D15710" t="s">
        <v>184</v>
      </c>
      <c r="E15710">
        <v>1</v>
      </c>
    </row>
    <row r="15711" spans="1:5" x14ac:dyDescent="0.25">
      <c r="A15711">
        <v>15710</v>
      </c>
      <c r="B15711">
        <v>9086411</v>
      </c>
      <c r="C15711" s="1" t="str">
        <f>HYPERLINK("http://stackoverflow.com/users/9086411", "wright")</f>
        <v>wright</v>
      </c>
      <c r="D15711" t="s">
        <v>47</v>
      </c>
      <c r="E15711">
        <v>1</v>
      </c>
    </row>
    <row r="15712" spans="1:5" x14ac:dyDescent="0.25">
      <c r="A15712">
        <v>15711</v>
      </c>
      <c r="B15712">
        <v>10893775</v>
      </c>
      <c r="C15712" s="1" t="str">
        <f>HYPERLINK("http://stackoverflow.com/users/10893775", "user10893775")</f>
        <v>user10893775</v>
      </c>
      <c r="D15712" t="s">
        <v>4</v>
      </c>
      <c r="E15712">
        <v>1</v>
      </c>
    </row>
    <row r="15713" spans="1:5" x14ac:dyDescent="0.25">
      <c r="A15713">
        <v>15712</v>
      </c>
      <c r="B15713">
        <v>9098991</v>
      </c>
      <c r="C15713" s="1" t="str">
        <f>HYPERLINK("http://stackoverflow.com/users/9098991", "Yuan Chen")</f>
        <v>Yuan Chen</v>
      </c>
      <c r="D15713" t="s">
        <v>367</v>
      </c>
      <c r="E15713">
        <v>1</v>
      </c>
    </row>
    <row r="15714" spans="1:5" x14ac:dyDescent="0.25">
      <c r="A15714">
        <v>15713</v>
      </c>
      <c r="B15714">
        <v>1877738</v>
      </c>
      <c r="C15714" s="1" t="str">
        <f>HYPERLINK("http://stackoverflow.com/users/1877738", "metaboy")</f>
        <v>metaboy</v>
      </c>
      <c r="D15714" t="s">
        <v>12</v>
      </c>
      <c r="E15714">
        <v>1</v>
      </c>
    </row>
    <row r="15715" spans="1:5" x14ac:dyDescent="0.25">
      <c r="A15715">
        <v>15714</v>
      </c>
      <c r="B15715">
        <v>1872005</v>
      </c>
      <c r="C15715" s="1" t="str">
        <f>HYPERLINK("http://stackoverflow.com/users/1872005", "swear")</f>
        <v>swear</v>
      </c>
      <c r="D15715" t="s">
        <v>5</v>
      </c>
      <c r="E15715">
        <v>1</v>
      </c>
    </row>
    <row r="15716" spans="1:5" x14ac:dyDescent="0.25">
      <c r="A15716">
        <v>15715</v>
      </c>
      <c r="B15716">
        <v>1866306</v>
      </c>
      <c r="C15716" s="1" t="str">
        <f>HYPERLINK("http://stackoverflow.com/users/1866306", "CodingChan")</f>
        <v>CodingChan</v>
      </c>
      <c r="D15716" t="s">
        <v>4</v>
      </c>
      <c r="E15716">
        <v>1</v>
      </c>
    </row>
    <row r="15717" spans="1:5" x14ac:dyDescent="0.25">
      <c r="A15717">
        <v>15716</v>
      </c>
      <c r="B15717">
        <v>1866583</v>
      </c>
      <c r="C15717" s="1" t="str">
        <f>HYPERLINK("http://stackoverflow.com/users/1866583", "WuZhenwei")</f>
        <v>WuZhenwei</v>
      </c>
      <c r="D15717" t="s">
        <v>5</v>
      </c>
      <c r="E15717">
        <v>1</v>
      </c>
    </row>
    <row r="15718" spans="1:5" x14ac:dyDescent="0.25">
      <c r="A15718">
        <v>15717</v>
      </c>
      <c r="B15718">
        <v>5471870</v>
      </c>
      <c r="C15718" s="1" t="str">
        <f>HYPERLINK("http://stackoverflow.com/users/5471870", "ChiuMinghor")</f>
        <v>ChiuMinghor</v>
      </c>
      <c r="D15718" t="s">
        <v>5</v>
      </c>
      <c r="E15718">
        <v>1</v>
      </c>
    </row>
    <row r="15719" spans="1:5" x14ac:dyDescent="0.25">
      <c r="A15719">
        <v>15718</v>
      </c>
      <c r="B15719">
        <v>5472152</v>
      </c>
      <c r="C15719" s="1" t="str">
        <f>HYPERLINK("http://stackoverflow.com/users/5472152", "taomk")</f>
        <v>taomk</v>
      </c>
      <c r="D15719" t="s">
        <v>5</v>
      </c>
      <c r="E15719">
        <v>1</v>
      </c>
    </row>
    <row r="15720" spans="1:5" x14ac:dyDescent="0.25">
      <c r="A15720">
        <v>15719</v>
      </c>
      <c r="B15720">
        <v>9094529</v>
      </c>
      <c r="C15720" s="1" t="str">
        <f>HYPERLINK("http://stackoverflow.com/users/9094529", "hidogsss")</f>
        <v>hidogsss</v>
      </c>
      <c r="D15720" t="s">
        <v>4</v>
      </c>
      <c r="E15720">
        <v>1</v>
      </c>
    </row>
    <row r="15721" spans="1:5" x14ac:dyDescent="0.25">
      <c r="A15721">
        <v>15720</v>
      </c>
      <c r="B15721">
        <v>7222986</v>
      </c>
      <c r="C15721" s="1" t="str">
        <f>HYPERLINK("http://stackoverflow.com/users/7222986", "Bunny")</f>
        <v>Bunny</v>
      </c>
      <c r="D15721" t="s">
        <v>15</v>
      </c>
      <c r="E15721">
        <v>1</v>
      </c>
    </row>
    <row r="15722" spans="1:5" x14ac:dyDescent="0.25">
      <c r="A15722">
        <v>15721</v>
      </c>
      <c r="B15722">
        <v>7223110</v>
      </c>
      <c r="C15722" s="1" t="str">
        <f>HYPERLINK("http://stackoverflow.com/users/7223110", "Lin Chang")</f>
        <v>Lin Chang</v>
      </c>
      <c r="D15722" t="s">
        <v>864</v>
      </c>
      <c r="E15722">
        <v>1</v>
      </c>
    </row>
    <row r="15723" spans="1:5" x14ac:dyDescent="0.25">
      <c r="A15723">
        <v>15722</v>
      </c>
      <c r="B15723">
        <v>7229811</v>
      </c>
      <c r="C15723" s="1" t="str">
        <f>HYPERLINK("http://stackoverflow.com/users/7229811", "orange")</f>
        <v>orange</v>
      </c>
      <c r="D15723" t="s">
        <v>29</v>
      </c>
      <c r="E15723">
        <v>1</v>
      </c>
    </row>
    <row r="15724" spans="1:5" x14ac:dyDescent="0.25">
      <c r="A15724">
        <v>15723</v>
      </c>
      <c r="B15724">
        <v>7234200</v>
      </c>
      <c r="C15724" s="1" t="str">
        <f>HYPERLINK("http://stackoverflow.com/users/7234200", "Itamar")</f>
        <v>Itamar</v>
      </c>
      <c r="D15724" t="s">
        <v>4</v>
      </c>
      <c r="E15724">
        <v>1</v>
      </c>
    </row>
    <row r="15725" spans="1:5" x14ac:dyDescent="0.25">
      <c r="A15725">
        <v>15724</v>
      </c>
      <c r="B15725">
        <v>7234353</v>
      </c>
      <c r="C15725" s="1" t="str">
        <f>HYPERLINK("http://stackoverflow.com/users/7234353", "helyao")</f>
        <v>helyao</v>
      </c>
      <c r="D15725" t="s">
        <v>5</v>
      </c>
      <c r="E15725">
        <v>1</v>
      </c>
    </row>
    <row r="15726" spans="1:5" x14ac:dyDescent="0.25">
      <c r="A15726">
        <v>15725</v>
      </c>
      <c r="B15726">
        <v>7234383</v>
      </c>
      <c r="C15726" s="1" t="str">
        <f>HYPERLINK("http://stackoverflow.com/users/7234383", "Tucuzi")</f>
        <v>Tucuzi</v>
      </c>
      <c r="D15726" t="s">
        <v>4</v>
      </c>
      <c r="E15726">
        <v>1</v>
      </c>
    </row>
    <row r="15727" spans="1:5" x14ac:dyDescent="0.25">
      <c r="A15727">
        <v>15726</v>
      </c>
      <c r="B15727">
        <v>9103888</v>
      </c>
      <c r="C15727" s="1" t="str">
        <f>HYPERLINK("http://stackoverflow.com/users/9103888", "Dimpurr Cheny")</f>
        <v>Dimpurr Cheny</v>
      </c>
      <c r="D15727" t="s">
        <v>5</v>
      </c>
      <c r="E15727">
        <v>1</v>
      </c>
    </row>
    <row r="15728" spans="1:5" x14ac:dyDescent="0.25">
      <c r="A15728">
        <v>15727</v>
      </c>
      <c r="B15728">
        <v>1881664</v>
      </c>
      <c r="C15728" s="1" t="str">
        <f>HYPERLINK("http://stackoverflow.com/users/1881664", "Yiding")</f>
        <v>Yiding</v>
      </c>
      <c r="D15728" t="s">
        <v>4</v>
      </c>
      <c r="E15728">
        <v>1</v>
      </c>
    </row>
    <row r="15729" spans="1:5" x14ac:dyDescent="0.25">
      <c r="A15729">
        <v>15728</v>
      </c>
      <c r="B15729">
        <v>1882689</v>
      </c>
      <c r="C15729" s="1" t="str">
        <f>HYPERLINK("http://stackoverflow.com/users/1882689", "ItJoyer")</f>
        <v>ItJoyer</v>
      </c>
      <c r="D15729" t="s">
        <v>5</v>
      </c>
      <c r="E15729">
        <v>1</v>
      </c>
    </row>
    <row r="15730" spans="1:5" x14ac:dyDescent="0.25">
      <c r="A15730">
        <v>15729</v>
      </c>
      <c r="B15730">
        <v>10899038</v>
      </c>
      <c r="C15730" s="1" t="str">
        <f>HYPERLINK("http://stackoverflow.com/users/10899038", "TENCHIANG")</f>
        <v>TENCHIANG</v>
      </c>
      <c r="D15730" t="s">
        <v>29</v>
      </c>
      <c r="E15730">
        <v>1</v>
      </c>
    </row>
    <row r="15731" spans="1:5" x14ac:dyDescent="0.25">
      <c r="A15731">
        <v>15730</v>
      </c>
      <c r="B15731">
        <v>9104135</v>
      </c>
      <c r="C15731" s="1" t="str">
        <f>HYPERLINK("http://stackoverflow.com/users/9104135", "BigShuang")</f>
        <v>BigShuang</v>
      </c>
      <c r="D15731" t="s">
        <v>266</v>
      </c>
      <c r="E15731">
        <v>1</v>
      </c>
    </row>
    <row r="15732" spans="1:5" x14ac:dyDescent="0.25">
      <c r="A15732">
        <v>15731</v>
      </c>
      <c r="B15732">
        <v>9107992</v>
      </c>
      <c r="C15732" s="1" t="str">
        <f>HYPERLINK("http://stackoverflow.com/users/9107992", "Leaven Romeo")</f>
        <v>Leaven Romeo</v>
      </c>
      <c r="D15732" t="s">
        <v>865</v>
      </c>
      <c r="E15732">
        <v>1</v>
      </c>
    </row>
    <row r="15733" spans="1:5" x14ac:dyDescent="0.25">
      <c r="A15733">
        <v>15732</v>
      </c>
      <c r="B15733">
        <v>9108686</v>
      </c>
      <c r="C15733" s="1" t="str">
        <f>HYPERLINK("http://stackoverflow.com/users/9108686", "Pnuts Candy")</f>
        <v>Pnuts Candy</v>
      </c>
      <c r="D15733" t="s">
        <v>4</v>
      </c>
      <c r="E15733">
        <v>1</v>
      </c>
    </row>
    <row r="15734" spans="1:5" x14ac:dyDescent="0.25">
      <c r="A15734">
        <v>15733</v>
      </c>
      <c r="B15734">
        <v>10903589</v>
      </c>
      <c r="C15734" s="1" t="str">
        <f>HYPERLINK("http://stackoverflow.com/users/10903589", "headingpartes")</f>
        <v>headingpartes</v>
      </c>
      <c r="D15734" t="s">
        <v>866</v>
      </c>
      <c r="E15734">
        <v>1</v>
      </c>
    </row>
    <row r="15735" spans="1:5" x14ac:dyDescent="0.25">
      <c r="A15735">
        <v>15734</v>
      </c>
      <c r="B15735">
        <v>9112825</v>
      </c>
      <c r="C15735" s="1" t="str">
        <f>HYPERLINK("http://stackoverflow.com/users/9112825", "loveplay1983")</f>
        <v>loveplay1983</v>
      </c>
      <c r="D15735" t="s">
        <v>867</v>
      </c>
      <c r="E15735">
        <v>1</v>
      </c>
    </row>
    <row r="15736" spans="1:5" x14ac:dyDescent="0.25">
      <c r="A15736">
        <v>15735</v>
      </c>
      <c r="B15736">
        <v>1893508</v>
      </c>
      <c r="C15736" s="1" t="str">
        <f>HYPERLINK("http://stackoverflow.com/users/1893508", "DavisLiming")</f>
        <v>DavisLiming</v>
      </c>
      <c r="D15736" t="s">
        <v>5</v>
      </c>
      <c r="E15736">
        <v>1</v>
      </c>
    </row>
    <row r="15737" spans="1:5" x14ac:dyDescent="0.25">
      <c r="A15737">
        <v>15736</v>
      </c>
      <c r="B15737">
        <v>1893932</v>
      </c>
      <c r="C15737" s="1" t="str">
        <f>HYPERLINK("http://stackoverflow.com/users/1893932", "zengde")</f>
        <v>zengde</v>
      </c>
      <c r="D15737" t="s">
        <v>21</v>
      </c>
      <c r="E15737">
        <v>1</v>
      </c>
    </row>
    <row r="15738" spans="1:5" x14ac:dyDescent="0.25">
      <c r="A15738">
        <v>15737</v>
      </c>
      <c r="B15738">
        <v>7247003</v>
      </c>
      <c r="C15738" s="1" t="str">
        <f>HYPERLINK("http://stackoverflow.com/users/7247003", "Alex.Huang")</f>
        <v>Alex.Huang</v>
      </c>
      <c r="D15738" t="s">
        <v>4</v>
      </c>
      <c r="E15738">
        <v>1</v>
      </c>
    </row>
    <row r="15739" spans="1:5" x14ac:dyDescent="0.25">
      <c r="A15739">
        <v>15738</v>
      </c>
      <c r="B15739">
        <v>5491581</v>
      </c>
      <c r="C15739" s="1" t="str">
        <f>HYPERLINK("http://stackoverflow.com/users/5491581", "listen")</f>
        <v>listen</v>
      </c>
      <c r="D15739" t="s">
        <v>17</v>
      </c>
      <c r="E15739">
        <v>1</v>
      </c>
    </row>
    <row r="15740" spans="1:5" x14ac:dyDescent="0.25">
      <c r="A15740">
        <v>15739</v>
      </c>
      <c r="B15740">
        <v>5491590</v>
      </c>
      <c r="C15740" s="1" t="str">
        <f>HYPERLINK("http://stackoverflow.com/users/5491590", "Iamasoldier6")</f>
        <v>Iamasoldier6</v>
      </c>
      <c r="D15740" t="s">
        <v>4</v>
      </c>
      <c r="E15740">
        <v>1</v>
      </c>
    </row>
    <row r="15741" spans="1:5" x14ac:dyDescent="0.25">
      <c r="A15741">
        <v>15740</v>
      </c>
      <c r="B15741">
        <v>5491605</v>
      </c>
      <c r="C15741" s="1" t="str">
        <f>HYPERLINK("http://stackoverflow.com/users/5491605", "Max")</f>
        <v>Max</v>
      </c>
      <c r="D15741" t="s">
        <v>25</v>
      </c>
      <c r="E15741">
        <v>1</v>
      </c>
    </row>
    <row r="15742" spans="1:5" x14ac:dyDescent="0.25">
      <c r="A15742">
        <v>15741</v>
      </c>
      <c r="B15742">
        <v>5491775</v>
      </c>
      <c r="C15742" s="1" t="str">
        <f>HYPERLINK("http://stackoverflow.com/users/5491775", "Kemp")</f>
        <v>Kemp</v>
      </c>
      <c r="D15742" t="s">
        <v>5</v>
      </c>
      <c r="E15742">
        <v>1</v>
      </c>
    </row>
    <row r="15743" spans="1:5" x14ac:dyDescent="0.25">
      <c r="A15743">
        <v>15742</v>
      </c>
      <c r="B15743">
        <v>5491937</v>
      </c>
      <c r="C15743" s="1" t="str">
        <f>HYPERLINK("http://stackoverflow.com/users/5491937", "Haoliang Wu")</f>
        <v>Haoliang Wu</v>
      </c>
      <c r="D15743" t="s">
        <v>35</v>
      </c>
      <c r="E15743">
        <v>1</v>
      </c>
    </row>
    <row r="15744" spans="1:5" x14ac:dyDescent="0.25">
      <c r="A15744">
        <v>15743</v>
      </c>
      <c r="B15744">
        <v>1808943</v>
      </c>
      <c r="C15744" s="1" t="str">
        <f>HYPERLINK("http://stackoverflow.com/users/1808943", "Yijiang")</f>
        <v>Yijiang</v>
      </c>
      <c r="D15744" t="s">
        <v>5</v>
      </c>
      <c r="E15744">
        <v>1</v>
      </c>
    </row>
    <row r="15745" spans="1:5" x14ac:dyDescent="0.25">
      <c r="A15745">
        <v>15744</v>
      </c>
      <c r="B15745">
        <v>3618877</v>
      </c>
      <c r="C15745" s="1" t="str">
        <f>HYPERLINK("http://stackoverflow.com/users/3618877", "Findhy")</f>
        <v>Findhy</v>
      </c>
      <c r="D15745" t="s">
        <v>5</v>
      </c>
      <c r="E15745">
        <v>1</v>
      </c>
    </row>
    <row r="15746" spans="1:5" x14ac:dyDescent="0.25">
      <c r="A15746">
        <v>15745</v>
      </c>
      <c r="B15746">
        <v>3619016</v>
      </c>
      <c r="C15746" s="1" t="str">
        <f>HYPERLINK("http://stackoverflow.com/users/3619016", "Chandler")</f>
        <v>Chandler</v>
      </c>
      <c r="D15746" t="s">
        <v>21</v>
      </c>
      <c r="E15746">
        <v>1</v>
      </c>
    </row>
    <row r="15747" spans="1:5" x14ac:dyDescent="0.25">
      <c r="A15747">
        <v>15746</v>
      </c>
      <c r="B15747">
        <v>10837179</v>
      </c>
      <c r="C15747" s="1" t="str">
        <f>HYPERLINK("http://stackoverflow.com/users/10837179", "shaobo")</f>
        <v>shaobo</v>
      </c>
      <c r="D15747" t="s">
        <v>5</v>
      </c>
      <c r="E15747">
        <v>1</v>
      </c>
    </row>
    <row r="15748" spans="1:5" x14ac:dyDescent="0.25">
      <c r="A15748">
        <v>15747</v>
      </c>
      <c r="B15748">
        <v>10837592</v>
      </c>
      <c r="C15748" s="1" t="str">
        <f>HYPERLINK("http://stackoverflow.com/users/10837592", "Chris Wang")</f>
        <v>Chris Wang</v>
      </c>
      <c r="D15748" t="s">
        <v>4</v>
      </c>
      <c r="E15748">
        <v>1</v>
      </c>
    </row>
    <row r="15749" spans="1:5" x14ac:dyDescent="0.25">
      <c r="A15749">
        <v>15748</v>
      </c>
      <c r="B15749">
        <v>9045997</v>
      </c>
      <c r="C15749" s="1" t="str">
        <f>HYPERLINK("http://stackoverflow.com/users/9045997", "寿佳鑫")</f>
        <v>寿佳鑫</v>
      </c>
      <c r="D15749" t="s">
        <v>4</v>
      </c>
      <c r="E15749">
        <v>1</v>
      </c>
    </row>
    <row r="15750" spans="1:5" x14ac:dyDescent="0.25">
      <c r="A15750">
        <v>15749</v>
      </c>
      <c r="B15750">
        <v>9046171</v>
      </c>
      <c r="C15750" s="1" t="str">
        <f>HYPERLINK("http://stackoverflow.com/users/9046171", "James Bolton")</f>
        <v>James Bolton</v>
      </c>
      <c r="D15750" t="s">
        <v>43</v>
      </c>
      <c r="E15750">
        <v>1</v>
      </c>
    </row>
    <row r="15751" spans="1:5" x14ac:dyDescent="0.25">
      <c r="A15751">
        <v>15750</v>
      </c>
      <c r="B15751">
        <v>10841972</v>
      </c>
      <c r="C15751" s="1" t="str">
        <f>HYPERLINK("http://stackoverflow.com/users/10841972", "user39281")</f>
        <v>user39281</v>
      </c>
      <c r="D15751" t="s">
        <v>16</v>
      </c>
      <c r="E15751">
        <v>1</v>
      </c>
    </row>
    <row r="15752" spans="1:5" x14ac:dyDescent="0.25">
      <c r="A15752">
        <v>15751</v>
      </c>
      <c r="B15752">
        <v>10842059</v>
      </c>
      <c r="C15752" s="1" t="str">
        <f>HYPERLINK("http://stackoverflow.com/users/10842059", "张旭东")</f>
        <v>张旭东</v>
      </c>
      <c r="D15752" t="s">
        <v>52</v>
      </c>
      <c r="E15752">
        <v>1</v>
      </c>
    </row>
    <row r="15753" spans="1:5" x14ac:dyDescent="0.25">
      <c r="A15753">
        <v>15752</v>
      </c>
      <c r="B15753">
        <v>7184302</v>
      </c>
      <c r="C15753" s="1" t="str">
        <f>HYPERLINK("http://stackoverflow.com/users/7184302", "djc")</f>
        <v>djc</v>
      </c>
      <c r="D15753" t="s">
        <v>43</v>
      </c>
      <c r="E15753">
        <v>1</v>
      </c>
    </row>
    <row r="15754" spans="1:5" x14ac:dyDescent="0.25">
      <c r="A15754">
        <v>15753</v>
      </c>
      <c r="B15754">
        <v>3630756</v>
      </c>
      <c r="C15754" s="1" t="str">
        <f>HYPERLINK("http://stackoverflow.com/users/3630756", "andydeng")</f>
        <v>andydeng</v>
      </c>
      <c r="D15754" t="s">
        <v>4</v>
      </c>
      <c r="E15754">
        <v>1</v>
      </c>
    </row>
    <row r="15755" spans="1:5" x14ac:dyDescent="0.25">
      <c r="A15755">
        <v>15754</v>
      </c>
      <c r="B15755">
        <v>3630796</v>
      </c>
      <c r="C15755" s="1" t="str">
        <f>HYPERLINK("http://stackoverflow.com/users/3630796", "user3630796")</f>
        <v>user3630796</v>
      </c>
      <c r="D15755" t="s">
        <v>16</v>
      </c>
      <c r="E15755">
        <v>1</v>
      </c>
    </row>
    <row r="15756" spans="1:5" x14ac:dyDescent="0.25">
      <c r="A15756">
        <v>15755</v>
      </c>
      <c r="B15756">
        <v>10824005</v>
      </c>
      <c r="C15756" s="1" t="str">
        <f>HYPERLINK("http://stackoverflow.com/users/10824005", "Ziqiang")</f>
        <v>Ziqiang</v>
      </c>
      <c r="D15756" t="s">
        <v>43</v>
      </c>
      <c r="E15756">
        <v>1</v>
      </c>
    </row>
    <row r="15757" spans="1:5" x14ac:dyDescent="0.25">
      <c r="A15757">
        <v>15756</v>
      </c>
      <c r="B15757">
        <v>1797609</v>
      </c>
      <c r="C15757" s="1" t="str">
        <f>HYPERLINK("http://stackoverflow.com/users/1797609", "RicharWu")</f>
        <v>RicharWu</v>
      </c>
      <c r="D15757" t="s">
        <v>12</v>
      </c>
      <c r="E15757">
        <v>1</v>
      </c>
    </row>
    <row r="15758" spans="1:5" x14ac:dyDescent="0.25">
      <c r="A15758">
        <v>15757</v>
      </c>
      <c r="B15758">
        <v>1797956</v>
      </c>
      <c r="C15758" s="1" t="str">
        <f>HYPERLINK("http://stackoverflow.com/users/1797956", "user1797956")</f>
        <v>user1797956</v>
      </c>
      <c r="D15758" t="s">
        <v>5</v>
      </c>
      <c r="E15758">
        <v>1</v>
      </c>
    </row>
    <row r="15759" spans="1:5" x14ac:dyDescent="0.25">
      <c r="A15759">
        <v>15758</v>
      </c>
      <c r="B15759">
        <v>1798489</v>
      </c>
      <c r="C15759" s="1" t="str">
        <f>HYPERLINK("http://stackoverflow.com/users/1798489", "Yang Sheng")</f>
        <v>Yang Sheng</v>
      </c>
      <c r="D15759" t="s">
        <v>17</v>
      </c>
      <c r="E15759">
        <v>1</v>
      </c>
    </row>
    <row r="15760" spans="1:5" x14ac:dyDescent="0.25">
      <c r="A15760">
        <v>15759</v>
      </c>
      <c r="B15760">
        <v>10828532</v>
      </c>
      <c r="C15760" s="1" t="str">
        <f>HYPERLINK("http://stackoverflow.com/users/10828532", "arctan y")</f>
        <v>arctan y</v>
      </c>
      <c r="D15760" t="s">
        <v>16</v>
      </c>
      <c r="E15760">
        <v>1</v>
      </c>
    </row>
    <row r="15761" spans="1:5" x14ac:dyDescent="0.25">
      <c r="A15761">
        <v>15760</v>
      </c>
      <c r="B15761">
        <v>10828636</v>
      </c>
      <c r="C15761" s="1" t="str">
        <f>HYPERLINK("http://stackoverflow.com/users/10828636", "trisha")</f>
        <v>trisha</v>
      </c>
      <c r="D15761" t="s">
        <v>7</v>
      </c>
      <c r="E15761">
        <v>1</v>
      </c>
    </row>
    <row r="15762" spans="1:5" x14ac:dyDescent="0.25">
      <c r="A15762">
        <v>15761</v>
      </c>
      <c r="B15762">
        <v>10828923</v>
      </c>
      <c r="C15762" s="1" t="str">
        <f>HYPERLINK("http://stackoverflow.com/users/10828923", "bhw")</f>
        <v>bhw</v>
      </c>
      <c r="D15762" t="s">
        <v>4</v>
      </c>
      <c r="E15762">
        <v>1</v>
      </c>
    </row>
    <row r="15763" spans="1:5" x14ac:dyDescent="0.25">
      <c r="A15763">
        <v>15762</v>
      </c>
      <c r="B15763">
        <v>10828960</v>
      </c>
      <c r="C15763" s="1" t="str">
        <f>HYPERLINK("http://stackoverflow.com/users/10828960", "Zhang")</f>
        <v>Zhang</v>
      </c>
      <c r="D15763" t="s">
        <v>19</v>
      </c>
      <c r="E15763">
        <v>1</v>
      </c>
    </row>
    <row r="15764" spans="1:5" x14ac:dyDescent="0.25">
      <c r="A15764">
        <v>15763</v>
      </c>
      <c r="B15764">
        <v>1802903</v>
      </c>
      <c r="C15764" s="1" t="str">
        <f>HYPERLINK("http://stackoverflow.com/users/1802903", "Genffy")</f>
        <v>Genffy</v>
      </c>
      <c r="D15764" t="s">
        <v>31</v>
      </c>
      <c r="E15764">
        <v>1</v>
      </c>
    </row>
    <row r="15765" spans="1:5" x14ac:dyDescent="0.25">
      <c r="A15765">
        <v>15764</v>
      </c>
      <c r="B15765">
        <v>7176904</v>
      </c>
      <c r="C15765" s="1" t="str">
        <f>HYPERLINK("http://stackoverflow.com/users/7176904", "HaoqingLi")</f>
        <v>HaoqingLi</v>
      </c>
      <c r="D15765" t="s">
        <v>11</v>
      </c>
      <c r="E15765">
        <v>1</v>
      </c>
    </row>
    <row r="15766" spans="1:5" x14ac:dyDescent="0.25">
      <c r="A15766">
        <v>15765</v>
      </c>
      <c r="B15766">
        <v>9037378</v>
      </c>
      <c r="C15766" s="1" t="str">
        <f>HYPERLINK("http://stackoverflow.com/users/9037378", "Damon Zheng")</f>
        <v>Damon Zheng</v>
      </c>
      <c r="D15766" t="s">
        <v>7</v>
      </c>
      <c r="E15766">
        <v>1</v>
      </c>
    </row>
    <row r="15767" spans="1:5" x14ac:dyDescent="0.25">
      <c r="A15767">
        <v>15766</v>
      </c>
      <c r="B15767">
        <v>9037539</v>
      </c>
      <c r="C15767" s="1" t="str">
        <f>HYPERLINK("http://stackoverflow.com/users/9037539", "Rod")</f>
        <v>Rod</v>
      </c>
      <c r="D15767" t="s">
        <v>4</v>
      </c>
      <c r="E15767">
        <v>1</v>
      </c>
    </row>
    <row r="15768" spans="1:5" x14ac:dyDescent="0.25">
      <c r="A15768">
        <v>15767</v>
      </c>
      <c r="B15768">
        <v>1808091</v>
      </c>
      <c r="C15768" s="1" t="str">
        <f>HYPERLINK("http://stackoverflow.com/users/1808091", "Fred Fu")</f>
        <v>Fred Fu</v>
      </c>
      <c r="D15768" t="s">
        <v>4</v>
      </c>
      <c r="E15768">
        <v>1</v>
      </c>
    </row>
    <row r="15769" spans="1:5" x14ac:dyDescent="0.25">
      <c r="A15769">
        <v>15768</v>
      </c>
      <c r="B15769">
        <v>1808259</v>
      </c>
      <c r="C15769" s="1" t="str">
        <f>HYPERLINK("http://stackoverflow.com/users/1808259", "cheshiret")</f>
        <v>cheshiret</v>
      </c>
      <c r="D15769" t="s">
        <v>131</v>
      </c>
      <c r="E15769">
        <v>1</v>
      </c>
    </row>
    <row r="15770" spans="1:5" x14ac:dyDescent="0.25">
      <c r="A15770">
        <v>15769</v>
      </c>
      <c r="B15770">
        <v>1803592</v>
      </c>
      <c r="C15770" s="1" t="str">
        <f>HYPERLINK("http://stackoverflow.com/users/1803592", "David Stamsa")</f>
        <v>David Stamsa</v>
      </c>
      <c r="D15770" t="s">
        <v>5</v>
      </c>
      <c r="E15770">
        <v>1</v>
      </c>
    </row>
    <row r="15771" spans="1:5" x14ac:dyDescent="0.25">
      <c r="A15771">
        <v>15770</v>
      </c>
      <c r="B15771">
        <v>3647230</v>
      </c>
      <c r="C15771" s="1" t="str">
        <f>HYPERLINK("http://stackoverflow.com/users/3647230", "Rudy Xiong")</f>
        <v>Rudy Xiong</v>
      </c>
      <c r="D15771" t="s">
        <v>868</v>
      </c>
      <c r="E15771">
        <v>1</v>
      </c>
    </row>
    <row r="15772" spans="1:5" x14ac:dyDescent="0.25">
      <c r="A15772">
        <v>15771</v>
      </c>
      <c r="B15772">
        <v>9067968</v>
      </c>
      <c r="C15772" s="1" t="str">
        <f>HYPERLINK("http://stackoverflow.com/users/9067968", "梅盛旺")</f>
        <v>梅盛旺</v>
      </c>
      <c r="D15772" t="s">
        <v>25</v>
      </c>
      <c r="E15772">
        <v>1</v>
      </c>
    </row>
    <row r="15773" spans="1:5" x14ac:dyDescent="0.25">
      <c r="A15773">
        <v>15772</v>
      </c>
      <c r="B15773">
        <v>5448093</v>
      </c>
      <c r="C15773" s="1" t="str">
        <f>HYPERLINK("http://stackoverflow.com/users/5448093", "QCU")</f>
        <v>QCU</v>
      </c>
      <c r="D15773" t="s">
        <v>131</v>
      </c>
      <c r="E15773">
        <v>1</v>
      </c>
    </row>
    <row r="15774" spans="1:5" x14ac:dyDescent="0.25">
      <c r="A15774">
        <v>15773</v>
      </c>
      <c r="B15774">
        <v>10867253</v>
      </c>
      <c r="C15774" s="1" t="str">
        <f>HYPERLINK("http://stackoverflow.com/users/10867253", "肖余绒")</f>
        <v>肖余绒</v>
      </c>
      <c r="D15774" t="s">
        <v>7</v>
      </c>
      <c r="E15774">
        <v>1</v>
      </c>
    </row>
    <row r="15775" spans="1:5" x14ac:dyDescent="0.25">
      <c r="A15775">
        <v>15774</v>
      </c>
      <c r="B15775">
        <v>1828455</v>
      </c>
      <c r="C15775" s="1" t="str">
        <f>HYPERLINK("http://stackoverflow.com/users/1828455", "lucy")</f>
        <v>lucy</v>
      </c>
      <c r="D15775" t="s">
        <v>4</v>
      </c>
      <c r="E15775">
        <v>1</v>
      </c>
    </row>
    <row r="15776" spans="1:5" x14ac:dyDescent="0.25">
      <c r="A15776">
        <v>15775</v>
      </c>
      <c r="B15776">
        <v>1837560</v>
      </c>
      <c r="C15776" s="1" t="str">
        <f>HYPERLINK("http://stackoverflow.com/users/1837560", "Sunflower")</f>
        <v>Sunflower</v>
      </c>
      <c r="D15776" t="s">
        <v>5</v>
      </c>
      <c r="E15776">
        <v>1</v>
      </c>
    </row>
    <row r="15777" spans="1:5" x14ac:dyDescent="0.25">
      <c r="A15777">
        <v>15776</v>
      </c>
      <c r="B15777">
        <v>1837852</v>
      </c>
      <c r="C15777" s="1" t="str">
        <f>HYPERLINK("http://stackoverflow.com/users/1837852", "John Liu")</f>
        <v>John Liu</v>
      </c>
      <c r="D15777" t="s">
        <v>4</v>
      </c>
      <c r="E15777">
        <v>1</v>
      </c>
    </row>
    <row r="15778" spans="1:5" x14ac:dyDescent="0.25">
      <c r="A15778">
        <v>15777</v>
      </c>
      <c r="B15778">
        <v>1837918</v>
      </c>
      <c r="C15778" s="1" t="str">
        <f>HYPERLINK("http://stackoverflow.com/users/1837918", "舍予先生")</f>
        <v>舍予先生</v>
      </c>
      <c r="D15778" t="s">
        <v>4</v>
      </c>
      <c r="E15778">
        <v>1</v>
      </c>
    </row>
    <row r="15779" spans="1:5" x14ac:dyDescent="0.25">
      <c r="A15779">
        <v>15778</v>
      </c>
      <c r="B15779">
        <v>1838105</v>
      </c>
      <c r="C15779" s="1" t="str">
        <f>HYPERLINK("http://stackoverflow.com/users/1838105", "pityonline")</f>
        <v>pityonline</v>
      </c>
      <c r="D15779" t="s">
        <v>7</v>
      </c>
      <c r="E15779">
        <v>1</v>
      </c>
    </row>
    <row r="15780" spans="1:5" x14ac:dyDescent="0.25">
      <c r="A15780">
        <v>15779</v>
      </c>
      <c r="B15780">
        <v>3643137</v>
      </c>
      <c r="C15780" s="1" t="str">
        <f>HYPERLINK("http://stackoverflow.com/users/3643137", "Rocky")</f>
        <v>Rocky</v>
      </c>
      <c r="D15780" t="s">
        <v>4</v>
      </c>
      <c r="E15780">
        <v>1</v>
      </c>
    </row>
    <row r="15781" spans="1:5" x14ac:dyDescent="0.25">
      <c r="A15781">
        <v>15780</v>
      </c>
      <c r="B15781">
        <v>3643155</v>
      </c>
      <c r="C15781" s="1" t="str">
        <f>HYPERLINK("http://stackoverflow.com/users/3643155", "Sophia")</f>
        <v>Sophia</v>
      </c>
      <c r="D15781" t="s">
        <v>5</v>
      </c>
      <c r="E15781">
        <v>1</v>
      </c>
    </row>
    <row r="15782" spans="1:5" x14ac:dyDescent="0.25">
      <c r="A15782">
        <v>15781</v>
      </c>
      <c r="B15782">
        <v>3643285</v>
      </c>
      <c r="C15782" s="1" t="str">
        <f>HYPERLINK("http://stackoverflow.com/users/3643285", "Tong Liu")</f>
        <v>Tong Liu</v>
      </c>
      <c r="D15782" t="s">
        <v>5</v>
      </c>
      <c r="E15782">
        <v>1</v>
      </c>
    </row>
    <row r="15783" spans="1:5" x14ac:dyDescent="0.25">
      <c r="A15783">
        <v>15782</v>
      </c>
      <c r="B15783">
        <v>3643301</v>
      </c>
      <c r="C15783" s="1" t="str">
        <f>HYPERLINK("http://stackoverflow.com/users/3643301", "windiors")</f>
        <v>windiors</v>
      </c>
      <c r="D15783" t="s">
        <v>21</v>
      </c>
      <c r="E15783">
        <v>1</v>
      </c>
    </row>
    <row r="15784" spans="1:5" x14ac:dyDescent="0.25">
      <c r="A15784">
        <v>15783</v>
      </c>
      <c r="B15784">
        <v>9055176</v>
      </c>
      <c r="C15784" s="1" t="str">
        <f>HYPERLINK("http://stackoverflow.com/users/9055176", "Kai Wu")</f>
        <v>Kai Wu</v>
      </c>
      <c r="D15784" t="s">
        <v>57</v>
      </c>
      <c r="E15784">
        <v>1</v>
      </c>
    </row>
    <row r="15785" spans="1:5" x14ac:dyDescent="0.25">
      <c r="A15785">
        <v>15784</v>
      </c>
      <c r="B15785">
        <v>9055195</v>
      </c>
      <c r="C15785" s="1" t="str">
        <f>HYPERLINK("http://stackoverflow.com/users/9055195", "lippmann von")</f>
        <v>lippmann von</v>
      </c>
      <c r="D15785" t="s">
        <v>52</v>
      </c>
      <c r="E15785">
        <v>1</v>
      </c>
    </row>
    <row r="15786" spans="1:5" x14ac:dyDescent="0.25">
      <c r="A15786">
        <v>15785</v>
      </c>
      <c r="B15786">
        <v>9059188</v>
      </c>
      <c r="C15786" s="1" t="str">
        <f>HYPERLINK("http://stackoverflow.com/users/9059188", "琦焜Kevin")</f>
        <v>琦焜Kevin</v>
      </c>
      <c r="D15786" t="s">
        <v>184</v>
      </c>
      <c r="E15786">
        <v>1</v>
      </c>
    </row>
    <row r="15787" spans="1:5" x14ac:dyDescent="0.25">
      <c r="A15787">
        <v>15786</v>
      </c>
      <c r="B15787">
        <v>5439167</v>
      </c>
      <c r="C15787" s="1" t="str">
        <f>HYPERLINK("http://stackoverflow.com/users/5439167", "Noodle")</f>
        <v>Noodle</v>
      </c>
      <c r="D15787" t="s">
        <v>4</v>
      </c>
      <c r="E15787">
        <v>1</v>
      </c>
    </row>
    <row r="15788" spans="1:5" x14ac:dyDescent="0.25">
      <c r="A15788">
        <v>15787</v>
      </c>
      <c r="B15788">
        <v>5439530</v>
      </c>
      <c r="C15788" s="1" t="str">
        <f>HYPERLINK("http://stackoverflow.com/users/5439530", "zhongjin616")</f>
        <v>zhongjin616</v>
      </c>
      <c r="D15788" t="s">
        <v>17</v>
      </c>
      <c r="E15788">
        <v>1</v>
      </c>
    </row>
    <row r="15789" spans="1:5" x14ac:dyDescent="0.25">
      <c r="A15789">
        <v>15788</v>
      </c>
      <c r="B15789">
        <v>3638975</v>
      </c>
      <c r="C15789" s="1" t="str">
        <f>HYPERLINK("http://stackoverflow.com/users/3638975", "leezk")</f>
        <v>leezk</v>
      </c>
      <c r="D15789" t="s">
        <v>21</v>
      </c>
      <c r="E15789">
        <v>1</v>
      </c>
    </row>
    <row r="15790" spans="1:5" x14ac:dyDescent="0.25">
      <c r="A15790">
        <v>15789</v>
      </c>
      <c r="B15790">
        <v>3639316</v>
      </c>
      <c r="C15790" s="1" t="str">
        <f>HYPERLINK("http://stackoverflow.com/users/3639316", "fCarl")</f>
        <v>fCarl</v>
      </c>
      <c r="D15790" t="s">
        <v>21</v>
      </c>
      <c r="E15790">
        <v>1</v>
      </c>
    </row>
    <row r="15791" spans="1:5" x14ac:dyDescent="0.25">
      <c r="A15791">
        <v>15790</v>
      </c>
      <c r="B15791">
        <v>7187856</v>
      </c>
      <c r="C15791" s="1" t="str">
        <f>HYPERLINK("http://stackoverflow.com/users/7187856", "benin221")</f>
        <v>benin221</v>
      </c>
      <c r="D15791" t="s">
        <v>131</v>
      </c>
      <c r="E15791">
        <v>1</v>
      </c>
    </row>
    <row r="15792" spans="1:5" x14ac:dyDescent="0.25">
      <c r="A15792">
        <v>15791</v>
      </c>
      <c r="B15792">
        <v>7188104</v>
      </c>
      <c r="C15792" s="1" t="str">
        <f>HYPERLINK("http://stackoverflow.com/users/7188104", "Keira")</f>
        <v>Keira</v>
      </c>
      <c r="D15792" t="s">
        <v>5</v>
      </c>
      <c r="E15792">
        <v>1</v>
      </c>
    </row>
    <row r="15793" spans="1:5" x14ac:dyDescent="0.25">
      <c r="A15793">
        <v>15792</v>
      </c>
      <c r="B15793">
        <v>7188469</v>
      </c>
      <c r="C15793" s="1" t="str">
        <f>HYPERLINK("http://stackoverflow.com/users/7188469", "Yuan Zhou")</f>
        <v>Yuan Zhou</v>
      </c>
      <c r="D15793" t="s">
        <v>5</v>
      </c>
      <c r="E15793">
        <v>1</v>
      </c>
    </row>
    <row r="15794" spans="1:5" x14ac:dyDescent="0.25">
      <c r="A15794">
        <v>15793</v>
      </c>
      <c r="B15794">
        <v>9050945</v>
      </c>
      <c r="C15794" s="1" t="str">
        <f>HYPERLINK("http://stackoverflow.com/users/9050945", "Tony Young")</f>
        <v>Tony Young</v>
      </c>
      <c r="D15794" t="s">
        <v>43</v>
      </c>
      <c r="E15794">
        <v>1</v>
      </c>
    </row>
    <row r="15795" spans="1:5" x14ac:dyDescent="0.25">
      <c r="A15795">
        <v>15794</v>
      </c>
      <c r="B15795">
        <v>7191709</v>
      </c>
      <c r="C15795" s="1" t="str">
        <f>HYPERLINK("http://stackoverflow.com/users/7191709", "Chen Wenlei")</f>
        <v>Chen Wenlei</v>
      </c>
      <c r="D15795" t="s">
        <v>62</v>
      </c>
      <c r="E15795">
        <v>1</v>
      </c>
    </row>
    <row r="15796" spans="1:5" x14ac:dyDescent="0.25">
      <c r="A15796">
        <v>15795</v>
      </c>
      <c r="B15796">
        <v>5435823</v>
      </c>
      <c r="C15796" s="1" t="str">
        <f>HYPERLINK("http://stackoverflow.com/users/5435823", "Haifeng Cheng")</f>
        <v>Haifeng Cheng</v>
      </c>
      <c r="D15796" t="s">
        <v>5</v>
      </c>
      <c r="E15796">
        <v>1</v>
      </c>
    </row>
    <row r="15797" spans="1:5" x14ac:dyDescent="0.25">
      <c r="A15797">
        <v>15796</v>
      </c>
      <c r="B15797">
        <v>1822507</v>
      </c>
      <c r="C15797" s="1" t="str">
        <f>HYPERLINK("http://stackoverflow.com/users/1822507", "daweizhou89")</f>
        <v>daweizhou89</v>
      </c>
      <c r="D15797" t="s">
        <v>21</v>
      </c>
      <c r="E15797">
        <v>1</v>
      </c>
    </row>
    <row r="15798" spans="1:5" x14ac:dyDescent="0.25">
      <c r="A15798">
        <v>15797</v>
      </c>
      <c r="B15798">
        <v>1822636</v>
      </c>
      <c r="C15798" s="1" t="str">
        <f>HYPERLINK("http://stackoverflow.com/users/1822636", "shukebeta")</f>
        <v>shukebeta</v>
      </c>
      <c r="D15798" t="s">
        <v>5</v>
      </c>
      <c r="E15798">
        <v>1</v>
      </c>
    </row>
    <row r="15799" spans="1:5" x14ac:dyDescent="0.25">
      <c r="A15799">
        <v>15798</v>
      </c>
      <c r="B15799">
        <v>1823011</v>
      </c>
      <c r="C15799" s="1" t="str">
        <f>HYPERLINK("http://stackoverflow.com/users/1823011", "VectorBoy")</f>
        <v>VectorBoy</v>
      </c>
      <c r="D15799" t="s">
        <v>4</v>
      </c>
      <c r="E15799">
        <v>1</v>
      </c>
    </row>
    <row r="15800" spans="1:5" x14ac:dyDescent="0.25">
      <c r="A15800">
        <v>15799</v>
      </c>
      <c r="B15800">
        <v>10846592</v>
      </c>
      <c r="C15800" s="1" t="str">
        <f>HYPERLINK("http://stackoverflow.com/users/10846592", "Wolther47")</f>
        <v>Wolther47</v>
      </c>
      <c r="D15800" t="s">
        <v>4</v>
      </c>
      <c r="E15800">
        <v>1</v>
      </c>
    </row>
    <row r="15801" spans="1:5" x14ac:dyDescent="0.25">
      <c r="A15801">
        <v>15800</v>
      </c>
      <c r="B15801">
        <v>10846627</v>
      </c>
      <c r="C15801" s="1" t="str">
        <f>HYPERLINK("http://stackoverflow.com/users/10846627", "StarLee")</f>
        <v>StarLee</v>
      </c>
      <c r="D15801" t="s">
        <v>184</v>
      </c>
      <c r="E15801">
        <v>1</v>
      </c>
    </row>
    <row r="15802" spans="1:5" x14ac:dyDescent="0.25">
      <c r="A15802">
        <v>15801</v>
      </c>
      <c r="B15802">
        <v>10685166</v>
      </c>
      <c r="C15802" s="1" t="str">
        <f>HYPERLINK("http://stackoverflow.com/users/10685166", "spg")</f>
        <v>spg</v>
      </c>
      <c r="D15802" t="s">
        <v>620</v>
      </c>
      <c r="E15802">
        <v>1</v>
      </c>
    </row>
    <row r="15803" spans="1:5" x14ac:dyDescent="0.25">
      <c r="A15803">
        <v>15802</v>
      </c>
      <c r="B15803">
        <v>8872088</v>
      </c>
      <c r="C15803" s="1" t="str">
        <f>HYPERLINK("http://stackoverflow.com/users/8872088", "ysslang")</f>
        <v>ysslang</v>
      </c>
      <c r="D15803" t="s">
        <v>79</v>
      </c>
      <c r="E15803">
        <v>1</v>
      </c>
    </row>
    <row r="15804" spans="1:5" x14ac:dyDescent="0.25">
      <c r="A15804">
        <v>15803</v>
      </c>
      <c r="B15804">
        <v>3480490</v>
      </c>
      <c r="C15804" s="1" t="str">
        <f>HYPERLINK("http://stackoverflow.com/users/3480490", "egrcc")</f>
        <v>egrcc</v>
      </c>
      <c r="D15804" t="s">
        <v>4</v>
      </c>
      <c r="E15804">
        <v>1</v>
      </c>
    </row>
    <row r="15805" spans="1:5" x14ac:dyDescent="0.25">
      <c r="A15805">
        <v>15804</v>
      </c>
      <c r="B15805">
        <v>3480494</v>
      </c>
      <c r="C15805" s="1" t="str">
        <f>HYPERLINK("http://stackoverflow.com/users/3480494", "wudragonfly")</f>
        <v>wudragonfly</v>
      </c>
      <c r="D15805" t="s">
        <v>3</v>
      </c>
      <c r="E15805">
        <v>1</v>
      </c>
    </row>
    <row r="15806" spans="1:5" x14ac:dyDescent="0.25">
      <c r="A15806">
        <v>15805</v>
      </c>
      <c r="B15806">
        <v>8875366</v>
      </c>
      <c r="C15806" s="1" t="str">
        <f>HYPERLINK("http://stackoverflow.com/users/8875366", "James")</f>
        <v>James</v>
      </c>
      <c r="D15806" t="s">
        <v>62</v>
      </c>
      <c r="E15806">
        <v>1</v>
      </c>
    </row>
    <row r="15807" spans="1:5" x14ac:dyDescent="0.25">
      <c r="A15807">
        <v>15806</v>
      </c>
      <c r="B15807">
        <v>3462792</v>
      </c>
      <c r="C15807" s="1" t="str">
        <f>HYPERLINK("http://stackoverflow.com/users/3462792", "Robert Ji")</f>
        <v>Robert Ji</v>
      </c>
      <c r="D15807" t="s">
        <v>4</v>
      </c>
      <c r="E15807">
        <v>1</v>
      </c>
    </row>
    <row r="15808" spans="1:5" x14ac:dyDescent="0.25">
      <c r="A15808">
        <v>15807</v>
      </c>
      <c r="B15808">
        <v>5272762</v>
      </c>
      <c r="C15808" s="1" t="str">
        <f>HYPERLINK("http://stackoverflow.com/users/5272762", "Zhou")</f>
        <v>Zhou</v>
      </c>
      <c r="D15808" t="s">
        <v>16</v>
      </c>
      <c r="E15808">
        <v>1</v>
      </c>
    </row>
    <row r="15809" spans="1:5" x14ac:dyDescent="0.25">
      <c r="A15809">
        <v>15808</v>
      </c>
      <c r="B15809">
        <v>1637849</v>
      </c>
      <c r="C15809" s="1" t="str">
        <f>HYPERLINK("http://stackoverflow.com/users/1637849", "cymacs")</f>
        <v>cymacs</v>
      </c>
      <c r="D15809" t="s">
        <v>56</v>
      </c>
      <c r="E15809">
        <v>1</v>
      </c>
    </row>
    <row r="15810" spans="1:5" x14ac:dyDescent="0.25">
      <c r="A15810">
        <v>15809</v>
      </c>
      <c r="B15810">
        <v>1638094</v>
      </c>
      <c r="C15810" s="1" t="str">
        <f>HYPERLINK("http://stackoverflow.com/users/1638094", "Nova China")</f>
        <v>Nova China</v>
      </c>
      <c r="D15810" t="s">
        <v>62</v>
      </c>
      <c r="E15810">
        <v>1</v>
      </c>
    </row>
    <row r="15811" spans="1:5" x14ac:dyDescent="0.25">
      <c r="A15811">
        <v>15810</v>
      </c>
      <c r="B15811">
        <v>8866755</v>
      </c>
      <c r="C15811" s="1" t="str">
        <f>HYPERLINK("http://stackoverflow.com/users/8866755", "Maggie Wong")</f>
        <v>Maggie Wong</v>
      </c>
      <c r="D15811" t="s">
        <v>7</v>
      </c>
      <c r="E15811">
        <v>1</v>
      </c>
    </row>
    <row r="15812" spans="1:5" x14ac:dyDescent="0.25">
      <c r="A15812">
        <v>15811</v>
      </c>
      <c r="B15812">
        <v>8866989</v>
      </c>
      <c r="C15812" s="1" t="str">
        <f>HYPERLINK("http://stackoverflow.com/users/8866989", "Xiaobo Hu")</f>
        <v>Xiaobo Hu</v>
      </c>
      <c r="D15812" t="s">
        <v>4</v>
      </c>
      <c r="E15812">
        <v>1</v>
      </c>
    </row>
    <row r="15813" spans="1:5" x14ac:dyDescent="0.25">
      <c r="A15813">
        <v>15812</v>
      </c>
      <c r="B15813">
        <v>8867036</v>
      </c>
      <c r="C15813" s="1" t="str">
        <f>HYPERLINK("http://stackoverflow.com/users/8867036", "Arron.Lin")</f>
        <v>Arron.Lin</v>
      </c>
      <c r="D15813" t="s">
        <v>21</v>
      </c>
      <c r="E15813">
        <v>1</v>
      </c>
    </row>
    <row r="15814" spans="1:5" x14ac:dyDescent="0.25">
      <c r="A15814">
        <v>15813</v>
      </c>
      <c r="B15814">
        <v>8867262</v>
      </c>
      <c r="C15814" s="1" t="str">
        <f>HYPERLINK("http://stackoverflow.com/users/8867262", "hao")</f>
        <v>hao</v>
      </c>
      <c r="D15814" t="s">
        <v>16</v>
      </c>
      <c r="E15814">
        <v>1</v>
      </c>
    </row>
    <row r="15815" spans="1:5" x14ac:dyDescent="0.25">
      <c r="A15815">
        <v>15814</v>
      </c>
      <c r="B15815">
        <v>10677495</v>
      </c>
      <c r="C15815" s="1" t="str">
        <f>HYPERLINK("http://stackoverflow.com/users/10677495", "1988")</f>
        <v>1988</v>
      </c>
      <c r="D15815" t="s">
        <v>16</v>
      </c>
      <c r="E15815">
        <v>1</v>
      </c>
    </row>
    <row r="15816" spans="1:5" x14ac:dyDescent="0.25">
      <c r="A15816">
        <v>15815</v>
      </c>
      <c r="B15816">
        <v>10677561</v>
      </c>
      <c r="C15816" s="1" t="str">
        <f>HYPERLINK("http://stackoverflow.com/users/10677561", "Yuxuan Hong")</f>
        <v>Yuxuan Hong</v>
      </c>
      <c r="D15816" t="s">
        <v>76</v>
      </c>
      <c r="E15816">
        <v>1</v>
      </c>
    </row>
    <row r="15817" spans="1:5" x14ac:dyDescent="0.25">
      <c r="A15817">
        <v>15816</v>
      </c>
      <c r="B15817">
        <v>10677676</v>
      </c>
      <c r="C15817" s="1" t="str">
        <f>HYPERLINK("http://stackoverflow.com/users/10677676", "wxb2dyj")</f>
        <v>wxb2dyj</v>
      </c>
      <c r="D15817" t="s">
        <v>869</v>
      </c>
      <c r="E15817">
        <v>1</v>
      </c>
    </row>
    <row r="15818" spans="1:5" x14ac:dyDescent="0.25">
      <c r="A15818">
        <v>15817</v>
      </c>
      <c r="B15818">
        <v>10677793</v>
      </c>
      <c r="C15818" s="1" t="str">
        <f>HYPERLINK("http://stackoverflow.com/users/10677793", "潘杉杉")</f>
        <v>潘杉杉</v>
      </c>
      <c r="D15818" t="s">
        <v>17</v>
      </c>
      <c r="E15818">
        <v>1</v>
      </c>
    </row>
    <row r="15819" spans="1:5" x14ac:dyDescent="0.25">
      <c r="A15819">
        <v>15818</v>
      </c>
      <c r="B15819">
        <v>10678180</v>
      </c>
      <c r="C15819" s="1" t="str">
        <f>HYPERLINK("http://stackoverflow.com/users/10678180", "Wen Zhou")</f>
        <v>Wen Zhou</v>
      </c>
      <c r="D15819" t="s">
        <v>4</v>
      </c>
      <c r="E15819">
        <v>1</v>
      </c>
    </row>
    <row r="15820" spans="1:5" x14ac:dyDescent="0.25">
      <c r="A15820">
        <v>15819</v>
      </c>
      <c r="B15820">
        <v>7040596</v>
      </c>
      <c r="C15820" s="1" t="str">
        <f>HYPERLINK("http://stackoverflow.com/users/7040596", "李得胜")</f>
        <v>李得胜</v>
      </c>
      <c r="D15820" t="s">
        <v>870</v>
      </c>
      <c r="E15820">
        <v>1</v>
      </c>
    </row>
    <row r="15821" spans="1:5" x14ac:dyDescent="0.25">
      <c r="A15821">
        <v>15820</v>
      </c>
      <c r="B15821">
        <v>7040820</v>
      </c>
      <c r="C15821" s="1" t="str">
        <f>HYPERLINK("http://stackoverflow.com/users/7040820", "Monk.Soul")</f>
        <v>Monk.Soul</v>
      </c>
      <c r="D15821" t="s">
        <v>871</v>
      </c>
      <c r="E15821">
        <v>1</v>
      </c>
    </row>
    <row r="15822" spans="1:5" x14ac:dyDescent="0.25">
      <c r="A15822">
        <v>15821</v>
      </c>
      <c r="B15822">
        <v>7040987</v>
      </c>
      <c r="C15822" s="1" t="str">
        <f>HYPERLINK("http://stackoverflow.com/users/7040987", "Yang Chen")</f>
        <v>Yang Chen</v>
      </c>
      <c r="D15822" t="s">
        <v>872</v>
      </c>
      <c r="E15822">
        <v>1</v>
      </c>
    </row>
    <row r="15823" spans="1:5" x14ac:dyDescent="0.25">
      <c r="A15823">
        <v>15822</v>
      </c>
      <c r="B15823">
        <v>7041115</v>
      </c>
      <c r="C15823" s="1" t="str">
        <f>HYPERLINK("http://stackoverflow.com/users/7041115", "Tony Lee")</f>
        <v>Tony Lee</v>
      </c>
      <c r="D15823" t="s">
        <v>27</v>
      </c>
      <c r="E15823">
        <v>1</v>
      </c>
    </row>
    <row r="15824" spans="1:5" x14ac:dyDescent="0.25">
      <c r="A15824">
        <v>15823</v>
      </c>
      <c r="B15824">
        <v>10682222</v>
      </c>
      <c r="C15824" s="1" t="str">
        <f>HYPERLINK("http://stackoverflow.com/users/10682222", "matiba")</f>
        <v>matiba</v>
      </c>
      <c r="D15824" t="s">
        <v>57</v>
      </c>
      <c r="E15824">
        <v>1</v>
      </c>
    </row>
    <row r="15825" spans="1:5" x14ac:dyDescent="0.25">
      <c r="A15825">
        <v>15824</v>
      </c>
      <c r="B15825">
        <v>10682457</v>
      </c>
      <c r="C15825" s="1" t="str">
        <f>HYPERLINK("http://stackoverflow.com/users/10682457", "Jin Bo")</f>
        <v>Jin Bo</v>
      </c>
      <c r="D15825" t="s">
        <v>5</v>
      </c>
      <c r="E15825">
        <v>1</v>
      </c>
    </row>
    <row r="15826" spans="1:5" x14ac:dyDescent="0.25">
      <c r="A15826">
        <v>15825</v>
      </c>
      <c r="B15826">
        <v>10682588</v>
      </c>
      <c r="C15826" s="1" t="str">
        <f>HYPERLINK("http://stackoverflow.com/users/10682588", "Miao Yu")</f>
        <v>Miao Yu</v>
      </c>
      <c r="D15826" t="s">
        <v>28</v>
      </c>
      <c r="E15826">
        <v>1</v>
      </c>
    </row>
    <row r="15827" spans="1:5" x14ac:dyDescent="0.25">
      <c r="A15827">
        <v>15826</v>
      </c>
      <c r="B15827">
        <v>7017733</v>
      </c>
      <c r="C15827" s="1" t="str">
        <f>HYPERLINK("http://stackoverflow.com/users/7017733", "miangangzhen")</f>
        <v>miangangzhen</v>
      </c>
      <c r="D15827" t="s">
        <v>5</v>
      </c>
      <c r="E15827">
        <v>1</v>
      </c>
    </row>
    <row r="15828" spans="1:5" x14ac:dyDescent="0.25">
      <c r="A15828">
        <v>15827</v>
      </c>
      <c r="B15828">
        <v>7017812</v>
      </c>
      <c r="C15828" s="1" t="str">
        <f>HYPERLINK("http://stackoverflow.com/users/7017812", "Jason")</f>
        <v>Jason</v>
      </c>
      <c r="D15828" t="s">
        <v>5</v>
      </c>
      <c r="E15828">
        <v>1</v>
      </c>
    </row>
    <row r="15829" spans="1:5" x14ac:dyDescent="0.25">
      <c r="A15829">
        <v>15828</v>
      </c>
      <c r="B15829">
        <v>3451531</v>
      </c>
      <c r="C15829" s="1" t="str">
        <f>HYPERLINK("http://stackoverflow.com/users/3451531", "Jiang")</f>
        <v>Jiang</v>
      </c>
      <c r="D15829" t="s">
        <v>74</v>
      </c>
      <c r="E15829">
        <v>1</v>
      </c>
    </row>
    <row r="15830" spans="1:5" x14ac:dyDescent="0.25">
      <c r="A15830">
        <v>15829</v>
      </c>
      <c r="B15830">
        <v>3451702</v>
      </c>
      <c r="C15830" s="1" t="str">
        <f>HYPERLINK("http://stackoverflow.com/users/3451702", "zhaifly")</f>
        <v>zhaifly</v>
      </c>
      <c r="D15830" t="s">
        <v>873</v>
      </c>
      <c r="E15830">
        <v>1</v>
      </c>
    </row>
    <row r="15831" spans="1:5" x14ac:dyDescent="0.25">
      <c r="A15831">
        <v>15830</v>
      </c>
      <c r="B15831">
        <v>3455028</v>
      </c>
      <c r="C15831" s="1" t="str">
        <f>HYPERLINK("http://stackoverflow.com/users/3455028", "Kaiyuan")</f>
        <v>Kaiyuan</v>
      </c>
      <c r="D15831" t="s">
        <v>37</v>
      </c>
      <c r="E15831">
        <v>1</v>
      </c>
    </row>
    <row r="15832" spans="1:5" x14ac:dyDescent="0.25">
      <c r="A15832">
        <v>15831</v>
      </c>
      <c r="B15832">
        <v>8843669</v>
      </c>
      <c r="C15832" s="1" t="str">
        <f>HYPERLINK("http://stackoverflow.com/users/8843669", "张天玮")</f>
        <v>张天玮</v>
      </c>
      <c r="D15832" t="s">
        <v>5</v>
      </c>
      <c r="E15832">
        <v>1</v>
      </c>
    </row>
    <row r="15833" spans="1:5" x14ac:dyDescent="0.25">
      <c r="A15833">
        <v>15832</v>
      </c>
      <c r="B15833">
        <v>7025491</v>
      </c>
      <c r="C15833" s="1" t="str">
        <f>HYPERLINK("http://stackoverflow.com/users/7025491", "S.Y. Xie")</f>
        <v>S.Y. Xie</v>
      </c>
      <c r="D15833" t="s">
        <v>4</v>
      </c>
      <c r="E15833">
        <v>1</v>
      </c>
    </row>
    <row r="15834" spans="1:5" x14ac:dyDescent="0.25">
      <c r="A15834">
        <v>15833</v>
      </c>
      <c r="B15834">
        <v>7025598</v>
      </c>
      <c r="C15834" s="1" t="str">
        <f>HYPERLINK("http://stackoverflow.com/users/7025598", "7937")</f>
        <v>7937</v>
      </c>
      <c r="D15834" t="s">
        <v>28</v>
      </c>
      <c r="E15834">
        <v>1</v>
      </c>
    </row>
    <row r="15835" spans="1:5" x14ac:dyDescent="0.25">
      <c r="A15835">
        <v>15834</v>
      </c>
      <c r="B15835">
        <v>1622264</v>
      </c>
      <c r="C15835" s="1" t="str">
        <f>HYPERLINK("http://stackoverflow.com/users/1622264", "Henry Lee")</f>
        <v>Henry Lee</v>
      </c>
      <c r="D15835" t="s">
        <v>4</v>
      </c>
      <c r="E15835">
        <v>1</v>
      </c>
    </row>
    <row r="15836" spans="1:5" x14ac:dyDescent="0.25">
      <c r="A15836">
        <v>15835</v>
      </c>
      <c r="B15836">
        <v>8835027</v>
      </c>
      <c r="C15836" s="1" t="str">
        <f>HYPERLINK("http://stackoverflow.com/users/8835027", "Clint Shifu")</f>
        <v>Clint Shifu</v>
      </c>
      <c r="D15836" t="s">
        <v>242</v>
      </c>
      <c r="E15836">
        <v>1</v>
      </c>
    </row>
    <row r="15837" spans="1:5" x14ac:dyDescent="0.25">
      <c r="A15837">
        <v>15836</v>
      </c>
      <c r="B15837">
        <v>8835131</v>
      </c>
      <c r="C15837" s="1" t="str">
        <f>HYPERLINK("http://stackoverflow.com/users/8835131", "yuyu fan")</f>
        <v>yuyu fan</v>
      </c>
      <c r="D15837" t="s">
        <v>120</v>
      </c>
      <c r="E15837">
        <v>1</v>
      </c>
    </row>
    <row r="15838" spans="1:5" x14ac:dyDescent="0.25">
      <c r="A15838">
        <v>15837</v>
      </c>
      <c r="B15838">
        <v>10645660</v>
      </c>
      <c r="C15838" s="1" t="str">
        <f>HYPERLINK("http://stackoverflow.com/users/10645660", "songde.xue")</f>
        <v>songde.xue</v>
      </c>
      <c r="D15838" t="s">
        <v>5</v>
      </c>
      <c r="E15838">
        <v>1</v>
      </c>
    </row>
    <row r="15839" spans="1:5" x14ac:dyDescent="0.25">
      <c r="A15839">
        <v>15838</v>
      </c>
      <c r="B15839">
        <v>10646360</v>
      </c>
      <c r="C15839" s="1" t="str">
        <f>HYPERLINK("http://stackoverflow.com/users/10646360", "z.wu")</f>
        <v>z.wu</v>
      </c>
      <c r="D15839" t="s">
        <v>7</v>
      </c>
      <c r="E15839">
        <v>1</v>
      </c>
    </row>
    <row r="15840" spans="1:5" x14ac:dyDescent="0.25">
      <c r="A15840">
        <v>15839</v>
      </c>
      <c r="B15840">
        <v>10646562</v>
      </c>
      <c r="C15840" s="1" t="str">
        <f>HYPERLINK("http://stackoverflow.com/users/10646562", "帆动世界")</f>
        <v>帆动世界</v>
      </c>
      <c r="D15840" t="s">
        <v>17</v>
      </c>
      <c r="E15840">
        <v>1</v>
      </c>
    </row>
    <row r="15841" spans="1:5" x14ac:dyDescent="0.25">
      <c r="A15841">
        <v>15840</v>
      </c>
      <c r="B15841">
        <v>8835468</v>
      </c>
      <c r="C15841" s="1" t="str">
        <f>HYPERLINK("http://stackoverflow.com/users/8835468", "韩龙宇")</f>
        <v>韩龙宇</v>
      </c>
      <c r="D15841" t="s">
        <v>120</v>
      </c>
      <c r="E15841">
        <v>1</v>
      </c>
    </row>
    <row r="15842" spans="1:5" x14ac:dyDescent="0.25">
      <c r="A15842">
        <v>15841</v>
      </c>
      <c r="B15842">
        <v>8835660</v>
      </c>
      <c r="C15842" s="1" t="str">
        <f>HYPERLINK("http://stackoverflow.com/users/8835660", "Dashy")</f>
        <v>Dashy</v>
      </c>
      <c r="D15842" t="s">
        <v>4</v>
      </c>
      <c r="E15842">
        <v>1</v>
      </c>
    </row>
    <row r="15843" spans="1:5" x14ac:dyDescent="0.25">
      <c r="A15843">
        <v>15842</v>
      </c>
      <c r="B15843">
        <v>5254186</v>
      </c>
      <c r="C15843" s="1" t="str">
        <f>HYPERLINK("http://stackoverflow.com/users/5254186", "ZhaoJing")</f>
        <v>ZhaoJing</v>
      </c>
      <c r="D15843" t="s">
        <v>5</v>
      </c>
      <c r="E15843">
        <v>1</v>
      </c>
    </row>
    <row r="15844" spans="1:5" x14ac:dyDescent="0.25">
      <c r="A15844">
        <v>15843</v>
      </c>
      <c r="B15844">
        <v>5254195</v>
      </c>
      <c r="C15844" s="1" t="str">
        <f>HYPERLINK("http://stackoverflow.com/users/5254195", "luyg24")</f>
        <v>luyg24</v>
      </c>
      <c r="D15844" t="s">
        <v>5</v>
      </c>
      <c r="E15844">
        <v>1</v>
      </c>
    </row>
    <row r="15845" spans="1:5" x14ac:dyDescent="0.25">
      <c r="A15845">
        <v>15844</v>
      </c>
      <c r="B15845">
        <v>5254623</v>
      </c>
      <c r="C15845" s="1" t="str">
        <f>HYPERLINK("http://stackoverflow.com/users/5254623", "bingoogolapple")</f>
        <v>bingoogolapple</v>
      </c>
      <c r="D15845" t="s">
        <v>28</v>
      </c>
      <c r="E15845">
        <v>1</v>
      </c>
    </row>
    <row r="15846" spans="1:5" x14ac:dyDescent="0.25">
      <c r="A15846">
        <v>15845</v>
      </c>
      <c r="B15846">
        <v>5254676</v>
      </c>
      <c r="C15846" s="1" t="str">
        <f>HYPERLINK("http://stackoverflow.com/users/5254676", "whep321")</f>
        <v>whep321</v>
      </c>
      <c r="D15846" t="s">
        <v>54</v>
      </c>
      <c r="E15846">
        <v>1</v>
      </c>
    </row>
    <row r="15847" spans="1:5" x14ac:dyDescent="0.25">
      <c r="A15847">
        <v>15846</v>
      </c>
      <c r="B15847">
        <v>10672722</v>
      </c>
      <c r="C15847" s="1" t="str">
        <f>HYPERLINK("http://stackoverflow.com/users/10672722", "J. Wu")</f>
        <v>J. Wu</v>
      </c>
      <c r="D15847" t="s">
        <v>31</v>
      </c>
      <c r="E15847">
        <v>1</v>
      </c>
    </row>
    <row r="15848" spans="1:5" x14ac:dyDescent="0.25">
      <c r="A15848">
        <v>15847</v>
      </c>
      <c r="B15848">
        <v>10672766</v>
      </c>
      <c r="C15848" s="1" t="str">
        <f>HYPERLINK("http://stackoverflow.com/users/10672766", "Tark")</f>
        <v>Tark</v>
      </c>
      <c r="D15848" t="s">
        <v>25</v>
      </c>
      <c r="E15848">
        <v>1</v>
      </c>
    </row>
    <row r="15849" spans="1:5" x14ac:dyDescent="0.25">
      <c r="A15849">
        <v>15848</v>
      </c>
      <c r="B15849">
        <v>10672788</v>
      </c>
      <c r="C15849" s="1" t="str">
        <f>HYPERLINK("http://stackoverflow.com/users/10672788", "domon")</f>
        <v>domon</v>
      </c>
      <c r="D15849" t="s">
        <v>4</v>
      </c>
      <c r="E15849">
        <v>1</v>
      </c>
    </row>
    <row r="15850" spans="1:5" x14ac:dyDescent="0.25">
      <c r="A15850">
        <v>15849</v>
      </c>
      <c r="B15850">
        <v>10673034</v>
      </c>
      <c r="C15850" s="1" t="str">
        <f>HYPERLINK("http://stackoverflow.com/users/10673034", "swing")</f>
        <v>swing</v>
      </c>
      <c r="D15850" t="s">
        <v>4</v>
      </c>
      <c r="E15850">
        <v>1</v>
      </c>
    </row>
    <row r="15851" spans="1:5" x14ac:dyDescent="0.25">
      <c r="A15851">
        <v>15850</v>
      </c>
      <c r="B15851">
        <v>10673473</v>
      </c>
      <c r="C15851" s="1" t="str">
        <f>HYPERLINK("http://stackoverflow.com/users/10673473", "YC Zhang")</f>
        <v>YC Zhang</v>
      </c>
      <c r="D15851" t="s">
        <v>5</v>
      </c>
      <c r="E15851">
        <v>1</v>
      </c>
    </row>
    <row r="15852" spans="1:5" x14ac:dyDescent="0.25">
      <c r="A15852">
        <v>15851</v>
      </c>
      <c r="B15852">
        <v>1636953</v>
      </c>
      <c r="C15852" s="1" t="str">
        <f>HYPERLINK("http://stackoverflow.com/users/1636953", "user194714")</f>
        <v>user194714</v>
      </c>
      <c r="D15852" t="s">
        <v>5</v>
      </c>
      <c r="E15852">
        <v>1</v>
      </c>
    </row>
    <row r="15853" spans="1:5" x14ac:dyDescent="0.25">
      <c r="A15853">
        <v>15852</v>
      </c>
      <c r="B15853">
        <v>1637236</v>
      </c>
      <c r="C15853" s="1" t="str">
        <f>HYPERLINK("http://stackoverflow.com/users/1637236", "华芳 柳")</f>
        <v>华芳 柳</v>
      </c>
      <c r="D15853" t="s">
        <v>5</v>
      </c>
      <c r="E15853">
        <v>1</v>
      </c>
    </row>
    <row r="15854" spans="1:5" x14ac:dyDescent="0.25">
      <c r="A15854">
        <v>15853</v>
      </c>
      <c r="B15854">
        <v>7028928</v>
      </c>
      <c r="C15854" s="1" t="str">
        <f>HYPERLINK("http://stackoverflow.com/users/7028928", "Z.C. Wu")</f>
        <v>Z.C. Wu</v>
      </c>
      <c r="D15854" t="s">
        <v>5</v>
      </c>
      <c r="E15854">
        <v>1</v>
      </c>
    </row>
    <row r="15855" spans="1:5" x14ac:dyDescent="0.25">
      <c r="A15855">
        <v>15854</v>
      </c>
      <c r="B15855">
        <v>7028936</v>
      </c>
      <c r="C15855" s="1" t="str">
        <f>HYPERLINK("http://stackoverflow.com/users/7028936", "Robbin")</f>
        <v>Robbin</v>
      </c>
      <c r="D15855" t="s">
        <v>154</v>
      </c>
      <c r="E15855">
        <v>1</v>
      </c>
    </row>
    <row r="15856" spans="1:5" x14ac:dyDescent="0.25">
      <c r="A15856">
        <v>15855</v>
      </c>
      <c r="B15856">
        <v>7029020</v>
      </c>
      <c r="C15856" s="1" t="str">
        <f>HYPERLINK("http://stackoverflow.com/users/7029020", "孙培文")</f>
        <v>孙培文</v>
      </c>
      <c r="D15856" t="s">
        <v>176</v>
      </c>
      <c r="E15856">
        <v>1</v>
      </c>
    </row>
    <row r="15857" spans="1:5" x14ac:dyDescent="0.25">
      <c r="A15857">
        <v>15856</v>
      </c>
      <c r="B15857">
        <v>8892302</v>
      </c>
      <c r="C15857" s="1" t="str">
        <f>HYPERLINK("http://stackoverflow.com/users/8892302", "M.Lei")</f>
        <v>M.Lei</v>
      </c>
      <c r="D15857" t="s">
        <v>4</v>
      </c>
      <c r="E15857">
        <v>1</v>
      </c>
    </row>
    <row r="15858" spans="1:5" x14ac:dyDescent="0.25">
      <c r="A15858">
        <v>15857</v>
      </c>
      <c r="B15858">
        <v>8892368</v>
      </c>
      <c r="C15858" s="1" t="str">
        <f>HYPERLINK("http://stackoverflow.com/users/8892368", "Lolali Zhang")</f>
        <v>Lolali Zhang</v>
      </c>
      <c r="D15858" t="s">
        <v>16</v>
      </c>
      <c r="E15858">
        <v>1</v>
      </c>
    </row>
    <row r="15859" spans="1:5" x14ac:dyDescent="0.25">
      <c r="A15859">
        <v>15858</v>
      </c>
      <c r="B15859">
        <v>10703259</v>
      </c>
      <c r="C15859" s="1" t="str">
        <f>HYPERLINK("http://stackoverflow.com/users/10703259", "Yellow")</f>
        <v>Yellow</v>
      </c>
      <c r="D15859" t="s">
        <v>5</v>
      </c>
      <c r="E15859">
        <v>1</v>
      </c>
    </row>
    <row r="15860" spans="1:5" x14ac:dyDescent="0.25">
      <c r="A15860">
        <v>15859</v>
      </c>
      <c r="B15860">
        <v>7063303</v>
      </c>
      <c r="C15860" s="1" t="str">
        <f>HYPERLINK("http://stackoverflow.com/users/7063303", "Schrominger")</f>
        <v>Schrominger</v>
      </c>
      <c r="D15860" t="s">
        <v>193</v>
      </c>
      <c r="E15860">
        <v>1</v>
      </c>
    </row>
    <row r="15861" spans="1:5" x14ac:dyDescent="0.25">
      <c r="A15861">
        <v>15860</v>
      </c>
      <c r="B15861">
        <v>3496172</v>
      </c>
      <c r="C15861" s="1" t="str">
        <f>HYPERLINK("http://stackoverflow.com/users/3496172", "Yuanbo Liu")</f>
        <v>Yuanbo Liu</v>
      </c>
      <c r="D15861" t="s">
        <v>5</v>
      </c>
      <c r="E15861">
        <v>1</v>
      </c>
    </row>
    <row r="15862" spans="1:5" x14ac:dyDescent="0.25">
      <c r="A15862">
        <v>15861</v>
      </c>
      <c r="B15862">
        <v>5307188</v>
      </c>
      <c r="C15862" s="1" t="str">
        <f>HYPERLINK("http://stackoverflow.com/users/5307188", "Woody Huang")</f>
        <v>Woody Huang</v>
      </c>
      <c r="D15862" t="s">
        <v>874</v>
      </c>
      <c r="E15862">
        <v>1</v>
      </c>
    </row>
    <row r="15863" spans="1:5" x14ac:dyDescent="0.25">
      <c r="A15863">
        <v>15862</v>
      </c>
      <c r="B15863">
        <v>3496576</v>
      </c>
      <c r="C15863" s="1" t="str">
        <f>HYPERLINK("http://stackoverflow.com/users/3496576", "Evan_Hu")</f>
        <v>Evan_Hu</v>
      </c>
      <c r="D15863" t="s">
        <v>22</v>
      </c>
      <c r="E15863">
        <v>1</v>
      </c>
    </row>
    <row r="15864" spans="1:5" x14ac:dyDescent="0.25">
      <c r="A15864">
        <v>15863</v>
      </c>
      <c r="B15864">
        <v>5307294</v>
      </c>
      <c r="C15864" s="1" t="str">
        <f>HYPERLINK("http://stackoverflow.com/users/5307294", "YG 项")</f>
        <v>YG 项</v>
      </c>
      <c r="D15864" t="s">
        <v>16</v>
      </c>
      <c r="E15864">
        <v>1</v>
      </c>
    </row>
    <row r="15865" spans="1:5" x14ac:dyDescent="0.25">
      <c r="A15865">
        <v>15864</v>
      </c>
      <c r="B15865">
        <v>5307381</v>
      </c>
      <c r="C15865" s="1" t="str">
        <f>HYPERLINK("http://stackoverflow.com/users/5307381", "liuzhidan")</f>
        <v>liuzhidan</v>
      </c>
      <c r="D15865" t="s">
        <v>17</v>
      </c>
      <c r="E15865">
        <v>1</v>
      </c>
    </row>
    <row r="15866" spans="1:5" x14ac:dyDescent="0.25">
      <c r="A15866">
        <v>15865</v>
      </c>
      <c r="B15866">
        <v>10707665</v>
      </c>
      <c r="C15866" s="1" t="str">
        <f>HYPERLINK("http://stackoverflow.com/users/10707665", "ZhiJie Wang")</f>
        <v>ZhiJie Wang</v>
      </c>
      <c r="D15866" t="s">
        <v>217</v>
      </c>
      <c r="E15866">
        <v>1</v>
      </c>
    </row>
    <row r="15867" spans="1:5" x14ac:dyDescent="0.25">
      <c r="A15867">
        <v>15866</v>
      </c>
      <c r="B15867">
        <v>5310977</v>
      </c>
      <c r="C15867" s="1" t="str">
        <f>HYPERLINK("http://stackoverflow.com/users/5310977", "zuuhox")</f>
        <v>zuuhox</v>
      </c>
      <c r="D15867" t="s">
        <v>4</v>
      </c>
      <c r="E15867">
        <v>1</v>
      </c>
    </row>
    <row r="15868" spans="1:5" x14ac:dyDescent="0.25">
      <c r="A15868">
        <v>15867</v>
      </c>
      <c r="B15868">
        <v>5311023</v>
      </c>
      <c r="C15868" s="1" t="str">
        <f>HYPERLINK("http://stackoverflow.com/users/5311023", "Alex")</f>
        <v>Alex</v>
      </c>
      <c r="D15868" t="s">
        <v>4</v>
      </c>
      <c r="E15868">
        <v>1</v>
      </c>
    </row>
    <row r="15869" spans="1:5" x14ac:dyDescent="0.25">
      <c r="A15869">
        <v>15868</v>
      </c>
      <c r="B15869">
        <v>5311099</v>
      </c>
      <c r="C15869" s="1" t="str">
        <f>HYPERLINK("http://stackoverflow.com/users/5311099", "Tsongski")</f>
        <v>Tsongski</v>
      </c>
      <c r="D15869" t="s">
        <v>5</v>
      </c>
      <c r="E15869">
        <v>1</v>
      </c>
    </row>
    <row r="15870" spans="1:5" x14ac:dyDescent="0.25">
      <c r="A15870">
        <v>15869</v>
      </c>
      <c r="B15870">
        <v>1677572</v>
      </c>
      <c r="C15870" s="1" t="str">
        <f>HYPERLINK("http://stackoverflow.com/users/1677572", "hustleon")</f>
        <v>hustleon</v>
      </c>
      <c r="D15870" t="s">
        <v>8</v>
      </c>
      <c r="E15870">
        <v>1</v>
      </c>
    </row>
    <row r="15871" spans="1:5" x14ac:dyDescent="0.25">
      <c r="A15871">
        <v>15870</v>
      </c>
      <c r="B15871">
        <v>5297328</v>
      </c>
      <c r="C15871" s="1" t="str">
        <f>HYPERLINK("http://stackoverflow.com/users/5297328", "Andy Qiao")</f>
        <v>Andy Qiao</v>
      </c>
      <c r="D15871" t="s">
        <v>21</v>
      </c>
      <c r="E15871">
        <v>1</v>
      </c>
    </row>
    <row r="15872" spans="1:5" x14ac:dyDescent="0.25">
      <c r="A15872">
        <v>15871</v>
      </c>
      <c r="B15872">
        <v>10698362</v>
      </c>
      <c r="C15872" s="1" t="str">
        <f>HYPERLINK("http://stackoverflow.com/users/10698362", "吴星逸")</f>
        <v>吴星逸</v>
      </c>
      <c r="D15872" t="s">
        <v>4</v>
      </c>
      <c r="E15872">
        <v>1</v>
      </c>
    </row>
    <row r="15873" spans="1:5" x14ac:dyDescent="0.25">
      <c r="A15873">
        <v>15872</v>
      </c>
      <c r="B15873">
        <v>3492264</v>
      </c>
      <c r="C15873" s="1" t="str">
        <f>HYPERLINK("http://stackoverflow.com/users/3492264", "SHAU-LOK")</f>
        <v>SHAU-LOK</v>
      </c>
      <c r="D15873" t="s">
        <v>710</v>
      </c>
      <c r="E15873">
        <v>1</v>
      </c>
    </row>
    <row r="15874" spans="1:5" x14ac:dyDescent="0.25">
      <c r="A15874">
        <v>15873</v>
      </c>
      <c r="B15874">
        <v>3488332</v>
      </c>
      <c r="C15874" s="1" t="str">
        <f>HYPERLINK("http://stackoverflow.com/users/3488332", "Jeremy")</f>
        <v>Jeremy</v>
      </c>
      <c r="D15874" t="s">
        <v>17</v>
      </c>
      <c r="E15874">
        <v>1</v>
      </c>
    </row>
    <row r="15875" spans="1:5" x14ac:dyDescent="0.25">
      <c r="A15875">
        <v>15874</v>
      </c>
      <c r="B15875">
        <v>8875698</v>
      </c>
      <c r="C15875" s="1" t="str">
        <f>HYPERLINK("http://stackoverflow.com/users/8875698", "pkopok")</f>
        <v>pkopok</v>
      </c>
      <c r="D15875" t="s">
        <v>5</v>
      </c>
      <c r="E15875">
        <v>1</v>
      </c>
    </row>
    <row r="15876" spans="1:5" x14ac:dyDescent="0.25">
      <c r="A15876">
        <v>15875</v>
      </c>
      <c r="B15876">
        <v>7048580</v>
      </c>
      <c r="C15876" s="1" t="str">
        <f>HYPERLINK("http://stackoverflow.com/users/7048580", "Barry")</f>
        <v>Barry</v>
      </c>
      <c r="D15876" t="s">
        <v>263</v>
      </c>
      <c r="E15876">
        <v>1</v>
      </c>
    </row>
    <row r="15877" spans="1:5" x14ac:dyDescent="0.25">
      <c r="A15877">
        <v>15876</v>
      </c>
      <c r="B15877">
        <v>10690516</v>
      </c>
      <c r="C15877" s="1" t="str">
        <f>HYPERLINK("http://stackoverflow.com/users/10690516", "Lee yingquan")</f>
        <v>Lee yingquan</v>
      </c>
      <c r="D15877" t="s">
        <v>62</v>
      </c>
      <c r="E15877">
        <v>1</v>
      </c>
    </row>
    <row r="15878" spans="1:5" x14ac:dyDescent="0.25">
      <c r="A15878">
        <v>15877</v>
      </c>
      <c r="B15878">
        <v>10690609</v>
      </c>
      <c r="C15878" s="1" t="str">
        <f>HYPERLINK("http://stackoverflow.com/users/10690609", "P.Yu")</f>
        <v>P.Yu</v>
      </c>
      <c r="D15878" t="s">
        <v>5</v>
      </c>
      <c r="E15878">
        <v>1</v>
      </c>
    </row>
    <row r="15879" spans="1:5" x14ac:dyDescent="0.25">
      <c r="A15879">
        <v>15878</v>
      </c>
      <c r="B15879">
        <v>7052247</v>
      </c>
      <c r="C15879" s="1" t="str">
        <f>HYPERLINK("http://stackoverflow.com/users/7052247", "John")</f>
        <v>John</v>
      </c>
      <c r="D15879" t="s">
        <v>4</v>
      </c>
      <c r="E15879">
        <v>1</v>
      </c>
    </row>
    <row r="15880" spans="1:5" x14ac:dyDescent="0.25">
      <c r="A15880">
        <v>15879</v>
      </c>
      <c r="B15880">
        <v>7056025</v>
      </c>
      <c r="C15880" s="1" t="str">
        <f>HYPERLINK("http://stackoverflow.com/users/7056025", "TangXuanzhao")</f>
        <v>TangXuanzhao</v>
      </c>
      <c r="D15880" t="s">
        <v>25</v>
      </c>
      <c r="E15880">
        <v>1</v>
      </c>
    </row>
    <row r="15881" spans="1:5" x14ac:dyDescent="0.25">
      <c r="A15881">
        <v>15880</v>
      </c>
      <c r="B15881">
        <v>7056251</v>
      </c>
      <c r="C15881" s="1" t="str">
        <f>HYPERLINK("http://stackoverflow.com/users/7056251", "Ansar786")</f>
        <v>Ansar786</v>
      </c>
      <c r="D15881" t="s">
        <v>875</v>
      </c>
      <c r="E15881">
        <v>1</v>
      </c>
    </row>
    <row r="15882" spans="1:5" x14ac:dyDescent="0.25">
      <c r="A15882">
        <v>15881</v>
      </c>
      <c r="B15882">
        <v>7073834</v>
      </c>
      <c r="C15882" s="1" t="str">
        <f>HYPERLINK("http://stackoverflow.com/users/7073834", "Zhu Yujie")</f>
        <v>Zhu Yujie</v>
      </c>
      <c r="D15882" t="s">
        <v>5</v>
      </c>
      <c r="E15882">
        <v>1</v>
      </c>
    </row>
    <row r="15883" spans="1:5" x14ac:dyDescent="0.25">
      <c r="A15883">
        <v>15882</v>
      </c>
      <c r="B15883">
        <v>10711529</v>
      </c>
      <c r="C15883" s="1" t="str">
        <f>HYPERLINK("http://stackoverflow.com/users/10711529", "Yichen")</f>
        <v>Yichen</v>
      </c>
      <c r="D15883" t="s">
        <v>5</v>
      </c>
      <c r="E15883">
        <v>1</v>
      </c>
    </row>
    <row r="15884" spans="1:5" x14ac:dyDescent="0.25">
      <c r="A15884">
        <v>15883</v>
      </c>
      <c r="B15884">
        <v>1681932</v>
      </c>
      <c r="C15884" s="1" t="str">
        <f>HYPERLINK("http://stackoverflow.com/users/1681932", "laoyur")</f>
        <v>laoyur</v>
      </c>
      <c r="D15884" t="s">
        <v>37</v>
      </c>
      <c r="E15884">
        <v>1</v>
      </c>
    </row>
    <row r="15885" spans="1:5" x14ac:dyDescent="0.25">
      <c r="A15885">
        <v>15884</v>
      </c>
      <c r="B15885">
        <v>1682188</v>
      </c>
      <c r="C15885" s="1" t="str">
        <f>HYPERLINK("http://stackoverflow.com/users/1682188", "wustkalou")</f>
        <v>wustkalou</v>
      </c>
      <c r="D15885" t="s">
        <v>37</v>
      </c>
      <c r="E15885">
        <v>1</v>
      </c>
    </row>
    <row r="15886" spans="1:5" x14ac:dyDescent="0.25">
      <c r="A15886">
        <v>15885</v>
      </c>
      <c r="B15886">
        <v>10718933</v>
      </c>
      <c r="C15886" s="1" t="str">
        <f>HYPERLINK("http://stackoverflow.com/users/10718933", "herolivesinyou")</f>
        <v>herolivesinyou</v>
      </c>
      <c r="D15886" t="s">
        <v>43</v>
      </c>
      <c r="E15886">
        <v>1</v>
      </c>
    </row>
    <row r="15887" spans="1:5" x14ac:dyDescent="0.25">
      <c r="A15887">
        <v>15886</v>
      </c>
      <c r="B15887">
        <v>10719011</v>
      </c>
      <c r="C15887" s="1" t="str">
        <f>HYPERLINK("http://stackoverflow.com/users/10719011", "Shen Jin")</f>
        <v>Shen Jin</v>
      </c>
      <c r="D15887" t="s">
        <v>33</v>
      </c>
      <c r="E15887">
        <v>1</v>
      </c>
    </row>
    <row r="15888" spans="1:5" x14ac:dyDescent="0.25">
      <c r="A15888">
        <v>15887</v>
      </c>
      <c r="B15888">
        <v>7073914</v>
      </c>
      <c r="C15888" s="1" t="str">
        <f>HYPERLINK("http://stackoverflow.com/users/7073914", "Jasper.B")</f>
        <v>Jasper.B</v>
      </c>
      <c r="D15888" t="s">
        <v>4</v>
      </c>
      <c r="E15888">
        <v>1</v>
      </c>
    </row>
    <row r="15889" spans="1:5" x14ac:dyDescent="0.25">
      <c r="A15889">
        <v>15888</v>
      </c>
      <c r="B15889">
        <v>7074081</v>
      </c>
      <c r="C15889" s="1" t="str">
        <f>HYPERLINK("http://stackoverflow.com/users/7074081", "Hao")</f>
        <v>Hao</v>
      </c>
      <c r="D15889" t="s">
        <v>5</v>
      </c>
      <c r="E15889">
        <v>1</v>
      </c>
    </row>
    <row r="15890" spans="1:5" x14ac:dyDescent="0.25">
      <c r="A15890">
        <v>15889</v>
      </c>
      <c r="B15890">
        <v>7074083</v>
      </c>
      <c r="C15890" s="1" t="str">
        <f>HYPERLINK("http://stackoverflow.com/users/7074083", "XiaoYang")</f>
        <v>XiaoYang</v>
      </c>
      <c r="D15890" t="s">
        <v>28</v>
      </c>
      <c r="E15890">
        <v>1</v>
      </c>
    </row>
    <row r="15891" spans="1:5" x14ac:dyDescent="0.25">
      <c r="A15891">
        <v>15890</v>
      </c>
      <c r="B15891">
        <v>3506857</v>
      </c>
      <c r="C15891" s="1" t="str">
        <f>HYPERLINK("http://stackoverflow.com/users/3506857", "Dean Wong")</f>
        <v>Dean Wong</v>
      </c>
      <c r="D15891" t="s">
        <v>37</v>
      </c>
      <c r="E15891">
        <v>1</v>
      </c>
    </row>
    <row r="15892" spans="1:5" x14ac:dyDescent="0.25">
      <c r="A15892">
        <v>15891</v>
      </c>
      <c r="B15892">
        <v>3506863</v>
      </c>
      <c r="C15892" s="1" t="str">
        <f>HYPERLINK("http://stackoverflow.com/users/3506863", "Sean Wang")</f>
        <v>Sean Wang</v>
      </c>
      <c r="D15892" t="s">
        <v>5</v>
      </c>
      <c r="E15892">
        <v>1</v>
      </c>
    </row>
    <row r="15893" spans="1:5" x14ac:dyDescent="0.25">
      <c r="A15893">
        <v>15892</v>
      </c>
      <c r="B15893">
        <v>10715438</v>
      </c>
      <c r="C15893" s="1" t="str">
        <f>HYPERLINK("http://stackoverflow.com/users/10715438", "jmnavarro43")</f>
        <v>jmnavarro43</v>
      </c>
      <c r="D15893" t="s">
        <v>235</v>
      </c>
      <c r="E15893">
        <v>1</v>
      </c>
    </row>
    <row r="15894" spans="1:5" x14ac:dyDescent="0.25">
      <c r="A15894">
        <v>15893</v>
      </c>
      <c r="B15894">
        <v>10715510</v>
      </c>
      <c r="C15894" s="1" t="str">
        <f>HYPERLINK("http://stackoverflow.com/users/10715510", "rtsien")</f>
        <v>rtsien</v>
      </c>
      <c r="D15894" t="s">
        <v>7</v>
      </c>
      <c r="E15894">
        <v>1</v>
      </c>
    </row>
    <row r="15895" spans="1:5" x14ac:dyDescent="0.25">
      <c r="A15895">
        <v>15894</v>
      </c>
      <c r="B15895">
        <v>10715578</v>
      </c>
      <c r="C15895" s="1" t="str">
        <f>HYPERLINK("http://stackoverflow.com/users/10715578", "thkinglee")</f>
        <v>thkinglee</v>
      </c>
      <c r="D15895" t="s">
        <v>52</v>
      </c>
      <c r="E15895">
        <v>1</v>
      </c>
    </row>
    <row r="15896" spans="1:5" x14ac:dyDescent="0.25">
      <c r="A15896">
        <v>15895</v>
      </c>
      <c r="B15896">
        <v>10715602</v>
      </c>
      <c r="C15896" s="1" t="str">
        <f>HYPERLINK("http://stackoverflow.com/users/10715602", "William Xu")</f>
        <v>William Xu</v>
      </c>
      <c r="D15896" t="s">
        <v>5</v>
      </c>
      <c r="E15896">
        <v>1</v>
      </c>
    </row>
    <row r="15897" spans="1:5" x14ac:dyDescent="0.25">
      <c r="A15897">
        <v>15896</v>
      </c>
      <c r="B15897">
        <v>8905084</v>
      </c>
      <c r="C15897" s="1" t="str">
        <f>HYPERLINK("http://stackoverflow.com/users/8905084", "Biao Liu")</f>
        <v>Biao Liu</v>
      </c>
      <c r="D15897" t="s">
        <v>5</v>
      </c>
      <c r="E15897">
        <v>1</v>
      </c>
    </row>
    <row r="15898" spans="1:5" x14ac:dyDescent="0.25">
      <c r="A15898">
        <v>15897</v>
      </c>
      <c r="B15898">
        <v>8914940</v>
      </c>
      <c r="C15898" s="1" t="str">
        <f>HYPERLINK("http://stackoverflow.com/users/8914940", "Jinbo Zhang")</f>
        <v>Jinbo Zhang</v>
      </c>
      <c r="D15898" t="s">
        <v>25</v>
      </c>
      <c r="E15898">
        <v>1</v>
      </c>
    </row>
    <row r="15899" spans="1:5" x14ac:dyDescent="0.25">
      <c r="A15899">
        <v>15898</v>
      </c>
      <c r="B15899">
        <v>1696557</v>
      </c>
      <c r="C15899" s="1" t="str">
        <f>HYPERLINK("http://stackoverflow.com/users/1696557", "bamu")</f>
        <v>bamu</v>
      </c>
      <c r="D15899" t="s">
        <v>35</v>
      </c>
      <c r="E15899">
        <v>1</v>
      </c>
    </row>
    <row r="15900" spans="1:5" x14ac:dyDescent="0.25">
      <c r="A15900">
        <v>15899</v>
      </c>
      <c r="B15900">
        <v>1696932</v>
      </c>
      <c r="C15900" s="1" t="str">
        <f>HYPERLINK("http://stackoverflow.com/users/1696932", "mengzc")</f>
        <v>mengzc</v>
      </c>
      <c r="D15900" t="s">
        <v>4</v>
      </c>
      <c r="E15900">
        <v>1</v>
      </c>
    </row>
    <row r="15901" spans="1:5" x14ac:dyDescent="0.25">
      <c r="A15901">
        <v>15900</v>
      </c>
      <c r="B15901">
        <v>8919768</v>
      </c>
      <c r="C15901" s="1" t="str">
        <f>HYPERLINK("http://stackoverflow.com/users/8919768", "coco_dog")</f>
        <v>coco_dog</v>
      </c>
      <c r="D15901" t="s">
        <v>16</v>
      </c>
      <c r="E15901">
        <v>1</v>
      </c>
    </row>
    <row r="15902" spans="1:5" x14ac:dyDescent="0.25">
      <c r="A15902">
        <v>15901</v>
      </c>
      <c r="B15902">
        <v>5334487</v>
      </c>
      <c r="C15902" s="1" t="str">
        <f>HYPERLINK("http://stackoverflow.com/users/5334487", "JensenChen")</f>
        <v>JensenChen</v>
      </c>
      <c r="D15902" t="s">
        <v>12</v>
      </c>
      <c r="E15902">
        <v>1</v>
      </c>
    </row>
    <row r="15903" spans="1:5" x14ac:dyDescent="0.25">
      <c r="A15903">
        <v>15902</v>
      </c>
      <c r="B15903">
        <v>10737569</v>
      </c>
      <c r="C15903" s="1" t="str">
        <f>HYPERLINK("http://stackoverflow.com/users/10737569", "Mutani")</f>
        <v>Mutani</v>
      </c>
      <c r="D15903" t="s">
        <v>5</v>
      </c>
      <c r="E15903">
        <v>1</v>
      </c>
    </row>
    <row r="15904" spans="1:5" x14ac:dyDescent="0.25">
      <c r="A15904">
        <v>15903</v>
      </c>
      <c r="B15904">
        <v>10737831</v>
      </c>
      <c r="C15904" s="1" t="str">
        <f>HYPERLINK("http://stackoverflow.com/users/10737831", "fineebwshuntresistors")</f>
        <v>fineebwshuntresistors</v>
      </c>
      <c r="D15904" t="s">
        <v>813</v>
      </c>
      <c r="E15904">
        <v>1</v>
      </c>
    </row>
    <row r="15905" spans="1:5" x14ac:dyDescent="0.25">
      <c r="A15905">
        <v>15904</v>
      </c>
      <c r="B15905">
        <v>10737850</v>
      </c>
      <c r="C15905" s="1" t="str">
        <f>HYPERLINK("http://stackoverflow.com/users/10737850", "MoeMoeFish")</f>
        <v>MoeMoeFish</v>
      </c>
      <c r="D15905" t="s">
        <v>5</v>
      </c>
      <c r="E15905">
        <v>1</v>
      </c>
    </row>
    <row r="15906" spans="1:5" x14ac:dyDescent="0.25">
      <c r="A15906">
        <v>15905</v>
      </c>
      <c r="B15906">
        <v>5337651</v>
      </c>
      <c r="C15906" s="1" t="str">
        <f>HYPERLINK("http://stackoverflow.com/users/5337651", "Colin Hou")</f>
        <v>Colin Hou</v>
      </c>
      <c r="D15906" t="s">
        <v>4</v>
      </c>
      <c r="E15906">
        <v>1</v>
      </c>
    </row>
    <row r="15907" spans="1:5" x14ac:dyDescent="0.25">
      <c r="A15907">
        <v>15906</v>
      </c>
      <c r="B15907">
        <v>8931855</v>
      </c>
      <c r="C15907" s="1" t="str">
        <f>HYPERLINK("http://stackoverflow.com/users/8931855", "邵于平")</f>
        <v>邵于平</v>
      </c>
      <c r="D15907" t="s">
        <v>4</v>
      </c>
      <c r="E15907">
        <v>1</v>
      </c>
    </row>
    <row r="15908" spans="1:5" x14ac:dyDescent="0.25">
      <c r="A15908">
        <v>15907</v>
      </c>
      <c r="B15908">
        <v>8931913</v>
      </c>
      <c r="C15908" s="1" t="str">
        <f>HYPERLINK("http://stackoverflow.com/users/8931913", "Chi Lin")</f>
        <v>Chi Lin</v>
      </c>
      <c r="D15908" t="s">
        <v>16</v>
      </c>
      <c r="E15908">
        <v>1</v>
      </c>
    </row>
    <row r="15909" spans="1:5" x14ac:dyDescent="0.25">
      <c r="A15909">
        <v>15908</v>
      </c>
      <c r="B15909">
        <v>7099996</v>
      </c>
      <c r="C15909" s="1" t="str">
        <f>HYPERLINK("http://stackoverflow.com/users/7099996", "Don")</f>
        <v>Don</v>
      </c>
      <c r="D15909" t="s">
        <v>131</v>
      </c>
      <c r="E15909">
        <v>1</v>
      </c>
    </row>
    <row r="15910" spans="1:5" x14ac:dyDescent="0.25">
      <c r="A15910">
        <v>15909</v>
      </c>
      <c r="B15910">
        <v>7100141</v>
      </c>
      <c r="C15910" s="1" t="str">
        <f>HYPERLINK("http://stackoverflow.com/users/7100141", "jiancheng_wang")</f>
        <v>jiancheng_wang</v>
      </c>
      <c r="D15910" t="s">
        <v>4</v>
      </c>
      <c r="E15910">
        <v>1</v>
      </c>
    </row>
    <row r="15911" spans="1:5" x14ac:dyDescent="0.25">
      <c r="A15911">
        <v>15910</v>
      </c>
      <c r="B15911">
        <v>5341485</v>
      </c>
      <c r="C15911" s="1" t="str">
        <f>HYPERLINK("http://stackoverflow.com/users/5341485", "Xnjpcb")</f>
        <v>Xnjpcb</v>
      </c>
      <c r="D15911" t="s">
        <v>17</v>
      </c>
      <c r="E15911">
        <v>1</v>
      </c>
    </row>
    <row r="15912" spans="1:5" x14ac:dyDescent="0.25">
      <c r="A15912">
        <v>15911</v>
      </c>
      <c r="B15912">
        <v>10598869</v>
      </c>
      <c r="C15912" s="1" t="str">
        <f>HYPERLINK("http://stackoverflow.com/users/10598869", "Modo Lee")</f>
        <v>Modo Lee</v>
      </c>
      <c r="D15912" t="s">
        <v>76</v>
      </c>
      <c r="E15912">
        <v>1</v>
      </c>
    </row>
    <row r="15913" spans="1:5" x14ac:dyDescent="0.25">
      <c r="A15913">
        <v>15912</v>
      </c>
      <c r="B15913">
        <v>3398563</v>
      </c>
      <c r="C15913" s="1" t="str">
        <f>HYPERLINK("http://stackoverflow.com/users/3398563", "Junius")</f>
        <v>Junius</v>
      </c>
      <c r="D15913" t="s">
        <v>5</v>
      </c>
      <c r="E15913">
        <v>1</v>
      </c>
    </row>
    <row r="15914" spans="1:5" x14ac:dyDescent="0.25">
      <c r="A15914">
        <v>15913</v>
      </c>
      <c r="B15914">
        <v>10596389</v>
      </c>
      <c r="C15914" s="1" t="str">
        <f>HYPERLINK("http://stackoverflow.com/users/10596389", "Can ZHOU")</f>
        <v>Can ZHOU</v>
      </c>
      <c r="D15914" t="s">
        <v>48</v>
      </c>
      <c r="E15914">
        <v>1</v>
      </c>
    </row>
    <row r="15915" spans="1:5" x14ac:dyDescent="0.25">
      <c r="A15915">
        <v>15914</v>
      </c>
      <c r="B15915">
        <v>10599476</v>
      </c>
      <c r="C15915" s="1" t="str">
        <f>HYPERLINK("http://stackoverflow.com/users/10599476", "user10599476")</f>
        <v>user10599476</v>
      </c>
      <c r="D15915" t="s">
        <v>184</v>
      </c>
      <c r="E15915">
        <v>1</v>
      </c>
    </row>
    <row r="15916" spans="1:5" x14ac:dyDescent="0.25">
      <c r="A15916">
        <v>15915</v>
      </c>
      <c r="B15916">
        <v>8793081</v>
      </c>
      <c r="C15916" s="1" t="str">
        <f>HYPERLINK("http://stackoverflow.com/users/8793081", "yoikinziv")</f>
        <v>yoikinziv</v>
      </c>
      <c r="D15916" t="s">
        <v>5</v>
      </c>
      <c r="E15916">
        <v>1</v>
      </c>
    </row>
    <row r="15917" spans="1:5" x14ac:dyDescent="0.25">
      <c r="A15917">
        <v>15916</v>
      </c>
      <c r="B15917">
        <v>5217225</v>
      </c>
      <c r="C15917" s="1" t="str">
        <f>HYPERLINK("http://stackoverflow.com/users/5217225", "Nicholas Wang")</f>
        <v>Nicholas Wang</v>
      </c>
      <c r="D15917" t="s">
        <v>35</v>
      </c>
      <c r="E15917">
        <v>1</v>
      </c>
    </row>
    <row r="15918" spans="1:5" x14ac:dyDescent="0.25">
      <c r="A15918">
        <v>15917</v>
      </c>
      <c r="B15918">
        <v>1560962</v>
      </c>
      <c r="C15918" s="1" t="str">
        <f>HYPERLINK("http://stackoverflow.com/users/1560962", "user1560962")</f>
        <v>user1560962</v>
      </c>
      <c r="D15918" t="s">
        <v>17</v>
      </c>
      <c r="E15918">
        <v>1</v>
      </c>
    </row>
    <row r="15919" spans="1:5" x14ac:dyDescent="0.25">
      <c r="A15919">
        <v>15918</v>
      </c>
      <c r="B15919">
        <v>1561878</v>
      </c>
      <c r="C15919" s="1" t="str">
        <f>HYPERLINK("http://stackoverflow.com/users/1561878", "wulishelley")</f>
        <v>wulishelley</v>
      </c>
      <c r="D15919" t="s">
        <v>5</v>
      </c>
      <c r="E15919">
        <v>1</v>
      </c>
    </row>
    <row r="15920" spans="1:5" x14ac:dyDescent="0.25">
      <c r="A15920">
        <v>15919</v>
      </c>
      <c r="B15920">
        <v>1562148</v>
      </c>
      <c r="C15920" s="1" t="str">
        <f>HYPERLINK("http://stackoverflow.com/users/1562148", "dean")</f>
        <v>dean</v>
      </c>
      <c r="D15920" t="s">
        <v>17</v>
      </c>
      <c r="E15920">
        <v>1</v>
      </c>
    </row>
    <row r="15921" spans="1:5" x14ac:dyDescent="0.25">
      <c r="A15921">
        <v>15920</v>
      </c>
      <c r="B15921">
        <v>10607999</v>
      </c>
      <c r="C15921" s="1" t="str">
        <f>HYPERLINK("http://stackoverflow.com/users/10607999", "benjo")</f>
        <v>benjo</v>
      </c>
      <c r="D15921" t="s">
        <v>96</v>
      </c>
      <c r="E15921">
        <v>1</v>
      </c>
    </row>
    <row r="15922" spans="1:5" x14ac:dyDescent="0.25">
      <c r="A15922">
        <v>15921</v>
      </c>
      <c r="B15922">
        <v>5221680</v>
      </c>
      <c r="C15922" s="1" t="str">
        <f>HYPERLINK("http://stackoverflow.com/users/5221680", "J.CG")</f>
        <v>J.CG</v>
      </c>
      <c r="D15922" t="s">
        <v>5</v>
      </c>
      <c r="E15922">
        <v>1</v>
      </c>
    </row>
    <row r="15923" spans="1:5" x14ac:dyDescent="0.25">
      <c r="A15923">
        <v>15922</v>
      </c>
      <c r="B15923">
        <v>5221780</v>
      </c>
      <c r="C15923" s="1" t="str">
        <f>HYPERLINK("http://stackoverflow.com/users/5221780", "Chao Feng")</f>
        <v>Chao Feng</v>
      </c>
      <c r="D15923" t="s">
        <v>5</v>
      </c>
      <c r="E15923">
        <v>1</v>
      </c>
    </row>
    <row r="15924" spans="1:5" x14ac:dyDescent="0.25">
      <c r="A15924">
        <v>15923</v>
      </c>
      <c r="B15924">
        <v>5221806</v>
      </c>
      <c r="C15924" s="1" t="str">
        <f>HYPERLINK("http://stackoverflow.com/users/5221806", "Jeffery.Ma")</f>
        <v>Jeffery.Ma</v>
      </c>
      <c r="D15924" t="s">
        <v>5</v>
      </c>
      <c r="E15924">
        <v>1</v>
      </c>
    </row>
    <row r="15925" spans="1:5" x14ac:dyDescent="0.25">
      <c r="A15925">
        <v>15924</v>
      </c>
      <c r="B15925">
        <v>5213670</v>
      </c>
      <c r="C15925" s="1" t="str">
        <f>HYPERLINK("http://stackoverflow.com/users/5213670", "MonsterCJ")</f>
        <v>MonsterCJ</v>
      </c>
      <c r="D15925" t="s">
        <v>4</v>
      </c>
      <c r="E15925">
        <v>1</v>
      </c>
    </row>
    <row r="15926" spans="1:5" x14ac:dyDescent="0.25">
      <c r="A15926">
        <v>15925</v>
      </c>
      <c r="B15926">
        <v>5213692</v>
      </c>
      <c r="C15926" s="1" t="str">
        <f>HYPERLINK("http://stackoverflow.com/users/5213692", "Kevin Yang")</f>
        <v>Kevin Yang</v>
      </c>
      <c r="D15926" t="s">
        <v>5</v>
      </c>
      <c r="E15926">
        <v>1</v>
      </c>
    </row>
    <row r="15927" spans="1:5" x14ac:dyDescent="0.25">
      <c r="A15927">
        <v>15926</v>
      </c>
      <c r="B15927">
        <v>5213945</v>
      </c>
      <c r="C15927" s="1" t="str">
        <f>HYPERLINK("http://stackoverflow.com/users/5213945", "feelings")</f>
        <v>feelings</v>
      </c>
      <c r="D15927" t="s">
        <v>52</v>
      </c>
      <c r="E15927">
        <v>1</v>
      </c>
    </row>
    <row r="15928" spans="1:5" x14ac:dyDescent="0.25">
      <c r="A15928">
        <v>15927</v>
      </c>
      <c r="B15928">
        <v>5214205</v>
      </c>
      <c r="C15928" s="1" t="str">
        <f>HYPERLINK("http://stackoverflow.com/users/5214205", "robchou")</f>
        <v>robchou</v>
      </c>
      <c r="D15928" t="s">
        <v>12</v>
      </c>
      <c r="E15928">
        <v>1</v>
      </c>
    </row>
    <row r="15929" spans="1:5" x14ac:dyDescent="0.25">
      <c r="A15929">
        <v>15928</v>
      </c>
      <c r="B15929">
        <v>6931143</v>
      </c>
      <c r="C15929" s="1" t="str">
        <f>HYPERLINK("http://stackoverflow.com/users/6931143", "zzr")</f>
        <v>zzr</v>
      </c>
      <c r="D15929" t="s">
        <v>8</v>
      </c>
      <c r="E15929">
        <v>1</v>
      </c>
    </row>
    <row r="15930" spans="1:5" x14ac:dyDescent="0.25">
      <c r="A15930">
        <v>15929</v>
      </c>
      <c r="B15930">
        <v>6931149</v>
      </c>
      <c r="C15930" s="1" t="str">
        <f>HYPERLINK("http://stackoverflow.com/users/6931149", "Jalever Chen")</f>
        <v>Jalever Chen</v>
      </c>
      <c r="D15930" t="s">
        <v>25</v>
      </c>
      <c r="E15930">
        <v>1</v>
      </c>
    </row>
    <row r="15931" spans="1:5" x14ac:dyDescent="0.25">
      <c r="A15931">
        <v>15930</v>
      </c>
      <c r="B15931">
        <v>3404800</v>
      </c>
      <c r="C15931" s="1" t="str">
        <f>HYPERLINK("http://stackoverflow.com/users/3404800", "Joe Xie")</f>
        <v>Joe Xie</v>
      </c>
      <c r="D15931" t="s">
        <v>21</v>
      </c>
      <c r="E15931">
        <v>1</v>
      </c>
    </row>
    <row r="15932" spans="1:5" x14ac:dyDescent="0.25">
      <c r="A15932">
        <v>15931</v>
      </c>
      <c r="B15932">
        <v>3404899</v>
      </c>
      <c r="C15932" s="1" t="str">
        <f>HYPERLINK("http://stackoverflow.com/users/3404899", "zhiyisun")</f>
        <v>zhiyisun</v>
      </c>
      <c r="D15932" t="s">
        <v>4</v>
      </c>
      <c r="E15932">
        <v>1</v>
      </c>
    </row>
    <row r="15933" spans="1:5" x14ac:dyDescent="0.25">
      <c r="A15933">
        <v>15932</v>
      </c>
      <c r="B15933">
        <v>3405310</v>
      </c>
      <c r="C15933" s="1" t="str">
        <f>HYPERLINK("http://stackoverflow.com/users/3405310", "Eastwood Lin")</f>
        <v>Eastwood Lin</v>
      </c>
      <c r="D15933" t="s">
        <v>4</v>
      </c>
      <c r="E15933">
        <v>1</v>
      </c>
    </row>
    <row r="15934" spans="1:5" x14ac:dyDescent="0.25">
      <c r="A15934">
        <v>15933</v>
      </c>
      <c r="B15934">
        <v>1543509</v>
      </c>
      <c r="C15934" s="1" t="str">
        <f>HYPERLINK("http://stackoverflow.com/users/1543509", "zhucegep")</f>
        <v>zhucegep</v>
      </c>
      <c r="D15934" t="s">
        <v>8</v>
      </c>
      <c r="E15934">
        <v>1</v>
      </c>
    </row>
    <row r="15935" spans="1:5" x14ac:dyDescent="0.25">
      <c r="A15935">
        <v>15934</v>
      </c>
      <c r="B15935">
        <v>1543955</v>
      </c>
      <c r="C15935" s="1" t="str">
        <f>HYPERLINK("http://stackoverflow.com/users/1543955", "Death Knight")</f>
        <v>Death Knight</v>
      </c>
      <c r="D15935" t="s">
        <v>4</v>
      </c>
      <c r="E15935">
        <v>1</v>
      </c>
    </row>
    <row r="15936" spans="1:5" x14ac:dyDescent="0.25">
      <c r="A15936">
        <v>15935</v>
      </c>
      <c r="B15936">
        <v>6920070</v>
      </c>
      <c r="C15936" s="1" t="str">
        <f>HYPERLINK("http://stackoverflow.com/users/6920070", "Jonathan Bakebwa")</f>
        <v>Jonathan Bakebwa</v>
      </c>
      <c r="D15936" t="s">
        <v>5</v>
      </c>
      <c r="E15936">
        <v>1</v>
      </c>
    </row>
    <row r="15937" spans="1:5" x14ac:dyDescent="0.25">
      <c r="A15937">
        <v>15936</v>
      </c>
      <c r="B15937">
        <v>8781735</v>
      </c>
      <c r="C15937" s="1" t="str">
        <f>HYPERLINK("http://stackoverflow.com/users/8781735", "user8781735")</f>
        <v>user8781735</v>
      </c>
      <c r="D15937" t="s">
        <v>5</v>
      </c>
      <c r="E15937">
        <v>1</v>
      </c>
    </row>
    <row r="15938" spans="1:5" x14ac:dyDescent="0.25">
      <c r="A15938">
        <v>15937</v>
      </c>
      <c r="B15938">
        <v>6923336</v>
      </c>
      <c r="C15938" s="1" t="str">
        <f>HYPERLINK("http://stackoverflow.com/users/6923336", "shark")</f>
        <v>shark</v>
      </c>
      <c r="D15938" t="s">
        <v>434</v>
      </c>
      <c r="E15938">
        <v>1</v>
      </c>
    </row>
    <row r="15939" spans="1:5" x14ac:dyDescent="0.25">
      <c r="A15939">
        <v>15938</v>
      </c>
      <c r="B15939">
        <v>6923970</v>
      </c>
      <c r="C15939" s="1" t="str">
        <f>HYPERLINK("http://stackoverflow.com/users/6923970", "Hex.Fif")</f>
        <v>Hex.Fif</v>
      </c>
      <c r="D15939" t="s">
        <v>5</v>
      </c>
      <c r="E15939">
        <v>1</v>
      </c>
    </row>
    <row r="15940" spans="1:5" x14ac:dyDescent="0.25">
      <c r="A15940">
        <v>15939</v>
      </c>
      <c r="B15940">
        <v>5207379</v>
      </c>
      <c r="C15940" s="1" t="str">
        <f>HYPERLINK("http://stackoverflow.com/users/5207379", "Noel")</f>
        <v>Noel</v>
      </c>
      <c r="D15940" t="s">
        <v>28</v>
      </c>
      <c r="E15940">
        <v>1</v>
      </c>
    </row>
    <row r="15941" spans="1:5" x14ac:dyDescent="0.25">
      <c r="A15941">
        <v>15940</v>
      </c>
      <c r="B15941">
        <v>3377163</v>
      </c>
      <c r="C15941" s="1" t="str">
        <f>HYPERLINK("http://stackoverflow.com/users/3377163", "sdrzlyz")</f>
        <v>sdrzlyz</v>
      </c>
      <c r="D15941" t="s">
        <v>4</v>
      </c>
      <c r="E15941">
        <v>1</v>
      </c>
    </row>
    <row r="15942" spans="1:5" x14ac:dyDescent="0.25">
      <c r="A15942">
        <v>15941</v>
      </c>
      <c r="B15942">
        <v>8763292</v>
      </c>
      <c r="C15942" s="1" t="str">
        <f>HYPERLINK("http://stackoverflow.com/users/8763292", "jifengdehao")</f>
        <v>jifengdehao</v>
      </c>
      <c r="D15942" t="s">
        <v>25</v>
      </c>
      <c r="E15942">
        <v>1</v>
      </c>
    </row>
    <row r="15943" spans="1:5" x14ac:dyDescent="0.25">
      <c r="A15943">
        <v>15942</v>
      </c>
      <c r="B15943">
        <v>8763388</v>
      </c>
      <c r="C15943" s="1" t="str">
        <f>HYPERLINK("http://stackoverflow.com/users/8763388", "Zhao ")</f>
        <v xml:space="preserve">Zhao </v>
      </c>
      <c r="D15943" t="s">
        <v>5</v>
      </c>
      <c r="E15943">
        <v>1</v>
      </c>
    </row>
    <row r="15944" spans="1:5" x14ac:dyDescent="0.25">
      <c r="A15944">
        <v>15943</v>
      </c>
      <c r="B15944">
        <v>8763494</v>
      </c>
      <c r="C15944" s="1" t="str">
        <f>HYPERLINK("http://stackoverflow.com/users/8763494", "ZhAoYa")</f>
        <v>ZhAoYa</v>
      </c>
      <c r="D15944" t="s">
        <v>4</v>
      </c>
      <c r="E15944">
        <v>1</v>
      </c>
    </row>
    <row r="15945" spans="1:5" x14ac:dyDescent="0.25">
      <c r="A15945">
        <v>15944</v>
      </c>
      <c r="B15945">
        <v>1527846</v>
      </c>
      <c r="C15945" s="1" t="str">
        <f>HYPERLINK("http://stackoverflow.com/users/1527846", "ace")</f>
        <v>ace</v>
      </c>
      <c r="D15945" t="s">
        <v>4</v>
      </c>
      <c r="E15945">
        <v>1</v>
      </c>
    </row>
    <row r="15946" spans="1:5" x14ac:dyDescent="0.25">
      <c r="A15946">
        <v>15945</v>
      </c>
      <c r="B15946">
        <v>1527992</v>
      </c>
      <c r="C15946" s="1" t="str">
        <f>HYPERLINK("http://stackoverflow.com/users/1527992", "dean")</f>
        <v>dean</v>
      </c>
      <c r="D15946" t="s">
        <v>5</v>
      </c>
      <c r="E15946">
        <v>1</v>
      </c>
    </row>
    <row r="15947" spans="1:5" x14ac:dyDescent="0.25">
      <c r="A15947">
        <v>15946</v>
      </c>
      <c r="B15947">
        <v>1528018</v>
      </c>
      <c r="C15947" s="1" t="str">
        <f>HYPERLINK("http://stackoverflow.com/users/1528018", "Cosso.Gao")</f>
        <v>Cosso.Gao</v>
      </c>
      <c r="D15947" t="s">
        <v>4</v>
      </c>
      <c r="E15947">
        <v>1</v>
      </c>
    </row>
    <row r="15948" spans="1:5" x14ac:dyDescent="0.25">
      <c r="A15948">
        <v>15947</v>
      </c>
      <c r="B15948">
        <v>1528172</v>
      </c>
      <c r="C15948" s="1" t="str">
        <f>HYPERLINK("http://stackoverflow.com/users/1528172", "cdgray")</f>
        <v>cdgray</v>
      </c>
      <c r="D15948" t="s">
        <v>4</v>
      </c>
      <c r="E15948">
        <v>1</v>
      </c>
    </row>
    <row r="15949" spans="1:5" x14ac:dyDescent="0.25">
      <c r="A15949">
        <v>15948</v>
      </c>
      <c r="B15949">
        <v>1523140</v>
      </c>
      <c r="C15949" s="1" t="str">
        <f>HYPERLINK("http://stackoverflow.com/users/1523140", "yafeishi")</f>
        <v>yafeishi</v>
      </c>
      <c r="D15949" t="s">
        <v>37</v>
      </c>
      <c r="E15949">
        <v>1</v>
      </c>
    </row>
    <row r="15950" spans="1:5" x14ac:dyDescent="0.25">
      <c r="A15950">
        <v>15949</v>
      </c>
      <c r="B15950">
        <v>8768962</v>
      </c>
      <c r="C15950" s="1" t="str">
        <f>HYPERLINK("http://stackoverflow.com/users/8768962", "S.Lin")</f>
        <v>S.Lin</v>
      </c>
      <c r="D15950" t="s">
        <v>4</v>
      </c>
      <c r="E15950">
        <v>1</v>
      </c>
    </row>
    <row r="15951" spans="1:5" x14ac:dyDescent="0.25">
      <c r="A15951">
        <v>15950</v>
      </c>
      <c r="B15951">
        <v>1528543</v>
      </c>
      <c r="C15951" s="1" t="str">
        <f>HYPERLINK("http://stackoverflow.com/users/1528543", "lzjqsdd")</f>
        <v>lzjqsdd</v>
      </c>
      <c r="D15951" t="s">
        <v>66</v>
      </c>
      <c r="E15951">
        <v>1</v>
      </c>
    </row>
    <row r="15952" spans="1:5" x14ac:dyDescent="0.25">
      <c r="A15952">
        <v>15951</v>
      </c>
      <c r="B15952">
        <v>1534307</v>
      </c>
      <c r="C15952" s="1" t="str">
        <f>HYPERLINK("http://stackoverflow.com/users/1534307", "KayZ")</f>
        <v>KayZ</v>
      </c>
      <c r="D15952" t="s">
        <v>5</v>
      </c>
      <c r="E15952">
        <v>1</v>
      </c>
    </row>
    <row r="15953" spans="1:5" x14ac:dyDescent="0.25">
      <c r="A15953">
        <v>15952</v>
      </c>
      <c r="B15953">
        <v>3382576</v>
      </c>
      <c r="C15953" s="1" t="str">
        <f>HYPERLINK("http://stackoverflow.com/users/3382576", "user3382576")</f>
        <v>user3382576</v>
      </c>
      <c r="D15953" t="s">
        <v>54</v>
      </c>
      <c r="E15953">
        <v>1</v>
      </c>
    </row>
    <row r="15954" spans="1:5" x14ac:dyDescent="0.25">
      <c r="A15954">
        <v>15953</v>
      </c>
      <c r="B15954">
        <v>3386014</v>
      </c>
      <c r="C15954" s="1" t="str">
        <f>HYPERLINK("http://stackoverflow.com/users/3386014", "Sophie D.")</f>
        <v>Sophie D.</v>
      </c>
      <c r="D15954" t="s">
        <v>54</v>
      </c>
      <c r="E15954">
        <v>1</v>
      </c>
    </row>
    <row r="15955" spans="1:5" x14ac:dyDescent="0.25">
      <c r="A15955">
        <v>15954</v>
      </c>
      <c r="B15955">
        <v>3386288</v>
      </c>
      <c r="C15955" s="1" t="str">
        <f>HYPERLINK("http://stackoverflow.com/users/3386288", "zongbao2014")</f>
        <v>zongbao2014</v>
      </c>
      <c r="D15955" t="s">
        <v>5</v>
      </c>
      <c r="E15955">
        <v>1</v>
      </c>
    </row>
    <row r="15956" spans="1:5" x14ac:dyDescent="0.25">
      <c r="A15956">
        <v>15955</v>
      </c>
      <c r="B15956">
        <v>3386304</v>
      </c>
      <c r="C15956" s="1" t="str">
        <f>HYPERLINK("http://stackoverflow.com/users/3386304", "Jona")</f>
        <v>Jona</v>
      </c>
      <c r="D15956" t="s">
        <v>22</v>
      </c>
      <c r="E15956">
        <v>1</v>
      </c>
    </row>
    <row r="15957" spans="1:5" x14ac:dyDescent="0.25">
      <c r="A15957">
        <v>15956</v>
      </c>
      <c r="B15957">
        <v>3386379</v>
      </c>
      <c r="C15957" s="1" t="str">
        <f>HYPERLINK("http://stackoverflow.com/users/3386379", "Andrew HON")</f>
        <v>Andrew HON</v>
      </c>
      <c r="D15957" t="s">
        <v>4</v>
      </c>
      <c r="E15957">
        <v>1</v>
      </c>
    </row>
    <row r="15958" spans="1:5" x14ac:dyDescent="0.25">
      <c r="A15958">
        <v>15957</v>
      </c>
      <c r="B15958">
        <v>8768745</v>
      </c>
      <c r="C15958" s="1" t="str">
        <f>HYPERLINK("http://stackoverflow.com/users/8768745", "wall_xu")</f>
        <v>wall_xu</v>
      </c>
      <c r="D15958" t="s">
        <v>390</v>
      </c>
      <c r="E15958">
        <v>1</v>
      </c>
    </row>
    <row r="15959" spans="1:5" x14ac:dyDescent="0.25">
      <c r="A15959">
        <v>15958</v>
      </c>
      <c r="B15959">
        <v>8768876</v>
      </c>
      <c r="C15959" s="1" t="str">
        <f>HYPERLINK("http://stackoverflow.com/users/8768876", "Mamun")</f>
        <v>Mamun</v>
      </c>
      <c r="D15959" t="s">
        <v>5</v>
      </c>
      <c r="E15959">
        <v>1</v>
      </c>
    </row>
    <row r="15960" spans="1:5" x14ac:dyDescent="0.25">
      <c r="A15960">
        <v>15959</v>
      </c>
      <c r="B15960">
        <v>5250759</v>
      </c>
      <c r="C15960" s="1" t="str">
        <f>HYPERLINK("http://stackoverflow.com/users/5250759", "adamtongji")</f>
        <v>adamtongji</v>
      </c>
      <c r="D15960" t="s">
        <v>4</v>
      </c>
      <c r="E15960">
        <v>1</v>
      </c>
    </row>
    <row r="15961" spans="1:5" x14ac:dyDescent="0.25">
      <c r="A15961">
        <v>15960</v>
      </c>
      <c r="B15961">
        <v>5250840</v>
      </c>
      <c r="C15961" s="1" t="str">
        <f>HYPERLINK("http://stackoverflow.com/users/5250840", "Helso")</f>
        <v>Helso</v>
      </c>
      <c r="D15961" t="s">
        <v>5</v>
      </c>
      <c r="E15961">
        <v>1</v>
      </c>
    </row>
    <row r="15962" spans="1:5" x14ac:dyDescent="0.25">
      <c r="A15962">
        <v>15961</v>
      </c>
      <c r="B15962">
        <v>5250456</v>
      </c>
      <c r="C15962" s="1" t="str">
        <f>HYPERLINK("http://stackoverflow.com/users/5250456", "朱利iOS")</f>
        <v>朱利iOS</v>
      </c>
      <c r="D15962" t="s">
        <v>5</v>
      </c>
      <c r="E15962">
        <v>1</v>
      </c>
    </row>
    <row r="15963" spans="1:5" x14ac:dyDescent="0.25">
      <c r="A15963">
        <v>15962</v>
      </c>
      <c r="B15963">
        <v>5242955</v>
      </c>
      <c r="C15963" s="1" t="str">
        <f>HYPERLINK("http://stackoverflow.com/users/5242955", "Juluan2510")</f>
        <v>Juluan2510</v>
      </c>
      <c r="D15963" t="s">
        <v>4</v>
      </c>
      <c r="E15963">
        <v>1</v>
      </c>
    </row>
    <row r="15964" spans="1:5" x14ac:dyDescent="0.25">
      <c r="A15964">
        <v>15963</v>
      </c>
      <c r="B15964">
        <v>10632926</v>
      </c>
      <c r="C15964" s="1" t="str">
        <f>HYPERLINK("http://stackoverflow.com/users/10632926", "user10632926")</f>
        <v>user10632926</v>
      </c>
      <c r="D15964" t="s">
        <v>19</v>
      </c>
      <c r="E15964">
        <v>1</v>
      </c>
    </row>
    <row r="15965" spans="1:5" x14ac:dyDescent="0.25">
      <c r="A15965">
        <v>15964</v>
      </c>
      <c r="B15965">
        <v>5250357</v>
      </c>
      <c r="C15965" s="1" t="str">
        <f>HYPERLINK("http://stackoverflow.com/users/5250357", "吉林小伙")</f>
        <v>吉林小伙</v>
      </c>
      <c r="D15965" t="s">
        <v>5</v>
      </c>
      <c r="E15965">
        <v>1</v>
      </c>
    </row>
    <row r="15966" spans="1:5" x14ac:dyDescent="0.25">
      <c r="A15966">
        <v>15965</v>
      </c>
      <c r="B15966">
        <v>7007549</v>
      </c>
      <c r="C15966" s="1" t="str">
        <f>HYPERLINK("http://stackoverflow.com/users/7007549", "Ela Dute")</f>
        <v>Ela Dute</v>
      </c>
      <c r="D15966" t="s">
        <v>4</v>
      </c>
      <c r="E15966">
        <v>1</v>
      </c>
    </row>
    <row r="15967" spans="1:5" x14ac:dyDescent="0.25">
      <c r="A15967">
        <v>15966</v>
      </c>
      <c r="B15967">
        <v>10638301</v>
      </c>
      <c r="C15967" s="1" t="str">
        <f>HYPERLINK("http://stackoverflow.com/users/10638301", "syoya")</f>
        <v>syoya</v>
      </c>
      <c r="D15967" t="s">
        <v>52</v>
      </c>
      <c r="E15967">
        <v>1</v>
      </c>
    </row>
    <row r="15968" spans="1:5" x14ac:dyDescent="0.25">
      <c r="A15968">
        <v>15967</v>
      </c>
      <c r="B15968">
        <v>5246844</v>
      </c>
      <c r="C15968" s="1" t="str">
        <f>HYPERLINK("http://stackoverflow.com/users/5246844", "Alan Tan")</f>
        <v>Alan Tan</v>
      </c>
      <c r="D15968" t="s">
        <v>4</v>
      </c>
      <c r="E15968">
        <v>1</v>
      </c>
    </row>
    <row r="15969" spans="1:5" x14ac:dyDescent="0.25">
      <c r="A15969">
        <v>15968</v>
      </c>
      <c r="B15969">
        <v>5247691</v>
      </c>
      <c r="C15969" s="1" t="str">
        <f>HYPERLINK("http://stackoverflow.com/users/5247691", "Will.Zhang")</f>
        <v>Will.Zhang</v>
      </c>
      <c r="D15969" t="s">
        <v>876</v>
      </c>
      <c r="E15969">
        <v>1</v>
      </c>
    </row>
    <row r="15970" spans="1:5" x14ac:dyDescent="0.25">
      <c r="A15970">
        <v>15969</v>
      </c>
      <c r="B15970">
        <v>8831412</v>
      </c>
      <c r="C15970" s="1" t="str">
        <f>HYPERLINK("http://stackoverflow.com/users/8831412", "Jie Cui")</f>
        <v>Jie Cui</v>
      </c>
      <c r="D15970" t="s">
        <v>55</v>
      </c>
      <c r="E15970">
        <v>1</v>
      </c>
    </row>
    <row r="15971" spans="1:5" x14ac:dyDescent="0.25">
      <c r="A15971">
        <v>15970</v>
      </c>
      <c r="B15971">
        <v>8822320</v>
      </c>
      <c r="C15971" s="1" t="str">
        <f>HYPERLINK("http://stackoverflow.com/users/8822320", "WangYong")</f>
        <v>WangYong</v>
      </c>
      <c r="D15971" t="s">
        <v>877</v>
      </c>
      <c r="E15971">
        <v>1</v>
      </c>
    </row>
    <row r="15972" spans="1:5" x14ac:dyDescent="0.25">
      <c r="A15972">
        <v>15971</v>
      </c>
      <c r="B15972">
        <v>7007135</v>
      </c>
      <c r="C15972" s="1" t="str">
        <f>HYPERLINK("http://stackoverflow.com/users/7007135", "LaneYu")</f>
        <v>LaneYu</v>
      </c>
      <c r="D15972" t="s">
        <v>4</v>
      </c>
      <c r="E15972">
        <v>1</v>
      </c>
    </row>
    <row r="15973" spans="1:5" x14ac:dyDescent="0.25">
      <c r="A15973">
        <v>15972</v>
      </c>
      <c r="B15973">
        <v>7007446</v>
      </c>
      <c r="C15973" s="1" t="str">
        <f>HYPERLINK("http://stackoverflow.com/users/7007446", "WEN")</f>
        <v>WEN</v>
      </c>
      <c r="D15973" t="s">
        <v>43</v>
      </c>
      <c r="E15973">
        <v>1</v>
      </c>
    </row>
    <row r="15974" spans="1:5" x14ac:dyDescent="0.25">
      <c r="A15974">
        <v>15973</v>
      </c>
      <c r="B15974">
        <v>3423233</v>
      </c>
      <c r="C15974" s="1" t="str">
        <f>HYPERLINK("http://stackoverflow.com/users/3423233", "Juliet_sj")</f>
        <v>Juliet_sj</v>
      </c>
      <c r="D15974" t="s">
        <v>5</v>
      </c>
      <c r="E15974">
        <v>1</v>
      </c>
    </row>
    <row r="15975" spans="1:5" x14ac:dyDescent="0.25">
      <c r="A15975">
        <v>15974</v>
      </c>
      <c r="B15975">
        <v>3423285</v>
      </c>
      <c r="C15975" s="1" t="str">
        <f>HYPERLINK("http://stackoverflow.com/users/3423285", "MiskoLee")</f>
        <v>MiskoLee</v>
      </c>
      <c r="D15975" t="s">
        <v>5</v>
      </c>
      <c r="E15975">
        <v>1</v>
      </c>
    </row>
    <row r="15976" spans="1:5" x14ac:dyDescent="0.25">
      <c r="A15976">
        <v>15975</v>
      </c>
      <c r="B15976">
        <v>6953097</v>
      </c>
      <c r="C15976" s="1" t="str">
        <f>HYPERLINK("http://stackoverflow.com/users/6953097", "Weber.Yang")</f>
        <v>Weber.Yang</v>
      </c>
      <c r="D15976" t="s">
        <v>5</v>
      </c>
      <c r="E15976">
        <v>1</v>
      </c>
    </row>
    <row r="15977" spans="1:5" x14ac:dyDescent="0.25">
      <c r="A15977">
        <v>15976</v>
      </c>
      <c r="B15977">
        <v>6953139</v>
      </c>
      <c r="C15977" s="1" t="str">
        <f>HYPERLINK("http://stackoverflow.com/users/6953139", "YeDanbo")</f>
        <v>YeDanbo</v>
      </c>
      <c r="D15977" t="s">
        <v>21</v>
      </c>
      <c r="E15977">
        <v>1</v>
      </c>
    </row>
    <row r="15978" spans="1:5" x14ac:dyDescent="0.25">
      <c r="A15978">
        <v>15977</v>
      </c>
      <c r="B15978">
        <v>8813626</v>
      </c>
      <c r="C15978" s="1" t="str">
        <f>HYPERLINK("http://stackoverflow.com/users/8813626", "Hyunjeong Sally Kim")</f>
        <v>Hyunjeong Sally Kim</v>
      </c>
      <c r="D15978" t="s">
        <v>5</v>
      </c>
      <c r="E15978">
        <v>1</v>
      </c>
    </row>
    <row r="15979" spans="1:5" x14ac:dyDescent="0.25">
      <c r="A15979">
        <v>15978</v>
      </c>
      <c r="B15979">
        <v>6999962</v>
      </c>
      <c r="C15979" s="1" t="str">
        <f>HYPERLINK("http://stackoverflow.com/users/6999962", "Alex Wangyu")</f>
        <v>Alex Wangyu</v>
      </c>
      <c r="D15979" t="s">
        <v>878</v>
      </c>
      <c r="E15979">
        <v>1</v>
      </c>
    </row>
    <row r="15980" spans="1:5" x14ac:dyDescent="0.25">
      <c r="A15980">
        <v>15979</v>
      </c>
      <c r="B15980">
        <v>5242760</v>
      </c>
      <c r="C15980" s="1" t="str">
        <f>HYPERLINK("http://stackoverflow.com/users/5242760", "SureGM")</f>
        <v>SureGM</v>
      </c>
      <c r="D15980" t="s">
        <v>17</v>
      </c>
      <c r="E15980">
        <v>1</v>
      </c>
    </row>
    <row r="15981" spans="1:5" x14ac:dyDescent="0.25">
      <c r="A15981">
        <v>15980</v>
      </c>
      <c r="B15981">
        <v>1564674</v>
      </c>
      <c r="C15981" s="1" t="str">
        <f>HYPERLINK("http://stackoverflow.com/users/1564674", "Taly.W.Y")</f>
        <v>Taly.W.Y</v>
      </c>
      <c r="D15981" t="s">
        <v>31</v>
      </c>
      <c r="E15981">
        <v>1</v>
      </c>
    </row>
    <row r="15982" spans="1:5" x14ac:dyDescent="0.25">
      <c r="A15982">
        <v>15981</v>
      </c>
      <c r="B15982">
        <v>1564729</v>
      </c>
      <c r="C15982" s="1" t="str">
        <f>HYPERLINK("http://stackoverflow.com/users/1564729", "Leiwista")</f>
        <v>Leiwista</v>
      </c>
      <c r="D15982" t="s">
        <v>5</v>
      </c>
      <c r="E15982">
        <v>1</v>
      </c>
    </row>
    <row r="15983" spans="1:5" x14ac:dyDescent="0.25">
      <c r="A15983">
        <v>15982</v>
      </c>
      <c r="B15983">
        <v>3427266</v>
      </c>
      <c r="C15983" s="1" t="str">
        <f>HYPERLINK("http://stackoverflow.com/users/3427266", "Eureka")</f>
        <v>Eureka</v>
      </c>
      <c r="D15983" t="s">
        <v>55</v>
      </c>
      <c r="E15983">
        <v>1</v>
      </c>
    </row>
    <row r="15984" spans="1:5" x14ac:dyDescent="0.25">
      <c r="A15984">
        <v>15983</v>
      </c>
      <c r="B15984">
        <v>1586858</v>
      </c>
      <c r="C15984" s="1" t="str">
        <f>HYPERLINK("http://stackoverflow.com/users/1586858", "skoo87")</f>
        <v>skoo87</v>
      </c>
      <c r="D15984" t="s">
        <v>12</v>
      </c>
      <c r="E15984">
        <v>1</v>
      </c>
    </row>
    <row r="15985" spans="1:5" x14ac:dyDescent="0.25">
      <c r="A15985">
        <v>15984</v>
      </c>
      <c r="B15985">
        <v>1587630</v>
      </c>
      <c r="C15985" s="1" t="str">
        <f>HYPERLINK("http://stackoverflow.com/users/1587630", "Stone")</f>
        <v>Stone</v>
      </c>
      <c r="D15985" t="s">
        <v>5</v>
      </c>
      <c r="E15985">
        <v>1</v>
      </c>
    </row>
    <row r="15986" spans="1:5" x14ac:dyDescent="0.25">
      <c r="A15986">
        <v>15985</v>
      </c>
      <c r="B15986">
        <v>1587711</v>
      </c>
      <c r="C15986" s="1" t="str">
        <f>HYPERLINK("http://stackoverflow.com/users/1587711", "whitefeather")</f>
        <v>whitefeather</v>
      </c>
      <c r="D15986" t="s">
        <v>5</v>
      </c>
      <c r="E15986">
        <v>1</v>
      </c>
    </row>
    <row r="15987" spans="1:5" x14ac:dyDescent="0.25">
      <c r="A15987">
        <v>15986</v>
      </c>
      <c r="B15987">
        <v>5239559</v>
      </c>
      <c r="C15987" s="1" t="str">
        <f>HYPERLINK("http://stackoverflow.com/users/5239559", "txtName")</f>
        <v>txtName</v>
      </c>
      <c r="D15987" t="s">
        <v>210</v>
      </c>
      <c r="E15987">
        <v>1</v>
      </c>
    </row>
    <row r="15988" spans="1:5" x14ac:dyDescent="0.25">
      <c r="A15988">
        <v>15987</v>
      </c>
      <c r="B15988">
        <v>5239710</v>
      </c>
      <c r="C15988" s="1" t="str">
        <f>HYPERLINK("http://stackoverflow.com/users/5239710", "cysnap")</f>
        <v>cysnap</v>
      </c>
      <c r="D15988" t="s">
        <v>5</v>
      </c>
      <c r="E15988">
        <v>1</v>
      </c>
    </row>
    <row r="15989" spans="1:5" x14ac:dyDescent="0.25">
      <c r="A15989">
        <v>15988</v>
      </c>
      <c r="B15989">
        <v>3431192</v>
      </c>
      <c r="C15989" s="1" t="str">
        <f>HYPERLINK("http://stackoverflow.com/users/3431192", "a driver with code.")</f>
        <v>a driver with code.</v>
      </c>
      <c r="D15989" t="s">
        <v>3</v>
      </c>
      <c r="E15989">
        <v>1</v>
      </c>
    </row>
    <row r="15990" spans="1:5" x14ac:dyDescent="0.25">
      <c r="A15990">
        <v>15989</v>
      </c>
      <c r="B15990">
        <v>1560539</v>
      </c>
      <c r="C15990" s="1" t="str">
        <f>HYPERLINK("http://stackoverflow.com/users/1560539", "Ray")</f>
        <v>Ray</v>
      </c>
      <c r="D15990" t="s">
        <v>4</v>
      </c>
      <c r="E15990">
        <v>1</v>
      </c>
    </row>
    <row r="15991" spans="1:5" x14ac:dyDescent="0.25">
      <c r="A15991">
        <v>15990</v>
      </c>
      <c r="B15991">
        <v>5217846</v>
      </c>
      <c r="C15991" s="1" t="str">
        <f>HYPERLINK("http://stackoverflow.com/users/5217846", "RK1024")</f>
        <v>RK1024</v>
      </c>
      <c r="D15991" t="s">
        <v>5</v>
      </c>
      <c r="E15991">
        <v>1</v>
      </c>
    </row>
    <row r="15992" spans="1:5" x14ac:dyDescent="0.25">
      <c r="A15992">
        <v>15991</v>
      </c>
      <c r="B15992">
        <v>6939321</v>
      </c>
      <c r="C15992" s="1" t="str">
        <f>HYPERLINK("http://stackoverflow.com/users/6939321", "highjump")</f>
        <v>highjump</v>
      </c>
      <c r="D15992" t="s">
        <v>5</v>
      </c>
      <c r="E15992">
        <v>1</v>
      </c>
    </row>
    <row r="15993" spans="1:5" x14ac:dyDescent="0.25">
      <c r="A15993">
        <v>15992</v>
      </c>
      <c r="B15993">
        <v>6943246</v>
      </c>
      <c r="C15993" s="1" t="str">
        <f>HYPERLINK("http://stackoverflow.com/users/6943246", "Chao-Hua Yu")</f>
        <v>Chao-Hua Yu</v>
      </c>
      <c r="D15993" t="s">
        <v>5</v>
      </c>
      <c r="E15993">
        <v>1</v>
      </c>
    </row>
    <row r="15994" spans="1:5" x14ac:dyDescent="0.25">
      <c r="A15994">
        <v>15993</v>
      </c>
      <c r="B15994">
        <v>6943364</v>
      </c>
      <c r="C15994" s="1" t="str">
        <f>HYPERLINK("http://stackoverflow.com/users/6943364", "auvmacintosh")</f>
        <v>auvmacintosh</v>
      </c>
      <c r="D15994" t="s">
        <v>5</v>
      </c>
      <c r="E15994">
        <v>1</v>
      </c>
    </row>
    <row r="15995" spans="1:5" x14ac:dyDescent="0.25">
      <c r="A15995">
        <v>15994</v>
      </c>
      <c r="B15995">
        <v>6943378</v>
      </c>
      <c r="C15995" s="1" t="str">
        <f>HYPERLINK("http://stackoverflow.com/users/6943378", "Prinse Wang")</f>
        <v>Prinse Wang</v>
      </c>
      <c r="D15995" t="s">
        <v>25</v>
      </c>
      <c r="E15995">
        <v>1</v>
      </c>
    </row>
    <row r="15996" spans="1:5" x14ac:dyDescent="0.25">
      <c r="A15996">
        <v>15995</v>
      </c>
      <c r="B15996">
        <v>3415818</v>
      </c>
      <c r="C15996" s="1" t="str">
        <f>HYPERLINK("http://stackoverflow.com/users/3415818", "Kaiyao")</f>
        <v>Kaiyao</v>
      </c>
      <c r="D15996" t="s">
        <v>3</v>
      </c>
      <c r="E15996">
        <v>1</v>
      </c>
    </row>
    <row r="15997" spans="1:5" x14ac:dyDescent="0.25">
      <c r="A15997">
        <v>15996</v>
      </c>
      <c r="B15997">
        <v>3416059</v>
      </c>
      <c r="C15997" s="1" t="str">
        <f>HYPERLINK("http://stackoverflow.com/users/3416059", "lffeng")</f>
        <v>lffeng</v>
      </c>
      <c r="D15997" t="s">
        <v>5</v>
      </c>
      <c r="E15997">
        <v>1</v>
      </c>
    </row>
    <row r="15998" spans="1:5" x14ac:dyDescent="0.25">
      <c r="A15998">
        <v>15997</v>
      </c>
      <c r="B15998">
        <v>5225436</v>
      </c>
      <c r="C15998" s="1" t="str">
        <f>HYPERLINK("http://stackoverflow.com/users/5225436", "Caleb Tian")</f>
        <v>Caleb Tian</v>
      </c>
      <c r="D15998" t="s">
        <v>5</v>
      </c>
      <c r="E15998">
        <v>1</v>
      </c>
    </row>
    <row r="15999" spans="1:5" x14ac:dyDescent="0.25">
      <c r="A15999">
        <v>15998</v>
      </c>
      <c r="B15999">
        <v>5225625</v>
      </c>
      <c r="C15999" s="1" t="str">
        <f>HYPERLINK("http://stackoverflow.com/users/5225625", "enola")</f>
        <v>enola</v>
      </c>
      <c r="D15999" t="s">
        <v>4</v>
      </c>
      <c r="E15999">
        <v>1</v>
      </c>
    </row>
    <row r="16000" spans="1:5" x14ac:dyDescent="0.25">
      <c r="A16000">
        <v>15999</v>
      </c>
      <c r="B16000">
        <v>5225778</v>
      </c>
      <c r="C16000" s="1" t="str">
        <f>HYPERLINK("http://stackoverflow.com/users/5225778", "honge sun")</f>
        <v>honge sun</v>
      </c>
      <c r="D16000" t="s">
        <v>5</v>
      </c>
      <c r="E16000">
        <v>1</v>
      </c>
    </row>
    <row r="16001" spans="1:5" x14ac:dyDescent="0.25">
      <c r="A16001">
        <v>16000</v>
      </c>
      <c r="B16001">
        <v>10612743</v>
      </c>
      <c r="C16001" s="1" t="str">
        <f>HYPERLINK("http://stackoverflow.com/users/10612743", "BingLiu")</f>
        <v>BingLiu</v>
      </c>
      <c r="D16001" t="s">
        <v>5</v>
      </c>
      <c r="E16001">
        <v>1</v>
      </c>
    </row>
    <row r="16002" spans="1:5" x14ac:dyDescent="0.25">
      <c r="A16002">
        <v>16001</v>
      </c>
      <c r="B16002">
        <v>3418910</v>
      </c>
      <c r="C16002" s="1" t="str">
        <f>HYPERLINK("http://stackoverflow.com/users/3418910", "sjtuross")</f>
        <v>sjtuross</v>
      </c>
      <c r="D16002" t="s">
        <v>4</v>
      </c>
      <c r="E16002">
        <v>1</v>
      </c>
    </row>
    <row r="16003" spans="1:5" x14ac:dyDescent="0.25">
      <c r="A16003">
        <v>16002</v>
      </c>
      <c r="B16003">
        <v>3419751</v>
      </c>
      <c r="C16003" s="1" t="str">
        <f>HYPERLINK("http://stackoverflow.com/users/3419751", "Anton")</f>
        <v>Anton</v>
      </c>
      <c r="D16003" t="s">
        <v>17</v>
      </c>
      <c r="E16003">
        <v>1</v>
      </c>
    </row>
    <row r="16004" spans="1:5" x14ac:dyDescent="0.25">
      <c r="A16004">
        <v>16003</v>
      </c>
      <c r="B16004">
        <v>6947016</v>
      </c>
      <c r="C16004" s="1" t="str">
        <f>HYPERLINK("http://stackoverflow.com/users/6947016", "spinlock")</f>
        <v>spinlock</v>
      </c>
      <c r="D16004" t="s">
        <v>7</v>
      </c>
      <c r="E16004">
        <v>1</v>
      </c>
    </row>
    <row r="16005" spans="1:5" x14ac:dyDescent="0.25">
      <c r="A16005">
        <v>16004</v>
      </c>
      <c r="B16005">
        <v>10616156</v>
      </c>
      <c r="C16005" s="1" t="str">
        <f>HYPERLINK("http://stackoverflow.com/users/10616156", "zhihua yin")</f>
        <v>zhihua yin</v>
      </c>
      <c r="D16005" t="s">
        <v>97</v>
      </c>
      <c r="E16005">
        <v>1</v>
      </c>
    </row>
    <row r="16006" spans="1:5" x14ac:dyDescent="0.25">
      <c r="A16006">
        <v>16005</v>
      </c>
      <c r="B16006">
        <v>10616372</v>
      </c>
      <c r="C16006" s="1" t="str">
        <f>HYPERLINK("http://stackoverflow.com/users/10616372", "Aiyun Tang")</f>
        <v>Aiyun Tang</v>
      </c>
      <c r="D16006" t="s">
        <v>37</v>
      </c>
      <c r="E16006">
        <v>1</v>
      </c>
    </row>
    <row r="16007" spans="1:5" x14ac:dyDescent="0.25">
      <c r="A16007">
        <v>16006</v>
      </c>
      <c r="B16007">
        <v>10616454</v>
      </c>
      <c r="C16007" s="1" t="str">
        <f>HYPERLINK("http://stackoverflow.com/users/10616454", "Robert Guo")</f>
        <v>Robert Guo</v>
      </c>
      <c r="D16007" t="s">
        <v>4</v>
      </c>
      <c r="E16007">
        <v>1</v>
      </c>
    </row>
    <row r="16008" spans="1:5" x14ac:dyDescent="0.25">
      <c r="A16008">
        <v>16007</v>
      </c>
      <c r="B16008">
        <v>8809560</v>
      </c>
      <c r="C16008" s="1" t="str">
        <f>HYPERLINK("http://stackoverflow.com/users/8809560", "Jacob")</f>
        <v>Jacob</v>
      </c>
      <c r="D16008" t="s">
        <v>5</v>
      </c>
      <c r="E16008">
        <v>1</v>
      </c>
    </row>
    <row r="16009" spans="1:5" x14ac:dyDescent="0.25">
      <c r="A16009">
        <v>16008</v>
      </c>
      <c r="B16009">
        <v>8809721</v>
      </c>
      <c r="C16009" s="1" t="str">
        <f>HYPERLINK("http://stackoverflow.com/users/8809721", "Jesse Liu")</f>
        <v>Jesse Liu</v>
      </c>
      <c r="D16009" t="s">
        <v>4</v>
      </c>
      <c r="E16009">
        <v>1</v>
      </c>
    </row>
    <row r="16010" spans="1:5" x14ac:dyDescent="0.25">
      <c r="A16010">
        <v>16009</v>
      </c>
      <c r="B16010">
        <v>8809883</v>
      </c>
      <c r="C16010" s="1" t="str">
        <f>HYPERLINK("http://stackoverflow.com/users/8809883", "Phemie Tang")</f>
        <v>Phemie Tang</v>
      </c>
      <c r="D16010" t="s">
        <v>25</v>
      </c>
      <c r="E16010">
        <v>1</v>
      </c>
    </row>
    <row r="16011" spans="1:5" x14ac:dyDescent="0.25">
      <c r="A16011">
        <v>16010</v>
      </c>
      <c r="B16011">
        <v>1564518</v>
      </c>
      <c r="C16011" s="1" t="str">
        <f>HYPERLINK("http://stackoverflow.com/users/1564518", "alexzhang")</f>
        <v>alexzhang</v>
      </c>
      <c r="D16011" t="s">
        <v>4</v>
      </c>
      <c r="E16011">
        <v>1</v>
      </c>
    </row>
    <row r="16012" spans="1:5" x14ac:dyDescent="0.25">
      <c r="A16012">
        <v>16011</v>
      </c>
      <c r="B16012">
        <v>5225853</v>
      </c>
      <c r="C16012" s="1" t="str">
        <f>HYPERLINK("http://stackoverflow.com/users/5225853", "Iks_ruan")</f>
        <v>Iks_ruan</v>
      </c>
      <c r="D16012" t="s">
        <v>17</v>
      </c>
      <c r="E16012">
        <v>1</v>
      </c>
    </row>
    <row r="16013" spans="1:5" x14ac:dyDescent="0.25">
      <c r="A16013">
        <v>16012</v>
      </c>
      <c r="B16013">
        <v>5225922</v>
      </c>
      <c r="C16013" s="1" t="str">
        <f>HYPERLINK("http://stackoverflow.com/users/5225922", "Espen Åmodt")</f>
        <v>Espen Åmodt</v>
      </c>
      <c r="D16013" t="s">
        <v>4</v>
      </c>
      <c r="E16013">
        <v>1</v>
      </c>
    </row>
    <row r="16014" spans="1:5" x14ac:dyDescent="0.25">
      <c r="A16014">
        <v>16013</v>
      </c>
      <c r="B16014">
        <v>8801912</v>
      </c>
      <c r="C16014" s="1" t="str">
        <f>HYPERLINK("http://stackoverflow.com/users/8801912", "Gorilla Songlian")</f>
        <v>Gorilla Songlian</v>
      </c>
      <c r="D16014" t="s">
        <v>74</v>
      </c>
      <c r="E16014">
        <v>1</v>
      </c>
    </row>
    <row r="16015" spans="1:5" x14ac:dyDescent="0.25">
      <c r="A16015">
        <v>16014</v>
      </c>
      <c r="B16015">
        <v>10278985</v>
      </c>
      <c r="C16015" s="1" t="str">
        <f>HYPERLINK("http://stackoverflow.com/users/10278985", "IisDean")</f>
        <v>IisDean</v>
      </c>
      <c r="D16015" t="s">
        <v>29</v>
      </c>
      <c r="E16015">
        <v>1</v>
      </c>
    </row>
    <row r="16016" spans="1:5" x14ac:dyDescent="0.25">
      <c r="A16016">
        <v>16015</v>
      </c>
      <c r="B16016">
        <v>1124949</v>
      </c>
      <c r="C16016" s="1" t="str">
        <f>HYPERLINK("http://stackoverflow.com/users/1124949", "Wilson")</f>
        <v>Wilson</v>
      </c>
      <c r="D16016" t="s">
        <v>22</v>
      </c>
      <c r="E16016">
        <v>1</v>
      </c>
    </row>
    <row r="16017" spans="1:5" x14ac:dyDescent="0.25">
      <c r="A16017">
        <v>16016</v>
      </c>
      <c r="B16017">
        <v>1124981</v>
      </c>
      <c r="C16017" s="1" t="str">
        <f>HYPERLINK("http://stackoverflow.com/users/1124981", "lixiumiao")</f>
        <v>lixiumiao</v>
      </c>
      <c r="D16017" t="s">
        <v>55</v>
      </c>
      <c r="E16017">
        <v>1</v>
      </c>
    </row>
    <row r="16018" spans="1:5" x14ac:dyDescent="0.25">
      <c r="A16018">
        <v>16017</v>
      </c>
      <c r="B16018">
        <v>1125070</v>
      </c>
      <c r="C16018" s="1" t="str">
        <f>HYPERLINK("http://stackoverflow.com/users/1125070", "alex.F")</f>
        <v>alex.F</v>
      </c>
      <c r="D16018" t="s">
        <v>879</v>
      </c>
      <c r="E16018">
        <v>1</v>
      </c>
    </row>
    <row r="16019" spans="1:5" x14ac:dyDescent="0.25">
      <c r="A16019">
        <v>16018</v>
      </c>
      <c r="B16019">
        <v>6637729</v>
      </c>
      <c r="C16019" s="1" t="str">
        <f>HYPERLINK("http://stackoverflow.com/users/6637729", "bigmarvin")</f>
        <v>bigmarvin</v>
      </c>
      <c r="D16019" t="s">
        <v>4</v>
      </c>
      <c r="E16019">
        <v>1</v>
      </c>
    </row>
    <row r="16020" spans="1:5" x14ac:dyDescent="0.25">
      <c r="A16020">
        <v>16019</v>
      </c>
      <c r="B16020">
        <v>6637816</v>
      </c>
      <c r="C16020" s="1" t="str">
        <f>HYPERLINK("http://stackoverflow.com/users/6637816", "Ming Jin")</f>
        <v>Ming Jin</v>
      </c>
      <c r="D16020" t="s">
        <v>4</v>
      </c>
      <c r="E16020">
        <v>1</v>
      </c>
    </row>
    <row r="16021" spans="1:5" x14ac:dyDescent="0.25">
      <c r="A16021">
        <v>16020</v>
      </c>
      <c r="B16021">
        <v>10275308</v>
      </c>
      <c r="C16021" s="1" t="str">
        <f>HYPERLINK("http://stackoverflow.com/users/10275308", "Tsang You Jun")</f>
        <v>Tsang You Jun</v>
      </c>
      <c r="D16021" t="s">
        <v>7</v>
      </c>
      <c r="E16021">
        <v>1</v>
      </c>
    </row>
    <row r="16022" spans="1:5" x14ac:dyDescent="0.25">
      <c r="A16022">
        <v>16021</v>
      </c>
      <c r="B16022">
        <v>10275385</v>
      </c>
      <c r="C16022" s="1" t="str">
        <f>HYPERLINK("http://stackoverflow.com/users/10275385", "Gener")</f>
        <v>Gener</v>
      </c>
      <c r="D16022" t="s">
        <v>4</v>
      </c>
      <c r="E16022">
        <v>1</v>
      </c>
    </row>
    <row r="16023" spans="1:5" x14ac:dyDescent="0.25">
      <c r="A16023">
        <v>16022</v>
      </c>
      <c r="B16023">
        <v>3101639</v>
      </c>
      <c r="C16023" s="1" t="str">
        <f>HYPERLINK("http://stackoverflow.com/users/3101639", "jimneylee")</f>
        <v>jimneylee</v>
      </c>
      <c r="D16023" t="s">
        <v>291</v>
      </c>
      <c r="E16023">
        <v>1</v>
      </c>
    </row>
    <row r="16024" spans="1:5" x14ac:dyDescent="0.25">
      <c r="A16024">
        <v>16023</v>
      </c>
      <c r="B16024">
        <v>3104171</v>
      </c>
      <c r="C16024" s="1" t="str">
        <f>HYPERLINK("http://stackoverflow.com/users/3104171", "justincao84")</f>
        <v>justincao84</v>
      </c>
      <c r="D16024" t="s">
        <v>5</v>
      </c>
      <c r="E16024">
        <v>1</v>
      </c>
    </row>
    <row r="16025" spans="1:5" x14ac:dyDescent="0.25">
      <c r="A16025">
        <v>16024</v>
      </c>
      <c r="B16025">
        <v>4923157</v>
      </c>
      <c r="C16025" s="1" t="str">
        <f>HYPERLINK("http://stackoverflow.com/users/4923157", "chadianshigeshuaige")</f>
        <v>chadianshigeshuaige</v>
      </c>
      <c r="D16025" t="s">
        <v>5</v>
      </c>
      <c r="E16025">
        <v>1</v>
      </c>
    </row>
    <row r="16026" spans="1:5" x14ac:dyDescent="0.25">
      <c r="A16026">
        <v>16025</v>
      </c>
      <c r="B16026">
        <v>4923541</v>
      </c>
      <c r="C16026" s="1" t="str">
        <f>HYPERLINK("http://stackoverflow.com/users/4923541", "Sean Gao")</f>
        <v>Sean Gao</v>
      </c>
      <c r="D16026" t="s">
        <v>7</v>
      </c>
      <c r="E16026">
        <v>1</v>
      </c>
    </row>
    <row r="16027" spans="1:5" x14ac:dyDescent="0.25">
      <c r="A16027">
        <v>16026</v>
      </c>
      <c r="B16027">
        <v>4923699</v>
      </c>
      <c r="C16027" s="1" t="str">
        <f>HYPERLINK("http://stackoverflow.com/users/4923699", "MichaelYgzhang")</f>
        <v>MichaelYgzhang</v>
      </c>
      <c r="D16027" t="s">
        <v>5</v>
      </c>
      <c r="E16027">
        <v>1</v>
      </c>
    </row>
    <row r="16028" spans="1:5" x14ac:dyDescent="0.25">
      <c r="A16028">
        <v>16027</v>
      </c>
      <c r="B16028">
        <v>4923776</v>
      </c>
      <c r="C16028" s="1" t="str">
        <f>HYPERLINK("http://stackoverflow.com/users/4923776", "kdwycz")</f>
        <v>kdwycz</v>
      </c>
      <c r="D16028" t="s">
        <v>5</v>
      </c>
      <c r="E16028">
        <v>1</v>
      </c>
    </row>
    <row r="16029" spans="1:5" x14ac:dyDescent="0.25">
      <c r="A16029">
        <v>16028</v>
      </c>
      <c r="B16029">
        <v>1138508</v>
      </c>
      <c r="C16029" s="1" t="str">
        <f>HYPERLINK("http://stackoverflow.com/users/1138508", "Nick")</f>
        <v>Nick</v>
      </c>
      <c r="D16029" t="s">
        <v>12</v>
      </c>
      <c r="E16029">
        <v>1</v>
      </c>
    </row>
    <row r="16030" spans="1:5" x14ac:dyDescent="0.25">
      <c r="A16030">
        <v>16029</v>
      </c>
      <c r="B16030">
        <v>8476733</v>
      </c>
      <c r="C16030" s="1" t="str">
        <f>HYPERLINK("http://stackoverflow.com/users/8476733", "GustavK")</f>
        <v>GustavK</v>
      </c>
      <c r="D16030" t="s">
        <v>7</v>
      </c>
      <c r="E16030">
        <v>1</v>
      </c>
    </row>
    <row r="16031" spans="1:5" x14ac:dyDescent="0.25">
      <c r="A16031">
        <v>16030</v>
      </c>
      <c r="B16031">
        <v>8476903</v>
      </c>
      <c r="C16031" s="1" t="str">
        <f>HYPERLINK("http://stackoverflow.com/users/8476903", "sun")</f>
        <v>sun</v>
      </c>
      <c r="D16031" t="s">
        <v>131</v>
      </c>
      <c r="E16031">
        <v>1</v>
      </c>
    </row>
    <row r="16032" spans="1:5" x14ac:dyDescent="0.25">
      <c r="A16032">
        <v>16031</v>
      </c>
      <c r="B16032">
        <v>1148888</v>
      </c>
      <c r="C16032" s="1" t="str">
        <f>HYPERLINK("http://stackoverflow.com/users/1148888", "xinli0")</f>
        <v>xinli0</v>
      </c>
      <c r="D16032" t="s">
        <v>57</v>
      </c>
      <c r="E16032">
        <v>1</v>
      </c>
    </row>
    <row r="16033" spans="1:5" x14ac:dyDescent="0.25">
      <c r="A16033">
        <v>16032</v>
      </c>
      <c r="B16033">
        <v>10283754</v>
      </c>
      <c r="C16033" s="1" t="str">
        <f>HYPERLINK("http://stackoverflow.com/users/10283754", "Weng Blair")</f>
        <v>Weng Blair</v>
      </c>
      <c r="D16033" t="s">
        <v>4</v>
      </c>
      <c r="E16033">
        <v>1</v>
      </c>
    </row>
    <row r="16034" spans="1:5" x14ac:dyDescent="0.25">
      <c r="A16034">
        <v>16033</v>
      </c>
      <c r="B16034">
        <v>10289006</v>
      </c>
      <c r="C16034" s="1" t="str">
        <f>HYPERLINK("http://stackoverflow.com/users/10289006", "Navorski")</f>
        <v>Navorski</v>
      </c>
      <c r="D16034" t="s">
        <v>4</v>
      </c>
      <c r="E16034">
        <v>1</v>
      </c>
    </row>
    <row r="16035" spans="1:5" x14ac:dyDescent="0.25">
      <c r="A16035">
        <v>16034</v>
      </c>
      <c r="B16035">
        <v>10289320</v>
      </c>
      <c r="C16035" s="1" t="str">
        <f>HYPERLINK("http://stackoverflow.com/users/10289320", "Ethan Wu")</f>
        <v>Ethan Wu</v>
      </c>
      <c r="D16035" t="s">
        <v>180</v>
      </c>
      <c r="E16035">
        <v>1</v>
      </c>
    </row>
    <row r="16036" spans="1:5" x14ac:dyDescent="0.25">
      <c r="A16036">
        <v>16035</v>
      </c>
      <c r="B16036">
        <v>4933400</v>
      </c>
      <c r="C16036" s="1" t="str">
        <f>HYPERLINK("http://stackoverflow.com/users/4933400", "Saul Lawliet")</f>
        <v>Saul Lawliet</v>
      </c>
      <c r="D16036" t="s">
        <v>5</v>
      </c>
      <c r="E16036">
        <v>1</v>
      </c>
    </row>
    <row r="16037" spans="1:5" x14ac:dyDescent="0.25">
      <c r="A16037">
        <v>16036</v>
      </c>
      <c r="B16037">
        <v>10279026</v>
      </c>
      <c r="C16037" s="1" t="str">
        <f>HYPERLINK("http://stackoverflow.com/users/10279026", "user10279026")</f>
        <v>user10279026</v>
      </c>
      <c r="D16037" t="s">
        <v>27</v>
      </c>
      <c r="E16037">
        <v>1</v>
      </c>
    </row>
    <row r="16038" spans="1:5" x14ac:dyDescent="0.25">
      <c r="A16038">
        <v>16037</v>
      </c>
      <c r="B16038">
        <v>8465602</v>
      </c>
      <c r="C16038" s="1" t="str">
        <f>HYPERLINK("http://stackoverflow.com/users/8465602", "jack")</f>
        <v>jack</v>
      </c>
      <c r="D16038" t="s">
        <v>427</v>
      </c>
      <c r="E16038">
        <v>1</v>
      </c>
    </row>
    <row r="16039" spans="1:5" x14ac:dyDescent="0.25">
      <c r="A16039">
        <v>16038</v>
      </c>
      <c r="B16039">
        <v>8465799</v>
      </c>
      <c r="C16039" s="1" t="str">
        <f>HYPERLINK("http://stackoverflow.com/users/8465799", "Jun Kong")</f>
        <v>Jun Kong</v>
      </c>
      <c r="D16039" t="s">
        <v>4</v>
      </c>
      <c r="E16039">
        <v>1</v>
      </c>
    </row>
    <row r="16040" spans="1:5" x14ac:dyDescent="0.25">
      <c r="A16040">
        <v>16039</v>
      </c>
      <c r="B16040">
        <v>8466211</v>
      </c>
      <c r="C16040" s="1" t="str">
        <f>HYPERLINK("http://stackoverflow.com/users/8466211", "Alexara")</f>
        <v>Alexara</v>
      </c>
      <c r="D16040" t="s">
        <v>4</v>
      </c>
      <c r="E16040">
        <v>1</v>
      </c>
    </row>
    <row r="16041" spans="1:5" x14ac:dyDescent="0.25">
      <c r="A16041">
        <v>16040</v>
      </c>
      <c r="B16041">
        <v>8466298</v>
      </c>
      <c r="C16041" s="1" t="str">
        <f>HYPERLINK("http://stackoverflow.com/users/8466298", "Code.Li")</f>
        <v>Code.Li</v>
      </c>
      <c r="D16041" t="s">
        <v>62</v>
      </c>
      <c r="E16041">
        <v>1</v>
      </c>
    </row>
    <row r="16042" spans="1:5" x14ac:dyDescent="0.25">
      <c r="A16042">
        <v>16041</v>
      </c>
      <c r="B16042">
        <v>1146813</v>
      </c>
      <c r="C16042" s="1" t="str">
        <f>HYPERLINK("http://stackoverflow.com/users/1146813", "Fox")</f>
        <v>Fox</v>
      </c>
      <c r="D16042" t="s">
        <v>22</v>
      </c>
      <c r="E16042">
        <v>1</v>
      </c>
    </row>
    <row r="16043" spans="1:5" x14ac:dyDescent="0.25">
      <c r="A16043">
        <v>16042</v>
      </c>
      <c r="B16043">
        <v>3118035</v>
      </c>
      <c r="C16043" s="1" t="str">
        <f>HYPERLINK("http://stackoverflow.com/users/3118035", "freefish")</f>
        <v>freefish</v>
      </c>
      <c r="D16043" t="s">
        <v>17</v>
      </c>
      <c r="E16043">
        <v>1</v>
      </c>
    </row>
    <row r="16044" spans="1:5" x14ac:dyDescent="0.25">
      <c r="A16044">
        <v>16043</v>
      </c>
      <c r="B16044">
        <v>4936474</v>
      </c>
      <c r="C16044" s="1" t="str">
        <f>HYPERLINK("http://stackoverflow.com/users/4936474", "joky sss")</f>
        <v>joky sss</v>
      </c>
      <c r="D16044" t="s">
        <v>5</v>
      </c>
      <c r="E16044">
        <v>1</v>
      </c>
    </row>
    <row r="16045" spans="1:5" x14ac:dyDescent="0.25">
      <c r="A16045">
        <v>16044</v>
      </c>
      <c r="B16045">
        <v>8479625</v>
      </c>
      <c r="C16045" s="1" t="str">
        <f>HYPERLINK("http://stackoverflow.com/users/8479625", "Benson Wang")</f>
        <v>Benson Wang</v>
      </c>
      <c r="D16045" t="s">
        <v>52</v>
      </c>
      <c r="E16045">
        <v>1</v>
      </c>
    </row>
    <row r="16046" spans="1:5" x14ac:dyDescent="0.25">
      <c r="A16046">
        <v>16045</v>
      </c>
      <c r="B16046">
        <v>8476997</v>
      </c>
      <c r="C16046" s="1" t="str">
        <f>HYPERLINK("http://stackoverflow.com/users/8476997", "Alli C")</f>
        <v>Alli C</v>
      </c>
      <c r="D16046" t="s">
        <v>120</v>
      </c>
      <c r="E16046">
        <v>1</v>
      </c>
    </row>
    <row r="16047" spans="1:5" x14ac:dyDescent="0.25">
      <c r="A16047">
        <v>16046</v>
      </c>
      <c r="B16047">
        <v>8477029</v>
      </c>
      <c r="C16047" s="1" t="str">
        <f>HYPERLINK("http://stackoverflow.com/users/8477029", "yrzx404")</f>
        <v>yrzx404</v>
      </c>
      <c r="D16047" t="s">
        <v>28</v>
      </c>
      <c r="E16047">
        <v>1</v>
      </c>
    </row>
    <row r="16048" spans="1:5" x14ac:dyDescent="0.25">
      <c r="A16048">
        <v>16047</v>
      </c>
      <c r="B16048">
        <v>10289527</v>
      </c>
      <c r="C16048" s="1" t="str">
        <f>HYPERLINK("http://stackoverflow.com/users/10289527", "James Han")</f>
        <v>James Han</v>
      </c>
      <c r="D16048" t="s">
        <v>320</v>
      </c>
      <c r="E16048">
        <v>1</v>
      </c>
    </row>
    <row r="16049" spans="1:5" x14ac:dyDescent="0.25">
      <c r="A16049">
        <v>16048</v>
      </c>
      <c r="B16049">
        <v>4936662</v>
      </c>
      <c r="C16049" s="1" t="str">
        <f>HYPERLINK("http://stackoverflow.com/users/4936662", "cn_zxs")</f>
        <v>cn_zxs</v>
      </c>
      <c r="D16049" t="s">
        <v>5</v>
      </c>
      <c r="E16049">
        <v>1</v>
      </c>
    </row>
    <row r="16050" spans="1:5" x14ac:dyDescent="0.25">
      <c r="A16050">
        <v>16049</v>
      </c>
      <c r="B16050">
        <v>3121219</v>
      </c>
      <c r="C16050" s="1" t="str">
        <f>HYPERLINK("http://stackoverflow.com/users/3121219", "wrx362114")</f>
        <v>wrx362114</v>
      </c>
      <c r="D16050" t="s">
        <v>5</v>
      </c>
      <c r="E16050">
        <v>1</v>
      </c>
    </row>
    <row r="16051" spans="1:5" x14ac:dyDescent="0.25">
      <c r="A16051">
        <v>16050</v>
      </c>
      <c r="B16051">
        <v>3121334</v>
      </c>
      <c r="C16051" s="1" t="str">
        <f>HYPERLINK("http://stackoverflow.com/users/3121334", "Andy_Li")</f>
        <v>Andy_Li</v>
      </c>
      <c r="D16051" t="s">
        <v>5</v>
      </c>
      <c r="E16051">
        <v>1</v>
      </c>
    </row>
    <row r="16052" spans="1:5" x14ac:dyDescent="0.25">
      <c r="A16052">
        <v>16051</v>
      </c>
      <c r="B16052">
        <v>3121389</v>
      </c>
      <c r="C16052" s="1" t="str">
        <f>HYPERLINK("http://stackoverflow.com/users/3121389", "smallerror")</f>
        <v>smallerror</v>
      </c>
      <c r="D16052" t="s">
        <v>4</v>
      </c>
      <c r="E16052">
        <v>1</v>
      </c>
    </row>
    <row r="16053" spans="1:5" x14ac:dyDescent="0.25">
      <c r="A16053">
        <v>16052</v>
      </c>
      <c r="B16053">
        <v>1166539</v>
      </c>
      <c r="C16053" s="1" t="str">
        <f>HYPERLINK("http://stackoverflow.com/users/1166539", "nswish")</f>
        <v>nswish</v>
      </c>
      <c r="D16053" t="s">
        <v>4</v>
      </c>
      <c r="E16053">
        <v>1</v>
      </c>
    </row>
    <row r="16054" spans="1:5" x14ac:dyDescent="0.25">
      <c r="A16054">
        <v>16053</v>
      </c>
      <c r="B16054">
        <v>1166775</v>
      </c>
      <c r="C16054" s="1" t="str">
        <f>HYPERLINK("http://stackoverflow.com/users/1166775", "Jeffrey")</f>
        <v>Jeffrey</v>
      </c>
      <c r="D16054" t="s">
        <v>5</v>
      </c>
      <c r="E16054">
        <v>1</v>
      </c>
    </row>
    <row r="16055" spans="1:5" x14ac:dyDescent="0.25">
      <c r="A16055">
        <v>16054</v>
      </c>
      <c r="B16055">
        <v>1167357</v>
      </c>
      <c r="C16055" s="1" t="str">
        <f>HYPERLINK("http://stackoverflow.com/users/1167357", "nash_su")</f>
        <v>nash_su</v>
      </c>
      <c r="D16055" t="s">
        <v>54</v>
      </c>
      <c r="E16055">
        <v>1</v>
      </c>
    </row>
    <row r="16056" spans="1:5" x14ac:dyDescent="0.25">
      <c r="A16056">
        <v>16055</v>
      </c>
      <c r="B16056">
        <v>1167792</v>
      </c>
      <c r="C16056" s="1" t="str">
        <f>HYPERLINK("http://stackoverflow.com/users/1167792", "itommyyang")</f>
        <v>itommyyang</v>
      </c>
      <c r="D16056" t="s">
        <v>5</v>
      </c>
      <c r="E16056">
        <v>1</v>
      </c>
    </row>
    <row r="16057" spans="1:5" x14ac:dyDescent="0.25">
      <c r="A16057">
        <v>16056</v>
      </c>
      <c r="B16057">
        <v>3124974</v>
      </c>
      <c r="C16057" s="1" t="str">
        <f>HYPERLINK("http://stackoverflow.com/users/3124974", "Strephy")</f>
        <v>Strephy</v>
      </c>
      <c r="D16057" t="s">
        <v>21</v>
      </c>
      <c r="E16057">
        <v>1</v>
      </c>
    </row>
    <row r="16058" spans="1:5" x14ac:dyDescent="0.25">
      <c r="A16058">
        <v>16057</v>
      </c>
      <c r="B16058">
        <v>4939868</v>
      </c>
      <c r="C16058" s="1" t="str">
        <f>HYPERLINK("http://stackoverflow.com/users/4939868", "Binhua Liao")</f>
        <v>Binhua Liao</v>
      </c>
      <c r="D16058" t="s">
        <v>5</v>
      </c>
      <c r="E16058">
        <v>1</v>
      </c>
    </row>
    <row r="16059" spans="1:5" x14ac:dyDescent="0.25">
      <c r="A16059">
        <v>16058</v>
      </c>
      <c r="B16059">
        <v>4940192</v>
      </c>
      <c r="C16059" s="1" t="str">
        <f>HYPERLINK("http://stackoverflow.com/users/4940192", "Tesla Lee")</f>
        <v>Tesla Lee</v>
      </c>
      <c r="D16059" t="s">
        <v>4</v>
      </c>
      <c r="E16059">
        <v>1</v>
      </c>
    </row>
    <row r="16060" spans="1:5" x14ac:dyDescent="0.25">
      <c r="A16060">
        <v>16059</v>
      </c>
      <c r="B16060">
        <v>3128284</v>
      </c>
      <c r="C16060" s="1" t="str">
        <f>HYPERLINK("http://stackoverflow.com/users/3128284", "hadoopfans")</f>
        <v>hadoopfans</v>
      </c>
      <c r="D16060" t="s">
        <v>5</v>
      </c>
      <c r="E16060">
        <v>1</v>
      </c>
    </row>
    <row r="16061" spans="1:5" x14ac:dyDescent="0.25">
      <c r="A16061">
        <v>16060</v>
      </c>
      <c r="B16061">
        <v>3128558</v>
      </c>
      <c r="C16061" s="1" t="str">
        <f>HYPERLINK("http://stackoverflow.com/users/3128558", "Tommy L")</f>
        <v>Tommy L</v>
      </c>
      <c r="D16061" t="s">
        <v>21</v>
      </c>
      <c r="E16061">
        <v>1</v>
      </c>
    </row>
    <row r="16062" spans="1:5" x14ac:dyDescent="0.25">
      <c r="A16062">
        <v>16061</v>
      </c>
      <c r="B16062">
        <v>4943580</v>
      </c>
      <c r="C16062" s="1" t="str">
        <f>HYPERLINK("http://stackoverflow.com/users/4943580", "enyusmile")</f>
        <v>enyusmile</v>
      </c>
      <c r="D16062" t="s">
        <v>38</v>
      </c>
      <c r="E16062">
        <v>1</v>
      </c>
    </row>
    <row r="16063" spans="1:5" x14ac:dyDescent="0.25">
      <c r="A16063">
        <v>16062</v>
      </c>
      <c r="B16063">
        <v>4943791</v>
      </c>
      <c r="C16063" s="1" t="str">
        <f>HYPERLINK("http://stackoverflow.com/users/4943791", "jh.zhang")</f>
        <v>jh.zhang</v>
      </c>
      <c r="D16063" t="s">
        <v>5</v>
      </c>
      <c r="E16063">
        <v>1</v>
      </c>
    </row>
    <row r="16064" spans="1:5" x14ac:dyDescent="0.25">
      <c r="A16064">
        <v>16063</v>
      </c>
      <c r="B16064">
        <v>4943917</v>
      </c>
      <c r="C16064" s="1" t="str">
        <f>HYPERLINK("http://stackoverflow.com/users/4943917", "Sumakira")</f>
        <v>Sumakira</v>
      </c>
      <c r="D16064" t="s">
        <v>5</v>
      </c>
      <c r="E16064">
        <v>1</v>
      </c>
    </row>
    <row r="16065" spans="1:5" x14ac:dyDescent="0.25">
      <c r="A16065">
        <v>16064</v>
      </c>
      <c r="B16065">
        <v>8487207</v>
      </c>
      <c r="C16065" s="1" t="str">
        <f>HYPERLINK("http://stackoverflow.com/users/8487207", "偷师007")</f>
        <v>偷师007</v>
      </c>
      <c r="D16065" t="s">
        <v>25</v>
      </c>
      <c r="E16065">
        <v>1</v>
      </c>
    </row>
    <row r="16066" spans="1:5" x14ac:dyDescent="0.25">
      <c r="A16066">
        <v>16065</v>
      </c>
      <c r="B16066">
        <v>8487515</v>
      </c>
      <c r="C16066" s="1" t="str">
        <f>HYPERLINK("http://stackoverflow.com/users/8487515", "Johnny")</f>
        <v>Johnny</v>
      </c>
      <c r="D16066" t="s">
        <v>4</v>
      </c>
      <c r="E16066">
        <v>1</v>
      </c>
    </row>
    <row r="16067" spans="1:5" x14ac:dyDescent="0.25">
      <c r="A16067">
        <v>16066</v>
      </c>
      <c r="B16067">
        <v>8490310</v>
      </c>
      <c r="C16067" s="1" t="str">
        <f>HYPERLINK("http://stackoverflow.com/users/8490310", "赵博文")</f>
        <v>赵博文</v>
      </c>
      <c r="D16067" t="s">
        <v>874</v>
      </c>
      <c r="E16067">
        <v>1</v>
      </c>
    </row>
    <row r="16068" spans="1:5" x14ac:dyDescent="0.25">
      <c r="A16068">
        <v>16067</v>
      </c>
      <c r="B16068">
        <v>8490420</v>
      </c>
      <c r="C16068" s="1" t="str">
        <f>HYPERLINK("http://stackoverflow.com/users/8490420", "常浩哲")</f>
        <v>常浩哲</v>
      </c>
      <c r="D16068" t="s">
        <v>28</v>
      </c>
      <c r="E16068">
        <v>1</v>
      </c>
    </row>
    <row r="16069" spans="1:5" x14ac:dyDescent="0.25">
      <c r="A16069">
        <v>16068</v>
      </c>
      <c r="B16069">
        <v>3135784</v>
      </c>
      <c r="C16069" s="1" t="str">
        <f>HYPERLINK("http://stackoverflow.com/users/3135784", "user3135784")</f>
        <v>user3135784</v>
      </c>
      <c r="D16069" t="s">
        <v>5</v>
      </c>
      <c r="E16069">
        <v>1</v>
      </c>
    </row>
    <row r="16070" spans="1:5" x14ac:dyDescent="0.25">
      <c r="A16070">
        <v>16069</v>
      </c>
      <c r="B16070">
        <v>3135628</v>
      </c>
      <c r="C16070" s="1" t="str">
        <f>HYPERLINK("http://stackoverflow.com/users/3135628", "H.D")</f>
        <v>H.D</v>
      </c>
      <c r="D16070" t="s">
        <v>21</v>
      </c>
      <c r="E16070">
        <v>1</v>
      </c>
    </row>
    <row r="16071" spans="1:5" x14ac:dyDescent="0.25">
      <c r="A16071">
        <v>16070</v>
      </c>
      <c r="B16071">
        <v>3135536</v>
      </c>
      <c r="C16071" s="1" t="str">
        <f>HYPERLINK("http://stackoverflow.com/users/3135536", "qitaos")</f>
        <v>qitaos</v>
      </c>
      <c r="D16071" t="s">
        <v>17</v>
      </c>
      <c r="E16071">
        <v>1</v>
      </c>
    </row>
    <row r="16072" spans="1:5" x14ac:dyDescent="0.25">
      <c r="A16072">
        <v>16071</v>
      </c>
      <c r="B16072">
        <v>3135549</v>
      </c>
      <c r="C16072" s="1" t="str">
        <f>HYPERLINK("http://stackoverflow.com/users/3135549", "JustinHuang")</f>
        <v>JustinHuang</v>
      </c>
      <c r="D16072" t="s">
        <v>4</v>
      </c>
      <c r="E16072">
        <v>1</v>
      </c>
    </row>
    <row r="16073" spans="1:5" x14ac:dyDescent="0.25">
      <c r="A16073">
        <v>16072</v>
      </c>
      <c r="B16073">
        <v>8499408</v>
      </c>
      <c r="C16073" s="1" t="str">
        <f>HYPERLINK("http://stackoverflow.com/users/8499408", "Oyane")</f>
        <v>Oyane</v>
      </c>
      <c r="D16073" t="s">
        <v>4</v>
      </c>
      <c r="E16073">
        <v>1</v>
      </c>
    </row>
    <row r="16074" spans="1:5" x14ac:dyDescent="0.25">
      <c r="A16074">
        <v>16073</v>
      </c>
      <c r="B16074">
        <v>3136000</v>
      </c>
      <c r="C16074" s="1" t="str">
        <f>HYPERLINK("http://stackoverflow.com/users/3136000", "zheng xu")</f>
        <v>zheng xu</v>
      </c>
      <c r="D16074" t="s">
        <v>4</v>
      </c>
      <c r="E16074">
        <v>1</v>
      </c>
    </row>
    <row r="16075" spans="1:5" x14ac:dyDescent="0.25">
      <c r="A16075">
        <v>16074</v>
      </c>
      <c r="B16075">
        <v>4958446</v>
      </c>
      <c r="C16075" s="1" t="str">
        <f>HYPERLINK("http://stackoverflow.com/users/4958446", "Ryan")</f>
        <v>Ryan</v>
      </c>
      <c r="D16075" t="s">
        <v>22</v>
      </c>
      <c r="E16075">
        <v>1</v>
      </c>
    </row>
    <row r="16076" spans="1:5" x14ac:dyDescent="0.25">
      <c r="A16076">
        <v>16075</v>
      </c>
      <c r="B16076">
        <v>4958506</v>
      </c>
      <c r="C16076" s="1" t="str">
        <f>HYPERLINK("http://stackoverflow.com/users/4958506", "Nathaniel")</f>
        <v>Nathaniel</v>
      </c>
      <c r="D16076" t="s">
        <v>5</v>
      </c>
      <c r="E16076">
        <v>1</v>
      </c>
    </row>
    <row r="16077" spans="1:5" x14ac:dyDescent="0.25">
      <c r="A16077">
        <v>16076</v>
      </c>
      <c r="B16077">
        <v>3138720</v>
      </c>
      <c r="C16077" s="1" t="str">
        <f>HYPERLINK("http://stackoverflow.com/users/3138720", "liangwade")</f>
        <v>liangwade</v>
      </c>
      <c r="D16077" t="s">
        <v>5</v>
      </c>
      <c r="E16077">
        <v>1</v>
      </c>
    </row>
    <row r="16078" spans="1:5" x14ac:dyDescent="0.25">
      <c r="A16078">
        <v>16077</v>
      </c>
      <c r="B16078">
        <v>3143213</v>
      </c>
      <c r="C16078" s="1" t="str">
        <f>HYPERLINK("http://stackoverflow.com/users/3143213", "ylxfc")</f>
        <v>ylxfc</v>
      </c>
      <c r="D16078" t="s">
        <v>8</v>
      </c>
      <c r="E16078">
        <v>1</v>
      </c>
    </row>
    <row r="16079" spans="1:5" x14ac:dyDescent="0.25">
      <c r="A16079">
        <v>16078</v>
      </c>
      <c r="B16079">
        <v>1203256</v>
      </c>
      <c r="C16079" s="1" t="str">
        <f>HYPERLINK("http://stackoverflow.com/users/1203256", "yankchina")</f>
        <v>yankchina</v>
      </c>
      <c r="D16079" t="s">
        <v>37</v>
      </c>
      <c r="E16079">
        <v>1</v>
      </c>
    </row>
    <row r="16080" spans="1:5" x14ac:dyDescent="0.25">
      <c r="A16080">
        <v>16079</v>
      </c>
      <c r="B16080">
        <v>4958059</v>
      </c>
      <c r="C16080" s="1" t="str">
        <f>HYPERLINK("http://stackoverflow.com/users/4958059", "Microud")</f>
        <v>Microud</v>
      </c>
      <c r="D16080" t="s">
        <v>194</v>
      </c>
      <c r="E16080">
        <v>1</v>
      </c>
    </row>
    <row r="16081" spans="1:5" x14ac:dyDescent="0.25">
      <c r="A16081">
        <v>16080</v>
      </c>
      <c r="B16081">
        <v>3139022</v>
      </c>
      <c r="C16081" s="1" t="str">
        <f>HYPERLINK("http://stackoverflow.com/users/3139022", "user3139022")</f>
        <v>user3139022</v>
      </c>
      <c r="D16081" t="s">
        <v>5</v>
      </c>
      <c r="E16081">
        <v>1</v>
      </c>
    </row>
    <row r="16082" spans="1:5" x14ac:dyDescent="0.25">
      <c r="A16082">
        <v>16081</v>
      </c>
      <c r="B16082">
        <v>3139188</v>
      </c>
      <c r="C16082" s="1" t="str">
        <f>HYPERLINK("http://stackoverflow.com/users/3139188", "xuehao")</f>
        <v>xuehao</v>
      </c>
      <c r="D16082" t="s">
        <v>3</v>
      </c>
      <c r="E16082">
        <v>1</v>
      </c>
    </row>
    <row r="16083" spans="1:5" x14ac:dyDescent="0.25">
      <c r="A16083">
        <v>16082</v>
      </c>
      <c r="B16083">
        <v>10315437</v>
      </c>
      <c r="C16083" s="1" t="str">
        <f>HYPERLINK("http://stackoverflow.com/users/10315437", "TwoWatermallonKnife")</f>
        <v>TwoWatermallonKnife</v>
      </c>
      <c r="D16083" t="s">
        <v>338</v>
      </c>
      <c r="E16083">
        <v>1</v>
      </c>
    </row>
    <row r="16084" spans="1:5" x14ac:dyDescent="0.25">
      <c r="A16084">
        <v>16083</v>
      </c>
      <c r="B16084">
        <v>10315486</v>
      </c>
      <c r="C16084" s="1" t="str">
        <f>HYPERLINK("http://stackoverflow.com/users/10315486", "Yuchao Shao")</f>
        <v>Yuchao Shao</v>
      </c>
      <c r="D16084" t="s">
        <v>55</v>
      </c>
      <c r="E16084">
        <v>1</v>
      </c>
    </row>
    <row r="16085" spans="1:5" x14ac:dyDescent="0.25">
      <c r="A16085">
        <v>16084</v>
      </c>
      <c r="B16085">
        <v>10315788</v>
      </c>
      <c r="C16085" s="1" t="str">
        <f>HYPERLINK("http://stackoverflow.com/users/10315788", "Jarvis Cui")</f>
        <v>Jarvis Cui</v>
      </c>
      <c r="D16085" t="s">
        <v>635</v>
      </c>
      <c r="E16085">
        <v>1</v>
      </c>
    </row>
    <row r="16086" spans="1:5" x14ac:dyDescent="0.25">
      <c r="A16086">
        <v>16085</v>
      </c>
      <c r="B16086">
        <v>8502531</v>
      </c>
      <c r="C16086" s="1" t="str">
        <f>HYPERLINK("http://stackoverflow.com/users/8502531", "JianHai Wen")</f>
        <v>JianHai Wen</v>
      </c>
      <c r="D16086" t="s">
        <v>320</v>
      </c>
      <c r="E16086">
        <v>1</v>
      </c>
    </row>
    <row r="16087" spans="1:5" x14ac:dyDescent="0.25">
      <c r="A16087">
        <v>16086</v>
      </c>
      <c r="B16087">
        <v>6683283</v>
      </c>
      <c r="C16087" s="1" t="str">
        <f>HYPERLINK("http://stackoverflow.com/users/6683283", "tianziyao")</f>
        <v>tianziyao</v>
      </c>
      <c r="D16087" t="s">
        <v>648</v>
      </c>
      <c r="E16087">
        <v>1</v>
      </c>
    </row>
    <row r="16088" spans="1:5" x14ac:dyDescent="0.25">
      <c r="A16088">
        <v>16087</v>
      </c>
      <c r="B16088">
        <v>10319766</v>
      </c>
      <c r="C16088" s="1" t="str">
        <f>HYPERLINK("http://stackoverflow.com/users/10319766", "China 2 West")</f>
        <v>China 2 West</v>
      </c>
      <c r="D16088" t="s">
        <v>42</v>
      </c>
      <c r="E16088">
        <v>1</v>
      </c>
    </row>
    <row r="16089" spans="1:5" x14ac:dyDescent="0.25">
      <c r="A16089">
        <v>16088</v>
      </c>
      <c r="B16089">
        <v>10320054</v>
      </c>
      <c r="C16089" s="1" t="str">
        <f>HYPERLINK("http://stackoverflow.com/users/10320054", "Sherlock")</f>
        <v>Sherlock</v>
      </c>
      <c r="D16089" t="s">
        <v>5</v>
      </c>
      <c r="E16089">
        <v>1</v>
      </c>
    </row>
    <row r="16090" spans="1:5" x14ac:dyDescent="0.25">
      <c r="A16090">
        <v>16089</v>
      </c>
      <c r="B16090">
        <v>8507119</v>
      </c>
      <c r="C16090" s="1" t="str">
        <f>HYPERLINK("http://stackoverflow.com/users/8507119", "bunny666")</f>
        <v>bunny666</v>
      </c>
      <c r="D16090" t="s">
        <v>4</v>
      </c>
      <c r="E16090">
        <v>1</v>
      </c>
    </row>
    <row r="16091" spans="1:5" x14ac:dyDescent="0.25">
      <c r="A16091">
        <v>16090</v>
      </c>
      <c r="B16091">
        <v>1184618</v>
      </c>
      <c r="C16091" s="1" t="str">
        <f>HYPERLINK("http://stackoverflow.com/users/1184618", "Lsk")</f>
        <v>Lsk</v>
      </c>
      <c r="D16091" t="s">
        <v>16</v>
      </c>
      <c r="E16091">
        <v>1</v>
      </c>
    </row>
    <row r="16092" spans="1:5" x14ac:dyDescent="0.25">
      <c r="A16092">
        <v>16091</v>
      </c>
      <c r="B16092">
        <v>6676742</v>
      </c>
      <c r="C16092" s="1" t="str">
        <f>HYPERLINK("http://stackoverflow.com/users/6676742", "Xuesong Peng")</f>
        <v>Xuesong Peng</v>
      </c>
      <c r="D16092" t="s">
        <v>4</v>
      </c>
      <c r="E16092">
        <v>1</v>
      </c>
    </row>
    <row r="16093" spans="1:5" x14ac:dyDescent="0.25">
      <c r="A16093">
        <v>16092</v>
      </c>
      <c r="B16093">
        <v>4954976</v>
      </c>
      <c r="C16093" s="1" t="str">
        <f>HYPERLINK("http://stackoverflow.com/users/4954976", "Steve Zhang")</f>
        <v>Steve Zhang</v>
      </c>
      <c r="D16093" t="s">
        <v>4</v>
      </c>
      <c r="E16093">
        <v>1</v>
      </c>
    </row>
    <row r="16094" spans="1:5" x14ac:dyDescent="0.25">
      <c r="A16094">
        <v>16093</v>
      </c>
      <c r="B16094">
        <v>4955204</v>
      </c>
      <c r="C16094" s="1" t="str">
        <f>HYPERLINK("http://stackoverflow.com/users/4955204", "Matthew Dong")</f>
        <v>Matthew Dong</v>
      </c>
      <c r="D16094" t="s">
        <v>4</v>
      </c>
      <c r="E16094">
        <v>1</v>
      </c>
    </row>
    <row r="16095" spans="1:5" x14ac:dyDescent="0.25">
      <c r="A16095">
        <v>16094</v>
      </c>
      <c r="B16095">
        <v>1184166</v>
      </c>
      <c r="C16095" s="1" t="str">
        <f>HYPERLINK("http://stackoverflow.com/users/1184166", "kalasoo")</f>
        <v>kalasoo</v>
      </c>
      <c r="D16095" t="s">
        <v>5</v>
      </c>
      <c r="E16095">
        <v>1</v>
      </c>
    </row>
    <row r="16096" spans="1:5" x14ac:dyDescent="0.25">
      <c r="A16096">
        <v>16095</v>
      </c>
      <c r="B16096">
        <v>1184179</v>
      </c>
      <c r="C16096" s="1" t="str">
        <f>HYPERLINK("http://stackoverflow.com/users/1184179", "James H.")</f>
        <v>James H.</v>
      </c>
      <c r="D16096" t="s">
        <v>59</v>
      </c>
      <c r="E16096">
        <v>1</v>
      </c>
    </row>
    <row r="16097" spans="1:5" x14ac:dyDescent="0.25">
      <c r="A16097">
        <v>16096</v>
      </c>
      <c r="B16097">
        <v>1184322</v>
      </c>
      <c r="C16097" s="1" t="str">
        <f>HYPERLINK("http://stackoverflow.com/users/1184322", "zhouyuning")</f>
        <v>zhouyuning</v>
      </c>
      <c r="D16097" t="s">
        <v>4</v>
      </c>
      <c r="E16097">
        <v>1</v>
      </c>
    </row>
    <row r="16098" spans="1:5" x14ac:dyDescent="0.25">
      <c r="A16098">
        <v>16097</v>
      </c>
      <c r="B16098">
        <v>3131860</v>
      </c>
      <c r="C16098" s="1" t="str">
        <f>HYPERLINK("http://stackoverflow.com/users/3131860", "jeffrey")</f>
        <v>jeffrey</v>
      </c>
      <c r="D16098" t="s">
        <v>4</v>
      </c>
      <c r="E16098">
        <v>1</v>
      </c>
    </row>
    <row r="16099" spans="1:5" x14ac:dyDescent="0.25">
      <c r="A16099">
        <v>16098</v>
      </c>
      <c r="B16099">
        <v>3131872</v>
      </c>
      <c r="C16099" s="1" t="str">
        <f>HYPERLINK("http://stackoverflow.com/users/3131872", "toniclyb")</f>
        <v>toniclyb</v>
      </c>
      <c r="D16099" t="s">
        <v>4</v>
      </c>
      <c r="E16099">
        <v>1</v>
      </c>
    </row>
    <row r="16100" spans="1:5" x14ac:dyDescent="0.25">
      <c r="A16100">
        <v>16099</v>
      </c>
      <c r="B16100">
        <v>3131892</v>
      </c>
      <c r="C16100" s="1" t="str">
        <f>HYPERLINK("http://stackoverflow.com/users/3131892", "Alan")</f>
        <v>Alan</v>
      </c>
      <c r="D16100" t="s">
        <v>12</v>
      </c>
      <c r="E16100">
        <v>1</v>
      </c>
    </row>
    <row r="16101" spans="1:5" x14ac:dyDescent="0.25">
      <c r="A16101">
        <v>16100</v>
      </c>
      <c r="B16101">
        <v>1184076</v>
      </c>
      <c r="C16101" s="1" t="str">
        <f>HYPERLINK("http://stackoverflow.com/users/1184076", "Richer")</f>
        <v>Richer</v>
      </c>
      <c r="D16101" t="s">
        <v>5</v>
      </c>
      <c r="E16101">
        <v>1</v>
      </c>
    </row>
    <row r="16102" spans="1:5" x14ac:dyDescent="0.25">
      <c r="A16102">
        <v>16101</v>
      </c>
      <c r="B16102">
        <v>3131276</v>
      </c>
      <c r="C16102" s="1" t="str">
        <f>HYPERLINK("http://stackoverflow.com/users/3131276", "money1991")</f>
        <v>money1991</v>
      </c>
      <c r="D16102" t="s">
        <v>794</v>
      </c>
      <c r="E16102">
        <v>1</v>
      </c>
    </row>
    <row r="16103" spans="1:5" x14ac:dyDescent="0.25">
      <c r="A16103">
        <v>16102</v>
      </c>
      <c r="B16103">
        <v>3128637</v>
      </c>
      <c r="C16103" s="1" t="str">
        <f>HYPERLINK("http://stackoverflow.com/users/3128637", "aaron")</f>
        <v>aaron</v>
      </c>
      <c r="D16103" t="s">
        <v>313</v>
      </c>
      <c r="E16103">
        <v>1</v>
      </c>
    </row>
    <row r="16104" spans="1:5" x14ac:dyDescent="0.25">
      <c r="A16104">
        <v>16103</v>
      </c>
      <c r="B16104">
        <v>3131465</v>
      </c>
      <c r="C16104" s="1" t="str">
        <f>HYPERLINK("http://stackoverflow.com/users/3131465", "Foolless")</f>
        <v>Foolless</v>
      </c>
      <c r="D16104" t="s">
        <v>12</v>
      </c>
      <c r="E16104">
        <v>1</v>
      </c>
    </row>
    <row r="16105" spans="1:5" x14ac:dyDescent="0.25">
      <c r="A16105">
        <v>16104</v>
      </c>
      <c r="B16105">
        <v>3131522</v>
      </c>
      <c r="C16105" s="1" t="str">
        <f>HYPERLINK("http://stackoverflow.com/users/3131522", "yl33643")</f>
        <v>yl33643</v>
      </c>
      <c r="D16105" t="s">
        <v>37</v>
      </c>
      <c r="E16105">
        <v>1</v>
      </c>
    </row>
    <row r="16106" spans="1:5" x14ac:dyDescent="0.25">
      <c r="A16106">
        <v>16105</v>
      </c>
      <c r="B16106">
        <v>3131749</v>
      </c>
      <c r="C16106" s="1" t="str">
        <f>HYPERLINK("http://stackoverflow.com/users/3131749", "William Yao")</f>
        <v>William Yao</v>
      </c>
      <c r="D16106" t="s">
        <v>5</v>
      </c>
      <c r="E16106">
        <v>1</v>
      </c>
    </row>
    <row r="16107" spans="1:5" x14ac:dyDescent="0.25">
      <c r="A16107">
        <v>16106</v>
      </c>
      <c r="B16107">
        <v>10307093</v>
      </c>
      <c r="C16107" s="1" t="str">
        <f>HYPERLINK("http://stackoverflow.com/users/10307093", "vinkim")</f>
        <v>vinkim</v>
      </c>
      <c r="D16107" t="s">
        <v>25</v>
      </c>
      <c r="E16107">
        <v>1</v>
      </c>
    </row>
    <row r="16108" spans="1:5" x14ac:dyDescent="0.25">
      <c r="A16108">
        <v>16107</v>
      </c>
      <c r="B16108">
        <v>3131016</v>
      </c>
      <c r="C16108" s="1" t="str">
        <f>HYPERLINK("http://stackoverflow.com/users/3131016", "Kane")</f>
        <v>Kane</v>
      </c>
      <c r="D16108" t="s">
        <v>880</v>
      </c>
      <c r="E16108">
        <v>1</v>
      </c>
    </row>
    <row r="16109" spans="1:5" x14ac:dyDescent="0.25">
      <c r="A16109">
        <v>16108</v>
      </c>
      <c r="B16109">
        <v>3131129</v>
      </c>
      <c r="C16109" s="1" t="str">
        <f>HYPERLINK("http://stackoverflow.com/users/3131129", "Severus Snape")</f>
        <v>Severus Snape</v>
      </c>
      <c r="D16109" t="s">
        <v>4</v>
      </c>
      <c r="E16109">
        <v>1</v>
      </c>
    </row>
    <row r="16110" spans="1:5" x14ac:dyDescent="0.25">
      <c r="A16110">
        <v>16109</v>
      </c>
      <c r="B16110">
        <v>3131143</v>
      </c>
      <c r="C16110" s="1" t="str">
        <f>HYPERLINK("http://stackoverflow.com/users/3131143", "sea2603")</f>
        <v>sea2603</v>
      </c>
      <c r="D16110" t="s">
        <v>5</v>
      </c>
      <c r="E16110">
        <v>1</v>
      </c>
    </row>
    <row r="16111" spans="1:5" x14ac:dyDescent="0.25">
      <c r="A16111">
        <v>16110</v>
      </c>
      <c r="B16111">
        <v>3131218</v>
      </c>
      <c r="C16111" s="1" t="str">
        <f>HYPERLINK("http://stackoverflow.com/users/3131218", "Frank.Xu")</f>
        <v>Frank.Xu</v>
      </c>
      <c r="D16111" t="s">
        <v>4</v>
      </c>
      <c r="E16111">
        <v>1</v>
      </c>
    </row>
    <row r="16112" spans="1:5" x14ac:dyDescent="0.25">
      <c r="A16112">
        <v>16111</v>
      </c>
      <c r="B16112">
        <v>8490954</v>
      </c>
      <c r="C16112" s="1" t="str">
        <f>HYPERLINK("http://stackoverflow.com/users/8490954", "Chunyang Wang")</f>
        <v>Chunyang Wang</v>
      </c>
      <c r="D16112" t="s">
        <v>55</v>
      </c>
      <c r="E16112">
        <v>1</v>
      </c>
    </row>
    <row r="16113" spans="1:5" x14ac:dyDescent="0.25">
      <c r="A16113">
        <v>16112</v>
      </c>
      <c r="B16113">
        <v>8491010</v>
      </c>
      <c r="C16113" s="1" t="str">
        <f>HYPERLINK("http://stackoverflow.com/users/8491010", "Mohan Zhou")</f>
        <v>Mohan Zhou</v>
      </c>
      <c r="D16113" t="s">
        <v>19</v>
      </c>
      <c r="E16113">
        <v>1</v>
      </c>
    </row>
    <row r="16114" spans="1:5" x14ac:dyDescent="0.25">
      <c r="A16114">
        <v>16113</v>
      </c>
      <c r="B16114">
        <v>8493968</v>
      </c>
      <c r="C16114" s="1" t="str">
        <f>HYPERLINK("http://stackoverflow.com/users/8493968", "Zengguang")</f>
        <v>Zengguang</v>
      </c>
      <c r="D16114" t="s">
        <v>43</v>
      </c>
      <c r="E16114">
        <v>1</v>
      </c>
    </row>
    <row r="16115" spans="1:5" x14ac:dyDescent="0.25">
      <c r="A16115">
        <v>16114</v>
      </c>
      <c r="B16115">
        <v>8494032</v>
      </c>
      <c r="C16115" s="1" t="str">
        <f>HYPERLINK("http://stackoverflow.com/users/8494032", "Heller")</f>
        <v>Heller</v>
      </c>
      <c r="D16115" t="s">
        <v>52</v>
      </c>
      <c r="E16115">
        <v>1</v>
      </c>
    </row>
    <row r="16116" spans="1:5" x14ac:dyDescent="0.25">
      <c r="A16116">
        <v>16115</v>
      </c>
      <c r="B16116">
        <v>8494183</v>
      </c>
      <c r="C16116" s="1" t="str">
        <f>HYPERLINK("http://stackoverflow.com/users/8494183", "Xingjun Liu")</f>
        <v>Xingjun Liu</v>
      </c>
      <c r="D16116" t="s">
        <v>4</v>
      </c>
      <c r="E16116">
        <v>1</v>
      </c>
    </row>
    <row r="16117" spans="1:5" x14ac:dyDescent="0.25">
      <c r="A16117">
        <v>16116</v>
      </c>
      <c r="B16117">
        <v>8494207</v>
      </c>
      <c r="C16117" s="1" t="str">
        <f>HYPERLINK("http://stackoverflow.com/users/8494207", "Max.Tian")</f>
        <v>Max.Tian</v>
      </c>
      <c r="D16117" t="s">
        <v>4</v>
      </c>
      <c r="E16117">
        <v>1</v>
      </c>
    </row>
    <row r="16118" spans="1:5" x14ac:dyDescent="0.25">
      <c r="A16118">
        <v>16117</v>
      </c>
      <c r="B16118">
        <v>6737930</v>
      </c>
      <c r="C16118" s="1" t="str">
        <f>HYPERLINK("http://stackoverflow.com/users/6737930", "howie 0")</f>
        <v>howie 0</v>
      </c>
      <c r="D16118" t="s">
        <v>28</v>
      </c>
      <c r="E16118">
        <v>1</v>
      </c>
    </row>
    <row r="16119" spans="1:5" x14ac:dyDescent="0.25">
      <c r="A16119">
        <v>16118</v>
      </c>
      <c r="B16119">
        <v>5017260</v>
      </c>
      <c r="C16119" s="1" t="str">
        <f>HYPERLINK("http://stackoverflow.com/users/5017260", "Xudong Li")</f>
        <v>Xudong Li</v>
      </c>
      <c r="D16119" t="s">
        <v>5</v>
      </c>
      <c r="E16119">
        <v>1</v>
      </c>
    </row>
    <row r="16120" spans="1:5" x14ac:dyDescent="0.25">
      <c r="A16120">
        <v>16119</v>
      </c>
      <c r="B16120">
        <v>6737526</v>
      </c>
      <c r="C16120" s="1" t="str">
        <f>HYPERLINK("http://stackoverflow.com/users/6737526", "Michael Ren")</f>
        <v>Michael Ren</v>
      </c>
      <c r="D16120" t="s">
        <v>7</v>
      </c>
      <c r="E16120">
        <v>1</v>
      </c>
    </row>
    <row r="16121" spans="1:5" x14ac:dyDescent="0.25">
      <c r="A16121">
        <v>16120</v>
      </c>
      <c r="B16121">
        <v>8568752</v>
      </c>
      <c r="C16121" s="1" t="str">
        <f>HYPERLINK("http://stackoverflow.com/users/8568752", "Rafael Nathanael")</f>
        <v>Rafael Nathanael</v>
      </c>
      <c r="D16121" t="s">
        <v>374</v>
      </c>
      <c r="E16121">
        <v>1</v>
      </c>
    </row>
    <row r="16122" spans="1:5" x14ac:dyDescent="0.25">
      <c r="A16122">
        <v>16121</v>
      </c>
      <c r="B16122">
        <v>6729395</v>
      </c>
      <c r="C16122" s="1" t="str">
        <f>HYPERLINK("http://stackoverflow.com/users/6729395", "Jason.Li")</f>
        <v>Jason.Li</v>
      </c>
      <c r="D16122" t="s">
        <v>5</v>
      </c>
      <c r="E16122">
        <v>1</v>
      </c>
    </row>
    <row r="16123" spans="1:5" x14ac:dyDescent="0.25">
      <c r="A16123">
        <v>16122</v>
      </c>
      <c r="B16123">
        <v>6729486</v>
      </c>
      <c r="C16123" s="1" t="str">
        <f>HYPERLINK("http://stackoverflow.com/users/6729486", "richardchen")</f>
        <v>richardchen</v>
      </c>
      <c r="D16123" t="s">
        <v>28</v>
      </c>
      <c r="E16123">
        <v>1</v>
      </c>
    </row>
    <row r="16124" spans="1:5" x14ac:dyDescent="0.25">
      <c r="A16124">
        <v>16123</v>
      </c>
      <c r="B16124">
        <v>5007405</v>
      </c>
      <c r="C16124" s="1" t="str">
        <f>HYPERLINK("http://stackoverflow.com/users/5007405", "王东开")</f>
        <v>王东开</v>
      </c>
      <c r="D16124" t="s">
        <v>266</v>
      </c>
      <c r="E16124">
        <v>1</v>
      </c>
    </row>
    <row r="16125" spans="1:5" x14ac:dyDescent="0.25">
      <c r="A16125">
        <v>16124</v>
      </c>
      <c r="B16125">
        <v>10373060</v>
      </c>
      <c r="C16125" s="1" t="str">
        <f>HYPERLINK("http://stackoverflow.com/users/10373060", "Willian.Feng")</f>
        <v>Willian.Feng</v>
      </c>
      <c r="D16125" t="s">
        <v>4</v>
      </c>
      <c r="E16125">
        <v>1</v>
      </c>
    </row>
    <row r="16126" spans="1:5" x14ac:dyDescent="0.25">
      <c r="A16126">
        <v>16125</v>
      </c>
      <c r="B16126">
        <v>10373266</v>
      </c>
      <c r="C16126" s="1" t="str">
        <f>HYPERLINK("http://stackoverflow.com/users/10373266", "Z.H.L")</f>
        <v>Z.H.L</v>
      </c>
      <c r="D16126" t="s">
        <v>146</v>
      </c>
      <c r="E16126">
        <v>1</v>
      </c>
    </row>
    <row r="16127" spans="1:5" x14ac:dyDescent="0.25">
      <c r="A16127">
        <v>16126</v>
      </c>
      <c r="B16127">
        <v>8560517</v>
      </c>
      <c r="C16127" s="1" t="str">
        <f>HYPERLINK("http://stackoverflow.com/users/8560517", "liaozixu")</f>
        <v>liaozixu</v>
      </c>
      <c r="D16127" t="s">
        <v>7</v>
      </c>
      <c r="E16127">
        <v>1</v>
      </c>
    </row>
    <row r="16128" spans="1:5" x14ac:dyDescent="0.25">
      <c r="A16128">
        <v>16127</v>
      </c>
      <c r="B16128">
        <v>8564540</v>
      </c>
      <c r="C16128" s="1" t="str">
        <f>HYPERLINK("http://stackoverflow.com/users/8564540", "Kimen")</f>
        <v>Kimen</v>
      </c>
      <c r="D16128" t="s">
        <v>5</v>
      </c>
      <c r="E16128">
        <v>1</v>
      </c>
    </row>
    <row r="16129" spans="1:5" x14ac:dyDescent="0.25">
      <c r="A16129">
        <v>16128</v>
      </c>
      <c r="B16129">
        <v>6733013</v>
      </c>
      <c r="C16129" s="1" t="str">
        <f>HYPERLINK("http://stackoverflow.com/users/6733013", "Ruixin Ma")</f>
        <v>Ruixin Ma</v>
      </c>
      <c r="D16129" t="s">
        <v>25</v>
      </c>
      <c r="E16129">
        <v>1</v>
      </c>
    </row>
    <row r="16130" spans="1:5" x14ac:dyDescent="0.25">
      <c r="A16130">
        <v>16129</v>
      </c>
      <c r="B16130">
        <v>6733043</v>
      </c>
      <c r="C16130" s="1" t="str">
        <f>HYPERLINK("http://stackoverflow.com/users/6733043", "aishi")</f>
        <v>aishi</v>
      </c>
      <c r="D16130" t="s">
        <v>4</v>
      </c>
      <c r="E16130">
        <v>1</v>
      </c>
    </row>
    <row r="16131" spans="1:5" x14ac:dyDescent="0.25">
      <c r="A16131">
        <v>16130</v>
      </c>
      <c r="B16131">
        <v>10378048</v>
      </c>
      <c r="C16131" s="1" t="str">
        <f>HYPERLINK("http://stackoverflow.com/users/10378048", "colin")</f>
        <v>colin</v>
      </c>
      <c r="D16131" t="s">
        <v>5</v>
      </c>
      <c r="E16131">
        <v>1</v>
      </c>
    </row>
    <row r="16132" spans="1:5" x14ac:dyDescent="0.25">
      <c r="A16132">
        <v>16131</v>
      </c>
      <c r="B16132">
        <v>8551996</v>
      </c>
      <c r="C16132" s="1" t="str">
        <f>HYPERLINK("http://stackoverflow.com/users/8551996", "邹荣升")</f>
        <v>邹荣升</v>
      </c>
      <c r="D16132" t="s">
        <v>353</v>
      </c>
      <c r="E16132">
        <v>1</v>
      </c>
    </row>
    <row r="16133" spans="1:5" x14ac:dyDescent="0.25">
      <c r="A16133">
        <v>16132</v>
      </c>
      <c r="B16133">
        <v>6724938</v>
      </c>
      <c r="C16133" s="1" t="str">
        <f>HYPERLINK("http://stackoverflow.com/users/6724938", "ChenWei Zhou")</f>
        <v>ChenWei Zhou</v>
      </c>
      <c r="D16133" t="s">
        <v>16</v>
      </c>
      <c r="E16133">
        <v>1</v>
      </c>
    </row>
    <row r="16134" spans="1:5" x14ac:dyDescent="0.25">
      <c r="A16134">
        <v>16133</v>
      </c>
      <c r="B16134">
        <v>6725136</v>
      </c>
      <c r="C16134" s="1" t="str">
        <f>HYPERLINK("http://stackoverflow.com/users/6725136", "Marrco2005")</f>
        <v>Marrco2005</v>
      </c>
      <c r="D16134" t="s">
        <v>5</v>
      </c>
      <c r="E16134">
        <v>1</v>
      </c>
    </row>
    <row r="16135" spans="1:5" x14ac:dyDescent="0.25">
      <c r="A16135">
        <v>16134</v>
      </c>
      <c r="B16135">
        <v>6725156</v>
      </c>
      <c r="C16135" s="1" t="str">
        <f>HYPERLINK("http://stackoverflow.com/users/6725156", "Mengjun")</f>
        <v>Mengjun</v>
      </c>
      <c r="D16135" t="s">
        <v>266</v>
      </c>
      <c r="E16135">
        <v>1</v>
      </c>
    </row>
    <row r="16136" spans="1:5" x14ac:dyDescent="0.25">
      <c r="A16136">
        <v>16135</v>
      </c>
      <c r="B16136">
        <v>8555404</v>
      </c>
      <c r="C16136" s="1" t="str">
        <f>HYPERLINK("http://stackoverflow.com/users/8555404", "Charles Qi")</f>
        <v>Charles Qi</v>
      </c>
      <c r="D16136" t="s">
        <v>5</v>
      </c>
      <c r="E16136">
        <v>1</v>
      </c>
    </row>
    <row r="16137" spans="1:5" x14ac:dyDescent="0.25">
      <c r="A16137">
        <v>16136</v>
      </c>
      <c r="B16137">
        <v>8555570</v>
      </c>
      <c r="C16137" s="1" t="str">
        <f>HYPERLINK("http://stackoverflow.com/users/8555570", "Hao Fan")</f>
        <v>Hao Fan</v>
      </c>
      <c r="D16137" t="s">
        <v>4</v>
      </c>
      <c r="E16137">
        <v>1</v>
      </c>
    </row>
    <row r="16138" spans="1:5" x14ac:dyDescent="0.25">
      <c r="A16138">
        <v>16137</v>
      </c>
      <c r="B16138">
        <v>1276771</v>
      </c>
      <c r="C16138" s="1" t="str">
        <f>HYPERLINK("http://stackoverflow.com/users/1276771", "mars_wsh")</f>
        <v>mars_wsh</v>
      </c>
      <c r="D16138" t="s">
        <v>881</v>
      </c>
      <c r="E16138">
        <v>1</v>
      </c>
    </row>
    <row r="16139" spans="1:5" x14ac:dyDescent="0.25">
      <c r="A16139">
        <v>16138</v>
      </c>
      <c r="B16139">
        <v>1277798</v>
      </c>
      <c r="C16139" s="1" t="str">
        <f>HYPERLINK("http://stackoverflow.com/users/1277798", "Lando")</f>
        <v>Lando</v>
      </c>
      <c r="D16139" t="s">
        <v>5</v>
      </c>
      <c r="E16139">
        <v>1</v>
      </c>
    </row>
    <row r="16140" spans="1:5" x14ac:dyDescent="0.25">
      <c r="A16140">
        <v>16139</v>
      </c>
      <c r="B16140">
        <v>1253953</v>
      </c>
      <c r="C16140" s="1" t="str">
        <f>HYPERLINK("http://stackoverflow.com/users/1253953", "Wabaper")</f>
        <v>Wabaper</v>
      </c>
      <c r="D16140" t="s">
        <v>28</v>
      </c>
      <c r="E16140">
        <v>1</v>
      </c>
    </row>
    <row r="16141" spans="1:5" x14ac:dyDescent="0.25">
      <c r="A16141">
        <v>16140</v>
      </c>
      <c r="B16141">
        <v>1253598</v>
      </c>
      <c r="C16141" s="1" t="str">
        <f>HYPERLINK("http://stackoverflow.com/users/1253598", "Li Yebei")</f>
        <v>Li Yebei</v>
      </c>
      <c r="D16141" t="s">
        <v>17</v>
      </c>
      <c r="E16141">
        <v>1</v>
      </c>
    </row>
    <row r="16142" spans="1:5" x14ac:dyDescent="0.25">
      <c r="A16142">
        <v>16141</v>
      </c>
      <c r="B16142">
        <v>1253611</v>
      </c>
      <c r="C16142" s="1" t="str">
        <f>HYPERLINK("http://stackoverflow.com/users/1253611", "ericxu131")</f>
        <v>ericxu131</v>
      </c>
      <c r="D16142" t="s">
        <v>4</v>
      </c>
      <c r="E16142">
        <v>1</v>
      </c>
    </row>
    <row r="16143" spans="1:5" x14ac:dyDescent="0.25">
      <c r="A16143">
        <v>16142</v>
      </c>
      <c r="B16143">
        <v>1253629</v>
      </c>
      <c r="C16143" s="1" t="str">
        <f>HYPERLINK("http://stackoverflow.com/users/1253629", "Michael Feng")</f>
        <v>Michael Feng</v>
      </c>
      <c r="D16143" t="s">
        <v>4</v>
      </c>
      <c r="E16143">
        <v>1</v>
      </c>
    </row>
    <row r="16144" spans="1:5" x14ac:dyDescent="0.25">
      <c r="A16144">
        <v>16143</v>
      </c>
      <c r="B16144">
        <v>1253666</v>
      </c>
      <c r="C16144" s="1" t="str">
        <f>HYPERLINK("http://stackoverflow.com/users/1253666", "foxyz")</f>
        <v>foxyz</v>
      </c>
      <c r="D16144" t="s">
        <v>12</v>
      </c>
      <c r="E16144">
        <v>1</v>
      </c>
    </row>
    <row r="16145" spans="1:5" x14ac:dyDescent="0.25">
      <c r="A16145">
        <v>16144</v>
      </c>
      <c r="B16145">
        <v>1253678</v>
      </c>
      <c r="C16145" s="1" t="str">
        <f>HYPERLINK("http://stackoverflow.com/users/1253678", "Insist")</f>
        <v>Insist</v>
      </c>
      <c r="D16145" t="s">
        <v>31</v>
      </c>
      <c r="E16145">
        <v>1</v>
      </c>
    </row>
    <row r="16146" spans="1:5" x14ac:dyDescent="0.25">
      <c r="A16146">
        <v>16145</v>
      </c>
      <c r="B16146">
        <v>1253823</v>
      </c>
      <c r="C16146" s="1" t="str">
        <f>HYPERLINK("http://stackoverflow.com/users/1253823", "JamesChen")</f>
        <v>JamesChen</v>
      </c>
      <c r="D16146" t="s">
        <v>5</v>
      </c>
      <c r="E16146">
        <v>1</v>
      </c>
    </row>
    <row r="16147" spans="1:5" x14ac:dyDescent="0.25">
      <c r="A16147">
        <v>16146</v>
      </c>
      <c r="B16147">
        <v>8572243</v>
      </c>
      <c r="C16147" s="1" t="str">
        <f>HYPERLINK("http://stackoverflow.com/users/8572243", "Peter Yang")</f>
        <v>Peter Yang</v>
      </c>
      <c r="D16147" t="s">
        <v>25</v>
      </c>
      <c r="E16147">
        <v>1</v>
      </c>
    </row>
    <row r="16148" spans="1:5" x14ac:dyDescent="0.25">
      <c r="A16148">
        <v>16147</v>
      </c>
      <c r="B16148">
        <v>3206035</v>
      </c>
      <c r="C16148" s="1" t="str">
        <f>HYPERLINK("http://stackoverflow.com/users/3206035", "chiefming")</f>
        <v>chiefming</v>
      </c>
      <c r="D16148" t="s">
        <v>12</v>
      </c>
      <c r="E16148">
        <v>1</v>
      </c>
    </row>
    <row r="16149" spans="1:5" x14ac:dyDescent="0.25">
      <c r="A16149">
        <v>16148</v>
      </c>
      <c r="B16149">
        <v>3206187</v>
      </c>
      <c r="C16149" s="1" t="str">
        <f>HYPERLINK("http://stackoverflow.com/users/3206187", "daerduoCarey")</f>
        <v>daerduoCarey</v>
      </c>
      <c r="D16149" t="s">
        <v>4</v>
      </c>
      <c r="E16149">
        <v>1</v>
      </c>
    </row>
    <row r="16150" spans="1:5" x14ac:dyDescent="0.25">
      <c r="A16150">
        <v>16149</v>
      </c>
      <c r="B16150">
        <v>10385741</v>
      </c>
      <c r="C16150" s="1" t="str">
        <f>HYPERLINK("http://stackoverflow.com/users/10385741", "Angelo M.")</f>
        <v>Angelo M.</v>
      </c>
      <c r="D16150" t="s">
        <v>4</v>
      </c>
      <c r="E16150">
        <v>1</v>
      </c>
    </row>
    <row r="16151" spans="1:5" x14ac:dyDescent="0.25">
      <c r="A16151">
        <v>16150</v>
      </c>
      <c r="B16151">
        <v>10385815</v>
      </c>
      <c r="C16151" s="1" t="str">
        <f>HYPERLINK("http://stackoverflow.com/users/10385815", "Annie He")</f>
        <v>Annie He</v>
      </c>
      <c r="D16151" t="s">
        <v>5</v>
      </c>
      <c r="E16151">
        <v>1</v>
      </c>
    </row>
    <row r="16152" spans="1:5" x14ac:dyDescent="0.25">
      <c r="A16152">
        <v>16151</v>
      </c>
      <c r="B16152">
        <v>10385843</v>
      </c>
      <c r="C16152" s="1" t="str">
        <f>HYPERLINK("http://stackoverflow.com/users/10385843", "silver star")</f>
        <v>silver star</v>
      </c>
      <c r="D16152" t="s">
        <v>74</v>
      </c>
      <c r="E16152">
        <v>1</v>
      </c>
    </row>
    <row r="16153" spans="1:5" x14ac:dyDescent="0.25">
      <c r="A16153">
        <v>16152</v>
      </c>
      <c r="B16153">
        <v>1302902</v>
      </c>
      <c r="C16153" s="1" t="str">
        <f>HYPERLINK("http://stackoverflow.com/users/1302902", "Thomas Adams")</f>
        <v>Thomas Adams</v>
      </c>
      <c r="D16153" t="s">
        <v>5</v>
      </c>
      <c r="E16153">
        <v>1</v>
      </c>
    </row>
    <row r="16154" spans="1:5" x14ac:dyDescent="0.25">
      <c r="A16154">
        <v>16153</v>
      </c>
      <c r="B16154">
        <v>10389952</v>
      </c>
      <c r="C16154" s="1" t="str">
        <f>HYPERLINK("http://stackoverflow.com/users/10389952", "Yutong Wang")</f>
        <v>Yutong Wang</v>
      </c>
      <c r="D16154" t="s">
        <v>7</v>
      </c>
      <c r="E16154">
        <v>1</v>
      </c>
    </row>
    <row r="16155" spans="1:5" x14ac:dyDescent="0.25">
      <c r="A16155">
        <v>16154</v>
      </c>
      <c r="B16155">
        <v>10390125</v>
      </c>
      <c r="C16155" s="1" t="str">
        <f>HYPERLINK("http://stackoverflow.com/users/10390125", "Haiming Xu")</f>
        <v>Haiming Xu</v>
      </c>
      <c r="D16155" t="s">
        <v>108</v>
      </c>
      <c r="E16155">
        <v>1</v>
      </c>
    </row>
    <row r="16156" spans="1:5" x14ac:dyDescent="0.25">
      <c r="A16156">
        <v>16155</v>
      </c>
      <c r="B16156">
        <v>10390142</v>
      </c>
      <c r="C16156" s="1" t="str">
        <f>HYPERLINK("http://stackoverflow.com/users/10390142", "Fred Z")</f>
        <v>Fred Z</v>
      </c>
      <c r="D16156" t="s">
        <v>4</v>
      </c>
      <c r="E16156">
        <v>1</v>
      </c>
    </row>
    <row r="16157" spans="1:5" x14ac:dyDescent="0.25">
      <c r="A16157">
        <v>16156</v>
      </c>
      <c r="B16157">
        <v>10390207</v>
      </c>
      <c r="C16157" s="1" t="str">
        <f>HYPERLINK("http://stackoverflow.com/users/10390207", "Tank Rity")</f>
        <v>Tank Rity</v>
      </c>
      <c r="D16157" t="s">
        <v>5</v>
      </c>
      <c r="E16157">
        <v>1</v>
      </c>
    </row>
    <row r="16158" spans="1:5" x14ac:dyDescent="0.25">
      <c r="A16158">
        <v>16157</v>
      </c>
      <c r="B16158">
        <v>10390256</v>
      </c>
      <c r="C16158" s="1" t="str">
        <f>HYPERLINK("http://stackoverflow.com/users/10390256", "Zhe Ma")</f>
        <v>Zhe Ma</v>
      </c>
      <c r="D16158" t="s">
        <v>4</v>
      </c>
      <c r="E16158">
        <v>1</v>
      </c>
    </row>
    <row r="16159" spans="1:5" x14ac:dyDescent="0.25">
      <c r="A16159">
        <v>16158</v>
      </c>
      <c r="B16159">
        <v>10390261</v>
      </c>
      <c r="C16159" s="1" t="str">
        <f>HYPERLINK("http://stackoverflow.com/users/10390261", "Stanley")</f>
        <v>Stanley</v>
      </c>
      <c r="D16159" t="s">
        <v>5</v>
      </c>
      <c r="E16159">
        <v>1</v>
      </c>
    </row>
    <row r="16160" spans="1:5" x14ac:dyDescent="0.25">
      <c r="A16160">
        <v>16159</v>
      </c>
      <c r="B16160">
        <v>1311119</v>
      </c>
      <c r="C16160" s="1" t="str">
        <f>HYPERLINK("http://stackoverflow.com/users/1311119", "user1311119")</f>
        <v>user1311119</v>
      </c>
      <c r="D16160" t="s">
        <v>16</v>
      </c>
      <c r="E16160">
        <v>1</v>
      </c>
    </row>
    <row r="16161" spans="1:5" x14ac:dyDescent="0.25">
      <c r="A16161">
        <v>16160</v>
      </c>
      <c r="B16161">
        <v>8577487</v>
      </c>
      <c r="C16161" s="1" t="str">
        <f>HYPERLINK("http://stackoverflow.com/users/8577487", "gabriel")</f>
        <v>gabriel</v>
      </c>
      <c r="D16161" t="s">
        <v>120</v>
      </c>
      <c r="E16161">
        <v>1</v>
      </c>
    </row>
    <row r="16162" spans="1:5" x14ac:dyDescent="0.25">
      <c r="A16162">
        <v>16161</v>
      </c>
      <c r="B16162">
        <v>6755510</v>
      </c>
      <c r="C16162" s="1" t="str">
        <f>HYPERLINK("http://stackoverflow.com/users/6755510", "pan huang")</f>
        <v>pan huang</v>
      </c>
      <c r="D16162" t="s">
        <v>595</v>
      </c>
      <c r="E16162">
        <v>1</v>
      </c>
    </row>
    <row r="16163" spans="1:5" x14ac:dyDescent="0.25">
      <c r="A16163">
        <v>16162</v>
      </c>
      <c r="B16163">
        <v>6755120</v>
      </c>
      <c r="C16163" s="1" t="str">
        <f>HYPERLINK("http://stackoverflow.com/users/6755120", "咪露depon")</f>
        <v>咪露depon</v>
      </c>
      <c r="D16163" t="s">
        <v>52</v>
      </c>
      <c r="E16163">
        <v>1</v>
      </c>
    </row>
    <row r="16164" spans="1:5" x14ac:dyDescent="0.25">
      <c r="A16164">
        <v>16163</v>
      </c>
      <c r="B16164">
        <v>8572092</v>
      </c>
      <c r="C16164" s="1" t="str">
        <f>HYPERLINK("http://stackoverflow.com/users/8572092", "Herve")</f>
        <v>Herve</v>
      </c>
      <c r="D16164" t="s">
        <v>16</v>
      </c>
      <c r="E16164">
        <v>1</v>
      </c>
    </row>
    <row r="16165" spans="1:5" x14ac:dyDescent="0.25">
      <c r="A16165">
        <v>16164</v>
      </c>
      <c r="B16165">
        <v>1315351</v>
      </c>
      <c r="C16165" s="1" t="str">
        <f>HYPERLINK("http://stackoverflow.com/users/1315351", "Guodian Jin")</f>
        <v>Guodian Jin</v>
      </c>
      <c r="D16165" t="s">
        <v>5</v>
      </c>
      <c r="E16165">
        <v>1</v>
      </c>
    </row>
    <row r="16166" spans="1:5" x14ac:dyDescent="0.25">
      <c r="A16166">
        <v>16165</v>
      </c>
      <c r="B16166">
        <v>8580388</v>
      </c>
      <c r="C16166" s="1" t="str">
        <f>HYPERLINK("http://stackoverflow.com/users/8580388", "GEEYOW")</f>
        <v>GEEYOW</v>
      </c>
      <c r="D16166" t="s">
        <v>266</v>
      </c>
      <c r="E16166">
        <v>1</v>
      </c>
    </row>
    <row r="16167" spans="1:5" x14ac:dyDescent="0.25">
      <c r="A16167">
        <v>16166</v>
      </c>
      <c r="B16167">
        <v>3218017</v>
      </c>
      <c r="C16167" s="1" t="str">
        <f>HYPERLINK("http://stackoverflow.com/users/3218017", "nate")</f>
        <v>nate</v>
      </c>
      <c r="D16167" t="s">
        <v>5</v>
      </c>
      <c r="E16167">
        <v>1</v>
      </c>
    </row>
    <row r="16168" spans="1:5" x14ac:dyDescent="0.25">
      <c r="A16168">
        <v>16167</v>
      </c>
      <c r="B16168">
        <v>8587996</v>
      </c>
      <c r="C16168" s="1" t="str">
        <f>HYPERLINK("http://stackoverflow.com/users/8587996", "李太白")</f>
        <v>李太白</v>
      </c>
      <c r="D16168" t="s">
        <v>252</v>
      </c>
      <c r="E16168">
        <v>1</v>
      </c>
    </row>
    <row r="16169" spans="1:5" x14ac:dyDescent="0.25">
      <c r="A16169">
        <v>16168</v>
      </c>
      <c r="B16169">
        <v>8588171</v>
      </c>
      <c r="C16169" s="1" t="str">
        <f>HYPERLINK("http://stackoverflow.com/users/8588171", "Rynn Fang")</f>
        <v>Rynn Fang</v>
      </c>
      <c r="D16169" t="s">
        <v>62</v>
      </c>
      <c r="E16169">
        <v>1</v>
      </c>
    </row>
    <row r="16170" spans="1:5" x14ac:dyDescent="0.25">
      <c r="A16170">
        <v>16169</v>
      </c>
      <c r="B16170">
        <v>8530954</v>
      </c>
      <c r="C16170" s="1" t="str">
        <f>HYPERLINK("http://stackoverflow.com/users/8530954", "Tracy Pan")</f>
        <v>Tracy Pan</v>
      </c>
      <c r="D16170" t="s">
        <v>266</v>
      </c>
      <c r="E16170">
        <v>1</v>
      </c>
    </row>
    <row r="16171" spans="1:5" x14ac:dyDescent="0.25">
      <c r="A16171">
        <v>16170</v>
      </c>
      <c r="B16171">
        <v>8530959</v>
      </c>
      <c r="C16171" s="1" t="str">
        <f>HYPERLINK("http://stackoverflow.com/users/8530959", "tiramisu")</f>
        <v>tiramisu</v>
      </c>
      <c r="D16171" t="s">
        <v>177</v>
      </c>
      <c r="E16171">
        <v>1</v>
      </c>
    </row>
    <row r="16172" spans="1:5" x14ac:dyDescent="0.25">
      <c r="A16172">
        <v>16171</v>
      </c>
      <c r="B16172">
        <v>8531188</v>
      </c>
      <c r="C16172" s="1" t="str">
        <f>HYPERLINK("http://stackoverflow.com/users/8531188", "Hui H Li")</f>
        <v>Hui H Li</v>
      </c>
      <c r="D16172" t="s">
        <v>28</v>
      </c>
      <c r="E16172">
        <v>1</v>
      </c>
    </row>
    <row r="16173" spans="1:5" x14ac:dyDescent="0.25">
      <c r="A16173">
        <v>16172</v>
      </c>
      <c r="B16173">
        <v>4981062</v>
      </c>
      <c r="C16173" s="1" t="str">
        <f>HYPERLINK("http://stackoverflow.com/users/4981062", "mirwangsir")</f>
        <v>mirwangsir</v>
      </c>
      <c r="D16173" t="s">
        <v>5</v>
      </c>
      <c r="E16173">
        <v>1</v>
      </c>
    </row>
    <row r="16174" spans="1:5" x14ac:dyDescent="0.25">
      <c r="A16174">
        <v>16173</v>
      </c>
      <c r="B16174">
        <v>4984586</v>
      </c>
      <c r="C16174" s="1" t="str">
        <f>HYPERLINK("http://stackoverflow.com/users/4984586", "wuxu")</f>
        <v>wuxu</v>
      </c>
      <c r="D16174" t="s">
        <v>5</v>
      </c>
      <c r="E16174">
        <v>1</v>
      </c>
    </row>
    <row r="16175" spans="1:5" x14ac:dyDescent="0.25">
      <c r="A16175">
        <v>16174</v>
      </c>
      <c r="B16175">
        <v>4984675</v>
      </c>
      <c r="C16175" s="1" t="str">
        <f>HYPERLINK("http://stackoverflow.com/users/4984675", "Tony Filed")</f>
        <v>Tony Filed</v>
      </c>
      <c r="D16175" t="s">
        <v>5</v>
      </c>
      <c r="E16175">
        <v>1</v>
      </c>
    </row>
    <row r="16176" spans="1:5" x14ac:dyDescent="0.25">
      <c r="A16176">
        <v>16175</v>
      </c>
      <c r="B16176">
        <v>4984704</v>
      </c>
      <c r="C16176" s="1" t="str">
        <f>HYPERLINK("http://stackoverflow.com/users/4984704", "Xantilon")</f>
        <v>Xantilon</v>
      </c>
      <c r="D16176" t="s">
        <v>17</v>
      </c>
      <c r="E16176">
        <v>1</v>
      </c>
    </row>
    <row r="16177" spans="1:5" x14ac:dyDescent="0.25">
      <c r="A16177">
        <v>16176</v>
      </c>
      <c r="B16177">
        <v>4984757</v>
      </c>
      <c r="C16177" s="1" t="str">
        <f>HYPERLINK("http://stackoverflow.com/users/4984757", "Khaled Riad")</f>
        <v>Khaled Riad</v>
      </c>
      <c r="D16177" t="s">
        <v>5</v>
      </c>
      <c r="E16177">
        <v>1</v>
      </c>
    </row>
    <row r="16178" spans="1:5" x14ac:dyDescent="0.25">
      <c r="A16178">
        <v>16177</v>
      </c>
      <c r="B16178">
        <v>1232276</v>
      </c>
      <c r="C16178" s="1" t="str">
        <f>HYPERLINK("http://stackoverflow.com/users/1232276", "Darren Fu")</f>
        <v>Darren Fu</v>
      </c>
      <c r="D16178" t="s">
        <v>4</v>
      </c>
      <c r="E16178">
        <v>1</v>
      </c>
    </row>
    <row r="16179" spans="1:5" x14ac:dyDescent="0.25">
      <c r="A16179">
        <v>16178</v>
      </c>
      <c r="B16179">
        <v>8525550</v>
      </c>
      <c r="C16179" s="1" t="str">
        <f>HYPERLINK("http://stackoverflow.com/users/8525550", "Pluto Zhao")</f>
        <v>Pluto Zhao</v>
      </c>
      <c r="D16179" t="s">
        <v>4</v>
      </c>
      <c r="E16179">
        <v>1</v>
      </c>
    </row>
    <row r="16180" spans="1:5" x14ac:dyDescent="0.25">
      <c r="A16180">
        <v>16179</v>
      </c>
      <c r="B16180">
        <v>3165379</v>
      </c>
      <c r="C16180" s="1" t="str">
        <f>HYPERLINK("http://stackoverflow.com/users/3165379", "Zhen")</f>
        <v>Zhen</v>
      </c>
      <c r="D16180" t="s">
        <v>5</v>
      </c>
      <c r="E16180">
        <v>1</v>
      </c>
    </row>
    <row r="16181" spans="1:5" x14ac:dyDescent="0.25">
      <c r="A16181">
        <v>16180</v>
      </c>
      <c r="B16181">
        <v>8530565</v>
      </c>
      <c r="C16181" s="1" t="str">
        <f>HYPERLINK("http://stackoverflow.com/users/8530565", "Jesse Qin")</f>
        <v>Jesse Qin</v>
      </c>
      <c r="D16181" t="s">
        <v>4</v>
      </c>
      <c r="E16181">
        <v>1</v>
      </c>
    </row>
    <row r="16182" spans="1:5" x14ac:dyDescent="0.25">
      <c r="A16182">
        <v>16181</v>
      </c>
      <c r="B16182">
        <v>1247156</v>
      </c>
      <c r="C16182" s="1" t="str">
        <f>HYPERLINK("http://stackoverflow.com/users/1247156", "Roger")</f>
        <v>Roger</v>
      </c>
      <c r="D16182" t="s">
        <v>4</v>
      </c>
      <c r="E16182">
        <v>1</v>
      </c>
    </row>
    <row r="16183" spans="1:5" x14ac:dyDescent="0.25">
      <c r="A16183">
        <v>16182</v>
      </c>
      <c r="B16183">
        <v>8538922</v>
      </c>
      <c r="C16183" s="1" t="str">
        <f>HYPERLINK("http://stackoverflow.com/users/8538922", "Chris Haupt")</f>
        <v>Chris Haupt</v>
      </c>
      <c r="D16183" t="s">
        <v>12</v>
      </c>
      <c r="E16183">
        <v>1</v>
      </c>
    </row>
    <row r="16184" spans="1:5" x14ac:dyDescent="0.25">
      <c r="A16184">
        <v>16183</v>
      </c>
      <c r="B16184">
        <v>6709971</v>
      </c>
      <c r="C16184" s="1" t="str">
        <f>HYPERLINK("http://stackoverflow.com/users/6709971", "tppppp丶")</f>
        <v>tppppp丶</v>
      </c>
      <c r="D16184" t="s">
        <v>882</v>
      </c>
      <c r="E16184">
        <v>1</v>
      </c>
    </row>
    <row r="16185" spans="1:5" x14ac:dyDescent="0.25">
      <c r="A16185">
        <v>16184</v>
      </c>
      <c r="B16185">
        <v>8543354</v>
      </c>
      <c r="C16185" s="1" t="str">
        <f>HYPERLINK("http://stackoverflow.com/users/8543354", "Patrick")</f>
        <v>Patrick</v>
      </c>
      <c r="D16185" t="s">
        <v>7</v>
      </c>
      <c r="E16185">
        <v>1</v>
      </c>
    </row>
    <row r="16186" spans="1:5" x14ac:dyDescent="0.25">
      <c r="A16186">
        <v>16185</v>
      </c>
      <c r="B16186">
        <v>6714115</v>
      </c>
      <c r="C16186" s="1" t="str">
        <f>HYPERLINK("http://stackoverflow.com/users/6714115", "ZLB")</f>
        <v>ZLB</v>
      </c>
      <c r="D16186" t="s">
        <v>883</v>
      </c>
      <c r="E16186">
        <v>1</v>
      </c>
    </row>
    <row r="16187" spans="1:5" x14ac:dyDescent="0.25">
      <c r="A16187">
        <v>16186</v>
      </c>
      <c r="B16187">
        <v>6714383</v>
      </c>
      <c r="C16187" s="1" t="str">
        <f>HYPERLINK("http://stackoverflow.com/users/6714383", "Hao Yu")</f>
        <v>Hao Yu</v>
      </c>
      <c r="D16187" t="s">
        <v>4</v>
      </c>
      <c r="E16187">
        <v>1</v>
      </c>
    </row>
    <row r="16188" spans="1:5" x14ac:dyDescent="0.25">
      <c r="A16188">
        <v>16187</v>
      </c>
      <c r="B16188">
        <v>10356111</v>
      </c>
      <c r="C16188" s="1" t="str">
        <f>HYPERLINK("http://stackoverflow.com/users/10356111", "Steve Wong")</f>
        <v>Steve Wong</v>
      </c>
      <c r="D16188" t="s">
        <v>4</v>
      </c>
      <c r="E16188">
        <v>1</v>
      </c>
    </row>
    <row r="16189" spans="1:5" x14ac:dyDescent="0.25">
      <c r="A16189">
        <v>16188</v>
      </c>
      <c r="B16189">
        <v>10356697</v>
      </c>
      <c r="C16189" s="1" t="str">
        <f>HYPERLINK("http://stackoverflow.com/users/10356697", "Harun Ijaz")</f>
        <v>Harun Ijaz</v>
      </c>
      <c r="D16189" t="s">
        <v>90</v>
      </c>
      <c r="E16189">
        <v>1</v>
      </c>
    </row>
    <row r="16190" spans="1:5" x14ac:dyDescent="0.25">
      <c r="A16190">
        <v>16189</v>
      </c>
      <c r="B16190">
        <v>10359710</v>
      </c>
      <c r="C16190" s="1" t="str">
        <f>HYPERLINK("http://stackoverflow.com/users/10359710", "Wei")</f>
        <v>Wei</v>
      </c>
      <c r="D16190" t="s">
        <v>4</v>
      </c>
      <c r="E16190">
        <v>1</v>
      </c>
    </row>
    <row r="16191" spans="1:5" x14ac:dyDescent="0.25">
      <c r="A16191">
        <v>16190</v>
      </c>
      <c r="B16191">
        <v>6716977</v>
      </c>
      <c r="C16191" s="1" t="str">
        <f>HYPERLINK("http://stackoverflow.com/users/6716977", "weifeng")</f>
        <v>weifeng</v>
      </c>
      <c r="D16191" t="s">
        <v>93</v>
      </c>
      <c r="E16191">
        <v>1</v>
      </c>
    </row>
    <row r="16192" spans="1:5" x14ac:dyDescent="0.25">
      <c r="A16192">
        <v>16191</v>
      </c>
      <c r="B16192">
        <v>8546717</v>
      </c>
      <c r="C16192" s="1" t="str">
        <f>HYPERLINK("http://stackoverflow.com/users/8546717", "ZheyuanFu")</f>
        <v>ZheyuanFu</v>
      </c>
      <c r="D16192" t="s">
        <v>4</v>
      </c>
      <c r="E16192">
        <v>1</v>
      </c>
    </row>
    <row r="16193" spans="1:5" x14ac:dyDescent="0.25">
      <c r="A16193">
        <v>16192</v>
      </c>
      <c r="B16193">
        <v>8546891</v>
      </c>
      <c r="C16193" s="1" t="str">
        <f>HYPERLINK("http://stackoverflow.com/users/8546891", "scv2002")</f>
        <v>scv2002</v>
      </c>
      <c r="D16193" t="s">
        <v>7</v>
      </c>
      <c r="E16193">
        <v>1</v>
      </c>
    </row>
    <row r="16194" spans="1:5" x14ac:dyDescent="0.25">
      <c r="A16194">
        <v>16193</v>
      </c>
      <c r="B16194">
        <v>4998403</v>
      </c>
      <c r="C16194" s="1" t="str">
        <f>HYPERLINK("http://stackoverflow.com/users/4998403", "haoyaqi")</f>
        <v>haoyaqi</v>
      </c>
      <c r="D16194" t="s">
        <v>5</v>
      </c>
      <c r="E16194">
        <v>1</v>
      </c>
    </row>
    <row r="16195" spans="1:5" x14ac:dyDescent="0.25">
      <c r="A16195">
        <v>16194</v>
      </c>
      <c r="B16195">
        <v>4998621</v>
      </c>
      <c r="C16195" s="1" t="str">
        <f>HYPERLINK("http://stackoverflow.com/users/4998621", "LiZongyuan")</f>
        <v>LiZongyuan</v>
      </c>
      <c r="D16195" t="s">
        <v>5</v>
      </c>
      <c r="E16195">
        <v>1</v>
      </c>
    </row>
    <row r="16196" spans="1:5" x14ac:dyDescent="0.25">
      <c r="A16196">
        <v>16195</v>
      </c>
      <c r="B16196">
        <v>1225001</v>
      </c>
      <c r="C16196" s="1" t="str">
        <f>HYPERLINK("http://stackoverflow.com/users/1225001", "xiao.Ao")</f>
        <v>xiao.Ao</v>
      </c>
      <c r="D16196" t="s">
        <v>5</v>
      </c>
      <c r="E16196">
        <v>1</v>
      </c>
    </row>
    <row r="16197" spans="1:5" x14ac:dyDescent="0.25">
      <c r="A16197">
        <v>16196</v>
      </c>
      <c r="B16197">
        <v>1225091</v>
      </c>
      <c r="C16197" s="1" t="str">
        <f>HYPERLINK("http://stackoverflow.com/users/1225091", "Puzzlist")</f>
        <v>Puzzlist</v>
      </c>
      <c r="D16197" t="s">
        <v>17</v>
      </c>
      <c r="E16197">
        <v>1</v>
      </c>
    </row>
    <row r="16198" spans="1:5" x14ac:dyDescent="0.25">
      <c r="A16198">
        <v>16197</v>
      </c>
      <c r="B16198">
        <v>1225265</v>
      </c>
      <c r="C16198" s="1" t="str">
        <f>HYPERLINK("http://stackoverflow.com/users/1225265", "suqingheangle")</f>
        <v>suqingheangle</v>
      </c>
      <c r="D16198" t="s">
        <v>7</v>
      </c>
      <c r="E16198">
        <v>1</v>
      </c>
    </row>
    <row r="16199" spans="1:5" x14ac:dyDescent="0.25">
      <c r="A16199">
        <v>16198</v>
      </c>
      <c r="B16199">
        <v>6699001</v>
      </c>
      <c r="C16199" s="1" t="str">
        <f>HYPERLINK("http://stackoverflow.com/users/6699001", "saower")</f>
        <v>saower</v>
      </c>
      <c r="D16199" t="s">
        <v>5</v>
      </c>
      <c r="E16199">
        <v>1</v>
      </c>
    </row>
    <row r="16200" spans="1:5" x14ac:dyDescent="0.25">
      <c r="A16200">
        <v>16199</v>
      </c>
      <c r="B16200">
        <v>1232180</v>
      </c>
      <c r="C16200" s="1" t="str">
        <f>HYPERLINK("http://stackoverflow.com/users/1232180", "tsongknows")</f>
        <v>tsongknows</v>
      </c>
      <c r="D16200" t="s">
        <v>99</v>
      </c>
      <c r="E16200">
        <v>1</v>
      </c>
    </row>
    <row r="16201" spans="1:5" x14ac:dyDescent="0.25">
      <c r="A16201">
        <v>16200</v>
      </c>
      <c r="B16201">
        <v>1232063</v>
      </c>
      <c r="C16201" s="1" t="str">
        <f>HYPERLINK("http://stackoverflow.com/users/1232063", "tao.arrow")</f>
        <v>tao.arrow</v>
      </c>
      <c r="D16201" t="s">
        <v>5</v>
      </c>
      <c r="E16201">
        <v>1</v>
      </c>
    </row>
    <row r="16202" spans="1:5" x14ac:dyDescent="0.25">
      <c r="A16202">
        <v>16201</v>
      </c>
      <c r="B16202">
        <v>8512144</v>
      </c>
      <c r="C16202" s="1" t="str">
        <f>HYPERLINK("http://stackoverflow.com/users/8512144", "WuShanchi")</f>
        <v>WuShanchi</v>
      </c>
      <c r="D16202" t="s">
        <v>118</v>
      </c>
      <c r="E16202">
        <v>1</v>
      </c>
    </row>
    <row r="16203" spans="1:5" x14ac:dyDescent="0.25">
      <c r="A16203">
        <v>16202</v>
      </c>
      <c r="B16203">
        <v>8512149</v>
      </c>
      <c r="C16203" s="1" t="str">
        <f>HYPERLINK("http://stackoverflow.com/users/8512149", "Gary")</f>
        <v>Gary</v>
      </c>
      <c r="D16203" t="s">
        <v>15</v>
      </c>
      <c r="E16203">
        <v>1</v>
      </c>
    </row>
    <row r="16204" spans="1:5" x14ac:dyDescent="0.25">
      <c r="A16204">
        <v>16203</v>
      </c>
      <c r="B16204">
        <v>3152564</v>
      </c>
      <c r="C16204" s="1" t="str">
        <f>HYPERLINK("http://stackoverflow.com/users/3152564", "user3152564")</f>
        <v>user3152564</v>
      </c>
      <c r="D16204" t="s">
        <v>5</v>
      </c>
      <c r="E16204">
        <v>1</v>
      </c>
    </row>
    <row r="16205" spans="1:5" x14ac:dyDescent="0.25">
      <c r="A16205">
        <v>16204</v>
      </c>
      <c r="B16205">
        <v>8516831</v>
      </c>
      <c r="C16205" s="1" t="str">
        <f>HYPERLINK("http://stackoverflow.com/users/8516831", "Bill White")</f>
        <v>Bill White</v>
      </c>
      <c r="D16205" t="s">
        <v>7</v>
      </c>
      <c r="E16205">
        <v>1</v>
      </c>
    </row>
    <row r="16206" spans="1:5" x14ac:dyDescent="0.25">
      <c r="A16206">
        <v>16205</v>
      </c>
      <c r="B16206">
        <v>6691862</v>
      </c>
      <c r="C16206" s="1" t="str">
        <f>HYPERLINK("http://stackoverflow.com/users/6691862", "Jionghu")</f>
        <v>Jionghu</v>
      </c>
      <c r="D16206" t="s">
        <v>5</v>
      </c>
      <c r="E16206">
        <v>1</v>
      </c>
    </row>
    <row r="16207" spans="1:5" x14ac:dyDescent="0.25">
      <c r="A16207">
        <v>16206</v>
      </c>
      <c r="B16207">
        <v>10329946</v>
      </c>
      <c r="C16207" s="1" t="str">
        <f>HYPERLINK("http://stackoverflow.com/users/10329946", "nemo")</f>
        <v>nemo</v>
      </c>
      <c r="D16207" t="s">
        <v>4</v>
      </c>
      <c r="E16207">
        <v>1</v>
      </c>
    </row>
    <row r="16208" spans="1:5" x14ac:dyDescent="0.25">
      <c r="A16208">
        <v>16207</v>
      </c>
      <c r="B16208">
        <v>3152701</v>
      </c>
      <c r="C16208" s="1" t="str">
        <f>HYPERLINK("http://stackoverflow.com/users/3152701", "starry")</f>
        <v>starry</v>
      </c>
      <c r="D16208" t="s">
        <v>5</v>
      </c>
      <c r="E16208">
        <v>1</v>
      </c>
    </row>
    <row r="16209" spans="1:5" x14ac:dyDescent="0.25">
      <c r="A16209">
        <v>16208</v>
      </c>
      <c r="B16209">
        <v>10333950</v>
      </c>
      <c r="C16209" s="1" t="str">
        <f>HYPERLINK("http://stackoverflow.com/users/10333950", "teafdrffups")</f>
        <v>teafdrffups</v>
      </c>
      <c r="D16209" t="s">
        <v>884</v>
      </c>
      <c r="E16209">
        <v>1</v>
      </c>
    </row>
    <row r="16210" spans="1:5" x14ac:dyDescent="0.25">
      <c r="A16210">
        <v>16209</v>
      </c>
      <c r="B16210">
        <v>6695669</v>
      </c>
      <c r="C16210" s="1" t="str">
        <f>HYPERLINK("http://stackoverflow.com/users/6695669", "Zas")</f>
        <v>Zas</v>
      </c>
      <c r="D16210" t="s">
        <v>4</v>
      </c>
      <c r="E16210">
        <v>1</v>
      </c>
    </row>
    <row r="16211" spans="1:5" x14ac:dyDescent="0.25">
      <c r="A16211">
        <v>16210</v>
      </c>
      <c r="B16211">
        <v>6696055</v>
      </c>
      <c r="C16211" s="1" t="str">
        <f>HYPERLINK("http://stackoverflow.com/users/6696055", "Seven Chen")</f>
        <v>Seven Chen</v>
      </c>
      <c r="D16211" t="s">
        <v>25</v>
      </c>
      <c r="E16211">
        <v>1</v>
      </c>
    </row>
    <row r="16212" spans="1:5" x14ac:dyDescent="0.25">
      <c r="A16212">
        <v>16211</v>
      </c>
      <c r="B16212">
        <v>3156408</v>
      </c>
      <c r="C16212" s="1" t="str">
        <f>HYPERLINK("http://stackoverflow.com/users/3156408", "tiensonqin")</f>
        <v>tiensonqin</v>
      </c>
      <c r="D16212" t="s">
        <v>16</v>
      </c>
      <c r="E16212">
        <v>1</v>
      </c>
    </row>
    <row r="16213" spans="1:5" x14ac:dyDescent="0.25">
      <c r="A16213">
        <v>16212</v>
      </c>
      <c r="B16213">
        <v>3156414</v>
      </c>
      <c r="C16213" s="1" t="str">
        <f>HYPERLINK("http://stackoverflow.com/users/3156414", "jianhualee")</f>
        <v>jianhualee</v>
      </c>
      <c r="D16213" t="s">
        <v>5</v>
      </c>
      <c r="E16213">
        <v>1</v>
      </c>
    </row>
    <row r="16214" spans="1:5" x14ac:dyDescent="0.25">
      <c r="A16214">
        <v>16213</v>
      </c>
      <c r="B16214">
        <v>3156484</v>
      </c>
      <c r="C16214" s="1" t="str">
        <f>HYPERLINK("http://stackoverflow.com/users/3156484", "Zhenyu")</f>
        <v>Zhenyu</v>
      </c>
      <c r="D16214" t="s">
        <v>5</v>
      </c>
      <c r="E16214">
        <v>1</v>
      </c>
    </row>
    <row r="16215" spans="1:5" x14ac:dyDescent="0.25">
      <c r="A16215">
        <v>16214</v>
      </c>
      <c r="B16215">
        <v>3156837</v>
      </c>
      <c r="C16215" s="1" t="str">
        <f>HYPERLINK("http://stackoverflow.com/users/3156837", "aahyhaa")</f>
        <v>aahyhaa</v>
      </c>
      <c r="D16215" t="s">
        <v>5</v>
      </c>
      <c r="E16215">
        <v>1</v>
      </c>
    </row>
    <row r="16216" spans="1:5" x14ac:dyDescent="0.25">
      <c r="A16216">
        <v>16215</v>
      </c>
      <c r="B16216">
        <v>3157263</v>
      </c>
      <c r="C16216" s="1" t="str">
        <f>HYPERLINK("http://stackoverflow.com/users/3157263", "Woody")</f>
        <v>Woody</v>
      </c>
      <c r="D16216" t="s">
        <v>885</v>
      </c>
      <c r="E16216">
        <v>1</v>
      </c>
    </row>
    <row r="16217" spans="1:5" x14ac:dyDescent="0.25">
      <c r="A16217">
        <v>16216</v>
      </c>
      <c r="B16217">
        <v>1224774</v>
      </c>
      <c r="C16217" s="1" t="str">
        <f>HYPERLINK("http://stackoverflow.com/users/1224774", "Dong Che")</f>
        <v>Dong Che</v>
      </c>
      <c r="D16217" t="s">
        <v>5</v>
      </c>
      <c r="E16217">
        <v>1</v>
      </c>
    </row>
    <row r="16218" spans="1:5" x14ac:dyDescent="0.25">
      <c r="A16218">
        <v>16217</v>
      </c>
      <c r="B16218">
        <v>8669367</v>
      </c>
      <c r="C16218" s="1" t="str">
        <f>HYPERLINK("http://stackoverflow.com/users/8669367", "Robin Luo")</f>
        <v>Robin Luo</v>
      </c>
      <c r="D16218" t="s">
        <v>5</v>
      </c>
      <c r="E16218">
        <v>1</v>
      </c>
    </row>
    <row r="16219" spans="1:5" x14ac:dyDescent="0.25">
      <c r="A16219">
        <v>16218</v>
      </c>
      <c r="B16219">
        <v>10482166</v>
      </c>
      <c r="C16219" s="1" t="str">
        <f>HYPERLINK("http://stackoverflow.com/users/10482166", "william ning")</f>
        <v>william ning</v>
      </c>
      <c r="D16219" t="s">
        <v>7</v>
      </c>
      <c r="E16219">
        <v>1</v>
      </c>
    </row>
    <row r="16220" spans="1:5" x14ac:dyDescent="0.25">
      <c r="A16220">
        <v>16219</v>
      </c>
      <c r="B16220">
        <v>10482207</v>
      </c>
      <c r="C16220" s="1" t="str">
        <f>HYPERLINK("http://stackoverflow.com/users/10482207", "wave")</f>
        <v>wave</v>
      </c>
      <c r="D16220" t="s">
        <v>5</v>
      </c>
      <c r="E16220">
        <v>1</v>
      </c>
    </row>
    <row r="16221" spans="1:5" x14ac:dyDescent="0.25">
      <c r="A16221">
        <v>16220</v>
      </c>
      <c r="B16221">
        <v>1422655</v>
      </c>
      <c r="C16221" s="1" t="str">
        <f>HYPERLINK("http://stackoverflow.com/users/1422655", "wljiang")</f>
        <v>wljiang</v>
      </c>
      <c r="D16221" t="s">
        <v>4</v>
      </c>
      <c r="E16221">
        <v>1</v>
      </c>
    </row>
    <row r="16222" spans="1:5" x14ac:dyDescent="0.25">
      <c r="A16222">
        <v>16221</v>
      </c>
      <c r="B16222">
        <v>1422942</v>
      </c>
      <c r="C16222" s="1" t="str">
        <f>HYPERLINK("http://stackoverflow.com/users/1422942", "Xuesong")</f>
        <v>Xuesong</v>
      </c>
      <c r="D16222" t="s">
        <v>4</v>
      </c>
      <c r="E16222">
        <v>1</v>
      </c>
    </row>
    <row r="16223" spans="1:5" x14ac:dyDescent="0.25">
      <c r="A16223">
        <v>16222</v>
      </c>
      <c r="B16223">
        <v>1423026</v>
      </c>
      <c r="C16223" s="1" t="str">
        <f>HYPERLINK("http://stackoverflow.com/users/1423026", "xiongcong")</f>
        <v>xiongcong</v>
      </c>
      <c r="D16223" t="s">
        <v>8</v>
      </c>
      <c r="E16223">
        <v>1</v>
      </c>
    </row>
    <row r="16224" spans="1:5" x14ac:dyDescent="0.25">
      <c r="A16224">
        <v>16223</v>
      </c>
      <c r="B16224">
        <v>8664590</v>
      </c>
      <c r="C16224" s="1" t="str">
        <f>HYPERLINK("http://stackoverflow.com/users/8664590", "JH Chen")</f>
        <v>JH Chen</v>
      </c>
      <c r="D16224" t="s">
        <v>25</v>
      </c>
      <c r="E16224">
        <v>1</v>
      </c>
    </row>
    <row r="16225" spans="1:5" x14ac:dyDescent="0.25">
      <c r="A16225">
        <v>16224</v>
      </c>
      <c r="B16225">
        <v>8665236</v>
      </c>
      <c r="C16225" s="1" t="str">
        <f>HYPERLINK("http://stackoverflow.com/users/8665236", "stephenkk")</f>
        <v>stephenkk</v>
      </c>
      <c r="D16225" t="s">
        <v>114</v>
      </c>
      <c r="E16225">
        <v>1</v>
      </c>
    </row>
    <row r="16226" spans="1:5" x14ac:dyDescent="0.25">
      <c r="A16226">
        <v>16225</v>
      </c>
      <c r="B16226">
        <v>8665292</v>
      </c>
      <c r="C16226" s="1" t="str">
        <f>HYPERLINK("http://stackoverflow.com/users/8665292", "Edwin")</f>
        <v>Edwin</v>
      </c>
      <c r="D16226" t="s">
        <v>55</v>
      </c>
      <c r="E16226">
        <v>1</v>
      </c>
    </row>
    <row r="16227" spans="1:5" x14ac:dyDescent="0.25">
      <c r="A16227">
        <v>16226</v>
      </c>
      <c r="B16227">
        <v>1418544</v>
      </c>
      <c r="C16227" s="1" t="str">
        <f>HYPERLINK("http://stackoverflow.com/users/1418544", "wulijun")</f>
        <v>wulijun</v>
      </c>
      <c r="D16227" t="s">
        <v>5</v>
      </c>
      <c r="E16227">
        <v>1</v>
      </c>
    </row>
    <row r="16228" spans="1:5" x14ac:dyDescent="0.25">
      <c r="A16228">
        <v>16227</v>
      </c>
      <c r="B16228">
        <v>1418561</v>
      </c>
      <c r="C16228" s="1" t="str">
        <f>HYPERLINK("http://stackoverflow.com/users/1418561", "xuxun")</f>
        <v>xuxun</v>
      </c>
      <c r="D16228" t="s">
        <v>4</v>
      </c>
      <c r="E16228">
        <v>1</v>
      </c>
    </row>
    <row r="16229" spans="1:5" x14ac:dyDescent="0.25">
      <c r="A16229">
        <v>16228</v>
      </c>
      <c r="B16229">
        <v>1418565</v>
      </c>
      <c r="C16229" s="1" t="str">
        <f>HYPERLINK("http://stackoverflow.com/users/1418565", "Yuan Panfeng")</f>
        <v>Yuan Panfeng</v>
      </c>
      <c r="D16229" t="s">
        <v>5</v>
      </c>
      <c r="E16229">
        <v>1</v>
      </c>
    </row>
    <row r="16230" spans="1:5" x14ac:dyDescent="0.25">
      <c r="A16230">
        <v>16229</v>
      </c>
      <c r="B16230">
        <v>8654520</v>
      </c>
      <c r="C16230" s="1" t="str">
        <f>HYPERLINK("http://stackoverflow.com/users/8654520", "user8654520")</f>
        <v>user8654520</v>
      </c>
      <c r="D16230" t="s">
        <v>886</v>
      </c>
      <c r="E16230">
        <v>1</v>
      </c>
    </row>
    <row r="16231" spans="1:5" x14ac:dyDescent="0.25">
      <c r="A16231">
        <v>16230</v>
      </c>
      <c r="B16231">
        <v>8654775</v>
      </c>
      <c r="C16231" s="1" t="str">
        <f>HYPERLINK("http://stackoverflow.com/users/8654775", "haibodong")</f>
        <v>haibodong</v>
      </c>
      <c r="D16231" t="s">
        <v>5</v>
      </c>
      <c r="E16231">
        <v>1</v>
      </c>
    </row>
    <row r="16232" spans="1:5" x14ac:dyDescent="0.25">
      <c r="A16232">
        <v>16231</v>
      </c>
      <c r="B16232">
        <v>8654842</v>
      </c>
      <c r="C16232" s="1" t="str">
        <f>HYPERLINK("http://stackoverflow.com/users/8654842", "Tys")</f>
        <v>Tys</v>
      </c>
      <c r="D16232" t="s">
        <v>25</v>
      </c>
      <c r="E16232">
        <v>1</v>
      </c>
    </row>
    <row r="16233" spans="1:5" x14ac:dyDescent="0.25">
      <c r="A16233">
        <v>16232</v>
      </c>
      <c r="B16233">
        <v>1407457</v>
      </c>
      <c r="C16233" s="1" t="str">
        <f>HYPERLINK("http://stackoverflow.com/users/1407457", "cleverdeng")</f>
        <v>cleverdeng</v>
      </c>
      <c r="D16233" t="s">
        <v>5</v>
      </c>
      <c r="E16233">
        <v>1</v>
      </c>
    </row>
    <row r="16234" spans="1:5" x14ac:dyDescent="0.25">
      <c r="A16234">
        <v>16233</v>
      </c>
      <c r="B16234">
        <v>1407816</v>
      </c>
      <c r="C16234" s="1" t="str">
        <f>HYPERLINK("http://stackoverflow.com/users/1407816", "inno")</f>
        <v>inno</v>
      </c>
      <c r="D16234" t="s">
        <v>5</v>
      </c>
      <c r="E16234">
        <v>1</v>
      </c>
    </row>
    <row r="16235" spans="1:5" x14ac:dyDescent="0.25">
      <c r="A16235">
        <v>16234</v>
      </c>
      <c r="B16235">
        <v>1407832</v>
      </c>
      <c r="C16235" s="1" t="str">
        <f>HYPERLINK("http://stackoverflow.com/users/1407832", "McJudy")</f>
        <v>McJudy</v>
      </c>
      <c r="D16235" t="s">
        <v>656</v>
      </c>
      <c r="E16235">
        <v>1</v>
      </c>
    </row>
    <row r="16236" spans="1:5" x14ac:dyDescent="0.25">
      <c r="A16236">
        <v>16235</v>
      </c>
      <c r="B16236">
        <v>10471682</v>
      </c>
      <c r="C16236" s="1" t="str">
        <f>HYPERLINK("http://stackoverflow.com/users/10471682", "JovenHe")</f>
        <v>JovenHe</v>
      </c>
      <c r="D16236" t="s">
        <v>13</v>
      </c>
      <c r="E16236">
        <v>1</v>
      </c>
    </row>
    <row r="16237" spans="1:5" x14ac:dyDescent="0.25">
      <c r="A16237">
        <v>16236</v>
      </c>
      <c r="B16237">
        <v>10471953</v>
      </c>
      <c r="C16237" s="1" t="str">
        <f>HYPERLINK("http://stackoverflow.com/users/10471953", "chuangui zhou")</f>
        <v>chuangui zhou</v>
      </c>
      <c r="D16237" t="s">
        <v>28</v>
      </c>
      <c r="E16237">
        <v>1</v>
      </c>
    </row>
    <row r="16238" spans="1:5" x14ac:dyDescent="0.25">
      <c r="A16238">
        <v>16237</v>
      </c>
      <c r="B16238">
        <v>10472070</v>
      </c>
      <c r="C16238" s="1" t="str">
        <f>HYPERLINK("http://stackoverflow.com/users/10472070", "Yongwei Zhang")</f>
        <v>Yongwei Zhang</v>
      </c>
      <c r="D16238" t="s">
        <v>5</v>
      </c>
      <c r="E16238">
        <v>1</v>
      </c>
    </row>
    <row r="16239" spans="1:5" x14ac:dyDescent="0.25">
      <c r="A16239">
        <v>16238</v>
      </c>
      <c r="B16239">
        <v>5096354</v>
      </c>
      <c r="C16239" s="1" t="str">
        <f>HYPERLINK("http://stackoverflow.com/users/5096354", "Jaa")</f>
        <v>Jaa</v>
      </c>
      <c r="D16239" t="s">
        <v>330</v>
      </c>
      <c r="E16239">
        <v>1</v>
      </c>
    </row>
    <row r="16240" spans="1:5" x14ac:dyDescent="0.25">
      <c r="A16240">
        <v>16239</v>
      </c>
      <c r="B16240">
        <v>5096360</v>
      </c>
      <c r="C16240" s="1" t="str">
        <f>HYPERLINK("http://stackoverflow.com/users/5096360", "Barry Cheung")</f>
        <v>Barry Cheung</v>
      </c>
      <c r="D16240" t="s">
        <v>25</v>
      </c>
      <c r="E16240">
        <v>1</v>
      </c>
    </row>
    <row r="16241" spans="1:5" x14ac:dyDescent="0.25">
      <c r="A16241">
        <v>16240</v>
      </c>
      <c r="B16241">
        <v>10467793</v>
      </c>
      <c r="C16241" s="1" t="str">
        <f>HYPERLINK("http://stackoverflow.com/users/10467793", "DuanTL")</f>
        <v>DuanTL</v>
      </c>
      <c r="D16241" t="s">
        <v>214</v>
      </c>
      <c r="E16241">
        <v>1</v>
      </c>
    </row>
    <row r="16242" spans="1:5" x14ac:dyDescent="0.25">
      <c r="A16242">
        <v>16241</v>
      </c>
      <c r="B16242">
        <v>10467887</v>
      </c>
      <c r="C16242" s="1" t="str">
        <f>HYPERLINK("http://stackoverflow.com/users/10467887", "Hero Honor")</f>
        <v>Hero Honor</v>
      </c>
      <c r="D16242" t="s">
        <v>74</v>
      </c>
      <c r="E16242">
        <v>1</v>
      </c>
    </row>
    <row r="16243" spans="1:5" x14ac:dyDescent="0.25">
      <c r="A16243">
        <v>16242</v>
      </c>
      <c r="B16243">
        <v>8640562</v>
      </c>
      <c r="C16243" s="1" t="str">
        <f>HYPERLINK("http://stackoverflow.com/users/8640562", "jacquin")</f>
        <v>jacquin</v>
      </c>
      <c r="D16243" t="s">
        <v>15</v>
      </c>
      <c r="E16243">
        <v>1</v>
      </c>
    </row>
    <row r="16244" spans="1:5" x14ac:dyDescent="0.25">
      <c r="A16244">
        <v>16243</v>
      </c>
      <c r="B16244">
        <v>8641335</v>
      </c>
      <c r="C16244" s="1" t="str">
        <f>HYPERLINK("http://stackoverflow.com/users/8641335", "Long Zhao")</f>
        <v>Long Zhao</v>
      </c>
      <c r="D16244" t="s">
        <v>7</v>
      </c>
      <c r="E16244">
        <v>1</v>
      </c>
    </row>
    <row r="16245" spans="1:5" x14ac:dyDescent="0.25">
      <c r="A16245">
        <v>16244</v>
      </c>
      <c r="B16245">
        <v>1393364</v>
      </c>
      <c r="C16245" s="1" t="str">
        <f>HYPERLINK("http://stackoverflow.com/users/1393364", "xklc")</f>
        <v>xklc</v>
      </c>
      <c r="D16245" t="s">
        <v>4</v>
      </c>
      <c r="E16245">
        <v>1</v>
      </c>
    </row>
    <row r="16246" spans="1:5" x14ac:dyDescent="0.25">
      <c r="A16246">
        <v>16245</v>
      </c>
      <c r="B16246">
        <v>3253060</v>
      </c>
      <c r="C16246" s="1" t="str">
        <f>HYPERLINK("http://stackoverflow.com/users/3253060", "bingu")</f>
        <v>bingu</v>
      </c>
      <c r="D16246" t="s">
        <v>21</v>
      </c>
      <c r="E16246">
        <v>1</v>
      </c>
    </row>
    <row r="16247" spans="1:5" x14ac:dyDescent="0.25">
      <c r="A16247">
        <v>16246</v>
      </c>
      <c r="B16247">
        <v>1389066</v>
      </c>
      <c r="C16247" s="1" t="str">
        <f>HYPERLINK("http://stackoverflow.com/users/1389066", "Di Zhang")</f>
        <v>Di Zhang</v>
      </c>
      <c r="D16247" t="s">
        <v>5</v>
      </c>
      <c r="E16247">
        <v>1</v>
      </c>
    </row>
    <row r="16248" spans="1:5" x14ac:dyDescent="0.25">
      <c r="A16248">
        <v>16247</v>
      </c>
      <c r="B16248">
        <v>1389264</v>
      </c>
      <c r="C16248" s="1" t="str">
        <f>HYPERLINK("http://stackoverflow.com/users/1389264", "matter")</f>
        <v>matter</v>
      </c>
      <c r="D16248" t="s">
        <v>5</v>
      </c>
      <c r="E16248">
        <v>1</v>
      </c>
    </row>
    <row r="16249" spans="1:5" x14ac:dyDescent="0.25">
      <c r="A16249">
        <v>16248</v>
      </c>
      <c r="B16249">
        <v>1398655</v>
      </c>
      <c r="C16249" s="1" t="str">
        <f>HYPERLINK("http://stackoverflow.com/users/1398655", "frank")</f>
        <v>frank</v>
      </c>
      <c r="D16249" t="s">
        <v>5</v>
      </c>
      <c r="E16249">
        <v>1</v>
      </c>
    </row>
    <row r="16250" spans="1:5" x14ac:dyDescent="0.25">
      <c r="A16250">
        <v>16249</v>
      </c>
      <c r="B16250">
        <v>1398884</v>
      </c>
      <c r="C16250" s="1" t="str">
        <f>HYPERLINK("http://stackoverflow.com/users/1398884", "mfy1992")</f>
        <v>mfy1992</v>
      </c>
      <c r="D16250" t="s">
        <v>54</v>
      </c>
      <c r="E16250">
        <v>1</v>
      </c>
    </row>
    <row r="16251" spans="1:5" x14ac:dyDescent="0.25">
      <c r="A16251">
        <v>16250</v>
      </c>
      <c r="B16251">
        <v>6804830</v>
      </c>
      <c r="C16251" s="1" t="str">
        <f>HYPERLINK("http://stackoverflow.com/users/6804830", "Rorschach Huang")</f>
        <v>Rorschach Huang</v>
      </c>
      <c r="D16251" t="s">
        <v>4</v>
      </c>
      <c r="E16251">
        <v>1</v>
      </c>
    </row>
    <row r="16252" spans="1:5" x14ac:dyDescent="0.25">
      <c r="A16252">
        <v>16251</v>
      </c>
      <c r="B16252">
        <v>1398063</v>
      </c>
      <c r="C16252" s="1" t="str">
        <f>HYPERLINK("http://stackoverflow.com/users/1398063", "leotse90")</f>
        <v>leotse90</v>
      </c>
      <c r="D16252" t="s">
        <v>5</v>
      </c>
      <c r="E16252">
        <v>1</v>
      </c>
    </row>
    <row r="16253" spans="1:5" x14ac:dyDescent="0.25">
      <c r="A16253">
        <v>16252</v>
      </c>
      <c r="B16253">
        <v>8645247</v>
      </c>
      <c r="C16253" s="1" t="str">
        <f>HYPERLINK("http://stackoverflow.com/users/8645247", "Li-Ping Ting")</f>
        <v>Li-Ping Ting</v>
      </c>
      <c r="D16253" t="s">
        <v>118</v>
      </c>
      <c r="E16253">
        <v>1</v>
      </c>
    </row>
    <row r="16254" spans="1:5" x14ac:dyDescent="0.25">
      <c r="A16254">
        <v>16253</v>
      </c>
      <c r="B16254">
        <v>8645288</v>
      </c>
      <c r="C16254" s="1" t="str">
        <f>HYPERLINK("http://stackoverflow.com/users/8645288", "Yujian Pan")</f>
        <v>Yujian Pan</v>
      </c>
      <c r="D16254" t="s">
        <v>120</v>
      </c>
      <c r="E16254">
        <v>1</v>
      </c>
    </row>
    <row r="16255" spans="1:5" x14ac:dyDescent="0.25">
      <c r="A16255">
        <v>16254</v>
      </c>
      <c r="B16255">
        <v>8645311</v>
      </c>
      <c r="C16255" s="1" t="str">
        <f>HYPERLINK("http://stackoverflow.com/users/8645311", "Lang Lang")</f>
        <v>Lang Lang</v>
      </c>
      <c r="D16255" t="s">
        <v>236</v>
      </c>
      <c r="E16255">
        <v>1</v>
      </c>
    </row>
    <row r="16256" spans="1:5" x14ac:dyDescent="0.25">
      <c r="A16256">
        <v>16255</v>
      </c>
      <c r="B16256">
        <v>8645390</v>
      </c>
      <c r="C16256" s="1" t="str">
        <f>HYPERLINK("http://stackoverflow.com/users/8645390", "Jeffrey Chen")</f>
        <v>Jeffrey Chen</v>
      </c>
      <c r="D16256" t="s">
        <v>5</v>
      </c>
      <c r="E16256">
        <v>1</v>
      </c>
    </row>
    <row r="16257" spans="1:5" x14ac:dyDescent="0.25">
      <c r="A16257">
        <v>16256</v>
      </c>
      <c r="B16257">
        <v>8645508</v>
      </c>
      <c r="C16257" s="1" t="str">
        <f>HYPERLINK("http://stackoverflow.com/users/8645508", "Lin")</f>
        <v>Lin</v>
      </c>
      <c r="D16257" t="s">
        <v>4</v>
      </c>
      <c r="E16257">
        <v>1</v>
      </c>
    </row>
    <row r="16258" spans="1:5" x14ac:dyDescent="0.25">
      <c r="A16258">
        <v>16257</v>
      </c>
      <c r="B16258">
        <v>8645605</v>
      </c>
      <c r="C16258" s="1" t="str">
        <f>HYPERLINK("http://stackoverflow.com/users/8645605", "RamboZW")</f>
        <v>RamboZW</v>
      </c>
      <c r="D16258" t="s">
        <v>266</v>
      </c>
      <c r="E16258">
        <v>1</v>
      </c>
    </row>
    <row r="16259" spans="1:5" x14ac:dyDescent="0.25">
      <c r="A16259">
        <v>16258</v>
      </c>
      <c r="B16259">
        <v>8645651</v>
      </c>
      <c r="C16259" s="1" t="str">
        <f>HYPERLINK("http://stackoverflow.com/users/8645651", "ZhiYi Lee")</f>
        <v>ZhiYi Lee</v>
      </c>
      <c r="D16259" t="s">
        <v>33</v>
      </c>
      <c r="E16259">
        <v>1</v>
      </c>
    </row>
    <row r="16260" spans="1:5" x14ac:dyDescent="0.25">
      <c r="A16260">
        <v>16259</v>
      </c>
      <c r="B16260">
        <v>8645710</v>
      </c>
      <c r="C16260" s="1" t="str">
        <f>HYPERLINK("http://stackoverflow.com/users/8645710", "Papa Ray")</f>
        <v>Papa Ray</v>
      </c>
      <c r="D16260" t="s">
        <v>62</v>
      </c>
      <c r="E16260">
        <v>1</v>
      </c>
    </row>
    <row r="16261" spans="1:5" x14ac:dyDescent="0.25">
      <c r="A16261">
        <v>16260</v>
      </c>
      <c r="B16261">
        <v>8650070</v>
      </c>
      <c r="C16261" s="1" t="str">
        <f>HYPERLINK("http://stackoverflow.com/users/8650070", "Cpn Phx")</f>
        <v>Cpn Phx</v>
      </c>
      <c r="D16261" t="s">
        <v>29</v>
      </c>
      <c r="E16261">
        <v>1</v>
      </c>
    </row>
    <row r="16262" spans="1:5" x14ac:dyDescent="0.25">
      <c r="A16262">
        <v>16261</v>
      </c>
      <c r="B16262">
        <v>5089094</v>
      </c>
      <c r="C16262" s="1" t="str">
        <f>HYPERLINK("http://stackoverflow.com/users/5089094", "hao ye")</f>
        <v>hao ye</v>
      </c>
      <c r="D16262" t="s">
        <v>4</v>
      </c>
      <c r="E16262">
        <v>1</v>
      </c>
    </row>
    <row r="16263" spans="1:5" x14ac:dyDescent="0.25">
      <c r="A16263">
        <v>16262</v>
      </c>
      <c r="B16263">
        <v>3234518</v>
      </c>
      <c r="C16263" s="1" t="str">
        <f>HYPERLINK("http://stackoverflow.com/users/3234518", "AngelHorn")</f>
        <v>AngelHorn</v>
      </c>
      <c r="D16263" t="s">
        <v>12</v>
      </c>
      <c r="E16263">
        <v>1</v>
      </c>
    </row>
    <row r="16264" spans="1:5" x14ac:dyDescent="0.25">
      <c r="A16264">
        <v>16263</v>
      </c>
      <c r="B16264">
        <v>1347750</v>
      </c>
      <c r="C16264" s="1" t="str">
        <f>HYPERLINK("http://stackoverflow.com/users/1347750", "gucs")</f>
        <v>gucs</v>
      </c>
      <c r="D16264" t="s">
        <v>35</v>
      </c>
      <c r="E16264">
        <v>1</v>
      </c>
    </row>
    <row r="16265" spans="1:5" x14ac:dyDescent="0.25">
      <c r="A16265">
        <v>16264</v>
      </c>
      <c r="B16265">
        <v>10419143</v>
      </c>
      <c r="C16265" s="1" t="str">
        <f>HYPERLINK("http://stackoverflow.com/users/10419143", "郭燕滔")</f>
        <v>郭燕滔</v>
      </c>
      <c r="D16265" t="s">
        <v>5</v>
      </c>
      <c r="E16265">
        <v>1</v>
      </c>
    </row>
    <row r="16266" spans="1:5" x14ac:dyDescent="0.25">
      <c r="A16266">
        <v>16265</v>
      </c>
      <c r="B16266">
        <v>5047546</v>
      </c>
      <c r="C16266" s="1" t="str">
        <f>HYPERLINK("http://stackoverflow.com/users/5047546", "pengkai")</f>
        <v>pengkai</v>
      </c>
      <c r="D16266" t="s">
        <v>4</v>
      </c>
      <c r="E16266">
        <v>1</v>
      </c>
    </row>
    <row r="16267" spans="1:5" x14ac:dyDescent="0.25">
      <c r="A16267">
        <v>16266</v>
      </c>
      <c r="B16267">
        <v>5047587</v>
      </c>
      <c r="C16267" s="1" t="str">
        <f>HYPERLINK("http://stackoverflow.com/users/5047587", "Tong Tian")</f>
        <v>Tong Tian</v>
      </c>
      <c r="D16267" t="s">
        <v>4</v>
      </c>
      <c r="E16267">
        <v>1</v>
      </c>
    </row>
    <row r="16268" spans="1:5" x14ac:dyDescent="0.25">
      <c r="A16268">
        <v>16267</v>
      </c>
      <c r="B16268">
        <v>1348412</v>
      </c>
      <c r="C16268" s="1" t="str">
        <f>HYPERLINK("http://stackoverflow.com/users/1348412", "Jacky.Wang")</f>
        <v>Jacky.Wang</v>
      </c>
      <c r="D16268" t="s">
        <v>5</v>
      </c>
      <c r="E16268">
        <v>1</v>
      </c>
    </row>
    <row r="16269" spans="1:5" x14ac:dyDescent="0.25">
      <c r="A16269">
        <v>16268</v>
      </c>
      <c r="B16269">
        <v>6768106</v>
      </c>
      <c r="C16269" s="1" t="str">
        <f>HYPERLINK("http://stackoverflow.com/users/6768106", "user6768106")</f>
        <v>user6768106</v>
      </c>
      <c r="D16269" t="s">
        <v>52</v>
      </c>
      <c r="E16269">
        <v>1</v>
      </c>
    </row>
    <row r="16270" spans="1:5" x14ac:dyDescent="0.25">
      <c r="A16270">
        <v>16269</v>
      </c>
      <c r="B16270">
        <v>3237865</v>
      </c>
      <c r="C16270" s="1" t="str">
        <f>HYPERLINK("http://stackoverflow.com/users/3237865", "Dingaaa")</f>
        <v>Dingaaa</v>
      </c>
      <c r="D16270" t="s">
        <v>3</v>
      </c>
      <c r="E16270">
        <v>1</v>
      </c>
    </row>
    <row r="16271" spans="1:5" x14ac:dyDescent="0.25">
      <c r="A16271">
        <v>16270</v>
      </c>
      <c r="B16271">
        <v>8610121</v>
      </c>
      <c r="C16271" s="1" t="str">
        <f>HYPERLINK("http://stackoverflow.com/users/8610121", "Jie Chen")</f>
        <v>Jie Chen</v>
      </c>
      <c r="D16271" t="s">
        <v>5</v>
      </c>
      <c r="E16271">
        <v>1</v>
      </c>
    </row>
    <row r="16272" spans="1:5" x14ac:dyDescent="0.25">
      <c r="A16272">
        <v>16271</v>
      </c>
      <c r="B16272">
        <v>10423268</v>
      </c>
      <c r="C16272" s="1" t="str">
        <f>HYPERLINK("http://stackoverflow.com/users/10423268", "Tao Zhang")</f>
        <v>Tao Zhang</v>
      </c>
      <c r="D16272" t="s">
        <v>4</v>
      </c>
      <c r="E16272">
        <v>1</v>
      </c>
    </row>
    <row r="16273" spans="1:5" x14ac:dyDescent="0.25">
      <c r="A16273">
        <v>16272</v>
      </c>
      <c r="B16273">
        <v>10423737</v>
      </c>
      <c r="C16273" s="1" t="str">
        <f>HYPERLINK("http://stackoverflow.com/users/10423737", "caseydong")</f>
        <v>caseydong</v>
      </c>
      <c r="D16273" t="s">
        <v>62</v>
      </c>
      <c r="E16273">
        <v>1</v>
      </c>
    </row>
    <row r="16274" spans="1:5" x14ac:dyDescent="0.25">
      <c r="A16274">
        <v>16273</v>
      </c>
      <c r="B16274">
        <v>10423798</v>
      </c>
      <c r="C16274" s="1" t="str">
        <f>HYPERLINK("http://stackoverflow.com/users/10423798", "Leon Lu")</f>
        <v>Leon Lu</v>
      </c>
      <c r="D16274" t="s">
        <v>4</v>
      </c>
      <c r="E16274">
        <v>1</v>
      </c>
    </row>
    <row r="16275" spans="1:5" x14ac:dyDescent="0.25">
      <c r="A16275">
        <v>16274</v>
      </c>
      <c r="B16275">
        <v>8596309</v>
      </c>
      <c r="C16275" s="1" t="str">
        <f>HYPERLINK("http://stackoverflow.com/users/8596309", "Kevin Ma")</f>
        <v>Kevin Ma</v>
      </c>
      <c r="D16275" t="s">
        <v>5</v>
      </c>
      <c r="E16275">
        <v>1</v>
      </c>
    </row>
    <row r="16276" spans="1:5" x14ac:dyDescent="0.25">
      <c r="A16276">
        <v>16275</v>
      </c>
      <c r="B16276">
        <v>8596392</v>
      </c>
      <c r="C16276" s="1" t="str">
        <f>HYPERLINK("http://stackoverflow.com/users/8596392", "Weiyan")</f>
        <v>Weiyan</v>
      </c>
      <c r="D16276" t="s">
        <v>4</v>
      </c>
      <c r="E16276">
        <v>1</v>
      </c>
    </row>
    <row r="16277" spans="1:5" x14ac:dyDescent="0.25">
      <c r="A16277">
        <v>16276</v>
      </c>
      <c r="B16277">
        <v>8596428</v>
      </c>
      <c r="C16277" s="1" t="str">
        <f>HYPERLINK("http://stackoverflow.com/users/8596428", "James Shih")</f>
        <v>James Shih</v>
      </c>
      <c r="D16277" t="s">
        <v>28</v>
      </c>
      <c r="E16277">
        <v>1</v>
      </c>
    </row>
    <row r="16278" spans="1:5" x14ac:dyDescent="0.25">
      <c r="A16278">
        <v>16277</v>
      </c>
      <c r="B16278">
        <v>8596552</v>
      </c>
      <c r="C16278" s="1" t="str">
        <f>HYPERLINK("http://stackoverflow.com/users/8596552", "Tim.WH.Wong")</f>
        <v>Tim.WH.Wong</v>
      </c>
      <c r="D16278" t="s">
        <v>7</v>
      </c>
      <c r="E16278">
        <v>1</v>
      </c>
    </row>
    <row r="16279" spans="1:5" x14ac:dyDescent="0.25">
      <c r="A16279">
        <v>16278</v>
      </c>
      <c r="B16279">
        <v>8596577</v>
      </c>
      <c r="C16279" s="1" t="str">
        <f>HYPERLINK("http://stackoverflow.com/users/8596577", "shihao.dsh")</f>
        <v>shihao.dsh</v>
      </c>
      <c r="D16279" t="s">
        <v>16</v>
      </c>
      <c r="E16279">
        <v>1</v>
      </c>
    </row>
    <row r="16280" spans="1:5" x14ac:dyDescent="0.25">
      <c r="A16280">
        <v>16279</v>
      </c>
      <c r="B16280">
        <v>5039241</v>
      </c>
      <c r="C16280" s="1" t="str">
        <f>HYPERLINK("http://stackoverflow.com/users/5039241", "principia")</f>
        <v>principia</v>
      </c>
      <c r="D16280" t="s">
        <v>5</v>
      </c>
      <c r="E16280">
        <v>1</v>
      </c>
    </row>
    <row r="16281" spans="1:5" x14ac:dyDescent="0.25">
      <c r="A16281">
        <v>16280</v>
      </c>
      <c r="B16281">
        <v>5039516</v>
      </c>
      <c r="C16281" s="1" t="str">
        <f>HYPERLINK("http://stackoverflow.com/users/5039516", "Bing Liu")</f>
        <v>Bing Liu</v>
      </c>
      <c r="D16281" t="s">
        <v>4</v>
      </c>
      <c r="E16281">
        <v>1</v>
      </c>
    </row>
    <row r="16282" spans="1:5" x14ac:dyDescent="0.25">
      <c r="A16282">
        <v>16281</v>
      </c>
      <c r="B16282">
        <v>8596654</v>
      </c>
      <c r="C16282" s="1" t="str">
        <f>HYPERLINK("http://stackoverflow.com/users/8596654", "Eden Chen")</f>
        <v>Eden Chen</v>
      </c>
      <c r="D16282" t="s">
        <v>4</v>
      </c>
      <c r="E16282">
        <v>1</v>
      </c>
    </row>
    <row r="16283" spans="1:5" x14ac:dyDescent="0.25">
      <c r="A16283">
        <v>16282</v>
      </c>
      <c r="B16283">
        <v>8596734</v>
      </c>
      <c r="C16283" s="1" t="str">
        <f>HYPERLINK("http://stackoverflow.com/users/8596734", "Mick")</f>
        <v>Mick</v>
      </c>
      <c r="D16283" t="s">
        <v>4</v>
      </c>
      <c r="E16283">
        <v>1</v>
      </c>
    </row>
    <row r="16284" spans="1:5" x14ac:dyDescent="0.25">
      <c r="A16284">
        <v>16283</v>
      </c>
      <c r="B16284">
        <v>3234215</v>
      </c>
      <c r="C16284" s="1" t="str">
        <f>HYPERLINK("http://stackoverflow.com/users/3234215", "user3234215")</f>
        <v>user3234215</v>
      </c>
      <c r="D16284" t="s">
        <v>6</v>
      </c>
      <c r="E16284">
        <v>1</v>
      </c>
    </row>
    <row r="16285" spans="1:5" x14ac:dyDescent="0.25">
      <c r="A16285">
        <v>16284</v>
      </c>
      <c r="B16285">
        <v>10405770</v>
      </c>
      <c r="C16285" s="1" t="str">
        <f>HYPERLINK("http://stackoverflow.com/users/10405770", "Roman Lee")</f>
        <v>Roman Lee</v>
      </c>
      <c r="D16285" t="s">
        <v>4</v>
      </c>
      <c r="E16285">
        <v>1</v>
      </c>
    </row>
    <row r="16286" spans="1:5" x14ac:dyDescent="0.25">
      <c r="A16286">
        <v>16285</v>
      </c>
      <c r="B16286">
        <v>8592652</v>
      </c>
      <c r="C16286" s="1" t="str">
        <f>HYPERLINK("http://stackoverflow.com/users/8592652", "Doniyorbek")</f>
        <v>Doniyorbek</v>
      </c>
      <c r="D16286" t="s">
        <v>325</v>
      </c>
      <c r="E16286">
        <v>1</v>
      </c>
    </row>
    <row r="16287" spans="1:5" x14ac:dyDescent="0.25">
      <c r="A16287">
        <v>16286</v>
      </c>
      <c r="B16287">
        <v>8596022</v>
      </c>
      <c r="C16287" s="1" t="str">
        <f>HYPERLINK("http://stackoverflow.com/users/8596022", "S. A. Gao")</f>
        <v>S. A. Gao</v>
      </c>
      <c r="D16287" t="s">
        <v>887</v>
      </c>
      <c r="E16287">
        <v>1</v>
      </c>
    </row>
    <row r="16288" spans="1:5" x14ac:dyDescent="0.25">
      <c r="A16288">
        <v>16287</v>
      </c>
      <c r="B16288">
        <v>5055108</v>
      </c>
      <c r="C16288" s="1" t="str">
        <f>HYPERLINK("http://stackoverflow.com/users/5055108", "smilesometimes")</f>
        <v>smilesometimes</v>
      </c>
      <c r="D16288" t="s">
        <v>54</v>
      </c>
      <c r="E16288">
        <v>1</v>
      </c>
    </row>
    <row r="16289" spans="1:5" x14ac:dyDescent="0.25">
      <c r="A16289">
        <v>16288</v>
      </c>
      <c r="B16289">
        <v>5059467</v>
      </c>
      <c r="C16289" s="1" t="str">
        <f>HYPERLINK("http://stackoverflow.com/users/5059467", "风花雪月走江湖")</f>
        <v>风花雪月走江湖</v>
      </c>
      <c r="D16289" t="s">
        <v>17</v>
      </c>
      <c r="E16289">
        <v>1</v>
      </c>
    </row>
    <row r="16290" spans="1:5" x14ac:dyDescent="0.25">
      <c r="A16290">
        <v>16289</v>
      </c>
      <c r="B16290">
        <v>1367025</v>
      </c>
      <c r="C16290" s="1" t="str">
        <f>HYPERLINK("http://stackoverflow.com/users/1367025", "frankli.sh")</f>
        <v>frankli.sh</v>
      </c>
      <c r="D16290" t="s">
        <v>4</v>
      </c>
      <c r="E16290">
        <v>1</v>
      </c>
    </row>
    <row r="16291" spans="1:5" x14ac:dyDescent="0.25">
      <c r="A16291">
        <v>16290</v>
      </c>
      <c r="B16291">
        <v>1367120</v>
      </c>
      <c r="C16291" s="1" t="str">
        <f>HYPERLINK("http://stackoverflow.com/users/1367120", "Xiao Neng")</f>
        <v>Xiao Neng</v>
      </c>
      <c r="D16291" t="s">
        <v>4</v>
      </c>
      <c r="E16291">
        <v>1</v>
      </c>
    </row>
    <row r="16292" spans="1:5" x14ac:dyDescent="0.25">
      <c r="A16292">
        <v>16291</v>
      </c>
      <c r="B16292">
        <v>10431671</v>
      </c>
      <c r="C16292" s="1" t="str">
        <f>HYPERLINK("http://stackoverflow.com/users/10431671", "Parvej Mosharaf")</f>
        <v>Parvej Mosharaf</v>
      </c>
      <c r="D16292" t="s">
        <v>16</v>
      </c>
      <c r="E16292">
        <v>1</v>
      </c>
    </row>
    <row r="16293" spans="1:5" x14ac:dyDescent="0.25">
      <c r="A16293">
        <v>16292</v>
      </c>
      <c r="B16293">
        <v>10431867</v>
      </c>
      <c r="C16293" s="1" t="str">
        <f>HYPERLINK("http://stackoverflow.com/users/10431867", "ALEX")</f>
        <v>ALEX</v>
      </c>
      <c r="D16293" t="s">
        <v>52</v>
      </c>
      <c r="E16293">
        <v>1</v>
      </c>
    </row>
    <row r="16294" spans="1:5" x14ac:dyDescent="0.25">
      <c r="A16294">
        <v>16293</v>
      </c>
      <c r="B16294">
        <v>10431912</v>
      </c>
      <c r="C16294" s="1" t="str">
        <f>HYPERLINK("http://stackoverflow.com/users/10431912", "Harry Wong")</f>
        <v>Harry Wong</v>
      </c>
      <c r="D16294" t="s">
        <v>5</v>
      </c>
      <c r="E16294">
        <v>1</v>
      </c>
    </row>
    <row r="16295" spans="1:5" x14ac:dyDescent="0.25">
      <c r="A16295">
        <v>16294</v>
      </c>
      <c r="B16295">
        <v>10431925</v>
      </c>
      <c r="C16295" s="1" t="str">
        <f>HYPERLINK("http://stackoverflow.com/users/10431925", "陆小凤")</f>
        <v>陆小凤</v>
      </c>
      <c r="D16295" t="s">
        <v>5</v>
      </c>
      <c r="E16295">
        <v>1</v>
      </c>
    </row>
    <row r="16296" spans="1:5" x14ac:dyDescent="0.25">
      <c r="A16296">
        <v>16295</v>
      </c>
      <c r="B16296">
        <v>10431977</v>
      </c>
      <c r="C16296" s="1" t="str">
        <f>HYPERLINK("http://stackoverflow.com/users/10431977", "周传铭")</f>
        <v>周传铭</v>
      </c>
      <c r="D16296" t="s">
        <v>4</v>
      </c>
      <c r="E16296">
        <v>1</v>
      </c>
    </row>
    <row r="16297" spans="1:5" x14ac:dyDescent="0.25">
      <c r="A16297">
        <v>16296</v>
      </c>
      <c r="B16297">
        <v>10432383</v>
      </c>
      <c r="C16297" s="1" t="str">
        <f>HYPERLINK("http://stackoverflow.com/users/10432383", "River")</f>
        <v>River</v>
      </c>
      <c r="D16297" t="s">
        <v>131</v>
      </c>
      <c r="E16297">
        <v>1</v>
      </c>
    </row>
    <row r="16298" spans="1:5" x14ac:dyDescent="0.25">
      <c r="A16298">
        <v>16297</v>
      </c>
      <c r="B16298">
        <v>10435983</v>
      </c>
      <c r="C16298" s="1" t="str">
        <f>HYPERLINK("http://stackoverflow.com/users/10435983", "user10435983")</f>
        <v>user10435983</v>
      </c>
      <c r="D16298" t="s">
        <v>5</v>
      </c>
      <c r="E16298">
        <v>1</v>
      </c>
    </row>
    <row r="16299" spans="1:5" x14ac:dyDescent="0.25">
      <c r="A16299">
        <v>16298</v>
      </c>
      <c r="B16299">
        <v>10436042</v>
      </c>
      <c r="C16299" s="1" t="str">
        <f>HYPERLINK("http://stackoverflow.com/users/10436042", "Xavier Lam")</f>
        <v>Xavier Lam</v>
      </c>
      <c r="D16299" t="s">
        <v>5</v>
      </c>
      <c r="E16299">
        <v>1</v>
      </c>
    </row>
    <row r="16300" spans="1:5" x14ac:dyDescent="0.25">
      <c r="A16300">
        <v>16299</v>
      </c>
      <c r="B16300">
        <v>8626158</v>
      </c>
      <c r="C16300" s="1" t="str">
        <f>HYPERLINK("http://stackoverflow.com/users/8626158", "dyustc")</f>
        <v>dyustc</v>
      </c>
      <c r="D16300" t="s">
        <v>5</v>
      </c>
      <c r="E16300">
        <v>1</v>
      </c>
    </row>
    <row r="16301" spans="1:5" x14ac:dyDescent="0.25">
      <c r="A16301">
        <v>16300</v>
      </c>
      <c r="B16301">
        <v>8626709</v>
      </c>
      <c r="C16301" s="1" t="str">
        <f>HYPERLINK("http://stackoverflow.com/users/8626709", "Qiwei Yu")</f>
        <v>Qiwei Yu</v>
      </c>
      <c r="D16301" t="s">
        <v>95</v>
      </c>
      <c r="E16301">
        <v>1</v>
      </c>
    </row>
    <row r="16302" spans="1:5" x14ac:dyDescent="0.25">
      <c r="A16302">
        <v>16301</v>
      </c>
      <c r="B16302">
        <v>8627142</v>
      </c>
      <c r="C16302" s="1" t="str">
        <f>HYPERLINK("http://stackoverflow.com/users/8627142", "Dr.Abbas")</f>
        <v>Dr.Abbas</v>
      </c>
      <c r="D16302" t="s">
        <v>5</v>
      </c>
      <c r="E16302">
        <v>1</v>
      </c>
    </row>
    <row r="16303" spans="1:5" x14ac:dyDescent="0.25">
      <c r="A16303">
        <v>16302</v>
      </c>
      <c r="B16303">
        <v>10444029</v>
      </c>
      <c r="C16303" s="1" t="str">
        <f>HYPERLINK("http://stackoverflow.com/users/10444029", "Kafuziroh")</f>
        <v>Kafuziroh</v>
      </c>
      <c r="D16303" t="s">
        <v>4</v>
      </c>
      <c r="E16303">
        <v>1</v>
      </c>
    </row>
    <row r="16304" spans="1:5" x14ac:dyDescent="0.25">
      <c r="A16304">
        <v>16303</v>
      </c>
      <c r="B16304">
        <v>3259625</v>
      </c>
      <c r="C16304" s="1" t="str">
        <f>HYPERLINK("http://stackoverflow.com/users/3259625", "guzheng")</f>
        <v>guzheng</v>
      </c>
      <c r="D16304" t="s">
        <v>37</v>
      </c>
      <c r="E16304">
        <v>1</v>
      </c>
    </row>
    <row r="16305" spans="1:5" x14ac:dyDescent="0.25">
      <c r="A16305">
        <v>16304</v>
      </c>
      <c r="B16305">
        <v>3259667</v>
      </c>
      <c r="C16305" s="1" t="str">
        <f>HYPERLINK("http://stackoverflow.com/users/3259667", "user3259667")</f>
        <v>user3259667</v>
      </c>
      <c r="D16305" t="s">
        <v>25</v>
      </c>
      <c r="E16305">
        <v>1</v>
      </c>
    </row>
    <row r="16306" spans="1:5" x14ac:dyDescent="0.25">
      <c r="A16306">
        <v>16305</v>
      </c>
      <c r="B16306">
        <v>8631234</v>
      </c>
      <c r="C16306" s="1" t="str">
        <f>HYPERLINK("http://stackoverflow.com/users/8631234", "weehaa")</f>
        <v>weehaa</v>
      </c>
      <c r="D16306" t="s">
        <v>78</v>
      </c>
      <c r="E16306">
        <v>1</v>
      </c>
    </row>
    <row r="16307" spans="1:5" x14ac:dyDescent="0.25">
      <c r="A16307">
        <v>16306</v>
      </c>
      <c r="B16307">
        <v>8631553</v>
      </c>
      <c r="C16307" s="1" t="str">
        <f>HYPERLINK("http://stackoverflow.com/users/8631553", "Wang Chao")</f>
        <v>Wang Chao</v>
      </c>
      <c r="D16307" t="s">
        <v>4</v>
      </c>
      <c r="E16307">
        <v>1</v>
      </c>
    </row>
    <row r="16308" spans="1:5" x14ac:dyDescent="0.25">
      <c r="A16308">
        <v>16307</v>
      </c>
      <c r="B16308">
        <v>5074717</v>
      </c>
      <c r="C16308" s="1" t="str">
        <f>HYPERLINK("http://stackoverflow.com/users/5074717", "leibo")</f>
        <v>leibo</v>
      </c>
      <c r="D16308" t="s">
        <v>22</v>
      </c>
      <c r="E16308">
        <v>1</v>
      </c>
    </row>
    <row r="16309" spans="1:5" x14ac:dyDescent="0.25">
      <c r="A16309">
        <v>16308</v>
      </c>
      <c r="B16309">
        <v>10449037</v>
      </c>
      <c r="C16309" s="1" t="str">
        <f>HYPERLINK("http://stackoverflow.com/users/10449037", "B.Lin")</f>
        <v>B.Lin</v>
      </c>
      <c r="D16309" t="s">
        <v>74</v>
      </c>
      <c r="E16309">
        <v>1</v>
      </c>
    </row>
    <row r="16310" spans="1:5" x14ac:dyDescent="0.25">
      <c r="A16310">
        <v>16309</v>
      </c>
      <c r="B16310">
        <v>10449171</v>
      </c>
      <c r="C16310" s="1" t="str">
        <f>HYPERLINK("http://stackoverflow.com/users/10449171", "Ma Kaiyu")</f>
        <v>Ma Kaiyu</v>
      </c>
      <c r="D16310" t="s">
        <v>61</v>
      </c>
      <c r="E16310">
        <v>1</v>
      </c>
    </row>
    <row r="16311" spans="1:5" x14ac:dyDescent="0.25">
      <c r="A16311">
        <v>16310</v>
      </c>
      <c r="B16311">
        <v>1388382</v>
      </c>
      <c r="C16311" s="1" t="str">
        <f>HYPERLINK("http://stackoverflow.com/users/1388382", "Liu Yongtai")</f>
        <v>Liu Yongtai</v>
      </c>
      <c r="D16311" t="s">
        <v>56</v>
      </c>
      <c r="E16311">
        <v>1</v>
      </c>
    </row>
    <row r="16312" spans="1:5" x14ac:dyDescent="0.25">
      <c r="A16312">
        <v>16311</v>
      </c>
      <c r="B16312">
        <v>1388483</v>
      </c>
      <c r="C16312" s="1" t="str">
        <f>HYPERLINK("http://stackoverflow.com/users/1388483", "Chris")</f>
        <v>Chris</v>
      </c>
      <c r="D16312" t="s">
        <v>12</v>
      </c>
      <c r="E16312">
        <v>1</v>
      </c>
    </row>
    <row r="16313" spans="1:5" x14ac:dyDescent="0.25">
      <c r="A16313">
        <v>16312</v>
      </c>
      <c r="B16313">
        <v>1388502</v>
      </c>
      <c r="C16313" s="1" t="str">
        <f>HYPERLINK("http://stackoverflow.com/users/1388502", "Bryan78")</f>
        <v>Bryan78</v>
      </c>
      <c r="D16313" t="s">
        <v>37</v>
      </c>
      <c r="E16313">
        <v>1</v>
      </c>
    </row>
    <row r="16314" spans="1:5" x14ac:dyDescent="0.25">
      <c r="A16314">
        <v>16313</v>
      </c>
      <c r="B16314">
        <v>1388533</v>
      </c>
      <c r="C16314" s="1" t="str">
        <f>HYPERLINK("http://stackoverflow.com/users/1388533", "lighter")</f>
        <v>lighter</v>
      </c>
      <c r="D16314" t="s">
        <v>4</v>
      </c>
      <c r="E16314">
        <v>1</v>
      </c>
    </row>
    <row r="16315" spans="1:5" x14ac:dyDescent="0.25">
      <c r="A16315">
        <v>16314</v>
      </c>
      <c r="B16315">
        <v>10554929</v>
      </c>
      <c r="C16315" s="1" t="str">
        <f>HYPERLINK("http://stackoverflow.com/users/10554929", "Tung Ethan")</f>
        <v>Tung Ethan</v>
      </c>
      <c r="D16315" t="s">
        <v>10</v>
      </c>
      <c r="E16315">
        <v>1</v>
      </c>
    </row>
    <row r="16316" spans="1:5" x14ac:dyDescent="0.25">
      <c r="A16316">
        <v>16315</v>
      </c>
      <c r="B16316">
        <v>6892152</v>
      </c>
      <c r="C16316" s="1" t="str">
        <f>HYPERLINK("http://stackoverflow.com/users/6892152", "Chiang Ives")</f>
        <v>Chiang Ives</v>
      </c>
      <c r="D16316" t="s">
        <v>131</v>
      </c>
      <c r="E16316">
        <v>1</v>
      </c>
    </row>
    <row r="16317" spans="1:5" x14ac:dyDescent="0.25">
      <c r="A16317">
        <v>16316</v>
      </c>
      <c r="B16317">
        <v>6892436</v>
      </c>
      <c r="C16317" s="1" t="str">
        <f>HYPERLINK("http://stackoverflow.com/users/6892436", "0736TuT")</f>
        <v>0736TuT</v>
      </c>
      <c r="D16317" t="s">
        <v>292</v>
      </c>
      <c r="E16317">
        <v>1</v>
      </c>
    </row>
    <row r="16318" spans="1:5" x14ac:dyDescent="0.25">
      <c r="A16318">
        <v>16317</v>
      </c>
      <c r="B16318">
        <v>6892594</v>
      </c>
      <c r="C16318" s="1" t="str">
        <f>HYPERLINK("http://stackoverflow.com/users/6892594", "Steven HJJ")</f>
        <v>Steven HJJ</v>
      </c>
      <c r="D16318" t="s">
        <v>130</v>
      </c>
      <c r="E16318">
        <v>1</v>
      </c>
    </row>
    <row r="16319" spans="1:5" x14ac:dyDescent="0.25">
      <c r="A16319">
        <v>16318</v>
      </c>
      <c r="B16319">
        <v>8743723</v>
      </c>
      <c r="C16319" s="1" t="str">
        <f>HYPERLINK("http://stackoverflow.com/users/8743723", "Tommy V")</f>
        <v>Tommy V</v>
      </c>
      <c r="D16319" t="s">
        <v>888</v>
      </c>
      <c r="E16319">
        <v>1</v>
      </c>
    </row>
    <row r="16320" spans="1:5" x14ac:dyDescent="0.25">
      <c r="A16320">
        <v>16319</v>
      </c>
      <c r="B16320">
        <v>8743818</v>
      </c>
      <c r="C16320" s="1" t="str">
        <f>HYPERLINK("http://stackoverflow.com/users/8743818", "Wenchao Lei")</f>
        <v>Wenchao Lei</v>
      </c>
      <c r="D16320" t="s">
        <v>889</v>
      </c>
      <c r="E16320">
        <v>1</v>
      </c>
    </row>
    <row r="16321" spans="1:5" x14ac:dyDescent="0.25">
      <c r="A16321">
        <v>16320</v>
      </c>
      <c r="B16321">
        <v>1496006</v>
      </c>
      <c r="C16321" s="1" t="str">
        <f>HYPERLINK("http://stackoverflow.com/users/1496006", "wing")</f>
        <v>wing</v>
      </c>
      <c r="D16321" t="s">
        <v>24</v>
      </c>
      <c r="E16321">
        <v>1</v>
      </c>
    </row>
    <row r="16322" spans="1:5" x14ac:dyDescent="0.25">
      <c r="A16322">
        <v>16321</v>
      </c>
      <c r="B16322">
        <v>8739130</v>
      </c>
      <c r="C16322" s="1" t="str">
        <f>HYPERLINK("http://stackoverflow.com/users/8739130", "小谦谦")</f>
        <v>小谦谦</v>
      </c>
      <c r="D16322" t="s">
        <v>25</v>
      </c>
      <c r="E16322">
        <v>1</v>
      </c>
    </row>
    <row r="16323" spans="1:5" x14ac:dyDescent="0.25">
      <c r="A16323">
        <v>16322</v>
      </c>
      <c r="B16323">
        <v>10550529</v>
      </c>
      <c r="C16323" s="1" t="str">
        <f>HYPERLINK("http://stackoverflow.com/users/10550529", "user956609")</f>
        <v>user956609</v>
      </c>
      <c r="D16323" t="s">
        <v>5</v>
      </c>
      <c r="E16323">
        <v>1</v>
      </c>
    </row>
    <row r="16324" spans="1:5" x14ac:dyDescent="0.25">
      <c r="A16324">
        <v>16323</v>
      </c>
      <c r="B16324">
        <v>10550556</v>
      </c>
      <c r="C16324" s="1" t="str">
        <f>HYPERLINK("http://stackoverflow.com/users/10550556", "QiMu")</f>
        <v>QiMu</v>
      </c>
      <c r="D16324" t="s">
        <v>16</v>
      </c>
      <c r="E16324">
        <v>1</v>
      </c>
    </row>
    <row r="16325" spans="1:5" x14ac:dyDescent="0.25">
      <c r="A16325">
        <v>16324</v>
      </c>
      <c r="B16325">
        <v>10550657</v>
      </c>
      <c r="C16325" s="1" t="str">
        <f>HYPERLINK("http://stackoverflow.com/users/10550657", "Zhiyi Yin")</f>
        <v>Zhiyi Yin</v>
      </c>
      <c r="D16325" t="s">
        <v>5</v>
      </c>
      <c r="E16325">
        <v>1</v>
      </c>
    </row>
    <row r="16326" spans="1:5" x14ac:dyDescent="0.25">
      <c r="A16326">
        <v>16325</v>
      </c>
      <c r="B16326">
        <v>10550708</v>
      </c>
      <c r="C16326" s="1" t="str">
        <f>HYPERLINK("http://stackoverflow.com/users/10550708", "AbyssalJelly")</f>
        <v>AbyssalJelly</v>
      </c>
      <c r="D16326" t="s">
        <v>79</v>
      </c>
      <c r="E16326">
        <v>1</v>
      </c>
    </row>
    <row r="16327" spans="1:5" x14ac:dyDescent="0.25">
      <c r="A16327">
        <v>16326</v>
      </c>
      <c r="B16327">
        <v>1511157</v>
      </c>
      <c r="C16327" s="1" t="str">
        <f>HYPERLINK("http://stackoverflow.com/users/1511157", "moogheads")</f>
        <v>moogheads</v>
      </c>
      <c r="D16327" t="s">
        <v>6</v>
      </c>
      <c r="E16327">
        <v>1</v>
      </c>
    </row>
    <row r="16328" spans="1:5" x14ac:dyDescent="0.25">
      <c r="A16328">
        <v>16327</v>
      </c>
      <c r="B16328">
        <v>6900405</v>
      </c>
      <c r="C16328" s="1" t="str">
        <f>HYPERLINK("http://stackoverflow.com/users/6900405", "Joker")</f>
        <v>Joker</v>
      </c>
      <c r="D16328" t="s">
        <v>757</v>
      </c>
      <c r="E16328">
        <v>1</v>
      </c>
    </row>
    <row r="16329" spans="1:5" x14ac:dyDescent="0.25">
      <c r="A16329">
        <v>16328</v>
      </c>
      <c r="B16329">
        <v>1516688</v>
      </c>
      <c r="C16329" s="1" t="str">
        <f>HYPERLINK("http://stackoverflow.com/users/1516688", "FourierTaylor")</f>
        <v>FourierTaylor</v>
      </c>
      <c r="D16329" t="s">
        <v>54</v>
      </c>
      <c r="E16329">
        <v>1</v>
      </c>
    </row>
    <row r="16330" spans="1:5" x14ac:dyDescent="0.25">
      <c r="A16330">
        <v>16329</v>
      </c>
      <c r="B16330">
        <v>1516701</v>
      </c>
      <c r="C16330" s="1" t="str">
        <f>HYPERLINK("http://stackoverflow.com/users/1516701", "jarorwar")</f>
        <v>jarorwar</v>
      </c>
      <c r="D16330" t="s">
        <v>5</v>
      </c>
      <c r="E16330">
        <v>1</v>
      </c>
    </row>
    <row r="16331" spans="1:5" x14ac:dyDescent="0.25">
      <c r="A16331">
        <v>16330</v>
      </c>
      <c r="B16331">
        <v>3377633</v>
      </c>
      <c r="C16331" s="1" t="str">
        <f>HYPERLINK("http://stackoverflow.com/users/3377633", "Juiceyang")</f>
        <v>Juiceyang</v>
      </c>
      <c r="D16331" t="s">
        <v>5</v>
      </c>
      <c r="E16331">
        <v>1</v>
      </c>
    </row>
    <row r="16332" spans="1:5" x14ac:dyDescent="0.25">
      <c r="A16332">
        <v>16331</v>
      </c>
      <c r="B16332">
        <v>1522227</v>
      </c>
      <c r="C16332" s="1" t="str">
        <f>HYPERLINK("http://stackoverflow.com/users/1522227", "Lynx  Stirp")</f>
        <v>Lynx  Stirp</v>
      </c>
      <c r="D16332" t="s">
        <v>5</v>
      </c>
      <c r="E16332">
        <v>1</v>
      </c>
    </row>
    <row r="16333" spans="1:5" x14ac:dyDescent="0.25">
      <c r="A16333">
        <v>16332</v>
      </c>
      <c r="B16333">
        <v>1522452</v>
      </c>
      <c r="C16333" s="1" t="str">
        <f>HYPERLINK("http://stackoverflow.com/users/1522452", "wulidaoxue")</f>
        <v>wulidaoxue</v>
      </c>
      <c r="D16333" t="s">
        <v>5</v>
      </c>
      <c r="E16333">
        <v>1</v>
      </c>
    </row>
    <row r="16334" spans="1:5" x14ac:dyDescent="0.25">
      <c r="A16334">
        <v>16333</v>
      </c>
      <c r="B16334">
        <v>1522482</v>
      </c>
      <c r="C16334" s="1" t="str">
        <f>HYPERLINK("http://stackoverflow.com/users/1522482", "SteveZheng")</f>
        <v>SteveZheng</v>
      </c>
      <c r="D16334" t="s">
        <v>38</v>
      </c>
      <c r="E16334">
        <v>1</v>
      </c>
    </row>
    <row r="16335" spans="1:5" x14ac:dyDescent="0.25">
      <c r="A16335">
        <v>16334</v>
      </c>
      <c r="B16335">
        <v>1518350</v>
      </c>
      <c r="C16335" s="1" t="str">
        <f>HYPERLINK("http://stackoverflow.com/users/1518350", "aegibro")</f>
        <v>aegibro</v>
      </c>
      <c r="D16335" t="s">
        <v>890</v>
      </c>
      <c r="E16335">
        <v>1</v>
      </c>
    </row>
    <row r="16336" spans="1:5" x14ac:dyDescent="0.25">
      <c r="A16336">
        <v>16335</v>
      </c>
      <c r="B16336">
        <v>3373364</v>
      </c>
      <c r="C16336" s="1" t="str">
        <f>HYPERLINK("http://stackoverflow.com/users/3373364", "Xingjian")</f>
        <v>Xingjian</v>
      </c>
      <c r="D16336" t="s">
        <v>5</v>
      </c>
      <c r="E16336">
        <v>1</v>
      </c>
    </row>
    <row r="16337" spans="1:5" x14ac:dyDescent="0.25">
      <c r="A16337">
        <v>16336</v>
      </c>
      <c r="B16337">
        <v>3373500</v>
      </c>
      <c r="C16337" s="1" t="str">
        <f>HYPERLINK("http://stackoverflow.com/users/3373500", "country731")</f>
        <v>country731</v>
      </c>
      <c r="D16337" t="s">
        <v>5</v>
      </c>
      <c r="E16337">
        <v>1</v>
      </c>
    </row>
    <row r="16338" spans="1:5" x14ac:dyDescent="0.25">
      <c r="A16338">
        <v>16337</v>
      </c>
      <c r="B16338">
        <v>5186222</v>
      </c>
      <c r="C16338" s="1" t="str">
        <f>HYPERLINK("http://stackoverflow.com/users/5186222", "eternityi")</f>
        <v>eternityi</v>
      </c>
      <c r="D16338" t="s">
        <v>5</v>
      </c>
      <c r="E16338">
        <v>1</v>
      </c>
    </row>
    <row r="16339" spans="1:5" x14ac:dyDescent="0.25">
      <c r="A16339">
        <v>16338</v>
      </c>
      <c r="B16339">
        <v>8721442</v>
      </c>
      <c r="C16339" s="1" t="str">
        <f>HYPERLINK("http://stackoverflow.com/users/8721442", "Tellaurea")</f>
        <v>Tellaurea</v>
      </c>
      <c r="D16339" t="s">
        <v>5</v>
      </c>
      <c r="E16339">
        <v>1</v>
      </c>
    </row>
    <row r="16340" spans="1:5" x14ac:dyDescent="0.25">
      <c r="A16340">
        <v>16339</v>
      </c>
      <c r="B16340">
        <v>1485061</v>
      </c>
      <c r="C16340" s="1" t="str">
        <f>HYPERLINK("http://stackoverflow.com/users/1485061", "marlgl")</f>
        <v>marlgl</v>
      </c>
      <c r="D16340" t="s">
        <v>4</v>
      </c>
      <c r="E16340">
        <v>1</v>
      </c>
    </row>
    <row r="16341" spans="1:5" x14ac:dyDescent="0.25">
      <c r="A16341">
        <v>16340</v>
      </c>
      <c r="B16341">
        <v>1485122</v>
      </c>
      <c r="C16341" s="1" t="str">
        <f>HYPERLINK("http://stackoverflow.com/users/1485122", "pepy")</f>
        <v>pepy</v>
      </c>
      <c r="D16341" t="s">
        <v>5</v>
      </c>
      <c r="E16341">
        <v>1</v>
      </c>
    </row>
    <row r="16342" spans="1:5" x14ac:dyDescent="0.25">
      <c r="A16342">
        <v>16341</v>
      </c>
      <c r="B16342">
        <v>6876377</v>
      </c>
      <c r="C16342" s="1" t="str">
        <f>HYPERLINK("http://stackoverflow.com/users/6876377", "jarbinup")</f>
        <v>jarbinup</v>
      </c>
      <c r="D16342" t="s">
        <v>157</v>
      </c>
      <c r="E16342">
        <v>1</v>
      </c>
    </row>
    <row r="16343" spans="1:5" x14ac:dyDescent="0.25">
      <c r="A16343">
        <v>16342</v>
      </c>
      <c r="B16343">
        <v>1489549</v>
      </c>
      <c r="C16343" s="1" t="str">
        <f>HYPERLINK("http://stackoverflow.com/users/1489549", "Cloud Rose")</f>
        <v>Cloud Rose</v>
      </c>
      <c r="D16343" t="s">
        <v>4</v>
      </c>
      <c r="E16343">
        <v>1</v>
      </c>
    </row>
    <row r="16344" spans="1:5" x14ac:dyDescent="0.25">
      <c r="A16344">
        <v>16343</v>
      </c>
      <c r="B16344">
        <v>1490080</v>
      </c>
      <c r="C16344" s="1" t="str">
        <f>HYPERLINK("http://stackoverflow.com/users/1490080", "zorrow")</f>
        <v>zorrow</v>
      </c>
      <c r="D16344" t="s">
        <v>4</v>
      </c>
      <c r="E16344">
        <v>1</v>
      </c>
    </row>
    <row r="16345" spans="1:5" x14ac:dyDescent="0.25">
      <c r="A16345">
        <v>16344</v>
      </c>
      <c r="B16345">
        <v>10541513</v>
      </c>
      <c r="C16345" s="1" t="str">
        <f>HYPERLINK("http://stackoverflow.com/users/10541513", "Lianghua Du")</f>
        <v>Lianghua Du</v>
      </c>
      <c r="D16345" t="s">
        <v>43</v>
      </c>
      <c r="E16345">
        <v>1</v>
      </c>
    </row>
    <row r="16346" spans="1:5" x14ac:dyDescent="0.25">
      <c r="A16346">
        <v>16345</v>
      </c>
      <c r="B16346">
        <v>10541627</v>
      </c>
      <c r="C16346" s="1" t="str">
        <f>HYPERLINK("http://stackoverflow.com/users/10541627", "Hua Cheng Wan")</f>
        <v>Hua Cheng Wan</v>
      </c>
      <c r="D16346" t="s">
        <v>320</v>
      </c>
      <c r="E16346">
        <v>1</v>
      </c>
    </row>
    <row r="16347" spans="1:5" x14ac:dyDescent="0.25">
      <c r="A16347">
        <v>16346</v>
      </c>
      <c r="B16347">
        <v>1484887</v>
      </c>
      <c r="C16347" s="1" t="str">
        <f>HYPERLINK("http://stackoverflow.com/users/1484887", "Carl DAI")</f>
        <v>Carl DAI</v>
      </c>
      <c r="D16347" t="s">
        <v>5</v>
      </c>
      <c r="E16347">
        <v>1</v>
      </c>
    </row>
    <row r="16348" spans="1:5" x14ac:dyDescent="0.25">
      <c r="A16348">
        <v>16347</v>
      </c>
      <c r="B16348">
        <v>1495083</v>
      </c>
      <c r="C16348" s="1" t="str">
        <f>HYPERLINK("http://stackoverflow.com/users/1495083", "Yun.kou")</f>
        <v>Yun.kou</v>
      </c>
      <c r="D16348" t="s">
        <v>57</v>
      </c>
      <c r="E16348">
        <v>1</v>
      </c>
    </row>
    <row r="16349" spans="1:5" x14ac:dyDescent="0.25">
      <c r="A16349">
        <v>16348</v>
      </c>
      <c r="B16349">
        <v>1495247</v>
      </c>
      <c r="C16349" s="1" t="str">
        <f>HYPERLINK("http://stackoverflow.com/users/1495247", "Jimmy.zhao")</f>
        <v>Jimmy.zhao</v>
      </c>
      <c r="D16349" t="s">
        <v>5</v>
      </c>
      <c r="E16349">
        <v>1</v>
      </c>
    </row>
    <row r="16350" spans="1:5" x14ac:dyDescent="0.25">
      <c r="A16350">
        <v>16349</v>
      </c>
      <c r="B16350">
        <v>1495280</v>
      </c>
      <c r="C16350" s="1" t="str">
        <f>HYPERLINK("http://stackoverflow.com/users/1495280", "majingshan")</f>
        <v>majingshan</v>
      </c>
      <c r="D16350" t="s">
        <v>5</v>
      </c>
      <c r="E16350">
        <v>1</v>
      </c>
    </row>
    <row r="16351" spans="1:5" x14ac:dyDescent="0.25">
      <c r="A16351">
        <v>16350</v>
      </c>
      <c r="B16351">
        <v>1495646</v>
      </c>
      <c r="C16351" s="1" t="str">
        <f>HYPERLINK("http://stackoverflow.com/users/1495646", "Yifan")</f>
        <v>Yifan</v>
      </c>
      <c r="D16351" t="s">
        <v>5</v>
      </c>
      <c r="E16351">
        <v>1</v>
      </c>
    </row>
    <row r="16352" spans="1:5" x14ac:dyDescent="0.25">
      <c r="A16352">
        <v>16351</v>
      </c>
      <c r="B16352">
        <v>1494553</v>
      </c>
      <c r="C16352" s="1" t="str">
        <f>HYPERLINK("http://stackoverflow.com/users/1494553", "kyou")</f>
        <v>kyou</v>
      </c>
      <c r="D16352" t="s">
        <v>5</v>
      </c>
      <c r="E16352">
        <v>1</v>
      </c>
    </row>
    <row r="16353" spans="1:5" x14ac:dyDescent="0.25">
      <c r="A16353">
        <v>16352</v>
      </c>
      <c r="B16353">
        <v>1494957</v>
      </c>
      <c r="C16353" s="1" t="str">
        <f>HYPERLINK("http://stackoverflow.com/users/1494957", "johnny901114")</f>
        <v>johnny901114</v>
      </c>
      <c r="D16353" t="s">
        <v>5</v>
      </c>
      <c r="E16353">
        <v>1</v>
      </c>
    </row>
    <row r="16354" spans="1:5" x14ac:dyDescent="0.25">
      <c r="A16354">
        <v>16353</v>
      </c>
      <c r="B16354">
        <v>1495019</v>
      </c>
      <c r="C16354" s="1" t="str">
        <f>HYPERLINK("http://stackoverflow.com/users/1495019", "ZSL")</f>
        <v>ZSL</v>
      </c>
      <c r="D16354" t="s">
        <v>5</v>
      </c>
      <c r="E16354">
        <v>1</v>
      </c>
    </row>
    <row r="16355" spans="1:5" x14ac:dyDescent="0.25">
      <c r="A16355">
        <v>16354</v>
      </c>
      <c r="B16355">
        <v>3353991</v>
      </c>
      <c r="C16355" s="1" t="str">
        <f>HYPERLINK("http://stackoverflow.com/users/3353991", "PanhuaDai")</f>
        <v>PanhuaDai</v>
      </c>
      <c r="D16355" t="s">
        <v>8</v>
      </c>
      <c r="E16355">
        <v>1</v>
      </c>
    </row>
    <row r="16356" spans="1:5" x14ac:dyDescent="0.25">
      <c r="A16356">
        <v>16355</v>
      </c>
      <c r="B16356">
        <v>3354031</v>
      </c>
      <c r="C16356" s="1" t="str">
        <f>HYPERLINK("http://stackoverflow.com/users/3354031", "jack in beijing")</f>
        <v>jack in beijing</v>
      </c>
      <c r="D16356" t="s">
        <v>5</v>
      </c>
      <c r="E16356">
        <v>1</v>
      </c>
    </row>
    <row r="16357" spans="1:5" x14ac:dyDescent="0.25">
      <c r="A16357">
        <v>16356</v>
      </c>
      <c r="B16357">
        <v>6880351</v>
      </c>
      <c r="C16357" s="1" t="str">
        <f>HYPERLINK("http://stackoverflow.com/users/6880351", "ZAU FONG")</f>
        <v>ZAU FONG</v>
      </c>
      <c r="D16357" t="s">
        <v>42</v>
      </c>
      <c r="E16357">
        <v>1</v>
      </c>
    </row>
    <row r="16358" spans="1:5" x14ac:dyDescent="0.25">
      <c r="A16358">
        <v>16357</v>
      </c>
      <c r="B16358">
        <v>5110960</v>
      </c>
      <c r="C16358" s="1" t="str">
        <f>HYPERLINK("http://stackoverflow.com/users/5110960", "Chason Zhang")</f>
        <v>Chason Zhang</v>
      </c>
      <c r="D16358" t="s">
        <v>4</v>
      </c>
      <c r="E16358">
        <v>1</v>
      </c>
    </row>
    <row r="16359" spans="1:5" x14ac:dyDescent="0.25">
      <c r="A16359">
        <v>16358</v>
      </c>
      <c r="B16359">
        <v>10487074</v>
      </c>
      <c r="C16359" s="1" t="str">
        <f>HYPERLINK("http://stackoverflow.com/users/10487074", "Bruce Xian")</f>
        <v>Bruce Xian</v>
      </c>
      <c r="D16359" t="s">
        <v>891</v>
      </c>
      <c r="E16359">
        <v>1</v>
      </c>
    </row>
    <row r="16360" spans="1:5" x14ac:dyDescent="0.25">
      <c r="A16360">
        <v>16359</v>
      </c>
      <c r="B16360">
        <v>10487288</v>
      </c>
      <c r="C16360" s="1" t="str">
        <f>HYPERLINK("http://stackoverflow.com/users/10487288", "jun huang")</f>
        <v>jun huang</v>
      </c>
      <c r="D16360" t="s">
        <v>892</v>
      </c>
      <c r="E16360">
        <v>1</v>
      </c>
    </row>
    <row r="16361" spans="1:5" x14ac:dyDescent="0.25">
      <c r="A16361">
        <v>16360</v>
      </c>
      <c r="B16361">
        <v>10487386</v>
      </c>
      <c r="C16361" s="1" t="str">
        <f>HYPERLINK("http://stackoverflow.com/users/10487386", "Measureless Liang")</f>
        <v>Measureless Liang</v>
      </c>
      <c r="D16361" t="s">
        <v>25</v>
      </c>
      <c r="E16361">
        <v>1</v>
      </c>
    </row>
    <row r="16362" spans="1:5" x14ac:dyDescent="0.25">
      <c r="A16362">
        <v>16361</v>
      </c>
      <c r="B16362">
        <v>10487434</v>
      </c>
      <c r="C16362" s="1" t="str">
        <f>HYPERLINK("http://stackoverflow.com/users/10487434", "Junlin P")</f>
        <v>Junlin P</v>
      </c>
      <c r="D16362" t="s">
        <v>52</v>
      </c>
      <c r="E16362">
        <v>1</v>
      </c>
    </row>
    <row r="16363" spans="1:5" x14ac:dyDescent="0.25">
      <c r="A16363">
        <v>16362</v>
      </c>
      <c r="B16363">
        <v>8674876</v>
      </c>
      <c r="C16363" s="1" t="str">
        <f>HYPERLINK("http://stackoverflow.com/users/8674876", "Jiawei Xu")</f>
        <v>Jiawei Xu</v>
      </c>
      <c r="D16363" t="s">
        <v>55</v>
      </c>
      <c r="E16363">
        <v>1</v>
      </c>
    </row>
    <row r="16364" spans="1:5" x14ac:dyDescent="0.25">
      <c r="A16364">
        <v>16363</v>
      </c>
      <c r="B16364">
        <v>8674878</v>
      </c>
      <c r="C16364" s="1" t="str">
        <f>HYPERLINK("http://stackoverflow.com/users/8674878", "Ye Jianyong")</f>
        <v>Ye Jianyong</v>
      </c>
      <c r="D16364" t="s">
        <v>16</v>
      </c>
      <c r="E16364">
        <v>1</v>
      </c>
    </row>
    <row r="16365" spans="1:5" x14ac:dyDescent="0.25">
      <c r="A16365">
        <v>16364</v>
      </c>
      <c r="B16365">
        <v>10490212</v>
      </c>
      <c r="C16365" s="1" t="str">
        <f>HYPERLINK("http://stackoverflow.com/users/10490212", "xlee9")</f>
        <v>xlee9</v>
      </c>
      <c r="D16365" t="s">
        <v>4</v>
      </c>
      <c r="E16365">
        <v>1</v>
      </c>
    </row>
    <row r="16366" spans="1:5" x14ac:dyDescent="0.25">
      <c r="A16366">
        <v>16365</v>
      </c>
      <c r="B16366">
        <v>1438620</v>
      </c>
      <c r="C16366" s="1" t="str">
        <f>HYPERLINK("http://stackoverflow.com/users/1438620", "sacrefies")</f>
        <v>sacrefies</v>
      </c>
      <c r="D16366" t="s">
        <v>22</v>
      </c>
      <c r="E16366">
        <v>1</v>
      </c>
    </row>
    <row r="16367" spans="1:5" x14ac:dyDescent="0.25">
      <c r="A16367">
        <v>16366</v>
      </c>
      <c r="B16367">
        <v>1438734</v>
      </c>
      <c r="C16367" s="1" t="str">
        <f>HYPERLINK("http://stackoverflow.com/users/1438734", "platinum")</f>
        <v>platinum</v>
      </c>
      <c r="D16367" t="s">
        <v>5</v>
      </c>
      <c r="E16367">
        <v>1</v>
      </c>
    </row>
    <row r="16368" spans="1:5" x14ac:dyDescent="0.25">
      <c r="A16368">
        <v>16367</v>
      </c>
      <c r="B16368">
        <v>5114611</v>
      </c>
      <c r="C16368" s="1" t="str">
        <f>HYPERLINK("http://stackoverflow.com/users/5114611", "Wanderyt")</f>
        <v>Wanderyt</v>
      </c>
      <c r="D16368" t="s">
        <v>4</v>
      </c>
      <c r="E16368">
        <v>1</v>
      </c>
    </row>
    <row r="16369" spans="1:5" x14ac:dyDescent="0.25">
      <c r="A16369">
        <v>16368</v>
      </c>
      <c r="B16369">
        <v>5115040</v>
      </c>
      <c r="C16369" s="1" t="str">
        <f>HYPERLINK("http://stackoverflow.com/users/5115040", "Brian Pond")</f>
        <v>Brian Pond</v>
      </c>
      <c r="D16369" t="s">
        <v>5</v>
      </c>
      <c r="E16369">
        <v>1</v>
      </c>
    </row>
    <row r="16370" spans="1:5" x14ac:dyDescent="0.25">
      <c r="A16370">
        <v>16369</v>
      </c>
      <c r="B16370">
        <v>8682275</v>
      </c>
      <c r="C16370" s="1" t="str">
        <f>HYPERLINK("http://stackoverflow.com/users/8682275", "jerry Lou")</f>
        <v>jerry Lou</v>
      </c>
      <c r="D16370" t="s">
        <v>25</v>
      </c>
      <c r="E16370">
        <v>1</v>
      </c>
    </row>
    <row r="16371" spans="1:5" x14ac:dyDescent="0.25">
      <c r="A16371">
        <v>16370</v>
      </c>
      <c r="B16371">
        <v>10494565</v>
      </c>
      <c r="C16371" s="1" t="str">
        <f>HYPERLINK("http://stackoverflow.com/users/10494565", "Z.kxChina")</f>
        <v>Z.kxChina</v>
      </c>
      <c r="D16371" t="s">
        <v>131</v>
      </c>
      <c r="E16371">
        <v>1</v>
      </c>
    </row>
    <row r="16372" spans="1:5" x14ac:dyDescent="0.25">
      <c r="A16372">
        <v>16371</v>
      </c>
      <c r="B16372">
        <v>3305254</v>
      </c>
      <c r="C16372" s="1" t="str">
        <f>HYPERLINK("http://stackoverflow.com/users/3305254", "xuxiaoshun")</f>
        <v>xuxiaoshun</v>
      </c>
      <c r="D16372" t="s">
        <v>4</v>
      </c>
      <c r="E16372">
        <v>1</v>
      </c>
    </row>
    <row r="16373" spans="1:5" x14ac:dyDescent="0.25">
      <c r="A16373">
        <v>16372</v>
      </c>
      <c r="B16373">
        <v>1452929</v>
      </c>
      <c r="C16373" s="1" t="str">
        <f>HYPERLINK("http://stackoverflow.com/users/1452929", "imbahom")</f>
        <v>imbahom</v>
      </c>
      <c r="D16373" t="s">
        <v>5</v>
      </c>
      <c r="E16373">
        <v>1</v>
      </c>
    </row>
    <row r="16374" spans="1:5" x14ac:dyDescent="0.25">
      <c r="A16374">
        <v>16373</v>
      </c>
      <c r="B16374">
        <v>10512618</v>
      </c>
      <c r="C16374" s="1" t="str">
        <f>HYPERLINK("http://stackoverflow.com/users/10512618", "Ming")</f>
        <v>Ming</v>
      </c>
      <c r="D16374" t="s">
        <v>55</v>
      </c>
      <c r="E16374">
        <v>1</v>
      </c>
    </row>
    <row r="16375" spans="1:5" x14ac:dyDescent="0.25">
      <c r="A16375">
        <v>16374</v>
      </c>
      <c r="B16375">
        <v>5133854</v>
      </c>
      <c r="C16375" s="1" t="str">
        <f>HYPERLINK("http://stackoverflow.com/users/5133854", "Mr.Jiang")</f>
        <v>Mr.Jiang</v>
      </c>
      <c r="D16375" t="s">
        <v>5</v>
      </c>
      <c r="E16375">
        <v>1</v>
      </c>
    </row>
    <row r="16376" spans="1:5" x14ac:dyDescent="0.25">
      <c r="A16376">
        <v>16375</v>
      </c>
      <c r="B16376">
        <v>8700067</v>
      </c>
      <c r="C16376" s="1" t="str">
        <f>HYPERLINK("http://stackoverflow.com/users/8700067", "Peing Pwong Pwooh")</f>
        <v>Peing Pwong Pwooh</v>
      </c>
      <c r="D16376" t="s">
        <v>5</v>
      </c>
      <c r="E16376">
        <v>1</v>
      </c>
    </row>
    <row r="16377" spans="1:5" x14ac:dyDescent="0.25">
      <c r="A16377">
        <v>16376</v>
      </c>
      <c r="B16377">
        <v>8700213</v>
      </c>
      <c r="C16377" s="1" t="str">
        <f>HYPERLINK("http://stackoverflow.com/users/8700213", "laolian")</f>
        <v>laolian</v>
      </c>
      <c r="D16377" t="s">
        <v>8</v>
      </c>
      <c r="E16377">
        <v>1</v>
      </c>
    </row>
    <row r="16378" spans="1:5" x14ac:dyDescent="0.25">
      <c r="A16378">
        <v>16377</v>
      </c>
      <c r="B16378">
        <v>8700335</v>
      </c>
      <c r="C16378" s="1" t="str">
        <f>HYPERLINK("http://stackoverflow.com/users/8700335", "microyu")</f>
        <v>microyu</v>
      </c>
      <c r="D16378" t="s">
        <v>325</v>
      </c>
      <c r="E16378">
        <v>1</v>
      </c>
    </row>
    <row r="16379" spans="1:5" x14ac:dyDescent="0.25">
      <c r="A16379">
        <v>16378</v>
      </c>
      <c r="B16379">
        <v>8700363</v>
      </c>
      <c r="C16379" s="1" t="str">
        <f>HYPERLINK("http://stackoverflow.com/users/8700363", "Kate Kwok")</f>
        <v>Kate Kwok</v>
      </c>
      <c r="D16379" t="s">
        <v>4</v>
      </c>
      <c r="E16379">
        <v>1</v>
      </c>
    </row>
    <row r="16380" spans="1:5" x14ac:dyDescent="0.25">
      <c r="A16380">
        <v>16379</v>
      </c>
      <c r="B16380">
        <v>8700421</v>
      </c>
      <c r="C16380" s="1" t="str">
        <f>HYPERLINK("http://stackoverflow.com/users/8700421", "Yanqiang Miao")</f>
        <v>Yanqiang Miao</v>
      </c>
      <c r="D16380" t="s">
        <v>131</v>
      </c>
      <c r="E16380">
        <v>1</v>
      </c>
    </row>
    <row r="16381" spans="1:5" x14ac:dyDescent="0.25">
      <c r="A16381">
        <v>16380</v>
      </c>
      <c r="B16381">
        <v>8700607</v>
      </c>
      <c r="C16381" s="1" t="str">
        <f>HYPERLINK("http://stackoverflow.com/users/8700607", "Howie")</f>
        <v>Howie</v>
      </c>
      <c r="D16381" t="s">
        <v>7</v>
      </c>
      <c r="E16381">
        <v>1</v>
      </c>
    </row>
    <row r="16382" spans="1:5" x14ac:dyDescent="0.25">
      <c r="A16382">
        <v>16381</v>
      </c>
      <c r="B16382">
        <v>6854180</v>
      </c>
      <c r="C16382" s="1" t="str">
        <f>HYPERLINK("http://stackoverflow.com/users/6854180", "Harvey")</f>
        <v>Harvey</v>
      </c>
      <c r="D16382" t="s">
        <v>5</v>
      </c>
      <c r="E16382">
        <v>1</v>
      </c>
    </row>
    <row r="16383" spans="1:5" x14ac:dyDescent="0.25">
      <c r="A16383">
        <v>16382</v>
      </c>
      <c r="B16383">
        <v>6854405</v>
      </c>
      <c r="C16383" s="1" t="str">
        <f>HYPERLINK("http://stackoverflow.com/users/6854405", "ElvisHuang")</f>
        <v>ElvisHuang</v>
      </c>
      <c r="D16383" t="s">
        <v>16</v>
      </c>
      <c r="E16383">
        <v>1</v>
      </c>
    </row>
    <row r="16384" spans="1:5" x14ac:dyDescent="0.25">
      <c r="A16384">
        <v>16383</v>
      </c>
      <c r="B16384">
        <v>8686726</v>
      </c>
      <c r="C16384" s="1" t="str">
        <f>HYPERLINK("http://stackoverflow.com/users/8686726", "Guangyang")</f>
        <v>Guangyang</v>
      </c>
      <c r="D16384" t="s">
        <v>28</v>
      </c>
      <c r="E16384">
        <v>1</v>
      </c>
    </row>
    <row r="16385" spans="1:5" x14ac:dyDescent="0.25">
      <c r="A16385">
        <v>16384</v>
      </c>
      <c r="B16385">
        <v>8686777</v>
      </c>
      <c r="C16385" s="1" t="str">
        <f>HYPERLINK("http://stackoverflow.com/users/8686777", "Qing  Liu")</f>
        <v>Qing  Liu</v>
      </c>
      <c r="D16385" t="s">
        <v>4</v>
      </c>
      <c r="E16385">
        <v>1</v>
      </c>
    </row>
    <row r="16386" spans="1:5" x14ac:dyDescent="0.25">
      <c r="A16386">
        <v>16385</v>
      </c>
      <c r="B16386">
        <v>5122963</v>
      </c>
      <c r="C16386" s="1" t="str">
        <f>HYPERLINK("http://stackoverflow.com/users/5122963", "GKT GKT")</f>
        <v>GKT GKT</v>
      </c>
      <c r="D16386" t="s">
        <v>5</v>
      </c>
      <c r="E16386">
        <v>1</v>
      </c>
    </row>
    <row r="16387" spans="1:5" x14ac:dyDescent="0.25">
      <c r="A16387">
        <v>16386</v>
      </c>
      <c r="B16387">
        <v>5126342</v>
      </c>
      <c r="C16387" s="1" t="str">
        <f>HYPERLINK("http://stackoverflow.com/users/5126342", "Kiven")</f>
        <v>Kiven</v>
      </c>
      <c r="D16387" t="s">
        <v>4</v>
      </c>
      <c r="E16387">
        <v>1</v>
      </c>
    </row>
    <row r="16388" spans="1:5" x14ac:dyDescent="0.25">
      <c r="A16388">
        <v>16387</v>
      </c>
      <c r="B16388">
        <v>8690968</v>
      </c>
      <c r="C16388" s="1" t="str">
        <f>HYPERLINK("http://stackoverflow.com/users/8690968", "yu xue")</f>
        <v>yu xue</v>
      </c>
      <c r="D16388" t="s">
        <v>28</v>
      </c>
      <c r="E16388">
        <v>1</v>
      </c>
    </row>
    <row r="16389" spans="1:5" x14ac:dyDescent="0.25">
      <c r="A16389">
        <v>16388</v>
      </c>
      <c r="B16389">
        <v>3315000</v>
      </c>
      <c r="C16389" s="1" t="str">
        <f>HYPERLINK("http://stackoverflow.com/users/3315000", "gerry200435")</f>
        <v>gerry200435</v>
      </c>
      <c r="D16389" t="s">
        <v>4</v>
      </c>
      <c r="E16389">
        <v>1</v>
      </c>
    </row>
    <row r="16390" spans="1:5" x14ac:dyDescent="0.25">
      <c r="A16390">
        <v>16389</v>
      </c>
      <c r="B16390">
        <v>3315082</v>
      </c>
      <c r="C16390" s="1" t="str">
        <f>HYPERLINK("http://stackoverflow.com/users/3315082", "micjerry")</f>
        <v>micjerry</v>
      </c>
      <c r="D16390" t="s">
        <v>17</v>
      </c>
      <c r="E16390">
        <v>1</v>
      </c>
    </row>
    <row r="16391" spans="1:5" x14ac:dyDescent="0.25">
      <c r="A16391">
        <v>16390</v>
      </c>
      <c r="B16391">
        <v>5126419</v>
      </c>
      <c r="C16391" s="1" t="str">
        <f>HYPERLINK("http://stackoverflow.com/users/5126419", "Junming")</f>
        <v>Junming</v>
      </c>
      <c r="D16391" t="s">
        <v>4</v>
      </c>
      <c r="E16391">
        <v>1</v>
      </c>
    </row>
    <row r="16392" spans="1:5" x14ac:dyDescent="0.25">
      <c r="A16392">
        <v>16391</v>
      </c>
      <c r="B16392">
        <v>5127045</v>
      </c>
      <c r="C16392" s="1" t="str">
        <f>HYPERLINK("http://stackoverflow.com/users/5127045", "emp-heng")</f>
        <v>emp-heng</v>
      </c>
      <c r="D16392" t="s">
        <v>4</v>
      </c>
      <c r="E16392">
        <v>1</v>
      </c>
    </row>
    <row r="16393" spans="1:5" x14ac:dyDescent="0.25">
      <c r="A16393">
        <v>16392</v>
      </c>
      <c r="B16393">
        <v>5127105</v>
      </c>
      <c r="C16393" s="1" t="str">
        <f>HYPERLINK("http://stackoverflow.com/users/5127105", "Homer Liu")</f>
        <v>Homer Liu</v>
      </c>
      <c r="D16393" t="s">
        <v>5</v>
      </c>
      <c r="E16393">
        <v>1</v>
      </c>
    </row>
    <row r="16394" spans="1:5" x14ac:dyDescent="0.25">
      <c r="A16394">
        <v>16393</v>
      </c>
      <c r="B16394">
        <v>8695560</v>
      </c>
      <c r="C16394" s="1" t="str">
        <f>HYPERLINK("http://stackoverflow.com/users/8695560", "michael615615")</f>
        <v>michael615615</v>
      </c>
      <c r="D16394" t="s">
        <v>146</v>
      </c>
      <c r="E16394">
        <v>1</v>
      </c>
    </row>
    <row r="16395" spans="1:5" x14ac:dyDescent="0.25">
      <c r="A16395">
        <v>16394</v>
      </c>
      <c r="B16395">
        <v>5130635</v>
      </c>
      <c r="C16395" s="1" t="str">
        <f>HYPERLINK("http://stackoverflow.com/users/5130635", "Qichao Chen")</f>
        <v>Qichao Chen</v>
      </c>
      <c r="D16395" t="s">
        <v>54</v>
      </c>
      <c r="E16395">
        <v>1</v>
      </c>
    </row>
    <row r="16396" spans="1:5" x14ac:dyDescent="0.25">
      <c r="A16396">
        <v>16395</v>
      </c>
      <c r="B16396">
        <v>3345634</v>
      </c>
      <c r="C16396" s="1" t="str">
        <f>HYPERLINK("http://stackoverflow.com/users/3345634", "Yuqi")</f>
        <v>Yuqi</v>
      </c>
      <c r="D16396" t="s">
        <v>5</v>
      </c>
      <c r="E16396">
        <v>1</v>
      </c>
    </row>
    <row r="16397" spans="1:5" x14ac:dyDescent="0.25">
      <c r="A16397">
        <v>16396</v>
      </c>
      <c r="B16397">
        <v>3345706</v>
      </c>
      <c r="C16397" s="1" t="str">
        <f>HYPERLINK("http://stackoverflow.com/users/3345706", "Xmm")</f>
        <v>Xmm</v>
      </c>
      <c r="D16397" t="s">
        <v>5</v>
      </c>
      <c r="E16397">
        <v>1</v>
      </c>
    </row>
    <row r="16398" spans="1:5" x14ac:dyDescent="0.25">
      <c r="A16398">
        <v>16397</v>
      </c>
      <c r="B16398">
        <v>3345720</v>
      </c>
      <c r="C16398" s="1" t="str">
        <f>HYPERLINK("http://stackoverflow.com/users/3345720", "CharlyZhang")</f>
        <v>CharlyZhang</v>
      </c>
      <c r="D16398" t="s">
        <v>5</v>
      </c>
      <c r="E16398">
        <v>1</v>
      </c>
    </row>
    <row r="16399" spans="1:5" x14ac:dyDescent="0.25">
      <c r="A16399">
        <v>16398</v>
      </c>
      <c r="B16399">
        <v>3345875</v>
      </c>
      <c r="C16399" s="1" t="str">
        <f>HYPERLINK("http://stackoverflow.com/users/3345875", "Chuango Security")</f>
        <v>Chuango Security</v>
      </c>
      <c r="D16399" t="s">
        <v>17</v>
      </c>
      <c r="E16399">
        <v>1</v>
      </c>
    </row>
    <row r="16400" spans="1:5" x14ac:dyDescent="0.25">
      <c r="A16400">
        <v>16399</v>
      </c>
      <c r="B16400">
        <v>3345928</v>
      </c>
      <c r="C16400" s="1" t="str">
        <f>HYPERLINK("http://stackoverflow.com/users/3345928", "TeddyTao")</f>
        <v>TeddyTao</v>
      </c>
      <c r="D16400" t="s">
        <v>12</v>
      </c>
      <c r="E16400">
        <v>1</v>
      </c>
    </row>
    <row r="16401" spans="1:5" x14ac:dyDescent="0.25">
      <c r="A16401">
        <v>16400</v>
      </c>
      <c r="B16401">
        <v>3345934</v>
      </c>
      <c r="C16401" s="1" t="str">
        <f>HYPERLINK("http://stackoverflow.com/users/3345934", "Dobbin")</f>
        <v>Dobbin</v>
      </c>
      <c r="D16401" t="s">
        <v>17</v>
      </c>
      <c r="E16401">
        <v>1</v>
      </c>
    </row>
    <row r="16402" spans="1:5" x14ac:dyDescent="0.25">
      <c r="A16402">
        <v>16401</v>
      </c>
      <c r="B16402">
        <v>3346019</v>
      </c>
      <c r="C16402" s="1" t="str">
        <f>HYPERLINK("http://stackoverflow.com/users/3346019", "yaqian012")</f>
        <v>yaqian012</v>
      </c>
      <c r="D16402" t="s">
        <v>5</v>
      </c>
      <c r="E16402">
        <v>1</v>
      </c>
    </row>
    <row r="16403" spans="1:5" x14ac:dyDescent="0.25">
      <c r="A16403">
        <v>16402</v>
      </c>
      <c r="B16403">
        <v>3346291</v>
      </c>
      <c r="C16403" s="1" t="str">
        <f>HYPERLINK("http://stackoverflow.com/users/3346291", "w1sl1y")</f>
        <v>w1sl1y</v>
      </c>
      <c r="D16403" t="s">
        <v>3</v>
      </c>
      <c r="E16403">
        <v>1</v>
      </c>
    </row>
    <row r="16404" spans="1:5" x14ac:dyDescent="0.25">
      <c r="A16404">
        <v>16403</v>
      </c>
      <c r="B16404">
        <v>1484227</v>
      </c>
      <c r="C16404" s="1" t="str">
        <f>HYPERLINK("http://stackoverflow.com/users/1484227", "hz251")</f>
        <v>hz251</v>
      </c>
      <c r="D16404" t="s">
        <v>4</v>
      </c>
      <c r="E16404">
        <v>1</v>
      </c>
    </row>
    <row r="16405" spans="1:5" x14ac:dyDescent="0.25">
      <c r="A16405">
        <v>16404</v>
      </c>
      <c r="B16405">
        <v>8716802</v>
      </c>
      <c r="C16405" s="1" t="str">
        <f>HYPERLINK("http://stackoverflow.com/users/8716802", "Shannian Shannian")</f>
        <v>Shannian Shannian</v>
      </c>
      <c r="D16405" t="s">
        <v>893</v>
      </c>
      <c r="E16405">
        <v>1</v>
      </c>
    </row>
    <row r="16406" spans="1:5" x14ac:dyDescent="0.25">
      <c r="A16406">
        <v>16405</v>
      </c>
      <c r="B16406">
        <v>1476316</v>
      </c>
      <c r="C16406" s="1" t="str">
        <f>HYPERLINK("http://stackoverflow.com/users/1476316", "shang1jk")</f>
        <v>shang1jk</v>
      </c>
      <c r="D16406" t="s">
        <v>63</v>
      </c>
      <c r="E16406">
        <v>1</v>
      </c>
    </row>
    <row r="16407" spans="1:5" x14ac:dyDescent="0.25">
      <c r="A16407">
        <v>16406</v>
      </c>
      <c r="B16407">
        <v>1476359</v>
      </c>
      <c r="C16407" s="1" t="str">
        <f>HYPERLINK("http://stackoverflow.com/users/1476359", "Zpdying")</f>
        <v>Zpdying</v>
      </c>
      <c r="D16407" t="s">
        <v>477</v>
      </c>
      <c r="E16407">
        <v>1</v>
      </c>
    </row>
    <row r="16408" spans="1:5" x14ac:dyDescent="0.25">
      <c r="A16408">
        <v>16407</v>
      </c>
      <c r="B16408">
        <v>10533455</v>
      </c>
      <c r="C16408" s="1" t="str">
        <f>HYPERLINK("http://stackoverflow.com/users/10533455", "DonMin Lee")</f>
        <v>DonMin Lee</v>
      </c>
      <c r="D16408" t="s">
        <v>325</v>
      </c>
      <c r="E16408">
        <v>1</v>
      </c>
    </row>
    <row r="16409" spans="1:5" x14ac:dyDescent="0.25">
      <c r="A16409">
        <v>16408</v>
      </c>
      <c r="B16409">
        <v>1452620</v>
      </c>
      <c r="C16409" s="1" t="str">
        <f>HYPERLINK("http://stackoverflow.com/users/1452620", "newthinker")</f>
        <v>newthinker</v>
      </c>
      <c r="D16409" t="s">
        <v>5</v>
      </c>
      <c r="E16409">
        <v>1</v>
      </c>
    </row>
    <row r="16410" spans="1:5" x14ac:dyDescent="0.25">
      <c r="A16410">
        <v>16409</v>
      </c>
      <c r="B16410">
        <v>5138246</v>
      </c>
      <c r="C16410" s="1" t="str">
        <f>HYPERLINK("http://stackoverflow.com/users/5138246", "Devis Lee")</f>
        <v>Devis Lee</v>
      </c>
      <c r="D16410" t="s">
        <v>4</v>
      </c>
      <c r="E16410">
        <v>1</v>
      </c>
    </row>
    <row r="16411" spans="1:5" x14ac:dyDescent="0.25">
      <c r="A16411">
        <v>16410</v>
      </c>
      <c r="B16411">
        <v>6857982</v>
      </c>
      <c r="C16411" s="1" t="str">
        <f>HYPERLINK("http://stackoverflow.com/users/6857982", "yonghuiyang")</f>
        <v>yonghuiyang</v>
      </c>
      <c r="D16411" t="s">
        <v>5</v>
      </c>
      <c r="E16411">
        <v>1</v>
      </c>
    </row>
    <row r="16412" spans="1:5" x14ac:dyDescent="0.25">
      <c r="A16412">
        <v>16411</v>
      </c>
      <c r="B16412">
        <v>10521527</v>
      </c>
      <c r="C16412" s="1" t="str">
        <f>HYPERLINK("http://stackoverflow.com/users/10521527", "Shengbin")</f>
        <v>Shengbin</v>
      </c>
      <c r="D16412" t="s">
        <v>28</v>
      </c>
      <c r="E16412">
        <v>1</v>
      </c>
    </row>
    <row r="16413" spans="1:5" x14ac:dyDescent="0.25">
      <c r="A16413">
        <v>16412</v>
      </c>
      <c r="B16413">
        <v>10521611</v>
      </c>
      <c r="C16413" s="1" t="str">
        <f>HYPERLINK("http://stackoverflow.com/users/10521611", "Yeoman Yang")</f>
        <v>Yeoman Yang</v>
      </c>
      <c r="D16413" t="s">
        <v>17</v>
      </c>
      <c r="E16413">
        <v>1</v>
      </c>
    </row>
    <row r="16414" spans="1:5" x14ac:dyDescent="0.25">
      <c r="A16414">
        <v>16413</v>
      </c>
      <c r="B16414">
        <v>10521776</v>
      </c>
      <c r="C16414" s="1" t="str">
        <f>HYPERLINK("http://stackoverflow.com/users/10521776", "Shen Xi")</f>
        <v>Shen Xi</v>
      </c>
      <c r="D16414" t="s">
        <v>4</v>
      </c>
      <c r="E16414">
        <v>1</v>
      </c>
    </row>
    <row r="16415" spans="1:5" x14ac:dyDescent="0.25">
      <c r="A16415">
        <v>16414</v>
      </c>
      <c r="B16415">
        <v>10517251</v>
      </c>
      <c r="C16415" s="1" t="str">
        <f>HYPERLINK("http://stackoverflow.com/users/10517251", "Octopus")</f>
        <v>Octopus</v>
      </c>
      <c r="D16415" t="s">
        <v>4</v>
      </c>
      <c r="E16415">
        <v>1</v>
      </c>
    </row>
    <row r="16416" spans="1:5" x14ac:dyDescent="0.25">
      <c r="A16416">
        <v>16415</v>
      </c>
      <c r="B16416">
        <v>5141506</v>
      </c>
      <c r="C16416" s="1" t="str">
        <f>HYPERLINK("http://stackoverflow.com/users/5141506", "Vince Wang")</f>
        <v>Vince Wang</v>
      </c>
      <c r="D16416" t="s">
        <v>5</v>
      </c>
      <c r="E16416">
        <v>1</v>
      </c>
    </row>
    <row r="16417" spans="1:5" x14ac:dyDescent="0.25">
      <c r="A16417">
        <v>16416</v>
      </c>
      <c r="B16417">
        <v>5141520</v>
      </c>
      <c r="C16417" s="1" t="str">
        <f>HYPERLINK("http://stackoverflow.com/users/5141520", "Jayson Kim")</f>
        <v>Jayson Kim</v>
      </c>
      <c r="D16417" t="s">
        <v>4</v>
      </c>
      <c r="E16417">
        <v>1</v>
      </c>
    </row>
    <row r="16418" spans="1:5" x14ac:dyDescent="0.25">
      <c r="A16418">
        <v>16417</v>
      </c>
      <c r="B16418">
        <v>5141524</v>
      </c>
      <c r="C16418" s="1" t="str">
        <f>HYPERLINK("http://stackoverflow.com/users/5141524", "Neil.YC")</f>
        <v>Neil.YC</v>
      </c>
      <c r="D16418" t="s">
        <v>35</v>
      </c>
      <c r="E16418">
        <v>1</v>
      </c>
    </row>
    <row r="16419" spans="1:5" x14ac:dyDescent="0.25">
      <c r="A16419">
        <v>16418</v>
      </c>
      <c r="B16419">
        <v>5141572</v>
      </c>
      <c r="C16419" s="1" t="str">
        <f>HYPERLINK("http://stackoverflow.com/users/5141572", "凡向阳")</f>
        <v>凡向阳</v>
      </c>
      <c r="D16419" t="s">
        <v>5</v>
      </c>
      <c r="E16419">
        <v>1</v>
      </c>
    </row>
    <row r="16420" spans="1:5" x14ac:dyDescent="0.25">
      <c r="A16420">
        <v>16419</v>
      </c>
      <c r="B16420">
        <v>3951500</v>
      </c>
      <c r="C16420" s="1" t="str">
        <f>HYPERLINK("http://stackoverflow.com/users/3951500", "Yalewoo")</f>
        <v>Yalewoo</v>
      </c>
      <c r="D16420" t="s">
        <v>8</v>
      </c>
      <c r="E16420">
        <v>1</v>
      </c>
    </row>
    <row r="16421" spans="1:5" x14ac:dyDescent="0.25">
      <c r="A16421">
        <v>16420</v>
      </c>
      <c r="B16421">
        <v>3951546</v>
      </c>
      <c r="C16421" s="1" t="str">
        <f>HYPERLINK("http://stackoverflow.com/users/3951546", "AnndyPeng")</f>
        <v>AnndyPeng</v>
      </c>
      <c r="D16421" t="s">
        <v>80</v>
      </c>
      <c r="E16421">
        <v>1</v>
      </c>
    </row>
    <row r="16422" spans="1:5" x14ac:dyDescent="0.25">
      <c r="A16422">
        <v>16421</v>
      </c>
      <c r="B16422">
        <v>2193515</v>
      </c>
      <c r="C16422" s="1" t="str">
        <f>HYPERLINK("http://stackoverflow.com/users/2193515", "archieyang")</f>
        <v>archieyang</v>
      </c>
      <c r="D16422" t="s">
        <v>5</v>
      </c>
      <c r="E16422">
        <v>1</v>
      </c>
    </row>
    <row r="16423" spans="1:5" x14ac:dyDescent="0.25">
      <c r="A16423">
        <v>16422</v>
      </c>
      <c r="B16423">
        <v>2194027</v>
      </c>
      <c r="C16423" s="1" t="str">
        <f>HYPERLINK("http://stackoverflow.com/users/2194027", "shoy1011")</f>
        <v>shoy1011</v>
      </c>
      <c r="D16423" t="s">
        <v>5</v>
      </c>
      <c r="E16423">
        <v>1</v>
      </c>
    </row>
    <row r="16424" spans="1:5" x14ac:dyDescent="0.25">
      <c r="A16424">
        <v>16423</v>
      </c>
      <c r="B16424">
        <v>2198114</v>
      </c>
      <c r="C16424" s="1" t="str">
        <f>HYPERLINK("http://stackoverflow.com/users/2198114", "Joey")</f>
        <v>Joey</v>
      </c>
      <c r="D16424" t="s">
        <v>4</v>
      </c>
      <c r="E16424">
        <v>1</v>
      </c>
    </row>
    <row r="16425" spans="1:5" x14ac:dyDescent="0.25">
      <c r="A16425">
        <v>16424</v>
      </c>
      <c r="B16425">
        <v>5725377</v>
      </c>
      <c r="C16425" s="1" t="str">
        <f>HYPERLINK("http://stackoverflow.com/users/5725377", "Brooks.Wang")</f>
        <v>Brooks.Wang</v>
      </c>
      <c r="D16425" t="s">
        <v>5</v>
      </c>
      <c r="E16425">
        <v>1</v>
      </c>
    </row>
    <row r="16426" spans="1:5" x14ac:dyDescent="0.25">
      <c r="A16426">
        <v>16425</v>
      </c>
      <c r="B16426">
        <v>5725843</v>
      </c>
      <c r="C16426" s="1" t="str">
        <f>HYPERLINK("http://stackoverflow.com/users/5725843", "CourageKTop")</f>
        <v>CourageKTop</v>
      </c>
      <c r="D16426" t="s">
        <v>5</v>
      </c>
      <c r="E16426">
        <v>1</v>
      </c>
    </row>
    <row r="16427" spans="1:5" x14ac:dyDescent="0.25">
      <c r="A16427">
        <v>16426</v>
      </c>
      <c r="B16427">
        <v>5725847</v>
      </c>
      <c r="C16427" s="1" t="str">
        <f>HYPERLINK("http://stackoverflow.com/users/5725847", "hobart hu")</f>
        <v>hobart hu</v>
      </c>
      <c r="D16427" t="s">
        <v>4</v>
      </c>
      <c r="E16427">
        <v>1</v>
      </c>
    </row>
    <row r="16428" spans="1:5" x14ac:dyDescent="0.25">
      <c r="A16428">
        <v>16427</v>
      </c>
      <c r="B16428">
        <v>5725854</v>
      </c>
      <c r="C16428" s="1" t="str">
        <f>HYPERLINK("http://stackoverflow.com/users/5725854", "cheenwe")</f>
        <v>cheenwe</v>
      </c>
      <c r="D16428" t="s">
        <v>4</v>
      </c>
      <c r="E16428">
        <v>1</v>
      </c>
    </row>
    <row r="16429" spans="1:5" x14ac:dyDescent="0.25">
      <c r="A16429">
        <v>16428</v>
      </c>
      <c r="B16429">
        <v>2172297</v>
      </c>
      <c r="C16429" s="1" t="str">
        <f>HYPERLINK("http://stackoverflow.com/users/2172297", "bright.chen")</f>
        <v>bright.chen</v>
      </c>
      <c r="D16429" t="s">
        <v>4</v>
      </c>
      <c r="E16429">
        <v>1</v>
      </c>
    </row>
    <row r="16430" spans="1:5" x14ac:dyDescent="0.25">
      <c r="A16430">
        <v>16429</v>
      </c>
      <c r="B16430">
        <v>5714138</v>
      </c>
      <c r="C16430" s="1" t="str">
        <f>HYPERLINK("http://stackoverflow.com/users/5714138", "demon")</f>
        <v>demon</v>
      </c>
      <c r="D16430" t="s">
        <v>4</v>
      </c>
      <c r="E16430">
        <v>1</v>
      </c>
    </row>
    <row r="16431" spans="1:5" x14ac:dyDescent="0.25">
      <c r="A16431">
        <v>16430</v>
      </c>
      <c r="B16431">
        <v>7467067</v>
      </c>
      <c r="C16431" s="1" t="str">
        <f>HYPERLINK("http://stackoverflow.com/users/7467067", "SebastianLuo")</f>
        <v>SebastianLuo</v>
      </c>
      <c r="D16431" t="s">
        <v>4</v>
      </c>
      <c r="E16431">
        <v>1</v>
      </c>
    </row>
    <row r="16432" spans="1:5" x14ac:dyDescent="0.25">
      <c r="A16432">
        <v>16431</v>
      </c>
      <c r="B16432">
        <v>7467427</v>
      </c>
      <c r="C16432" s="1" t="str">
        <f>HYPERLINK("http://stackoverflow.com/users/7467427", "tuitui")</f>
        <v>tuitui</v>
      </c>
      <c r="D16432" t="s">
        <v>16</v>
      </c>
      <c r="E16432">
        <v>1</v>
      </c>
    </row>
    <row r="16433" spans="1:5" x14ac:dyDescent="0.25">
      <c r="A16433">
        <v>16432</v>
      </c>
      <c r="B16433">
        <v>7467434</v>
      </c>
      <c r="C16433" s="1" t="str">
        <f>HYPERLINK("http://stackoverflow.com/users/7467434", "JiyaoLee")</f>
        <v>JiyaoLee</v>
      </c>
      <c r="D16433" t="s">
        <v>10</v>
      </c>
      <c r="E16433">
        <v>1</v>
      </c>
    </row>
    <row r="16434" spans="1:5" x14ac:dyDescent="0.25">
      <c r="A16434">
        <v>16433</v>
      </c>
      <c r="B16434">
        <v>7467707</v>
      </c>
      <c r="C16434" s="1" t="str">
        <f>HYPERLINK("http://stackoverflow.com/users/7467707", "Chuckchen")</f>
        <v>Chuckchen</v>
      </c>
      <c r="D16434" t="s">
        <v>5</v>
      </c>
      <c r="E16434">
        <v>1</v>
      </c>
    </row>
    <row r="16435" spans="1:5" x14ac:dyDescent="0.25">
      <c r="A16435">
        <v>16434</v>
      </c>
      <c r="B16435">
        <v>5713954</v>
      </c>
      <c r="C16435" s="1" t="str">
        <f>HYPERLINK("http://stackoverflow.com/users/5713954", "lambert hu")</f>
        <v>lambert hu</v>
      </c>
      <c r="D16435" t="s">
        <v>154</v>
      </c>
      <c r="E16435">
        <v>1</v>
      </c>
    </row>
    <row r="16436" spans="1:5" x14ac:dyDescent="0.25">
      <c r="A16436">
        <v>16435</v>
      </c>
      <c r="B16436">
        <v>9375816</v>
      </c>
      <c r="C16436" s="1" t="str">
        <f>HYPERLINK("http://stackoverflow.com/users/9375816", "vlddlv4")</f>
        <v>vlddlv4</v>
      </c>
      <c r="D16436" t="s">
        <v>5</v>
      </c>
      <c r="E16436">
        <v>1</v>
      </c>
    </row>
    <row r="16437" spans="1:5" x14ac:dyDescent="0.25">
      <c r="A16437">
        <v>16436</v>
      </c>
      <c r="B16437">
        <v>11168222</v>
      </c>
      <c r="C16437" s="1" t="str">
        <f>HYPERLINK("http://stackoverflow.com/users/11168222", "jcheng123")</f>
        <v>jcheng123</v>
      </c>
      <c r="D16437" t="s">
        <v>4</v>
      </c>
      <c r="E16437">
        <v>1</v>
      </c>
    </row>
    <row r="16438" spans="1:5" x14ac:dyDescent="0.25">
      <c r="A16438">
        <v>16437</v>
      </c>
      <c r="B16438">
        <v>2180826</v>
      </c>
      <c r="C16438" s="1" t="str">
        <f>HYPERLINK("http://stackoverflow.com/users/2180826", "Super_Mario")</f>
        <v>Super_Mario</v>
      </c>
      <c r="D16438" t="s">
        <v>4</v>
      </c>
      <c r="E16438">
        <v>1</v>
      </c>
    </row>
    <row r="16439" spans="1:5" x14ac:dyDescent="0.25">
      <c r="A16439">
        <v>16438</v>
      </c>
      <c r="B16439">
        <v>11173642</v>
      </c>
      <c r="C16439" s="1" t="str">
        <f>HYPERLINK("http://stackoverflow.com/users/11173642", "shrek")</f>
        <v>shrek</v>
      </c>
      <c r="D16439" t="s">
        <v>79</v>
      </c>
      <c r="E16439">
        <v>1</v>
      </c>
    </row>
    <row r="16440" spans="1:5" x14ac:dyDescent="0.25">
      <c r="A16440">
        <v>16439</v>
      </c>
      <c r="B16440">
        <v>11173886</v>
      </c>
      <c r="C16440" s="1" t="str">
        <f>HYPERLINK("http://stackoverflow.com/users/11173886", "biabia li")</f>
        <v>biabia li</v>
      </c>
      <c r="D16440" t="s">
        <v>894</v>
      </c>
      <c r="E16440">
        <v>1</v>
      </c>
    </row>
    <row r="16441" spans="1:5" x14ac:dyDescent="0.25">
      <c r="A16441">
        <v>16440</v>
      </c>
      <c r="B16441">
        <v>5721838</v>
      </c>
      <c r="C16441" s="1" t="str">
        <f>HYPERLINK("http://stackoverflow.com/users/5721838", "WolfGang")</f>
        <v>WolfGang</v>
      </c>
      <c r="D16441" t="s">
        <v>4</v>
      </c>
      <c r="E16441">
        <v>1</v>
      </c>
    </row>
    <row r="16442" spans="1:5" x14ac:dyDescent="0.25">
      <c r="A16442">
        <v>16441</v>
      </c>
      <c r="B16442">
        <v>5722005</v>
      </c>
      <c r="C16442" s="1" t="str">
        <f>HYPERLINK("http://stackoverflow.com/users/5722005", "MyYate")</f>
        <v>MyYate</v>
      </c>
      <c r="D16442" t="s">
        <v>4</v>
      </c>
      <c r="E16442">
        <v>1</v>
      </c>
    </row>
    <row r="16443" spans="1:5" x14ac:dyDescent="0.25">
      <c r="A16443">
        <v>16442</v>
      </c>
      <c r="B16443">
        <v>2147111</v>
      </c>
      <c r="C16443" s="1" t="str">
        <f>HYPERLINK("http://stackoverflow.com/users/2147111", "user2147111")</f>
        <v>user2147111</v>
      </c>
      <c r="D16443" t="s">
        <v>5</v>
      </c>
      <c r="E16443">
        <v>1</v>
      </c>
    </row>
    <row r="16444" spans="1:5" x14ac:dyDescent="0.25">
      <c r="A16444">
        <v>16443</v>
      </c>
      <c r="B16444">
        <v>9348899</v>
      </c>
      <c r="C16444" s="1" t="str">
        <f>HYPERLINK("http://stackoverflow.com/users/9348899", "HuaDong Li")</f>
        <v>HuaDong Li</v>
      </c>
      <c r="D16444" t="s">
        <v>33</v>
      </c>
      <c r="E16444">
        <v>1</v>
      </c>
    </row>
    <row r="16445" spans="1:5" x14ac:dyDescent="0.25">
      <c r="A16445">
        <v>16444</v>
      </c>
      <c r="B16445">
        <v>2147033</v>
      </c>
      <c r="C16445" s="1" t="str">
        <f>HYPERLINK("http://stackoverflow.com/users/2147033", "SrdGame")</f>
        <v>SrdGame</v>
      </c>
      <c r="D16445" t="s">
        <v>5</v>
      </c>
      <c r="E16445">
        <v>1</v>
      </c>
    </row>
    <row r="16446" spans="1:5" x14ac:dyDescent="0.25">
      <c r="A16446">
        <v>16445</v>
      </c>
      <c r="B16446">
        <v>9349073</v>
      </c>
      <c r="C16446" s="1" t="str">
        <f>HYPERLINK("http://stackoverflow.com/users/9349073", "levi")</f>
        <v>levi</v>
      </c>
      <c r="D16446" t="s">
        <v>16</v>
      </c>
      <c r="E16446">
        <v>1</v>
      </c>
    </row>
    <row r="16447" spans="1:5" x14ac:dyDescent="0.25">
      <c r="A16447">
        <v>16446</v>
      </c>
      <c r="B16447">
        <v>9349547</v>
      </c>
      <c r="C16447" s="1" t="str">
        <f>HYPERLINK("http://stackoverflow.com/users/9349547", "Ari Liang")</f>
        <v>Ari Liang</v>
      </c>
      <c r="D16447" t="s">
        <v>28</v>
      </c>
      <c r="E16447">
        <v>1</v>
      </c>
    </row>
    <row r="16448" spans="1:5" x14ac:dyDescent="0.25">
      <c r="A16448">
        <v>16447</v>
      </c>
      <c r="B16448">
        <v>5702336</v>
      </c>
      <c r="C16448" s="1" t="str">
        <f>HYPERLINK("http://stackoverflow.com/users/5702336", "Keystion")</f>
        <v>Keystion</v>
      </c>
      <c r="D16448" t="s">
        <v>5</v>
      </c>
      <c r="E16448">
        <v>1</v>
      </c>
    </row>
    <row r="16449" spans="1:5" x14ac:dyDescent="0.25">
      <c r="A16449">
        <v>16448</v>
      </c>
      <c r="B16449">
        <v>11155263</v>
      </c>
      <c r="C16449" s="1" t="str">
        <f>HYPERLINK("http://stackoverflow.com/users/11155263", "马嘉龙")</f>
        <v>马嘉龙</v>
      </c>
      <c r="D16449" t="s">
        <v>25</v>
      </c>
      <c r="E16449">
        <v>1</v>
      </c>
    </row>
    <row r="16450" spans="1:5" x14ac:dyDescent="0.25">
      <c r="A16450">
        <v>16449</v>
      </c>
      <c r="B16450">
        <v>5705955</v>
      </c>
      <c r="C16450" s="1" t="str">
        <f>HYPERLINK("http://stackoverflow.com/users/5705955", "malachi.ye")</f>
        <v>malachi.ye</v>
      </c>
      <c r="D16450" t="s">
        <v>12</v>
      </c>
      <c r="E16450">
        <v>1</v>
      </c>
    </row>
    <row r="16451" spans="1:5" x14ac:dyDescent="0.25">
      <c r="A16451">
        <v>16450</v>
      </c>
      <c r="B16451">
        <v>3926263</v>
      </c>
      <c r="C16451" s="1" t="str">
        <f>HYPERLINK("http://stackoverflow.com/users/3926263", "blueskylsl")</f>
        <v>blueskylsl</v>
      </c>
      <c r="D16451" t="s">
        <v>22</v>
      </c>
      <c r="E16451">
        <v>1</v>
      </c>
    </row>
    <row r="16452" spans="1:5" x14ac:dyDescent="0.25">
      <c r="A16452">
        <v>16451</v>
      </c>
      <c r="B16452">
        <v>3926417</v>
      </c>
      <c r="C16452" s="1" t="str">
        <f>HYPERLINK("http://stackoverflow.com/users/3926417", "Alimjan")</f>
        <v>Alimjan</v>
      </c>
      <c r="D16452" t="s">
        <v>5</v>
      </c>
      <c r="E16452">
        <v>1</v>
      </c>
    </row>
    <row r="16453" spans="1:5" x14ac:dyDescent="0.25">
      <c r="A16453">
        <v>16452</v>
      </c>
      <c r="B16453">
        <v>7456195</v>
      </c>
      <c r="C16453" s="1" t="str">
        <f>HYPERLINK("http://stackoverflow.com/users/7456195", "Austin")</f>
        <v>Austin</v>
      </c>
      <c r="D16453" t="s">
        <v>131</v>
      </c>
      <c r="E16453">
        <v>1</v>
      </c>
    </row>
    <row r="16454" spans="1:5" x14ac:dyDescent="0.25">
      <c r="A16454">
        <v>16453</v>
      </c>
      <c r="B16454">
        <v>3921560</v>
      </c>
      <c r="C16454" s="1" t="str">
        <f>HYPERLINK("http://stackoverflow.com/users/3921560", "tonghaoqi")</f>
        <v>tonghaoqi</v>
      </c>
      <c r="D16454" t="s">
        <v>54</v>
      </c>
      <c r="E16454">
        <v>1</v>
      </c>
    </row>
    <row r="16455" spans="1:5" x14ac:dyDescent="0.25">
      <c r="A16455">
        <v>16454</v>
      </c>
      <c r="B16455">
        <v>11159528</v>
      </c>
      <c r="C16455" s="1" t="str">
        <f>HYPERLINK("http://stackoverflow.com/users/11159528", "Liyu Xi")</f>
        <v>Liyu Xi</v>
      </c>
      <c r="D16455" t="s">
        <v>52</v>
      </c>
      <c r="E16455">
        <v>1</v>
      </c>
    </row>
    <row r="16456" spans="1:5" x14ac:dyDescent="0.25">
      <c r="A16456">
        <v>16455</v>
      </c>
      <c r="B16456">
        <v>5709750</v>
      </c>
      <c r="C16456" s="1" t="str">
        <f>HYPERLINK("http://stackoverflow.com/users/5709750", "lei Lu")</f>
        <v>lei Lu</v>
      </c>
      <c r="D16456" t="s">
        <v>353</v>
      </c>
      <c r="E16456">
        <v>1</v>
      </c>
    </row>
    <row r="16457" spans="1:5" x14ac:dyDescent="0.25">
      <c r="A16457">
        <v>16456</v>
      </c>
      <c r="B16457">
        <v>5699118</v>
      </c>
      <c r="C16457" s="1" t="str">
        <f>HYPERLINK("http://stackoverflow.com/users/5699118", "Chenglin  Huang")</f>
        <v>Chenglin  Huang</v>
      </c>
      <c r="D16457" t="s">
        <v>25</v>
      </c>
      <c r="E16457">
        <v>1</v>
      </c>
    </row>
    <row r="16458" spans="1:5" x14ac:dyDescent="0.25">
      <c r="A16458">
        <v>16457</v>
      </c>
      <c r="B16458">
        <v>7452532</v>
      </c>
      <c r="C16458" s="1" t="str">
        <f>HYPERLINK("http://stackoverflow.com/users/7452532", "A.uoua")</f>
        <v>A.uoua</v>
      </c>
      <c r="D16458" t="s">
        <v>16</v>
      </c>
      <c r="E16458">
        <v>1</v>
      </c>
    </row>
    <row r="16459" spans="1:5" x14ac:dyDescent="0.25">
      <c r="A16459">
        <v>16458</v>
      </c>
      <c r="B16459">
        <v>7452679</v>
      </c>
      <c r="C16459" s="1" t="str">
        <f>HYPERLINK("http://stackoverflow.com/users/7452679", "Weisong Ding")</f>
        <v>Weisong Ding</v>
      </c>
      <c r="D16459" t="s">
        <v>5</v>
      </c>
      <c r="E16459">
        <v>1</v>
      </c>
    </row>
    <row r="16460" spans="1:5" x14ac:dyDescent="0.25">
      <c r="A16460">
        <v>16459</v>
      </c>
      <c r="B16460">
        <v>7452761</v>
      </c>
      <c r="C16460" s="1" t="str">
        <f>HYPERLINK("http://stackoverflow.com/users/7452761", "Martian Lee")</f>
        <v>Martian Lee</v>
      </c>
      <c r="D16460" t="s">
        <v>5</v>
      </c>
      <c r="E16460">
        <v>1</v>
      </c>
    </row>
    <row r="16461" spans="1:5" x14ac:dyDescent="0.25">
      <c r="A16461">
        <v>16460</v>
      </c>
      <c r="B16461">
        <v>7452846</v>
      </c>
      <c r="C16461" s="1" t="str">
        <f>HYPERLINK("http://stackoverflow.com/users/7452846", "Jinquan Sun")</f>
        <v>Jinquan Sun</v>
      </c>
      <c r="D16461" t="s">
        <v>37</v>
      </c>
      <c r="E16461">
        <v>1</v>
      </c>
    </row>
    <row r="16462" spans="1:5" x14ac:dyDescent="0.25">
      <c r="A16462">
        <v>16461</v>
      </c>
      <c r="B16462">
        <v>9357958</v>
      </c>
      <c r="C16462" s="1" t="str">
        <f>HYPERLINK("http://stackoverflow.com/users/9357958", "mengzhe746")</f>
        <v>mengzhe746</v>
      </c>
      <c r="D16462" t="s">
        <v>4</v>
      </c>
      <c r="E16462">
        <v>1</v>
      </c>
    </row>
    <row r="16463" spans="1:5" x14ac:dyDescent="0.25">
      <c r="A16463">
        <v>16462</v>
      </c>
      <c r="B16463">
        <v>9358162</v>
      </c>
      <c r="C16463" s="1" t="str">
        <f>HYPERLINK("http://stackoverflow.com/users/9358162", "user178061")</f>
        <v>user178061</v>
      </c>
      <c r="D16463" t="s">
        <v>16</v>
      </c>
      <c r="E16463">
        <v>1</v>
      </c>
    </row>
    <row r="16464" spans="1:5" x14ac:dyDescent="0.25">
      <c r="A16464">
        <v>16463</v>
      </c>
      <c r="B16464">
        <v>9358184</v>
      </c>
      <c r="C16464" s="1" t="str">
        <f>HYPERLINK("http://stackoverflow.com/users/9358184", "Jack Lu")</f>
        <v>Jack Lu</v>
      </c>
      <c r="D16464" t="s">
        <v>5</v>
      </c>
      <c r="E16464">
        <v>1</v>
      </c>
    </row>
    <row r="16465" spans="1:5" x14ac:dyDescent="0.25">
      <c r="A16465">
        <v>16464</v>
      </c>
      <c r="B16465">
        <v>7455553</v>
      </c>
      <c r="C16465" s="1" t="str">
        <f>HYPERLINK("http://stackoverflow.com/users/7455553", "Diese Xu")</f>
        <v>Diese Xu</v>
      </c>
      <c r="D16465" t="s">
        <v>4</v>
      </c>
      <c r="E16465">
        <v>1</v>
      </c>
    </row>
    <row r="16466" spans="1:5" x14ac:dyDescent="0.25">
      <c r="A16466">
        <v>16465</v>
      </c>
      <c r="B16466">
        <v>7455660</v>
      </c>
      <c r="C16466" s="1" t="str">
        <f>HYPERLINK("http://stackoverflow.com/users/7455660", "zhanghaiqiangshizhu")</f>
        <v>zhanghaiqiangshizhu</v>
      </c>
      <c r="D16466" t="s">
        <v>895</v>
      </c>
      <c r="E16466">
        <v>1</v>
      </c>
    </row>
    <row r="16467" spans="1:5" x14ac:dyDescent="0.25">
      <c r="A16467">
        <v>16466</v>
      </c>
      <c r="B16467">
        <v>7455727</v>
      </c>
      <c r="C16467" s="1" t="str">
        <f>HYPERLINK("http://stackoverflow.com/users/7455727", "Dante")</f>
        <v>Dante</v>
      </c>
      <c r="D16467" t="s">
        <v>43</v>
      </c>
      <c r="E16467">
        <v>1</v>
      </c>
    </row>
    <row r="16468" spans="1:5" x14ac:dyDescent="0.25">
      <c r="A16468">
        <v>16467</v>
      </c>
      <c r="B16468">
        <v>9340739</v>
      </c>
      <c r="C16468" s="1" t="str">
        <f>HYPERLINK("http://stackoverflow.com/users/9340739", "Han Deng")</f>
        <v>Han Deng</v>
      </c>
      <c r="D16468" t="s">
        <v>55</v>
      </c>
      <c r="E16468">
        <v>1</v>
      </c>
    </row>
    <row r="16469" spans="1:5" x14ac:dyDescent="0.25">
      <c r="A16469">
        <v>16468</v>
      </c>
      <c r="B16469">
        <v>2146878</v>
      </c>
      <c r="C16469" s="1" t="str">
        <f>HYPERLINK("http://stackoverflow.com/users/2146878", "chenyoca")</f>
        <v>chenyoca</v>
      </c>
      <c r="D16469" t="s">
        <v>17</v>
      </c>
      <c r="E16469">
        <v>1</v>
      </c>
    </row>
    <row r="16470" spans="1:5" x14ac:dyDescent="0.25">
      <c r="A16470">
        <v>16469</v>
      </c>
      <c r="B16470">
        <v>5689897</v>
      </c>
      <c r="C16470" s="1" t="str">
        <f>HYPERLINK("http://stackoverflow.com/users/5689897", "coolrice")</f>
        <v>coolrice</v>
      </c>
      <c r="D16470" t="s">
        <v>4</v>
      </c>
      <c r="E16470">
        <v>1</v>
      </c>
    </row>
    <row r="16471" spans="1:5" x14ac:dyDescent="0.25">
      <c r="A16471">
        <v>16470</v>
      </c>
      <c r="B16471">
        <v>5689925</v>
      </c>
      <c r="C16471" s="1" t="str">
        <f>HYPERLINK("http://stackoverflow.com/users/5689925", "chen jerry")</f>
        <v>chen jerry</v>
      </c>
      <c r="D16471" t="s">
        <v>367</v>
      </c>
      <c r="E16471">
        <v>1</v>
      </c>
    </row>
    <row r="16472" spans="1:5" x14ac:dyDescent="0.25">
      <c r="A16472">
        <v>16471</v>
      </c>
      <c r="B16472">
        <v>5689978</v>
      </c>
      <c r="C16472" s="1" t="str">
        <f>HYPERLINK("http://stackoverflow.com/users/5689978", "Liang")</f>
        <v>Liang</v>
      </c>
      <c r="D16472" t="s">
        <v>5</v>
      </c>
      <c r="E16472">
        <v>1</v>
      </c>
    </row>
    <row r="16473" spans="1:5" x14ac:dyDescent="0.25">
      <c r="A16473">
        <v>16472</v>
      </c>
      <c r="B16473">
        <v>9343563</v>
      </c>
      <c r="C16473" s="1" t="str">
        <f>HYPERLINK("http://stackoverflow.com/users/9343563", "Bilal Korir")</f>
        <v>Bilal Korir</v>
      </c>
      <c r="D16473" t="s">
        <v>4</v>
      </c>
      <c r="E16473">
        <v>1</v>
      </c>
    </row>
    <row r="16474" spans="1:5" x14ac:dyDescent="0.25">
      <c r="A16474">
        <v>16473</v>
      </c>
      <c r="B16474">
        <v>5650048</v>
      </c>
      <c r="C16474" s="1" t="str">
        <f>HYPERLINK("http://stackoverflow.com/users/5650048", "Chandler Zhang")</f>
        <v>Chandler Zhang</v>
      </c>
      <c r="D16474" t="s">
        <v>5</v>
      </c>
      <c r="E16474">
        <v>1</v>
      </c>
    </row>
    <row r="16475" spans="1:5" x14ac:dyDescent="0.25">
      <c r="A16475">
        <v>16474</v>
      </c>
      <c r="B16475">
        <v>7412705</v>
      </c>
      <c r="C16475" s="1" t="str">
        <f>HYPERLINK("http://stackoverflow.com/users/7412705", "kayou fu")</f>
        <v>kayou fu</v>
      </c>
      <c r="D16475" t="s">
        <v>513</v>
      </c>
      <c r="E16475">
        <v>1</v>
      </c>
    </row>
    <row r="16476" spans="1:5" x14ac:dyDescent="0.25">
      <c r="A16476">
        <v>16475</v>
      </c>
      <c r="B16476">
        <v>9298697</v>
      </c>
      <c r="C16476" s="1" t="str">
        <f>HYPERLINK("http://stackoverflow.com/users/9298697", "Sam Anderson")</f>
        <v>Sam Anderson</v>
      </c>
      <c r="D16476" t="s">
        <v>4</v>
      </c>
      <c r="E16476">
        <v>1</v>
      </c>
    </row>
    <row r="16477" spans="1:5" x14ac:dyDescent="0.25">
      <c r="A16477">
        <v>16476</v>
      </c>
      <c r="B16477">
        <v>7413292</v>
      </c>
      <c r="C16477" s="1" t="str">
        <f>HYPERLINK("http://stackoverflow.com/users/7413292", "ejolly")</f>
        <v>ejolly</v>
      </c>
      <c r="D16477" t="s">
        <v>91</v>
      </c>
      <c r="E16477">
        <v>1</v>
      </c>
    </row>
    <row r="16478" spans="1:5" x14ac:dyDescent="0.25">
      <c r="A16478">
        <v>16477</v>
      </c>
      <c r="B16478">
        <v>7413338</v>
      </c>
      <c r="C16478" s="1" t="str">
        <f>HYPERLINK("http://stackoverflow.com/users/7413338", "Alessandro Grena")</f>
        <v>Alessandro Grena</v>
      </c>
      <c r="D16478" t="s">
        <v>5</v>
      </c>
      <c r="E16478">
        <v>1</v>
      </c>
    </row>
    <row r="16479" spans="1:5" x14ac:dyDescent="0.25">
      <c r="A16479">
        <v>16478</v>
      </c>
      <c r="B16479">
        <v>9307564</v>
      </c>
      <c r="C16479" s="1" t="str">
        <f>HYPERLINK("http://stackoverflow.com/users/9307564", "user9307564")</f>
        <v>user9307564</v>
      </c>
      <c r="D16479" t="s">
        <v>4</v>
      </c>
      <c r="E16479">
        <v>1</v>
      </c>
    </row>
    <row r="16480" spans="1:5" x14ac:dyDescent="0.25">
      <c r="A16480">
        <v>16479</v>
      </c>
      <c r="B16480">
        <v>11100954</v>
      </c>
      <c r="C16480" s="1" t="str">
        <f>HYPERLINK("http://stackoverflow.com/users/11100954", "ES Development")</f>
        <v>ES Development</v>
      </c>
      <c r="D16480" t="s">
        <v>16</v>
      </c>
      <c r="E16480">
        <v>1</v>
      </c>
    </row>
    <row r="16481" spans="1:5" x14ac:dyDescent="0.25">
      <c r="A16481">
        <v>16480</v>
      </c>
      <c r="B16481">
        <v>11104365</v>
      </c>
      <c r="C16481" s="1" t="str">
        <f>HYPERLINK("http://stackoverflow.com/users/11104365", "Guojing Zhao")</f>
        <v>Guojing Zhao</v>
      </c>
      <c r="D16481" t="s">
        <v>91</v>
      </c>
      <c r="E16481">
        <v>1</v>
      </c>
    </row>
    <row r="16482" spans="1:5" x14ac:dyDescent="0.25">
      <c r="A16482">
        <v>16481</v>
      </c>
      <c r="B16482">
        <v>9294621</v>
      </c>
      <c r="C16482" s="1" t="str">
        <f>HYPERLINK("http://stackoverflow.com/users/9294621", "Sharp Tao")</f>
        <v>Sharp Tao</v>
      </c>
      <c r="D16482" t="s">
        <v>5</v>
      </c>
      <c r="E16482">
        <v>1</v>
      </c>
    </row>
    <row r="16483" spans="1:5" x14ac:dyDescent="0.25">
      <c r="A16483">
        <v>16482</v>
      </c>
      <c r="B16483">
        <v>9294812</v>
      </c>
      <c r="C16483" s="1" t="str">
        <f>HYPERLINK("http://stackoverflow.com/users/9294812", "wskwbog")</f>
        <v>wskwbog</v>
      </c>
      <c r="D16483" t="s">
        <v>5</v>
      </c>
      <c r="E16483">
        <v>1</v>
      </c>
    </row>
    <row r="16484" spans="1:5" x14ac:dyDescent="0.25">
      <c r="A16484">
        <v>16483</v>
      </c>
      <c r="B16484">
        <v>11088632</v>
      </c>
      <c r="C16484" s="1" t="str">
        <f>HYPERLINK("http://stackoverflow.com/users/11088632", "Hongwei Ma")</f>
        <v>Hongwei Ma</v>
      </c>
      <c r="D16484" t="s">
        <v>43</v>
      </c>
      <c r="E16484">
        <v>1</v>
      </c>
    </row>
    <row r="16485" spans="1:5" x14ac:dyDescent="0.25">
      <c r="A16485">
        <v>16484</v>
      </c>
      <c r="B16485">
        <v>7404887</v>
      </c>
      <c r="C16485" s="1" t="str">
        <f>HYPERLINK("http://stackoverflow.com/users/7404887", "user7404887")</f>
        <v>user7404887</v>
      </c>
      <c r="D16485" t="s">
        <v>896</v>
      </c>
      <c r="E16485">
        <v>1</v>
      </c>
    </row>
    <row r="16486" spans="1:5" x14ac:dyDescent="0.25">
      <c r="A16486">
        <v>16485</v>
      </c>
      <c r="B16486">
        <v>9297890</v>
      </c>
      <c r="C16486" s="1" t="str">
        <f>HYPERLINK("http://stackoverflow.com/users/9297890", "Ibuki sei")</f>
        <v>Ibuki sei</v>
      </c>
      <c r="D16486" t="s">
        <v>74</v>
      </c>
      <c r="E16486">
        <v>1</v>
      </c>
    </row>
    <row r="16487" spans="1:5" x14ac:dyDescent="0.25">
      <c r="A16487">
        <v>16486</v>
      </c>
      <c r="B16487">
        <v>9298218</v>
      </c>
      <c r="C16487" s="1" t="str">
        <f>HYPERLINK("http://stackoverflow.com/users/9298218", "Tong Cao")</f>
        <v>Tong Cao</v>
      </c>
      <c r="D16487" t="s">
        <v>5</v>
      </c>
      <c r="E16487">
        <v>1</v>
      </c>
    </row>
    <row r="16488" spans="1:5" x14ac:dyDescent="0.25">
      <c r="A16488">
        <v>16487</v>
      </c>
      <c r="B16488">
        <v>9289955</v>
      </c>
      <c r="C16488" s="1" t="str">
        <f>HYPERLINK("http://stackoverflow.com/users/9289955", "henson")</f>
        <v>henson</v>
      </c>
      <c r="D16488" t="s">
        <v>416</v>
      </c>
      <c r="E16488">
        <v>1</v>
      </c>
    </row>
    <row r="16489" spans="1:5" x14ac:dyDescent="0.25">
      <c r="A16489">
        <v>16488</v>
      </c>
      <c r="B16489">
        <v>11087654</v>
      </c>
      <c r="C16489" s="1" t="str">
        <f>HYPERLINK("http://stackoverflow.com/users/11087654", "netwolf103")</f>
        <v>netwolf103</v>
      </c>
      <c r="D16489" t="s">
        <v>91</v>
      </c>
      <c r="E16489">
        <v>1</v>
      </c>
    </row>
    <row r="16490" spans="1:5" x14ac:dyDescent="0.25">
      <c r="A16490">
        <v>16489</v>
      </c>
      <c r="B16490">
        <v>11087997</v>
      </c>
      <c r="C16490" s="1" t="str">
        <f>HYPERLINK("http://stackoverflow.com/users/11087997", "George Liu")</f>
        <v>George Liu</v>
      </c>
      <c r="D16490" t="s">
        <v>5</v>
      </c>
      <c r="E16490">
        <v>1</v>
      </c>
    </row>
    <row r="16491" spans="1:5" x14ac:dyDescent="0.25">
      <c r="A16491">
        <v>16490</v>
      </c>
      <c r="B16491">
        <v>11088336</v>
      </c>
      <c r="C16491" s="1" t="str">
        <f>HYPERLINK("http://stackoverflow.com/users/11088336", "ma lone")</f>
        <v>ma lone</v>
      </c>
      <c r="D16491" t="s">
        <v>16</v>
      </c>
      <c r="E16491">
        <v>1</v>
      </c>
    </row>
    <row r="16492" spans="1:5" x14ac:dyDescent="0.25">
      <c r="A16492">
        <v>16491</v>
      </c>
      <c r="B16492">
        <v>5650642</v>
      </c>
      <c r="C16492" s="1" t="str">
        <f>HYPERLINK("http://stackoverflow.com/users/5650642", "meto.cc")</f>
        <v>meto.cc</v>
      </c>
      <c r="D16492" t="s">
        <v>897</v>
      </c>
      <c r="E16492">
        <v>1</v>
      </c>
    </row>
    <row r="16493" spans="1:5" x14ac:dyDescent="0.25">
      <c r="A16493">
        <v>16492</v>
      </c>
      <c r="B16493">
        <v>9302639</v>
      </c>
      <c r="C16493" s="1" t="str">
        <f>HYPERLINK("http://stackoverflow.com/users/9302639", "RYUZ4KI")</f>
        <v>RYUZ4KI</v>
      </c>
      <c r="D16493" t="s">
        <v>898</v>
      </c>
      <c r="E16493">
        <v>1</v>
      </c>
    </row>
    <row r="16494" spans="1:5" x14ac:dyDescent="0.25">
      <c r="A16494">
        <v>16493</v>
      </c>
      <c r="B16494">
        <v>9303150</v>
      </c>
      <c r="C16494" s="1" t="str">
        <f>HYPERLINK("http://stackoverflow.com/users/9303150", "Yongjie SUN")</f>
        <v>Yongjie SUN</v>
      </c>
      <c r="D16494" t="s">
        <v>5</v>
      </c>
      <c r="E16494">
        <v>1</v>
      </c>
    </row>
    <row r="16495" spans="1:5" x14ac:dyDescent="0.25">
      <c r="A16495">
        <v>16494</v>
      </c>
      <c r="B16495">
        <v>9303159</v>
      </c>
      <c r="C16495" s="1" t="str">
        <f>HYPERLINK("http://stackoverflow.com/users/9303159", "dream long")</f>
        <v>dream long</v>
      </c>
      <c r="D16495" t="s">
        <v>52</v>
      </c>
      <c r="E16495">
        <v>1</v>
      </c>
    </row>
    <row r="16496" spans="1:5" x14ac:dyDescent="0.25">
      <c r="A16496">
        <v>16495</v>
      </c>
      <c r="B16496">
        <v>9303234</v>
      </c>
      <c r="C16496" s="1" t="str">
        <f>HYPERLINK("http://stackoverflow.com/users/9303234", "Z.laoshi")</f>
        <v>Z.laoshi</v>
      </c>
      <c r="D16496" t="s">
        <v>16</v>
      </c>
      <c r="E16496">
        <v>1</v>
      </c>
    </row>
    <row r="16497" spans="1:5" x14ac:dyDescent="0.25">
      <c r="A16497">
        <v>16496</v>
      </c>
      <c r="B16497">
        <v>9303256</v>
      </c>
      <c r="C16497" s="1" t="str">
        <f>HYPERLINK("http://stackoverflow.com/users/9303256", "Jialin Wu")</f>
        <v>Jialin Wu</v>
      </c>
      <c r="D16497" t="s">
        <v>4</v>
      </c>
      <c r="E16497">
        <v>1</v>
      </c>
    </row>
    <row r="16498" spans="1:5" x14ac:dyDescent="0.25">
      <c r="A16498">
        <v>16497</v>
      </c>
      <c r="B16498">
        <v>11095833</v>
      </c>
      <c r="C16498" s="1" t="str">
        <f>HYPERLINK("http://stackoverflow.com/users/11095833", "yao tao")</f>
        <v>yao tao</v>
      </c>
      <c r="D16498" t="s">
        <v>5</v>
      </c>
      <c r="E16498">
        <v>1</v>
      </c>
    </row>
    <row r="16499" spans="1:5" x14ac:dyDescent="0.25">
      <c r="A16499">
        <v>16498</v>
      </c>
      <c r="B16499">
        <v>11096578</v>
      </c>
      <c r="C16499" s="1" t="str">
        <f>HYPERLINK("http://stackoverflow.com/users/11096578", "Motiondepp")</f>
        <v>Motiondepp</v>
      </c>
      <c r="D16499" t="s">
        <v>131</v>
      </c>
      <c r="E16499">
        <v>1</v>
      </c>
    </row>
    <row r="16500" spans="1:5" x14ac:dyDescent="0.25">
      <c r="A16500">
        <v>16499</v>
      </c>
      <c r="B16500">
        <v>7408524</v>
      </c>
      <c r="C16500" s="1" t="str">
        <f>HYPERLINK("http://stackoverflow.com/users/7408524", "garybooter")</f>
        <v>garybooter</v>
      </c>
      <c r="D16500" t="s">
        <v>4</v>
      </c>
      <c r="E16500">
        <v>1</v>
      </c>
    </row>
    <row r="16501" spans="1:5" x14ac:dyDescent="0.25">
      <c r="A16501">
        <v>16500</v>
      </c>
      <c r="B16501">
        <v>9327581</v>
      </c>
      <c r="C16501" s="1" t="str">
        <f>HYPERLINK("http://stackoverflow.com/users/9327581", "Shihezi University")</f>
        <v>Shihezi University</v>
      </c>
      <c r="D16501" t="s">
        <v>79</v>
      </c>
      <c r="E16501">
        <v>1</v>
      </c>
    </row>
    <row r="16502" spans="1:5" x14ac:dyDescent="0.25">
      <c r="A16502">
        <v>16501</v>
      </c>
      <c r="B16502">
        <v>3893854</v>
      </c>
      <c r="C16502" s="1" t="str">
        <f>HYPERLINK("http://stackoverflow.com/users/3893854", "bodog")</f>
        <v>bodog</v>
      </c>
      <c r="D16502" t="s">
        <v>5</v>
      </c>
      <c r="E16502">
        <v>1</v>
      </c>
    </row>
    <row r="16503" spans="1:5" x14ac:dyDescent="0.25">
      <c r="A16503">
        <v>16502</v>
      </c>
      <c r="B16503">
        <v>2132023</v>
      </c>
      <c r="C16503" s="1" t="str">
        <f>HYPERLINK("http://stackoverflow.com/users/2132023", "tancy")</f>
        <v>tancy</v>
      </c>
      <c r="D16503" t="s">
        <v>12</v>
      </c>
      <c r="E16503">
        <v>1</v>
      </c>
    </row>
    <row r="16504" spans="1:5" x14ac:dyDescent="0.25">
      <c r="A16504">
        <v>16503</v>
      </c>
      <c r="B16504">
        <v>11123885</v>
      </c>
      <c r="C16504" s="1" t="str">
        <f>HYPERLINK("http://stackoverflow.com/users/11123885", "Sayo Melu")</f>
        <v>Sayo Melu</v>
      </c>
      <c r="D16504" t="s">
        <v>43</v>
      </c>
      <c r="E16504">
        <v>1</v>
      </c>
    </row>
    <row r="16505" spans="1:5" x14ac:dyDescent="0.25">
      <c r="A16505">
        <v>16504</v>
      </c>
      <c r="B16505">
        <v>11124229</v>
      </c>
      <c r="C16505" s="1" t="str">
        <f>HYPERLINK("http://stackoverflow.com/users/11124229", "Ye Hui")</f>
        <v>Ye Hui</v>
      </c>
      <c r="D16505" t="s">
        <v>24</v>
      </c>
      <c r="E16505">
        <v>1</v>
      </c>
    </row>
    <row r="16506" spans="1:5" x14ac:dyDescent="0.25">
      <c r="A16506">
        <v>16505</v>
      </c>
      <c r="B16506">
        <v>11124497</v>
      </c>
      <c r="C16506" s="1" t="str">
        <f>HYPERLINK("http://stackoverflow.com/users/11124497", "Aruhan")</f>
        <v>Aruhan</v>
      </c>
      <c r="D16506" t="s">
        <v>52</v>
      </c>
      <c r="E16506">
        <v>1</v>
      </c>
    </row>
    <row r="16507" spans="1:5" x14ac:dyDescent="0.25">
      <c r="A16507">
        <v>16506</v>
      </c>
      <c r="B16507">
        <v>3900483</v>
      </c>
      <c r="C16507" s="1" t="str">
        <f>HYPERLINK("http://stackoverflow.com/users/3900483", "CENT LUI")</f>
        <v>CENT LUI</v>
      </c>
      <c r="D16507" t="s">
        <v>5</v>
      </c>
      <c r="E16507">
        <v>1</v>
      </c>
    </row>
    <row r="16508" spans="1:5" x14ac:dyDescent="0.25">
      <c r="A16508">
        <v>16507</v>
      </c>
      <c r="B16508">
        <v>11128265</v>
      </c>
      <c r="C16508" s="1" t="str">
        <f>HYPERLINK("http://stackoverflow.com/users/11128265", "crystalfan")</f>
        <v>crystalfan</v>
      </c>
      <c r="D16508" t="s">
        <v>5</v>
      </c>
      <c r="E16508">
        <v>1</v>
      </c>
    </row>
    <row r="16509" spans="1:5" x14ac:dyDescent="0.25">
      <c r="A16509">
        <v>16508</v>
      </c>
      <c r="B16509">
        <v>11128521</v>
      </c>
      <c r="C16509" s="1" t="str">
        <f>HYPERLINK("http://stackoverflow.com/users/11128521", "guning")</f>
        <v>guning</v>
      </c>
      <c r="D16509" t="s">
        <v>899</v>
      </c>
      <c r="E16509">
        <v>1</v>
      </c>
    </row>
    <row r="16510" spans="1:5" x14ac:dyDescent="0.25">
      <c r="A16510">
        <v>16509</v>
      </c>
      <c r="B16510">
        <v>9336109</v>
      </c>
      <c r="C16510" s="1" t="str">
        <f>HYPERLINK("http://stackoverflow.com/users/9336109", "Bob Lee")</f>
        <v>Bob Lee</v>
      </c>
      <c r="D16510" t="s">
        <v>900</v>
      </c>
      <c r="E16510">
        <v>1</v>
      </c>
    </row>
    <row r="16511" spans="1:5" x14ac:dyDescent="0.25">
      <c r="A16511">
        <v>16510</v>
      </c>
      <c r="B16511">
        <v>2142103</v>
      </c>
      <c r="C16511" s="1" t="str">
        <f>HYPERLINK("http://stackoverflow.com/users/2142103", "Comphuse")</f>
        <v>Comphuse</v>
      </c>
      <c r="D16511" t="s">
        <v>12</v>
      </c>
      <c r="E16511">
        <v>1</v>
      </c>
    </row>
    <row r="16512" spans="1:5" x14ac:dyDescent="0.25">
      <c r="A16512">
        <v>16511</v>
      </c>
      <c r="B16512">
        <v>7433672</v>
      </c>
      <c r="C16512" s="1" t="str">
        <f>HYPERLINK("http://stackoverflow.com/users/7433672", "康志平")</f>
        <v>康志平</v>
      </c>
      <c r="D16512" t="s">
        <v>154</v>
      </c>
      <c r="E16512">
        <v>1</v>
      </c>
    </row>
    <row r="16513" spans="1:5" x14ac:dyDescent="0.25">
      <c r="A16513">
        <v>16512</v>
      </c>
      <c r="B16513">
        <v>9331319</v>
      </c>
      <c r="C16513" s="1" t="str">
        <f>HYPERLINK("http://stackoverflow.com/users/9331319", "Led Stadium")</f>
        <v>Led Stadium</v>
      </c>
      <c r="D16513" t="s">
        <v>7</v>
      </c>
      <c r="E16513">
        <v>1</v>
      </c>
    </row>
    <row r="16514" spans="1:5" x14ac:dyDescent="0.25">
      <c r="A16514">
        <v>16513</v>
      </c>
      <c r="B16514">
        <v>11108081</v>
      </c>
      <c r="C16514" s="1" t="str">
        <f>HYPERLINK("http://stackoverflow.com/users/11108081", "hlwojiv")</f>
        <v>hlwojiv</v>
      </c>
      <c r="D16514" t="s">
        <v>21</v>
      </c>
      <c r="E16514">
        <v>1</v>
      </c>
    </row>
    <row r="16515" spans="1:5" x14ac:dyDescent="0.25">
      <c r="A16515">
        <v>16514</v>
      </c>
      <c r="B16515">
        <v>11108239</v>
      </c>
      <c r="C16515" s="1" t="str">
        <f>HYPERLINK("http://stackoverflow.com/users/11108239", "Kyle Mi")</f>
        <v>Kyle Mi</v>
      </c>
      <c r="D16515" t="s">
        <v>19</v>
      </c>
      <c r="E16515">
        <v>1</v>
      </c>
    </row>
    <row r="16516" spans="1:5" x14ac:dyDescent="0.25">
      <c r="A16516">
        <v>16515</v>
      </c>
      <c r="B16516">
        <v>9314728</v>
      </c>
      <c r="C16516" s="1" t="str">
        <f>HYPERLINK("http://stackoverflow.com/users/9314728", "Alex Sun")</f>
        <v>Alex Sun</v>
      </c>
      <c r="D16516" t="s">
        <v>5</v>
      </c>
      <c r="E16516">
        <v>1</v>
      </c>
    </row>
    <row r="16517" spans="1:5" x14ac:dyDescent="0.25">
      <c r="A16517">
        <v>16516</v>
      </c>
      <c r="B16517">
        <v>9314814</v>
      </c>
      <c r="C16517" s="1" t="str">
        <f>HYPERLINK("http://stackoverflow.com/users/9314814", "chris")</f>
        <v>chris</v>
      </c>
      <c r="D16517" t="s">
        <v>16</v>
      </c>
      <c r="E16517">
        <v>1</v>
      </c>
    </row>
    <row r="16518" spans="1:5" x14ac:dyDescent="0.25">
      <c r="A16518">
        <v>16517</v>
      </c>
      <c r="B16518">
        <v>9315229</v>
      </c>
      <c r="C16518" s="1" t="str">
        <f>HYPERLINK("http://stackoverflow.com/users/9315229", "Tony")</f>
        <v>Tony</v>
      </c>
      <c r="D16518" t="s">
        <v>4</v>
      </c>
      <c r="E16518">
        <v>1</v>
      </c>
    </row>
    <row r="16519" spans="1:5" x14ac:dyDescent="0.25">
      <c r="A16519">
        <v>16518</v>
      </c>
      <c r="B16519">
        <v>9315538</v>
      </c>
      <c r="C16519" s="1" t="str">
        <f>HYPERLINK("http://stackoverflow.com/users/9315538", "Susan Huang")</f>
        <v>Susan Huang</v>
      </c>
      <c r="D16519" t="s">
        <v>4</v>
      </c>
      <c r="E16519">
        <v>1</v>
      </c>
    </row>
    <row r="16520" spans="1:5" x14ac:dyDescent="0.25">
      <c r="A16520">
        <v>16519</v>
      </c>
      <c r="B16520">
        <v>3883873</v>
      </c>
      <c r="C16520" s="1" t="str">
        <f>HYPERLINK("http://stackoverflow.com/users/3883873", "Jon")</f>
        <v>Jon</v>
      </c>
      <c r="D16520" t="s">
        <v>4</v>
      </c>
      <c r="E16520">
        <v>1</v>
      </c>
    </row>
    <row r="16521" spans="1:5" x14ac:dyDescent="0.25">
      <c r="A16521">
        <v>16520</v>
      </c>
      <c r="B16521">
        <v>11111524</v>
      </c>
      <c r="C16521" s="1" t="str">
        <f>HYPERLINK("http://stackoverflow.com/users/11111524", "张燕鹏")</f>
        <v>张燕鹏</v>
      </c>
      <c r="D16521" t="s">
        <v>7</v>
      </c>
      <c r="E16521">
        <v>1</v>
      </c>
    </row>
    <row r="16522" spans="1:5" x14ac:dyDescent="0.25">
      <c r="A16522">
        <v>16521</v>
      </c>
      <c r="B16522">
        <v>11111752</v>
      </c>
      <c r="C16522" s="1" t="str">
        <f>HYPERLINK("http://stackoverflow.com/users/11111752", "卢世林")</f>
        <v>卢世林</v>
      </c>
      <c r="D16522" t="s">
        <v>57</v>
      </c>
      <c r="E16522">
        <v>1</v>
      </c>
    </row>
    <row r="16523" spans="1:5" x14ac:dyDescent="0.25">
      <c r="A16523">
        <v>16522</v>
      </c>
      <c r="B16523">
        <v>7423360</v>
      </c>
      <c r="C16523" s="1" t="str">
        <f>HYPERLINK("http://stackoverflow.com/users/7423360", "willFederer")</f>
        <v>willFederer</v>
      </c>
      <c r="D16523" t="s">
        <v>5</v>
      </c>
      <c r="E16523">
        <v>1</v>
      </c>
    </row>
    <row r="16524" spans="1:5" x14ac:dyDescent="0.25">
      <c r="A16524">
        <v>16523</v>
      </c>
      <c r="B16524">
        <v>7423472</v>
      </c>
      <c r="C16524" s="1" t="str">
        <f>HYPERLINK("http://stackoverflow.com/users/7423472", "勾圆阳")</f>
        <v>勾圆阳</v>
      </c>
      <c r="D16524" t="s">
        <v>5</v>
      </c>
      <c r="E16524">
        <v>1</v>
      </c>
    </row>
    <row r="16525" spans="1:5" x14ac:dyDescent="0.25">
      <c r="A16525">
        <v>16524</v>
      </c>
      <c r="B16525">
        <v>7423501</v>
      </c>
      <c r="C16525" s="1" t="str">
        <f>HYPERLINK("http://stackoverflow.com/users/7423501", "fathoo")</f>
        <v>fathoo</v>
      </c>
      <c r="D16525" t="s">
        <v>7</v>
      </c>
      <c r="E16525">
        <v>1</v>
      </c>
    </row>
    <row r="16526" spans="1:5" x14ac:dyDescent="0.25">
      <c r="A16526">
        <v>16525</v>
      </c>
      <c r="B16526">
        <v>7423541</v>
      </c>
      <c r="C16526" s="1" t="str">
        <f>HYPERLINK("http://stackoverflow.com/users/7423541", "ChrisZong")</f>
        <v>ChrisZong</v>
      </c>
      <c r="D16526" t="s">
        <v>16</v>
      </c>
      <c r="E16526">
        <v>1</v>
      </c>
    </row>
    <row r="16527" spans="1:5" x14ac:dyDescent="0.25">
      <c r="A16527">
        <v>16526</v>
      </c>
      <c r="B16527">
        <v>2122573</v>
      </c>
      <c r="C16527" s="1" t="str">
        <f>HYPERLINK("http://stackoverflow.com/users/2122573", "NIUZHU")</f>
        <v>NIUZHU</v>
      </c>
      <c r="D16527" t="s">
        <v>4</v>
      </c>
      <c r="E16527">
        <v>1</v>
      </c>
    </row>
    <row r="16528" spans="1:5" x14ac:dyDescent="0.25">
      <c r="A16528">
        <v>16527</v>
      </c>
      <c r="B16528">
        <v>2123719</v>
      </c>
      <c r="C16528" s="1" t="str">
        <f>HYPERLINK("http://stackoverflow.com/users/2123719", "codevim")</f>
        <v>codevim</v>
      </c>
      <c r="D16528" t="s">
        <v>4</v>
      </c>
      <c r="E16528">
        <v>1</v>
      </c>
    </row>
    <row r="16529" spans="1:5" x14ac:dyDescent="0.25">
      <c r="A16529">
        <v>16528</v>
      </c>
      <c r="B16529">
        <v>5765836</v>
      </c>
      <c r="C16529" s="1" t="str">
        <f>HYPERLINK("http://stackoverflow.com/users/5765836", "e29hz")</f>
        <v>e29hz</v>
      </c>
      <c r="D16529" t="s">
        <v>56</v>
      </c>
      <c r="E16529">
        <v>1</v>
      </c>
    </row>
    <row r="16530" spans="1:5" x14ac:dyDescent="0.25">
      <c r="A16530">
        <v>16529</v>
      </c>
      <c r="B16530">
        <v>5765851</v>
      </c>
      <c r="C16530" s="1" t="str">
        <f>HYPERLINK("http://stackoverflow.com/users/5765851", "luke.luan")</f>
        <v>luke.luan</v>
      </c>
      <c r="D16530" t="s">
        <v>17</v>
      </c>
      <c r="E16530">
        <v>1</v>
      </c>
    </row>
    <row r="16531" spans="1:5" x14ac:dyDescent="0.25">
      <c r="A16531">
        <v>16530</v>
      </c>
      <c r="B16531">
        <v>5766108</v>
      </c>
      <c r="C16531" s="1" t="str">
        <f>HYPERLINK("http://stackoverflow.com/users/5766108", "Yu HoBu")</f>
        <v>Yu HoBu</v>
      </c>
      <c r="D16531" t="s">
        <v>33</v>
      </c>
      <c r="E16531">
        <v>1</v>
      </c>
    </row>
    <row r="16532" spans="1:5" x14ac:dyDescent="0.25">
      <c r="A16532">
        <v>16531</v>
      </c>
      <c r="B16532">
        <v>7517670</v>
      </c>
      <c r="C16532" s="1" t="str">
        <f>HYPERLINK("http://stackoverflow.com/users/7517670", "johnwen")</f>
        <v>johnwen</v>
      </c>
      <c r="D16532" t="s">
        <v>25</v>
      </c>
      <c r="E16532">
        <v>1</v>
      </c>
    </row>
    <row r="16533" spans="1:5" x14ac:dyDescent="0.25">
      <c r="A16533">
        <v>16532</v>
      </c>
      <c r="B16533">
        <v>7517895</v>
      </c>
      <c r="C16533" s="1" t="str">
        <f>HYPERLINK("http://stackoverflow.com/users/7517895", "Chol")</f>
        <v>Chol</v>
      </c>
      <c r="D16533" t="s">
        <v>4</v>
      </c>
      <c r="E16533">
        <v>1</v>
      </c>
    </row>
    <row r="16534" spans="1:5" x14ac:dyDescent="0.25">
      <c r="A16534">
        <v>16533</v>
      </c>
      <c r="B16534">
        <v>3986662</v>
      </c>
      <c r="C16534" s="1" t="str">
        <f>HYPERLINK("http://stackoverflow.com/users/3986662", "TaoTing")</f>
        <v>TaoTing</v>
      </c>
      <c r="D16534" t="s">
        <v>4</v>
      </c>
      <c r="E16534">
        <v>1</v>
      </c>
    </row>
    <row r="16535" spans="1:5" x14ac:dyDescent="0.25">
      <c r="A16535">
        <v>16534</v>
      </c>
      <c r="B16535">
        <v>11221087</v>
      </c>
      <c r="C16535" s="1" t="str">
        <f>HYPERLINK("http://stackoverflow.com/users/11221087", "gawaine1988")</f>
        <v>gawaine1988</v>
      </c>
      <c r="D16535" t="s">
        <v>91</v>
      </c>
      <c r="E16535">
        <v>1</v>
      </c>
    </row>
    <row r="16536" spans="1:5" x14ac:dyDescent="0.25">
      <c r="A16536">
        <v>16535</v>
      </c>
      <c r="B16536">
        <v>3985888</v>
      </c>
      <c r="C16536" s="1" t="str">
        <f>HYPERLINK("http://stackoverflow.com/users/3985888", "yrhsilence")</f>
        <v>yrhsilence</v>
      </c>
      <c r="D16536" t="s">
        <v>12</v>
      </c>
      <c r="E16536">
        <v>1</v>
      </c>
    </row>
    <row r="16537" spans="1:5" x14ac:dyDescent="0.25">
      <c r="A16537">
        <v>16536</v>
      </c>
      <c r="B16537">
        <v>3986014</v>
      </c>
      <c r="C16537" s="1" t="str">
        <f>HYPERLINK("http://stackoverflow.com/users/3986014", "王德扬")</f>
        <v>王德扬</v>
      </c>
      <c r="D16537" t="s">
        <v>4</v>
      </c>
      <c r="E16537">
        <v>1</v>
      </c>
    </row>
    <row r="16538" spans="1:5" x14ac:dyDescent="0.25">
      <c r="A16538">
        <v>16537</v>
      </c>
      <c r="B16538">
        <v>2231862</v>
      </c>
      <c r="C16538" s="1" t="str">
        <f>HYPERLINK("http://stackoverflow.com/users/2231862", "Hawstein")</f>
        <v>Hawstein</v>
      </c>
      <c r="D16538" t="s">
        <v>5</v>
      </c>
      <c r="E16538">
        <v>1</v>
      </c>
    </row>
    <row r="16539" spans="1:5" x14ac:dyDescent="0.25">
      <c r="A16539">
        <v>16538</v>
      </c>
      <c r="B16539">
        <v>2232198</v>
      </c>
      <c r="C16539" s="1" t="str">
        <f>HYPERLINK("http://stackoverflow.com/users/2232198", "Baochang Han")</f>
        <v>Baochang Han</v>
      </c>
      <c r="D16539" t="s">
        <v>35</v>
      </c>
      <c r="E16539">
        <v>1</v>
      </c>
    </row>
    <row r="16540" spans="1:5" x14ac:dyDescent="0.25">
      <c r="A16540">
        <v>16539</v>
      </c>
      <c r="B16540">
        <v>2232657</v>
      </c>
      <c r="C16540" s="1" t="str">
        <f>HYPERLINK("http://stackoverflow.com/users/2232657", "loosen")</f>
        <v>loosen</v>
      </c>
      <c r="D16540" t="s">
        <v>5</v>
      </c>
      <c r="E16540">
        <v>1</v>
      </c>
    </row>
    <row r="16541" spans="1:5" x14ac:dyDescent="0.25">
      <c r="A16541">
        <v>16540</v>
      </c>
      <c r="B16541">
        <v>11212113</v>
      </c>
      <c r="C16541" s="1" t="str">
        <f>HYPERLINK("http://stackoverflow.com/users/11212113", "JohnsonLiu")</f>
        <v>JohnsonLiu</v>
      </c>
      <c r="D16541" t="s">
        <v>4</v>
      </c>
      <c r="E16541">
        <v>1</v>
      </c>
    </row>
    <row r="16542" spans="1:5" x14ac:dyDescent="0.25">
      <c r="A16542">
        <v>16541</v>
      </c>
      <c r="B16542">
        <v>9417346</v>
      </c>
      <c r="C16542" s="1" t="str">
        <f>HYPERLINK("http://stackoverflow.com/users/9417346", "Bruce Devonce")</f>
        <v>Bruce Devonce</v>
      </c>
      <c r="D16542" t="s">
        <v>5</v>
      </c>
      <c r="E16542">
        <v>1</v>
      </c>
    </row>
    <row r="16543" spans="1:5" x14ac:dyDescent="0.25">
      <c r="A16543">
        <v>16542</v>
      </c>
      <c r="B16543">
        <v>5753606</v>
      </c>
      <c r="C16543" s="1" t="str">
        <f>HYPERLINK("http://stackoverflow.com/users/5753606", "noahark110110")</f>
        <v>noahark110110</v>
      </c>
      <c r="D16543" t="s">
        <v>118</v>
      </c>
      <c r="E16543">
        <v>1</v>
      </c>
    </row>
    <row r="16544" spans="1:5" x14ac:dyDescent="0.25">
      <c r="A16544">
        <v>16543</v>
      </c>
      <c r="B16544">
        <v>11215938</v>
      </c>
      <c r="C16544" s="1" t="str">
        <f>HYPERLINK("http://stackoverflow.com/users/11215938", "Hon")</f>
        <v>Hon</v>
      </c>
      <c r="D16544" t="s">
        <v>47</v>
      </c>
      <c r="E16544">
        <v>1</v>
      </c>
    </row>
    <row r="16545" spans="1:5" x14ac:dyDescent="0.25">
      <c r="A16545">
        <v>16544</v>
      </c>
      <c r="B16545">
        <v>11216199</v>
      </c>
      <c r="C16545" s="1" t="str">
        <f>HYPERLINK("http://stackoverflow.com/users/11216199", "汉三许")</f>
        <v>汉三许</v>
      </c>
      <c r="D16545" t="s">
        <v>52</v>
      </c>
      <c r="E16545">
        <v>1</v>
      </c>
    </row>
    <row r="16546" spans="1:5" x14ac:dyDescent="0.25">
      <c r="A16546">
        <v>16545</v>
      </c>
      <c r="B16546">
        <v>5757723</v>
      </c>
      <c r="C16546" s="1" t="str">
        <f>HYPERLINK("http://stackoverflow.com/users/5757723", "Congliu")</f>
        <v>Congliu</v>
      </c>
      <c r="D16546" t="s">
        <v>28</v>
      </c>
      <c r="E16546">
        <v>1</v>
      </c>
    </row>
    <row r="16547" spans="1:5" x14ac:dyDescent="0.25">
      <c r="A16547">
        <v>16546</v>
      </c>
      <c r="B16547">
        <v>3982518</v>
      </c>
      <c r="C16547" s="1" t="str">
        <f>HYPERLINK("http://stackoverflow.com/users/3982518", "Jeff Zhang")</f>
        <v>Jeff Zhang</v>
      </c>
      <c r="D16547" t="s">
        <v>17</v>
      </c>
      <c r="E16547">
        <v>1</v>
      </c>
    </row>
    <row r="16548" spans="1:5" x14ac:dyDescent="0.25">
      <c r="A16548">
        <v>16547</v>
      </c>
      <c r="B16548">
        <v>3982697</v>
      </c>
      <c r="C16548" s="1" t="str">
        <f>HYPERLINK("http://stackoverflow.com/users/3982697", "seven")</f>
        <v>seven</v>
      </c>
      <c r="D16548" t="s">
        <v>4</v>
      </c>
      <c r="E16548">
        <v>1</v>
      </c>
    </row>
    <row r="16549" spans="1:5" x14ac:dyDescent="0.25">
      <c r="A16549">
        <v>16548</v>
      </c>
      <c r="B16549">
        <v>2231369</v>
      </c>
      <c r="C16549" s="1" t="str">
        <f>HYPERLINK("http://stackoverflow.com/users/2231369", "Leewg")</f>
        <v>Leewg</v>
      </c>
      <c r="D16549" t="s">
        <v>5</v>
      </c>
      <c r="E16549">
        <v>1</v>
      </c>
    </row>
    <row r="16550" spans="1:5" x14ac:dyDescent="0.25">
      <c r="A16550">
        <v>16549</v>
      </c>
      <c r="B16550">
        <v>11208755</v>
      </c>
      <c r="C16550" s="1" t="str">
        <f>HYPERLINK("http://stackoverflow.com/users/11208755", "Yuqing")</f>
        <v>Yuqing</v>
      </c>
      <c r="D16550" t="s">
        <v>5</v>
      </c>
      <c r="E16550">
        <v>1</v>
      </c>
    </row>
    <row r="16551" spans="1:5" x14ac:dyDescent="0.25">
      <c r="A16551">
        <v>16550</v>
      </c>
      <c r="B16551">
        <v>11208902</v>
      </c>
      <c r="C16551" s="1" t="str">
        <f>HYPERLINK("http://stackoverflow.com/users/11208902", "crownbond920")</f>
        <v>crownbond920</v>
      </c>
      <c r="D16551" t="s">
        <v>25</v>
      </c>
      <c r="E16551">
        <v>1</v>
      </c>
    </row>
    <row r="16552" spans="1:5" x14ac:dyDescent="0.25">
      <c r="A16552">
        <v>16551</v>
      </c>
      <c r="B16552">
        <v>9414003</v>
      </c>
      <c r="C16552" s="1" t="str">
        <f>HYPERLINK("http://stackoverflow.com/users/9414003", "Zigit Zo")</f>
        <v>Zigit Zo</v>
      </c>
      <c r="D16552" t="s">
        <v>25</v>
      </c>
      <c r="E16552">
        <v>1</v>
      </c>
    </row>
    <row r="16553" spans="1:5" x14ac:dyDescent="0.25">
      <c r="A16553">
        <v>16552</v>
      </c>
      <c r="B16553">
        <v>9414117</v>
      </c>
      <c r="C16553" s="1" t="str">
        <f>HYPERLINK("http://stackoverflow.com/users/9414117", "lingen")</f>
        <v>lingen</v>
      </c>
      <c r="D16553" t="s">
        <v>25</v>
      </c>
      <c r="E16553">
        <v>1</v>
      </c>
    </row>
    <row r="16554" spans="1:5" x14ac:dyDescent="0.25">
      <c r="A16554">
        <v>16553</v>
      </c>
      <c r="B16554">
        <v>5742798</v>
      </c>
      <c r="C16554" s="1" t="str">
        <f>HYPERLINK("http://stackoverflow.com/users/5742798", "KrisZhang")</f>
        <v>KrisZhang</v>
      </c>
      <c r="D16554" t="s">
        <v>5</v>
      </c>
      <c r="E16554">
        <v>1</v>
      </c>
    </row>
    <row r="16555" spans="1:5" x14ac:dyDescent="0.25">
      <c r="A16555">
        <v>16554</v>
      </c>
      <c r="B16555">
        <v>5742880</v>
      </c>
      <c r="C16555" s="1" t="str">
        <f>HYPERLINK("http://stackoverflow.com/users/5742880", "NingGuoHui")</f>
        <v>NingGuoHui</v>
      </c>
      <c r="D16555" t="s">
        <v>210</v>
      </c>
      <c r="E16555">
        <v>1</v>
      </c>
    </row>
    <row r="16556" spans="1:5" x14ac:dyDescent="0.25">
      <c r="A16556">
        <v>16555</v>
      </c>
      <c r="B16556">
        <v>3978575</v>
      </c>
      <c r="C16556" s="1" t="str">
        <f>HYPERLINK("http://stackoverflow.com/users/3978575", "Sam Lau")</f>
        <v>Sam Lau</v>
      </c>
      <c r="D16556" t="s">
        <v>21</v>
      </c>
      <c r="E16556">
        <v>1</v>
      </c>
    </row>
    <row r="16557" spans="1:5" x14ac:dyDescent="0.25">
      <c r="A16557">
        <v>16556</v>
      </c>
      <c r="B16557">
        <v>5750483</v>
      </c>
      <c r="C16557" s="1" t="str">
        <f>HYPERLINK("http://stackoverflow.com/users/5750483", "Woody Lee")</f>
        <v>Woody Lee</v>
      </c>
      <c r="D16557" t="s">
        <v>5</v>
      </c>
      <c r="E16557">
        <v>1</v>
      </c>
    </row>
    <row r="16558" spans="1:5" x14ac:dyDescent="0.25">
      <c r="A16558">
        <v>16557</v>
      </c>
      <c r="B16558">
        <v>5750530</v>
      </c>
      <c r="C16558" s="1" t="str">
        <f>HYPERLINK("http://stackoverflow.com/users/5750530", "Haley Han")</f>
        <v>Haley Han</v>
      </c>
      <c r="D16558" t="s">
        <v>675</v>
      </c>
      <c r="E16558">
        <v>1</v>
      </c>
    </row>
    <row r="16559" spans="1:5" x14ac:dyDescent="0.25">
      <c r="A16559">
        <v>16558</v>
      </c>
      <c r="B16559">
        <v>11208481</v>
      </c>
      <c r="C16559" s="1" t="str">
        <f>HYPERLINK("http://stackoverflow.com/users/11208481", "Mike Xu")</f>
        <v>Mike Xu</v>
      </c>
      <c r="D16559" t="s">
        <v>55</v>
      </c>
      <c r="E16559">
        <v>1</v>
      </c>
    </row>
    <row r="16560" spans="1:5" x14ac:dyDescent="0.25">
      <c r="A16560">
        <v>16559</v>
      </c>
      <c r="B16560">
        <v>11204312</v>
      </c>
      <c r="C16560" s="1" t="str">
        <f>HYPERLINK("http://stackoverflow.com/users/11204312", "Vivion Lin")</f>
        <v>Vivion Lin</v>
      </c>
      <c r="D16560" t="s">
        <v>25</v>
      </c>
      <c r="E16560">
        <v>1</v>
      </c>
    </row>
    <row r="16561" spans="1:5" x14ac:dyDescent="0.25">
      <c r="A16561">
        <v>16560</v>
      </c>
      <c r="B16561">
        <v>7499526</v>
      </c>
      <c r="C16561" s="1" t="str">
        <f>HYPERLINK("http://stackoverflow.com/users/7499526", "LorenLiu")</f>
        <v>LorenLiu</v>
      </c>
      <c r="D16561" t="s">
        <v>4</v>
      </c>
      <c r="E16561">
        <v>1</v>
      </c>
    </row>
    <row r="16562" spans="1:5" x14ac:dyDescent="0.25">
      <c r="A16562">
        <v>16561</v>
      </c>
      <c r="B16562">
        <v>7499851</v>
      </c>
      <c r="C16562" s="1" t="str">
        <f>HYPERLINK("http://stackoverflow.com/users/7499851", "Rabenda")</f>
        <v>Rabenda</v>
      </c>
      <c r="D16562" t="s">
        <v>74</v>
      </c>
      <c r="E16562">
        <v>1</v>
      </c>
    </row>
    <row r="16563" spans="1:5" x14ac:dyDescent="0.25">
      <c r="A16563">
        <v>16562</v>
      </c>
      <c r="B16563">
        <v>7500088</v>
      </c>
      <c r="C16563" s="1" t="str">
        <f>HYPERLINK("http://stackoverflow.com/users/7500088", "Morris Deng")</f>
        <v>Morris Deng</v>
      </c>
      <c r="D16563" t="s">
        <v>4</v>
      </c>
      <c r="E16563">
        <v>1</v>
      </c>
    </row>
    <row r="16564" spans="1:5" x14ac:dyDescent="0.25">
      <c r="A16564">
        <v>16563</v>
      </c>
      <c r="B16564">
        <v>5750259</v>
      </c>
      <c r="C16564" s="1" t="str">
        <f>HYPERLINK("http://stackoverflow.com/users/5750259", "J.Chen")</f>
        <v>J.Chen</v>
      </c>
      <c r="D16564" t="s">
        <v>16</v>
      </c>
      <c r="E16564">
        <v>1</v>
      </c>
    </row>
    <row r="16565" spans="1:5" x14ac:dyDescent="0.25">
      <c r="A16565">
        <v>16564</v>
      </c>
      <c r="B16565">
        <v>5750403</v>
      </c>
      <c r="C16565" s="1" t="str">
        <f>HYPERLINK("http://stackoverflow.com/users/5750403", "Yahong Liu")</f>
        <v>Yahong Liu</v>
      </c>
      <c r="D16565" t="s">
        <v>37</v>
      </c>
      <c r="E16565">
        <v>1</v>
      </c>
    </row>
    <row r="16566" spans="1:5" x14ac:dyDescent="0.25">
      <c r="A16566">
        <v>16565</v>
      </c>
      <c r="B16566">
        <v>9392419</v>
      </c>
      <c r="C16566" s="1" t="str">
        <f>HYPERLINK("http://stackoverflow.com/users/9392419", "InoU")</f>
        <v>InoU</v>
      </c>
      <c r="D16566" t="s">
        <v>33</v>
      </c>
      <c r="E16566">
        <v>1</v>
      </c>
    </row>
    <row r="16567" spans="1:5" x14ac:dyDescent="0.25">
      <c r="A16567">
        <v>16566</v>
      </c>
      <c r="B16567">
        <v>3967217</v>
      </c>
      <c r="C16567" s="1" t="str">
        <f>HYPERLINK("http://stackoverflow.com/users/3967217", "longyuanlee")</f>
        <v>longyuanlee</v>
      </c>
      <c r="D16567" t="s">
        <v>21</v>
      </c>
      <c r="E16567">
        <v>1</v>
      </c>
    </row>
    <row r="16568" spans="1:5" x14ac:dyDescent="0.25">
      <c r="A16568">
        <v>16567</v>
      </c>
      <c r="B16568">
        <v>3967286</v>
      </c>
      <c r="C16568" s="1" t="str">
        <f>HYPERLINK("http://stackoverflow.com/users/3967286", "Reinhard Huang")</f>
        <v>Reinhard Huang</v>
      </c>
      <c r="D16568" t="s">
        <v>901</v>
      </c>
      <c r="E16568">
        <v>1</v>
      </c>
    </row>
    <row r="16569" spans="1:5" x14ac:dyDescent="0.25">
      <c r="A16569">
        <v>16568</v>
      </c>
      <c r="B16569">
        <v>9405702</v>
      </c>
      <c r="C16569" s="1" t="str">
        <f>HYPERLINK("http://stackoverflow.com/users/9405702", "Sirius")</f>
        <v>Sirius</v>
      </c>
      <c r="D16569" t="s">
        <v>43</v>
      </c>
      <c r="E16569">
        <v>1</v>
      </c>
    </row>
    <row r="16570" spans="1:5" x14ac:dyDescent="0.25">
      <c r="A16570">
        <v>16569</v>
      </c>
      <c r="B16570">
        <v>2198214</v>
      </c>
      <c r="C16570" s="1" t="str">
        <f>HYPERLINK("http://stackoverflow.com/users/2198214", "Pople")</f>
        <v>Pople</v>
      </c>
      <c r="D16570" t="s">
        <v>4</v>
      </c>
      <c r="E16570">
        <v>1</v>
      </c>
    </row>
    <row r="16571" spans="1:5" x14ac:dyDescent="0.25">
      <c r="A16571">
        <v>16570</v>
      </c>
      <c r="B16571">
        <v>5725153</v>
      </c>
      <c r="C16571" s="1" t="str">
        <f>HYPERLINK("http://stackoverflow.com/users/5725153", "Kellan")</f>
        <v>Kellan</v>
      </c>
      <c r="D16571" t="s">
        <v>3</v>
      </c>
      <c r="E16571">
        <v>1</v>
      </c>
    </row>
    <row r="16572" spans="1:5" x14ac:dyDescent="0.25">
      <c r="A16572">
        <v>16571</v>
      </c>
      <c r="B16572">
        <v>11191276</v>
      </c>
      <c r="C16572" s="1" t="str">
        <f>HYPERLINK("http://stackoverflow.com/users/11191276", "Eric N.")</f>
        <v>Eric N.</v>
      </c>
      <c r="D16572" t="s">
        <v>62</v>
      </c>
      <c r="E16572">
        <v>1</v>
      </c>
    </row>
    <row r="16573" spans="1:5" x14ac:dyDescent="0.25">
      <c r="A16573">
        <v>16572</v>
      </c>
      <c r="B16573">
        <v>7488219</v>
      </c>
      <c r="C16573" s="1" t="str">
        <f>HYPERLINK("http://stackoverflow.com/users/7488219", "Hakiradoh")</f>
        <v>Hakiradoh</v>
      </c>
      <c r="D16573" t="s">
        <v>902</v>
      </c>
      <c r="E16573">
        <v>1</v>
      </c>
    </row>
    <row r="16574" spans="1:5" x14ac:dyDescent="0.25">
      <c r="A16574">
        <v>16573</v>
      </c>
      <c r="B16574">
        <v>7488752</v>
      </c>
      <c r="C16574" s="1" t="str">
        <f>HYPERLINK("http://stackoverflow.com/users/7488752", "Howling")</f>
        <v>Howling</v>
      </c>
      <c r="D16574" t="s">
        <v>5</v>
      </c>
      <c r="E16574">
        <v>1</v>
      </c>
    </row>
    <row r="16575" spans="1:5" x14ac:dyDescent="0.25">
      <c r="A16575">
        <v>16574</v>
      </c>
      <c r="B16575">
        <v>2204033</v>
      </c>
      <c r="C16575" s="1" t="str">
        <f>HYPERLINK("http://stackoverflow.com/users/2204033", "BeyondVincent")</f>
        <v>BeyondVincent</v>
      </c>
      <c r="D16575" t="s">
        <v>242</v>
      </c>
      <c r="E16575">
        <v>1</v>
      </c>
    </row>
    <row r="16576" spans="1:5" x14ac:dyDescent="0.25">
      <c r="A16576">
        <v>16575</v>
      </c>
      <c r="B16576">
        <v>5739427</v>
      </c>
      <c r="C16576" s="1" t="str">
        <f>HYPERLINK("http://stackoverflow.com/users/5739427", "xiaolingu")</f>
        <v>xiaolingu</v>
      </c>
      <c r="D16576" t="s">
        <v>37</v>
      </c>
      <c r="E16576">
        <v>1</v>
      </c>
    </row>
    <row r="16577" spans="1:5" x14ac:dyDescent="0.25">
      <c r="A16577">
        <v>16576</v>
      </c>
      <c r="B16577">
        <v>3964215</v>
      </c>
      <c r="C16577" s="1" t="str">
        <f>HYPERLINK("http://stackoverflow.com/users/3964215", "Jason.Yin")</f>
        <v>Jason.Yin</v>
      </c>
      <c r="D16577" t="s">
        <v>5</v>
      </c>
      <c r="E16577">
        <v>1</v>
      </c>
    </row>
    <row r="16578" spans="1:5" x14ac:dyDescent="0.25">
      <c r="A16578">
        <v>16577</v>
      </c>
      <c r="B16578">
        <v>9401701</v>
      </c>
      <c r="C16578" s="1" t="str">
        <f>HYPERLINK("http://stackoverflow.com/users/9401701", "Li Wang")</f>
        <v>Li Wang</v>
      </c>
      <c r="D16578" t="s">
        <v>33</v>
      </c>
      <c r="E16578">
        <v>1</v>
      </c>
    </row>
    <row r="16579" spans="1:5" x14ac:dyDescent="0.25">
      <c r="A16579">
        <v>16578</v>
      </c>
      <c r="B16579">
        <v>9405252</v>
      </c>
      <c r="C16579" s="1" t="str">
        <f>HYPERLINK("http://stackoverflow.com/users/9405252", "Yinuo Li")</f>
        <v>Yinuo Li</v>
      </c>
      <c r="D16579" t="s">
        <v>5</v>
      </c>
      <c r="E16579">
        <v>1</v>
      </c>
    </row>
    <row r="16580" spans="1:5" x14ac:dyDescent="0.25">
      <c r="A16580">
        <v>16579</v>
      </c>
      <c r="B16580">
        <v>5742634</v>
      </c>
      <c r="C16580" s="1" t="str">
        <f>HYPERLINK("http://stackoverflow.com/users/5742634", "TechBirds")</f>
        <v>TechBirds</v>
      </c>
      <c r="D16580" t="s">
        <v>12</v>
      </c>
      <c r="E16580">
        <v>1</v>
      </c>
    </row>
    <row r="16581" spans="1:5" x14ac:dyDescent="0.25">
      <c r="A16581">
        <v>16580</v>
      </c>
      <c r="B16581">
        <v>5777530</v>
      </c>
      <c r="C16581" s="1" t="str">
        <f>HYPERLINK("http://stackoverflow.com/users/5777530", "CAFEBABY")</f>
        <v>CAFEBABY</v>
      </c>
      <c r="D16581" t="s">
        <v>55</v>
      </c>
      <c r="E16581">
        <v>1</v>
      </c>
    </row>
    <row r="16582" spans="1:5" x14ac:dyDescent="0.25">
      <c r="A16582">
        <v>16581</v>
      </c>
      <c r="B16582">
        <v>5777584</v>
      </c>
      <c r="C16582" s="1" t="str">
        <f>HYPERLINK("http://stackoverflow.com/users/5777584", "徐俭伟")</f>
        <v>徐俭伟</v>
      </c>
      <c r="D16582" t="s">
        <v>4</v>
      </c>
      <c r="E16582">
        <v>1</v>
      </c>
    </row>
    <row r="16583" spans="1:5" x14ac:dyDescent="0.25">
      <c r="A16583">
        <v>16582</v>
      </c>
      <c r="B16583">
        <v>5777635</v>
      </c>
      <c r="C16583" s="1" t="str">
        <f>HYPERLINK("http://stackoverflow.com/users/5777635", "Liang Lu")</f>
        <v>Liang Lu</v>
      </c>
      <c r="D16583" t="s">
        <v>5</v>
      </c>
      <c r="E16583">
        <v>1</v>
      </c>
    </row>
    <row r="16584" spans="1:5" x14ac:dyDescent="0.25">
      <c r="A16584">
        <v>16583</v>
      </c>
      <c r="B16584">
        <v>5777660</v>
      </c>
      <c r="C16584" s="1" t="str">
        <f>HYPERLINK("http://stackoverflow.com/users/5777660", "ptbx")</f>
        <v>ptbx</v>
      </c>
      <c r="D16584" t="s">
        <v>5</v>
      </c>
      <c r="E16584">
        <v>1</v>
      </c>
    </row>
    <row r="16585" spans="1:5" x14ac:dyDescent="0.25">
      <c r="A16585">
        <v>16584</v>
      </c>
      <c r="B16585">
        <v>5777888</v>
      </c>
      <c r="C16585" s="1" t="str">
        <f>HYPERLINK("http://stackoverflow.com/users/5777888", "rocflying")</f>
        <v>rocflying</v>
      </c>
      <c r="D16585" t="s">
        <v>61</v>
      </c>
      <c r="E16585">
        <v>1</v>
      </c>
    </row>
    <row r="16586" spans="1:5" x14ac:dyDescent="0.25">
      <c r="A16586">
        <v>16585</v>
      </c>
      <c r="B16586">
        <v>5777893</v>
      </c>
      <c r="C16586" s="1" t="str">
        <f>HYPERLINK("http://stackoverflow.com/users/5777893", "Steven")</f>
        <v>Steven</v>
      </c>
      <c r="D16586" t="s">
        <v>3</v>
      </c>
      <c r="E16586">
        <v>1</v>
      </c>
    </row>
    <row r="16587" spans="1:5" x14ac:dyDescent="0.25">
      <c r="A16587">
        <v>16586</v>
      </c>
      <c r="B16587">
        <v>5777950</v>
      </c>
      <c r="C16587" s="1" t="str">
        <f>HYPERLINK("http://stackoverflow.com/users/5777950", "Lazy Luo")</f>
        <v>Lazy Luo</v>
      </c>
      <c r="D16587" t="s">
        <v>55</v>
      </c>
      <c r="E16587">
        <v>1</v>
      </c>
    </row>
    <row r="16588" spans="1:5" x14ac:dyDescent="0.25">
      <c r="A16588">
        <v>16587</v>
      </c>
      <c r="B16588">
        <v>11240576</v>
      </c>
      <c r="C16588" s="1" t="str">
        <f>HYPERLINK("http://stackoverflow.com/users/11240576", "Alex Liu")</f>
        <v>Alex Liu</v>
      </c>
      <c r="D16588" t="s">
        <v>16</v>
      </c>
      <c r="E16588">
        <v>1</v>
      </c>
    </row>
    <row r="16589" spans="1:5" x14ac:dyDescent="0.25">
      <c r="A16589">
        <v>16588</v>
      </c>
      <c r="B16589">
        <v>11240602</v>
      </c>
      <c r="C16589" s="1" t="str">
        <f>HYPERLINK("http://stackoverflow.com/users/11240602", "eric ran")</f>
        <v>eric ran</v>
      </c>
      <c r="D16589" t="s">
        <v>7</v>
      </c>
      <c r="E16589">
        <v>1</v>
      </c>
    </row>
    <row r="16590" spans="1:5" x14ac:dyDescent="0.25">
      <c r="A16590">
        <v>16589</v>
      </c>
      <c r="B16590">
        <v>7531977</v>
      </c>
      <c r="C16590" s="1" t="str">
        <f>HYPERLINK("http://stackoverflow.com/users/7531977", "ReaLee")</f>
        <v>ReaLee</v>
      </c>
      <c r="D16590" t="s">
        <v>52</v>
      </c>
      <c r="E16590">
        <v>1</v>
      </c>
    </row>
    <row r="16591" spans="1:5" x14ac:dyDescent="0.25">
      <c r="A16591">
        <v>16590</v>
      </c>
      <c r="B16591">
        <v>2253571</v>
      </c>
      <c r="C16591" s="1" t="str">
        <f>HYPERLINK("http://stackoverflow.com/users/2253571", "moskva")</f>
        <v>moskva</v>
      </c>
      <c r="D16591" t="s">
        <v>4</v>
      </c>
      <c r="E16591">
        <v>1</v>
      </c>
    </row>
    <row r="16592" spans="1:5" x14ac:dyDescent="0.25">
      <c r="A16592">
        <v>16591</v>
      </c>
      <c r="B16592">
        <v>2253578</v>
      </c>
      <c r="C16592" s="1" t="str">
        <f>HYPERLINK("http://stackoverflow.com/users/2253578", "zxpan")</f>
        <v>zxpan</v>
      </c>
      <c r="D16592" t="s">
        <v>12</v>
      </c>
      <c r="E16592">
        <v>1</v>
      </c>
    </row>
    <row r="16593" spans="1:5" x14ac:dyDescent="0.25">
      <c r="A16593">
        <v>16592</v>
      </c>
      <c r="B16593">
        <v>2253600</v>
      </c>
      <c r="C16593" s="1" t="str">
        <f>HYPERLINK("http://stackoverflow.com/users/2253600", "chirs")</f>
        <v>chirs</v>
      </c>
      <c r="D16593" t="s">
        <v>17</v>
      </c>
      <c r="E16593">
        <v>1</v>
      </c>
    </row>
    <row r="16594" spans="1:5" x14ac:dyDescent="0.25">
      <c r="A16594">
        <v>16593</v>
      </c>
      <c r="B16594">
        <v>2253660</v>
      </c>
      <c r="C16594" s="1" t="str">
        <f>HYPERLINK("http://stackoverflow.com/users/2253660", "Tony An")</f>
        <v>Tony An</v>
      </c>
      <c r="D16594" t="s">
        <v>5</v>
      </c>
      <c r="E16594">
        <v>1</v>
      </c>
    </row>
    <row r="16595" spans="1:5" x14ac:dyDescent="0.25">
      <c r="A16595">
        <v>16594</v>
      </c>
      <c r="B16595">
        <v>2253674</v>
      </c>
      <c r="C16595" s="1" t="str">
        <f>HYPERLINK("http://stackoverflow.com/users/2253674", "unmask10eve")</f>
        <v>unmask10eve</v>
      </c>
      <c r="D16595" t="s">
        <v>62</v>
      </c>
      <c r="E16595">
        <v>1</v>
      </c>
    </row>
    <row r="16596" spans="1:5" x14ac:dyDescent="0.25">
      <c r="A16596">
        <v>16595</v>
      </c>
      <c r="B16596">
        <v>11236397</v>
      </c>
      <c r="C16596" s="1" t="str">
        <f>HYPERLINK("http://stackoverflow.com/users/11236397", "fermnter")</f>
        <v>fermnter</v>
      </c>
      <c r="D16596" t="s">
        <v>903</v>
      </c>
      <c r="E16596">
        <v>1</v>
      </c>
    </row>
    <row r="16597" spans="1:5" x14ac:dyDescent="0.25">
      <c r="A16597">
        <v>16596</v>
      </c>
      <c r="B16597">
        <v>11237065</v>
      </c>
      <c r="C16597" s="1" t="str">
        <f>HYPERLINK("http://stackoverflow.com/users/11237065", "Robin")</f>
        <v>Robin</v>
      </c>
      <c r="D16597" t="s">
        <v>4</v>
      </c>
      <c r="E16597">
        <v>1</v>
      </c>
    </row>
    <row r="16598" spans="1:5" x14ac:dyDescent="0.25">
      <c r="A16598">
        <v>16597</v>
      </c>
      <c r="B16598">
        <v>4000331</v>
      </c>
      <c r="C16598" s="1" t="str">
        <f>HYPERLINK("http://stackoverflow.com/users/4000331", "Chao Xu")</f>
        <v>Chao Xu</v>
      </c>
      <c r="D16598" t="s">
        <v>5</v>
      </c>
      <c r="E16598">
        <v>1</v>
      </c>
    </row>
    <row r="16599" spans="1:5" x14ac:dyDescent="0.25">
      <c r="A16599">
        <v>16598</v>
      </c>
      <c r="B16599">
        <v>9438105</v>
      </c>
      <c r="C16599" s="1" t="str">
        <f>HYPERLINK("http://stackoverflow.com/users/9438105", "Stephen Mathew")</f>
        <v>Stephen Mathew</v>
      </c>
      <c r="D16599" t="s">
        <v>4</v>
      </c>
      <c r="E16599">
        <v>1</v>
      </c>
    </row>
    <row r="16600" spans="1:5" x14ac:dyDescent="0.25">
      <c r="A16600">
        <v>16599</v>
      </c>
      <c r="B16600">
        <v>5773566</v>
      </c>
      <c r="C16600" s="1" t="str">
        <f>HYPERLINK("http://stackoverflow.com/users/5773566", "walkerhards")</f>
        <v>walkerhards</v>
      </c>
      <c r="D16600" t="s">
        <v>8</v>
      </c>
      <c r="E16600">
        <v>1</v>
      </c>
    </row>
    <row r="16601" spans="1:5" x14ac:dyDescent="0.25">
      <c r="A16601">
        <v>16600</v>
      </c>
      <c r="B16601">
        <v>7524806</v>
      </c>
      <c r="C16601" s="1" t="str">
        <f>HYPERLINK("http://stackoverflow.com/users/7524806", "Thinkman Wang")</f>
        <v>Thinkman Wang</v>
      </c>
      <c r="D16601" t="s">
        <v>4</v>
      </c>
      <c r="E16601">
        <v>1</v>
      </c>
    </row>
    <row r="16602" spans="1:5" x14ac:dyDescent="0.25">
      <c r="A16602">
        <v>16601</v>
      </c>
      <c r="B16602">
        <v>11232343</v>
      </c>
      <c r="C16602" s="1" t="str">
        <f>HYPERLINK("http://stackoverflow.com/users/11232343", "Endcat")</f>
        <v>Endcat</v>
      </c>
      <c r="D16602" t="s">
        <v>108</v>
      </c>
      <c r="E16602">
        <v>1</v>
      </c>
    </row>
    <row r="16603" spans="1:5" x14ac:dyDescent="0.25">
      <c r="A16603">
        <v>16602</v>
      </c>
      <c r="B16603">
        <v>2251842</v>
      </c>
      <c r="C16603" s="1" t="str">
        <f>HYPERLINK("http://stackoverflow.com/users/2251842", "gavinlw")</f>
        <v>gavinlw</v>
      </c>
      <c r="D16603" t="s">
        <v>35</v>
      </c>
      <c r="E16603">
        <v>1</v>
      </c>
    </row>
    <row r="16604" spans="1:5" x14ac:dyDescent="0.25">
      <c r="A16604">
        <v>16603</v>
      </c>
      <c r="B16604">
        <v>2252039</v>
      </c>
      <c r="C16604" s="1" t="str">
        <f>HYPERLINK("http://stackoverflow.com/users/2252039", "Bomsky Chan")</f>
        <v>Bomsky Chan</v>
      </c>
      <c r="D16604" t="s">
        <v>5</v>
      </c>
      <c r="E16604">
        <v>1</v>
      </c>
    </row>
    <row r="16605" spans="1:5" x14ac:dyDescent="0.25">
      <c r="A16605">
        <v>16604</v>
      </c>
      <c r="B16605">
        <v>7521188</v>
      </c>
      <c r="C16605" s="1" t="str">
        <f>HYPERLINK("http://stackoverflow.com/users/7521188", "xu.steven")</f>
        <v>xu.steven</v>
      </c>
      <c r="D16605" t="s">
        <v>16</v>
      </c>
      <c r="E16605">
        <v>1</v>
      </c>
    </row>
    <row r="16606" spans="1:5" x14ac:dyDescent="0.25">
      <c r="A16606">
        <v>16605</v>
      </c>
      <c r="B16606">
        <v>5769237</v>
      </c>
      <c r="C16606" s="1" t="str">
        <f>HYPERLINK("http://stackoverflow.com/users/5769237", "yaoyixiong")</f>
        <v>yaoyixiong</v>
      </c>
      <c r="D16606" t="s">
        <v>17</v>
      </c>
      <c r="E16606">
        <v>1</v>
      </c>
    </row>
    <row r="16607" spans="1:5" x14ac:dyDescent="0.25">
      <c r="A16607">
        <v>16606</v>
      </c>
      <c r="B16607">
        <v>3990356</v>
      </c>
      <c r="C16607" s="1" t="str">
        <f>HYPERLINK("http://stackoverflow.com/users/3990356", "songxingchao")</f>
        <v>songxingchao</v>
      </c>
      <c r="D16607" t="s">
        <v>5</v>
      </c>
      <c r="E16607">
        <v>1</v>
      </c>
    </row>
    <row r="16608" spans="1:5" x14ac:dyDescent="0.25">
      <c r="A16608">
        <v>16607</v>
      </c>
      <c r="B16608">
        <v>11224839</v>
      </c>
      <c r="C16608" s="1" t="str">
        <f>HYPERLINK("http://stackoverflow.com/users/11224839", "gocosmeticpackagings")</f>
        <v>gocosmeticpackagings</v>
      </c>
      <c r="D16608" t="s">
        <v>904</v>
      </c>
      <c r="E16608">
        <v>1</v>
      </c>
    </row>
    <row r="16609" spans="1:5" x14ac:dyDescent="0.25">
      <c r="A16609">
        <v>16608</v>
      </c>
      <c r="B16609">
        <v>9430414</v>
      </c>
      <c r="C16609" s="1" t="str">
        <f>HYPERLINK("http://stackoverflow.com/users/9430414", "Linqing Wang")</f>
        <v>Linqing Wang</v>
      </c>
      <c r="D16609" t="s">
        <v>5</v>
      </c>
      <c r="E16609">
        <v>1</v>
      </c>
    </row>
    <row r="16610" spans="1:5" x14ac:dyDescent="0.25">
      <c r="A16610">
        <v>16609</v>
      </c>
      <c r="B16610">
        <v>2245133</v>
      </c>
      <c r="C16610" s="1" t="str">
        <f>HYPERLINK("http://stackoverflow.com/users/2245133", "forsigner")</f>
        <v>forsigner</v>
      </c>
      <c r="D16610" t="s">
        <v>21</v>
      </c>
      <c r="E16610">
        <v>1</v>
      </c>
    </row>
    <row r="16611" spans="1:5" x14ac:dyDescent="0.25">
      <c r="A16611">
        <v>16610</v>
      </c>
      <c r="B16611">
        <v>2245241</v>
      </c>
      <c r="C16611" s="1" t="str">
        <f>HYPERLINK("http://stackoverflow.com/users/2245241", "Nwe Nwe")</f>
        <v>Nwe Nwe</v>
      </c>
      <c r="D16611" t="s">
        <v>56</v>
      </c>
      <c r="E16611">
        <v>1</v>
      </c>
    </row>
    <row r="16612" spans="1:5" x14ac:dyDescent="0.25">
      <c r="A16612">
        <v>16611</v>
      </c>
      <c r="B16612">
        <v>3992963</v>
      </c>
      <c r="C16612" s="1" t="str">
        <f>HYPERLINK("http://stackoverflow.com/users/3992963", "sorkl")</f>
        <v>sorkl</v>
      </c>
      <c r="D16612" t="s">
        <v>4</v>
      </c>
      <c r="E16612">
        <v>1</v>
      </c>
    </row>
    <row r="16613" spans="1:5" x14ac:dyDescent="0.25">
      <c r="A16613">
        <v>16612</v>
      </c>
      <c r="B16613">
        <v>11228037</v>
      </c>
      <c r="C16613" s="1" t="str">
        <f>HYPERLINK("http://stackoverflow.com/users/11228037", "wang87")</f>
        <v>wang87</v>
      </c>
      <c r="D16613" t="s">
        <v>320</v>
      </c>
      <c r="E16613">
        <v>1</v>
      </c>
    </row>
    <row r="16614" spans="1:5" x14ac:dyDescent="0.25">
      <c r="A16614">
        <v>16613</v>
      </c>
      <c r="B16614">
        <v>5793129</v>
      </c>
      <c r="C16614" s="1" t="str">
        <f>HYPERLINK("http://stackoverflow.com/users/5793129", "Wayne")</f>
        <v>Wayne</v>
      </c>
      <c r="D16614" t="s">
        <v>118</v>
      </c>
      <c r="E16614">
        <v>1</v>
      </c>
    </row>
    <row r="16615" spans="1:5" x14ac:dyDescent="0.25">
      <c r="A16615">
        <v>16614</v>
      </c>
      <c r="B16615">
        <v>5793152</v>
      </c>
      <c r="C16615" s="1" t="str">
        <f>HYPERLINK("http://stackoverflow.com/users/5793152", "Senzhi Liang")</f>
        <v>Senzhi Liang</v>
      </c>
      <c r="D16615" t="s">
        <v>4</v>
      </c>
      <c r="E16615">
        <v>1</v>
      </c>
    </row>
    <row r="16616" spans="1:5" x14ac:dyDescent="0.25">
      <c r="A16616">
        <v>16615</v>
      </c>
      <c r="B16616">
        <v>4010906</v>
      </c>
      <c r="C16616" s="1" t="str">
        <f>HYPERLINK("http://stackoverflow.com/users/4010906", "Hugo Chu")</f>
        <v>Hugo Chu</v>
      </c>
      <c r="D16616" t="s">
        <v>5</v>
      </c>
      <c r="E16616">
        <v>1</v>
      </c>
    </row>
    <row r="16617" spans="1:5" x14ac:dyDescent="0.25">
      <c r="A16617">
        <v>16616</v>
      </c>
      <c r="B16617">
        <v>9457702</v>
      </c>
      <c r="C16617" s="1" t="str">
        <f>HYPERLINK("http://stackoverflow.com/users/9457702", "Bilal Naser")</f>
        <v>Bilal Naser</v>
      </c>
      <c r="D16617" t="s">
        <v>16</v>
      </c>
      <c r="E16617">
        <v>1</v>
      </c>
    </row>
    <row r="16618" spans="1:5" x14ac:dyDescent="0.25">
      <c r="A16618">
        <v>16617</v>
      </c>
      <c r="B16618">
        <v>7541391</v>
      </c>
      <c r="C16618" s="1" t="str">
        <f>HYPERLINK("http://stackoverflow.com/users/7541391", "Abldi")</f>
        <v>Abldi</v>
      </c>
      <c r="D16618" t="s">
        <v>4</v>
      </c>
      <c r="E16618">
        <v>1</v>
      </c>
    </row>
    <row r="16619" spans="1:5" x14ac:dyDescent="0.25">
      <c r="A16619">
        <v>16618</v>
      </c>
      <c r="B16619">
        <v>11255190</v>
      </c>
      <c r="C16619" s="1" t="str">
        <f>HYPERLINK("http://stackoverflow.com/users/11255190", "Sean Coek")</f>
        <v>Sean Coek</v>
      </c>
      <c r="D16619" t="s">
        <v>25</v>
      </c>
      <c r="E16619">
        <v>1</v>
      </c>
    </row>
    <row r="16620" spans="1:5" x14ac:dyDescent="0.25">
      <c r="A16620">
        <v>16619</v>
      </c>
      <c r="B16620">
        <v>5792574</v>
      </c>
      <c r="C16620" s="1" t="str">
        <f>HYPERLINK("http://stackoverflow.com/users/5792574", "Sam Ding")</f>
        <v>Sam Ding</v>
      </c>
      <c r="D16620" t="s">
        <v>21</v>
      </c>
      <c r="E16620">
        <v>1</v>
      </c>
    </row>
    <row r="16621" spans="1:5" x14ac:dyDescent="0.25">
      <c r="A16621">
        <v>16620</v>
      </c>
      <c r="B16621">
        <v>5792611</v>
      </c>
      <c r="C16621" s="1" t="str">
        <f>HYPERLINK("http://stackoverflow.com/users/5792611", "Steven Zacker")</f>
        <v>Steven Zacker</v>
      </c>
      <c r="D16621" t="s">
        <v>546</v>
      </c>
      <c r="E16621">
        <v>1</v>
      </c>
    </row>
    <row r="16622" spans="1:5" x14ac:dyDescent="0.25">
      <c r="A16622">
        <v>16621</v>
      </c>
      <c r="B16622">
        <v>5792899</v>
      </c>
      <c r="C16622" s="1" t="str">
        <f>HYPERLINK("http://stackoverflow.com/users/5792899", "Frank Xu")</f>
        <v>Frank Xu</v>
      </c>
      <c r="D16622" t="s">
        <v>242</v>
      </c>
      <c r="E16622">
        <v>1</v>
      </c>
    </row>
    <row r="16623" spans="1:5" x14ac:dyDescent="0.25">
      <c r="A16623">
        <v>16622</v>
      </c>
      <c r="B16623">
        <v>5792900</v>
      </c>
      <c r="C16623" s="1" t="str">
        <f>HYPERLINK("http://stackoverflow.com/users/5792900", "liquanhai")</f>
        <v>liquanhai</v>
      </c>
      <c r="D16623" t="s">
        <v>7</v>
      </c>
      <c r="E16623">
        <v>1</v>
      </c>
    </row>
    <row r="16624" spans="1:5" x14ac:dyDescent="0.25">
      <c r="A16624">
        <v>16623</v>
      </c>
      <c r="B16624">
        <v>5787488</v>
      </c>
      <c r="C16624" s="1" t="str">
        <f>HYPERLINK("http://stackoverflow.com/users/5787488", "rason")</f>
        <v>rason</v>
      </c>
      <c r="D16624" t="s">
        <v>17</v>
      </c>
      <c r="E16624">
        <v>1</v>
      </c>
    </row>
    <row r="16625" spans="1:5" x14ac:dyDescent="0.25">
      <c r="A16625">
        <v>16624</v>
      </c>
      <c r="B16625">
        <v>5787713</v>
      </c>
      <c r="C16625" s="1" t="str">
        <f>HYPERLINK("http://stackoverflow.com/users/5787713", "Franz.Fang")</f>
        <v>Franz.Fang</v>
      </c>
      <c r="D16625" t="s">
        <v>5</v>
      </c>
      <c r="E16625">
        <v>1</v>
      </c>
    </row>
    <row r="16626" spans="1:5" x14ac:dyDescent="0.25">
      <c r="A16626">
        <v>16625</v>
      </c>
      <c r="B16626">
        <v>5787836</v>
      </c>
      <c r="C16626" s="1" t="str">
        <f>HYPERLINK("http://stackoverflow.com/users/5787836", "Ru.T")</f>
        <v>Ru.T</v>
      </c>
      <c r="D16626" t="s">
        <v>5</v>
      </c>
      <c r="E16626">
        <v>1</v>
      </c>
    </row>
    <row r="16627" spans="1:5" x14ac:dyDescent="0.25">
      <c r="A16627">
        <v>16626</v>
      </c>
      <c r="B16627">
        <v>7532088</v>
      </c>
      <c r="C16627" s="1" t="str">
        <f>HYPERLINK("http://stackoverflow.com/users/7532088", "R.Siegfried")</f>
        <v>R.Siegfried</v>
      </c>
      <c r="D16627" t="s">
        <v>27</v>
      </c>
      <c r="E16627">
        <v>1</v>
      </c>
    </row>
    <row r="16628" spans="1:5" x14ac:dyDescent="0.25">
      <c r="A16628">
        <v>16627</v>
      </c>
      <c r="B16628">
        <v>4002723</v>
      </c>
      <c r="C16628" s="1" t="str">
        <f>HYPERLINK("http://stackoverflow.com/users/4002723", "gaobo")</f>
        <v>gaobo</v>
      </c>
      <c r="D16628" t="s">
        <v>4</v>
      </c>
      <c r="E16628">
        <v>1</v>
      </c>
    </row>
    <row r="16629" spans="1:5" x14ac:dyDescent="0.25">
      <c r="A16629">
        <v>16628</v>
      </c>
      <c r="B16629">
        <v>5784598</v>
      </c>
      <c r="C16629" s="1" t="str">
        <f>HYPERLINK("http://stackoverflow.com/users/5784598", "Zhilu Shi")</f>
        <v>Zhilu Shi</v>
      </c>
      <c r="D16629" t="s">
        <v>37</v>
      </c>
      <c r="E16629">
        <v>1</v>
      </c>
    </row>
    <row r="16630" spans="1:5" x14ac:dyDescent="0.25">
      <c r="A16630">
        <v>16629</v>
      </c>
      <c r="B16630">
        <v>4003281</v>
      </c>
      <c r="C16630" s="1" t="str">
        <f>HYPERLINK("http://stackoverflow.com/users/4003281", "Aiming")</f>
        <v>Aiming</v>
      </c>
      <c r="D16630" t="s">
        <v>4</v>
      </c>
      <c r="E16630">
        <v>1</v>
      </c>
    </row>
    <row r="16631" spans="1:5" x14ac:dyDescent="0.25">
      <c r="A16631">
        <v>16630</v>
      </c>
      <c r="B16631">
        <v>2259927</v>
      </c>
      <c r="C16631" s="1" t="str">
        <f>HYPERLINK("http://stackoverflow.com/users/2259927", "Yi Zeng")</f>
        <v>Yi Zeng</v>
      </c>
      <c r="D16631" t="s">
        <v>4</v>
      </c>
      <c r="E16631">
        <v>1</v>
      </c>
    </row>
    <row r="16632" spans="1:5" x14ac:dyDescent="0.25">
      <c r="A16632">
        <v>16631</v>
      </c>
      <c r="B16632">
        <v>2259938</v>
      </c>
      <c r="C16632" s="1" t="str">
        <f>HYPERLINK("http://stackoverflow.com/users/2259938", "carmark")</f>
        <v>carmark</v>
      </c>
      <c r="D16632" t="s">
        <v>5</v>
      </c>
      <c r="E16632">
        <v>1</v>
      </c>
    </row>
    <row r="16633" spans="1:5" x14ac:dyDescent="0.25">
      <c r="A16633">
        <v>16632</v>
      </c>
      <c r="B16633">
        <v>2260644</v>
      </c>
      <c r="C16633" s="1" t="str">
        <f>HYPERLINK("http://stackoverflow.com/users/2260644", "weiwei1206")</f>
        <v>weiwei1206</v>
      </c>
      <c r="D16633" t="s">
        <v>17</v>
      </c>
      <c r="E16633">
        <v>1</v>
      </c>
    </row>
    <row r="16634" spans="1:5" x14ac:dyDescent="0.25">
      <c r="A16634">
        <v>16633</v>
      </c>
      <c r="B16634">
        <v>2260918</v>
      </c>
      <c r="C16634" s="1" t="str">
        <f>HYPERLINK("http://stackoverflow.com/users/2260918", "hyhyl1990")</f>
        <v>hyhyl1990</v>
      </c>
      <c r="D16634" t="s">
        <v>35</v>
      </c>
      <c r="E16634">
        <v>1</v>
      </c>
    </row>
    <row r="16635" spans="1:5" x14ac:dyDescent="0.25">
      <c r="A16635">
        <v>16634</v>
      </c>
      <c r="B16635">
        <v>11060289</v>
      </c>
      <c r="C16635" s="1" t="str">
        <f>HYPERLINK("http://stackoverflow.com/users/11060289", "kinjon")</f>
        <v>kinjon</v>
      </c>
      <c r="D16635" t="s">
        <v>4</v>
      </c>
      <c r="E16635">
        <v>1</v>
      </c>
    </row>
    <row r="16636" spans="1:5" x14ac:dyDescent="0.25">
      <c r="A16636">
        <v>16635</v>
      </c>
      <c r="B16636">
        <v>11060325</v>
      </c>
      <c r="C16636" s="1" t="str">
        <f>HYPERLINK("http://stackoverflow.com/users/11060325", "Bel")</f>
        <v>Bel</v>
      </c>
      <c r="D16636" t="s">
        <v>29</v>
      </c>
      <c r="E16636">
        <v>1</v>
      </c>
    </row>
    <row r="16637" spans="1:5" x14ac:dyDescent="0.25">
      <c r="A16637">
        <v>16636</v>
      </c>
      <c r="B16637">
        <v>11060398</v>
      </c>
      <c r="C16637" s="1" t="str">
        <f>HYPERLINK("http://stackoverflow.com/users/11060398", "Yoga Liang")</f>
        <v>Yoga Liang</v>
      </c>
      <c r="D16637" t="s">
        <v>4</v>
      </c>
      <c r="E16637">
        <v>1</v>
      </c>
    </row>
    <row r="16638" spans="1:5" x14ac:dyDescent="0.25">
      <c r="A16638">
        <v>16637</v>
      </c>
      <c r="B16638">
        <v>5620901</v>
      </c>
      <c r="C16638" s="1" t="str">
        <f>HYPERLINK("http://stackoverflow.com/users/5620901", "HualingLax")</f>
        <v>HualingLax</v>
      </c>
      <c r="D16638" t="s">
        <v>4</v>
      </c>
      <c r="E16638">
        <v>1</v>
      </c>
    </row>
    <row r="16639" spans="1:5" x14ac:dyDescent="0.25">
      <c r="A16639">
        <v>16638</v>
      </c>
      <c r="B16639">
        <v>9265072</v>
      </c>
      <c r="C16639" s="1" t="str">
        <f>HYPERLINK("http://stackoverflow.com/users/9265072", "PayliTuzu")</f>
        <v>PayliTuzu</v>
      </c>
      <c r="D16639" t="s">
        <v>5</v>
      </c>
      <c r="E16639">
        <v>1</v>
      </c>
    </row>
    <row r="16640" spans="1:5" x14ac:dyDescent="0.25">
      <c r="A16640">
        <v>16639</v>
      </c>
      <c r="B16640">
        <v>7377169</v>
      </c>
      <c r="C16640" s="1" t="str">
        <f>HYPERLINK("http://stackoverflow.com/users/7377169", "rachel wu")</f>
        <v>rachel wu</v>
      </c>
      <c r="D16640" t="s">
        <v>5</v>
      </c>
      <c r="E16640">
        <v>1</v>
      </c>
    </row>
    <row r="16641" spans="1:5" x14ac:dyDescent="0.25">
      <c r="A16641">
        <v>16640</v>
      </c>
      <c r="B16641">
        <v>7377236</v>
      </c>
      <c r="C16641" s="1" t="str">
        <f>HYPERLINK("http://stackoverflow.com/users/7377236", "nataliu")</f>
        <v>nataliu</v>
      </c>
      <c r="D16641" t="s">
        <v>4</v>
      </c>
      <c r="E16641">
        <v>1</v>
      </c>
    </row>
    <row r="16642" spans="1:5" x14ac:dyDescent="0.25">
      <c r="A16642">
        <v>16641</v>
      </c>
      <c r="B16642">
        <v>7372617</v>
      </c>
      <c r="C16642" s="1" t="str">
        <f>HYPERLINK("http://stackoverflow.com/users/7372617", "xushaowen")</f>
        <v>xushaowen</v>
      </c>
      <c r="D16642" t="s">
        <v>905</v>
      </c>
      <c r="E16642">
        <v>1</v>
      </c>
    </row>
    <row r="16643" spans="1:5" x14ac:dyDescent="0.25">
      <c r="A16643">
        <v>16642</v>
      </c>
      <c r="B16643">
        <v>5616615</v>
      </c>
      <c r="C16643" s="1" t="str">
        <f>HYPERLINK("http://stackoverflow.com/users/5616615", "ArthurZhang")</f>
        <v>ArthurZhang</v>
      </c>
      <c r="D16643" t="s">
        <v>5</v>
      </c>
      <c r="E16643">
        <v>1</v>
      </c>
    </row>
    <row r="16644" spans="1:5" x14ac:dyDescent="0.25">
      <c r="A16644">
        <v>16643</v>
      </c>
      <c r="B16644">
        <v>5616673</v>
      </c>
      <c r="C16644" s="1" t="str">
        <f>HYPERLINK("http://stackoverflow.com/users/5616673", "Danny Hsu")</f>
        <v>Danny Hsu</v>
      </c>
      <c r="D16644" t="s">
        <v>5</v>
      </c>
      <c r="E16644">
        <v>1</v>
      </c>
    </row>
    <row r="16645" spans="1:5" x14ac:dyDescent="0.25">
      <c r="A16645">
        <v>16644</v>
      </c>
      <c r="B16645">
        <v>9261105</v>
      </c>
      <c r="C16645" s="1" t="str">
        <f>HYPERLINK("http://stackoverflow.com/users/9261105", "Ruan")</f>
        <v>Ruan</v>
      </c>
      <c r="D16645" t="s">
        <v>52</v>
      </c>
      <c r="E16645">
        <v>1</v>
      </c>
    </row>
    <row r="16646" spans="1:5" x14ac:dyDescent="0.25">
      <c r="A16646">
        <v>16645</v>
      </c>
      <c r="B16646">
        <v>9261205</v>
      </c>
      <c r="C16646" s="1" t="str">
        <f>HYPERLINK("http://stackoverflow.com/users/9261205", "user9261205")</f>
        <v>user9261205</v>
      </c>
      <c r="D16646" t="s">
        <v>16</v>
      </c>
      <c r="E16646">
        <v>1</v>
      </c>
    </row>
    <row r="16647" spans="1:5" x14ac:dyDescent="0.25">
      <c r="A16647">
        <v>16646</v>
      </c>
      <c r="B16647">
        <v>9261218</v>
      </c>
      <c r="C16647" s="1" t="str">
        <f>HYPERLINK("http://stackoverflow.com/users/9261218", "Ray")</f>
        <v>Ray</v>
      </c>
      <c r="D16647" t="s">
        <v>12</v>
      </c>
      <c r="E16647">
        <v>1</v>
      </c>
    </row>
    <row r="16648" spans="1:5" x14ac:dyDescent="0.25">
      <c r="A16648">
        <v>16647</v>
      </c>
      <c r="B16648">
        <v>9261394</v>
      </c>
      <c r="C16648" s="1" t="str">
        <f>HYPERLINK("http://stackoverflow.com/users/9261394", "GuoHao Jin")</f>
        <v>GuoHao Jin</v>
      </c>
      <c r="D16648" t="s">
        <v>33</v>
      </c>
      <c r="E16648">
        <v>1</v>
      </c>
    </row>
    <row r="16649" spans="1:5" x14ac:dyDescent="0.25">
      <c r="A16649">
        <v>16648</v>
      </c>
      <c r="B16649">
        <v>2053967</v>
      </c>
      <c r="C16649" s="1" t="str">
        <f>HYPERLINK("http://stackoverflow.com/users/2053967", "shanjiyu")</f>
        <v>shanjiyu</v>
      </c>
      <c r="D16649" t="s">
        <v>12</v>
      </c>
      <c r="E16649">
        <v>1</v>
      </c>
    </row>
    <row r="16650" spans="1:5" x14ac:dyDescent="0.25">
      <c r="A16650">
        <v>16649</v>
      </c>
      <c r="B16650">
        <v>7364772</v>
      </c>
      <c r="C16650" s="1" t="str">
        <f>HYPERLINK("http://stackoverflow.com/users/7364772", "Takudzwa Wekwa Mujuru")</f>
        <v>Takudzwa Wekwa Mujuru</v>
      </c>
      <c r="D16650" t="s">
        <v>16</v>
      </c>
      <c r="E16650">
        <v>1</v>
      </c>
    </row>
    <row r="16651" spans="1:5" x14ac:dyDescent="0.25">
      <c r="A16651">
        <v>16650</v>
      </c>
      <c r="B16651">
        <v>7364818</v>
      </c>
      <c r="C16651" s="1" t="str">
        <f>HYPERLINK("http://stackoverflow.com/users/7364818", "Kamran Mokhtar")</f>
        <v>Kamran Mokhtar</v>
      </c>
      <c r="D16651" t="s">
        <v>5</v>
      </c>
      <c r="E16651">
        <v>1</v>
      </c>
    </row>
    <row r="16652" spans="1:5" x14ac:dyDescent="0.25">
      <c r="A16652">
        <v>16651</v>
      </c>
      <c r="B16652">
        <v>7365146</v>
      </c>
      <c r="C16652" s="1" t="str">
        <f>HYPERLINK("http://stackoverflow.com/users/7365146", "Jiameng")</f>
        <v>Jiameng</v>
      </c>
      <c r="D16652" t="s">
        <v>266</v>
      </c>
      <c r="E16652">
        <v>1</v>
      </c>
    </row>
    <row r="16653" spans="1:5" x14ac:dyDescent="0.25">
      <c r="A16653">
        <v>16652</v>
      </c>
      <c r="B16653">
        <v>9244043</v>
      </c>
      <c r="C16653" s="1" t="str">
        <f>HYPERLINK("http://stackoverflow.com/users/9244043", "Margot Chow")</f>
        <v>Margot Chow</v>
      </c>
      <c r="D16653" t="s">
        <v>5</v>
      </c>
      <c r="E16653">
        <v>1</v>
      </c>
    </row>
    <row r="16654" spans="1:5" x14ac:dyDescent="0.25">
      <c r="A16654">
        <v>16653</v>
      </c>
      <c r="B16654">
        <v>9244290</v>
      </c>
      <c r="C16654" s="1" t="str">
        <f>HYPERLINK("http://stackoverflow.com/users/9244290", "liming guo")</f>
        <v>liming guo</v>
      </c>
      <c r="D16654" t="s">
        <v>4</v>
      </c>
      <c r="E16654">
        <v>1</v>
      </c>
    </row>
    <row r="16655" spans="1:5" x14ac:dyDescent="0.25">
      <c r="A16655">
        <v>16654</v>
      </c>
      <c r="B16655">
        <v>7361723</v>
      </c>
      <c r="C16655" s="1" t="str">
        <f>HYPERLINK("http://stackoverflow.com/users/7361723", "Ran Wang")</f>
        <v>Ran Wang</v>
      </c>
      <c r="D16655" t="s">
        <v>16</v>
      </c>
      <c r="E16655">
        <v>1</v>
      </c>
    </row>
    <row r="16656" spans="1:5" x14ac:dyDescent="0.25">
      <c r="A16656">
        <v>16655</v>
      </c>
      <c r="B16656">
        <v>9251464</v>
      </c>
      <c r="C16656" s="1" t="str">
        <f>HYPERLINK("http://stackoverflow.com/users/9251464", "Sinan_Clearsky")</f>
        <v>Sinan_Clearsky</v>
      </c>
      <c r="D16656" t="s">
        <v>5</v>
      </c>
      <c r="E16656">
        <v>1</v>
      </c>
    </row>
    <row r="16657" spans="1:5" x14ac:dyDescent="0.25">
      <c r="A16657">
        <v>16656</v>
      </c>
      <c r="B16657">
        <v>9251564</v>
      </c>
      <c r="C16657" s="1" t="str">
        <f>HYPERLINK("http://stackoverflow.com/users/9251564", "Zeyu Yang")</f>
        <v>Zeyu Yang</v>
      </c>
      <c r="D16657" t="s">
        <v>55</v>
      </c>
      <c r="E16657">
        <v>1</v>
      </c>
    </row>
    <row r="16658" spans="1:5" x14ac:dyDescent="0.25">
      <c r="A16658">
        <v>16657</v>
      </c>
      <c r="B16658">
        <v>11046235</v>
      </c>
      <c r="C16658" s="1" t="str">
        <f>HYPERLINK("http://stackoverflow.com/users/11046235", "Andrew Smith")</f>
        <v>Andrew Smith</v>
      </c>
      <c r="D16658" t="s">
        <v>332</v>
      </c>
      <c r="E16658">
        <v>1</v>
      </c>
    </row>
    <row r="16659" spans="1:5" x14ac:dyDescent="0.25">
      <c r="A16659">
        <v>16658</v>
      </c>
      <c r="B16659">
        <v>2039602</v>
      </c>
      <c r="C16659" s="1" t="str">
        <f>HYPERLINK("http://stackoverflow.com/users/2039602", "拒绝游泳的鱼")</f>
        <v>拒绝游泳的鱼</v>
      </c>
      <c r="D16659" t="s">
        <v>24</v>
      </c>
      <c r="E16659">
        <v>1</v>
      </c>
    </row>
    <row r="16660" spans="1:5" x14ac:dyDescent="0.25">
      <c r="A16660">
        <v>16659</v>
      </c>
      <c r="B16660">
        <v>2038742</v>
      </c>
      <c r="C16660" s="1" t="str">
        <f>HYPERLINK("http://stackoverflow.com/users/2038742", "Linus Lee")</f>
        <v>Linus Lee</v>
      </c>
      <c r="D16660" t="s">
        <v>5</v>
      </c>
      <c r="E16660">
        <v>1</v>
      </c>
    </row>
    <row r="16661" spans="1:5" x14ac:dyDescent="0.25">
      <c r="A16661">
        <v>16660</v>
      </c>
      <c r="B16661">
        <v>7384482</v>
      </c>
      <c r="C16661" s="1" t="str">
        <f>HYPERLINK("http://stackoverflow.com/users/7384482", "Kaicong.Hu")</f>
        <v>Kaicong.Hu</v>
      </c>
      <c r="D16661" t="s">
        <v>7</v>
      </c>
      <c r="E16661">
        <v>1</v>
      </c>
    </row>
    <row r="16662" spans="1:5" x14ac:dyDescent="0.25">
      <c r="A16662">
        <v>16661</v>
      </c>
      <c r="B16662">
        <v>5629119</v>
      </c>
      <c r="C16662" s="1" t="str">
        <f>HYPERLINK("http://stackoverflow.com/users/5629119", "zephyrusaom")</f>
        <v>zephyrusaom</v>
      </c>
      <c r="D16662" t="s">
        <v>5</v>
      </c>
      <c r="E16662">
        <v>1</v>
      </c>
    </row>
    <row r="16663" spans="1:5" x14ac:dyDescent="0.25">
      <c r="A16663">
        <v>16662</v>
      </c>
      <c r="B16663">
        <v>5629184</v>
      </c>
      <c r="C16663" s="1" t="str">
        <f>HYPERLINK("http://stackoverflow.com/users/5629184", "yao")</f>
        <v>yao</v>
      </c>
      <c r="D16663" t="s">
        <v>5</v>
      </c>
      <c r="E16663">
        <v>1</v>
      </c>
    </row>
    <row r="16664" spans="1:5" x14ac:dyDescent="0.25">
      <c r="A16664">
        <v>16663</v>
      </c>
      <c r="B16664">
        <v>5629263</v>
      </c>
      <c r="C16664" s="1" t="str">
        <f>HYPERLINK("http://stackoverflow.com/users/5629263", "Jcsoo")</f>
        <v>Jcsoo</v>
      </c>
      <c r="D16664" t="s">
        <v>25</v>
      </c>
      <c r="E16664">
        <v>1</v>
      </c>
    </row>
    <row r="16665" spans="1:5" x14ac:dyDescent="0.25">
      <c r="A16665">
        <v>16664</v>
      </c>
      <c r="B16665">
        <v>9270378</v>
      </c>
      <c r="C16665" s="1" t="str">
        <f>HYPERLINK("http://stackoverflow.com/users/9270378", "icand0it")</f>
        <v>icand0it</v>
      </c>
      <c r="D16665" t="s">
        <v>5</v>
      </c>
      <c r="E16665">
        <v>1</v>
      </c>
    </row>
    <row r="16666" spans="1:5" x14ac:dyDescent="0.25">
      <c r="A16666">
        <v>16665</v>
      </c>
      <c r="B16666">
        <v>11059687</v>
      </c>
      <c r="C16666" s="1" t="str">
        <f>HYPERLINK("http://stackoverflow.com/users/11059687", "David")</f>
        <v>David</v>
      </c>
      <c r="D16666" t="s">
        <v>16</v>
      </c>
      <c r="E16666">
        <v>1</v>
      </c>
    </row>
    <row r="16667" spans="1:5" x14ac:dyDescent="0.25">
      <c r="A16667">
        <v>16666</v>
      </c>
      <c r="B16667">
        <v>5628569</v>
      </c>
      <c r="C16667" s="1" t="str">
        <f>HYPERLINK("http://stackoverflow.com/users/5628569", "Pearyman")</f>
        <v>Pearyman</v>
      </c>
      <c r="D16667" t="s">
        <v>5</v>
      </c>
      <c r="E16667">
        <v>1</v>
      </c>
    </row>
    <row r="16668" spans="1:5" x14ac:dyDescent="0.25">
      <c r="A16668">
        <v>16667</v>
      </c>
      <c r="B16668">
        <v>5628661</v>
      </c>
      <c r="C16668" s="1" t="str">
        <f>HYPERLINK("http://stackoverflow.com/users/5628661", "raylcs")</f>
        <v>raylcs</v>
      </c>
      <c r="D16668" t="s">
        <v>22</v>
      </c>
      <c r="E16668">
        <v>1</v>
      </c>
    </row>
    <row r="16669" spans="1:5" x14ac:dyDescent="0.25">
      <c r="A16669">
        <v>16668</v>
      </c>
      <c r="B16669">
        <v>5628819</v>
      </c>
      <c r="C16669" s="1" t="str">
        <f>HYPERLINK("http://stackoverflow.com/users/5628819", "xbro")</f>
        <v>xbro</v>
      </c>
      <c r="D16669" t="s">
        <v>5</v>
      </c>
      <c r="E16669">
        <v>1</v>
      </c>
    </row>
    <row r="16670" spans="1:5" x14ac:dyDescent="0.25">
      <c r="A16670">
        <v>16669</v>
      </c>
      <c r="B16670">
        <v>5629083</v>
      </c>
      <c r="C16670" s="1" t="str">
        <f>HYPERLINK("http://stackoverflow.com/users/5629083", "Vin Zhang")</f>
        <v>Vin Zhang</v>
      </c>
      <c r="D16670" t="s">
        <v>91</v>
      </c>
      <c r="E16670">
        <v>1</v>
      </c>
    </row>
    <row r="16671" spans="1:5" x14ac:dyDescent="0.25">
      <c r="A16671">
        <v>16670</v>
      </c>
      <c r="B16671">
        <v>5629111</v>
      </c>
      <c r="C16671" s="1" t="str">
        <f>HYPERLINK("http://stackoverflow.com/users/5629111", "iGhibli")</f>
        <v>iGhibli</v>
      </c>
      <c r="D16671" t="s">
        <v>63</v>
      </c>
      <c r="E16671">
        <v>1</v>
      </c>
    </row>
    <row r="16672" spans="1:5" x14ac:dyDescent="0.25">
      <c r="A16672">
        <v>16671</v>
      </c>
      <c r="B16672">
        <v>2081851</v>
      </c>
      <c r="C16672" s="1" t="str">
        <f>HYPERLINK("http://stackoverflow.com/users/2081851", "shalahu")</f>
        <v>shalahu</v>
      </c>
      <c r="D16672" t="s">
        <v>54</v>
      </c>
      <c r="E16672">
        <v>1</v>
      </c>
    </row>
    <row r="16673" spans="1:5" x14ac:dyDescent="0.25">
      <c r="A16673">
        <v>16672</v>
      </c>
      <c r="B16673">
        <v>2081894</v>
      </c>
      <c r="C16673" s="1" t="str">
        <f>HYPERLINK("http://stackoverflow.com/users/2081894", "houjianbo")</f>
        <v>houjianbo</v>
      </c>
      <c r="D16673" t="s">
        <v>37</v>
      </c>
      <c r="E16673">
        <v>1</v>
      </c>
    </row>
    <row r="16674" spans="1:5" x14ac:dyDescent="0.25">
      <c r="A16674">
        <v>16673</v>
      </c>
      <c r="B16674">
        <v>3852895</v>
      </c>
      <c r="C16674" s="1" t="str">
        <f>HYPERLINK("http://stackoverflow.com/users/3852895", "wtser")</f>
        <v>wtser</v>
      </c>
      <c r="D16674" t="s">
        <v>12</v>
      </c>
      <c r="E16674">
        <v>1</v>
      </c>
    </row>
    <row r="16675" spans="1:5" x14ac:dyDescent="0.25">
      <c r="A16675">
        <v>16674</v>
      </c>
      <c r="B16675">
        <v>3852987</v>
      </c>
      <c r="C16675" s="1" t="str">
        <f>HYPERLINK("http://stackoverflow.com/users/3852987", "Tiger Liu")</f>
        <v>Tiger Liu</v>
      </c>
      <c r="D16675" t="s">
        <v>56</v>
      </c>
      <c r="E16675">
        <v>1</v>
      </c>
    </row>
    <row r="16676" spans="1:5" x14ac:dyDescent="0.25">
      <c r="A16676">
        <v>16675</v>
      </c>
      <c r="B16676">
        <v>3853108</v>
      </c>
      <c r="C16676" s="1" t="str">
        <f>HYPERLINK("http://stackoverflow.com/users/3853108", "ZhangShunFa")</f>
        <v>ZhangShunFa</v>
      </c>
      <c r="D16676" t="s">
        <v>12</v>
      </c>
      <c r="E16676">
        <v>1</v>
      </c>
    </row>
    <row r="16677" spans="1:5" x14ac:dyDescent="0.25">
      <c r="A16677">
        <v>16676</v>
      </c>
      <c r="B16677">
        <v>11078288</v>
      </c>
      <c r="C16677" s="1" t="str">
        <f>HYPERLINK("http://stackoverflow.com/users/11078288", "Duxiu Chen")</f>
        <v>Duxiu Chen</v>
      </c>
      <c r="D16677" t="s">
        <v>163</v>
      </c>
      <c r="E16677">
        <v>1</v>
      </c>
    </row>
    <row r="16678" spans="1:5" x14ac:dyDescent="0.25">
      <c r="A16678">
        <v>16677</v>
      </c>
      <c r="B16678">
        <v>11078339</v>
      </c>
      <c r="C16678" s="1" t="str">
        <f>HYPERLINK("http://stackoverflow.com/users/11078339", "gui xiao")</f>
        <v>gui xiao</v>
      </c>
      <c r="D16678" t="s">
        <v>906</v>
      </c>
      <c r="E16678">
        <v>1</v>
      </c>
    </row>
    <row r="16679" spans="1:5" x14ac:dyDescent="0.25">
      <c r="A16679">
        <v>16678</v>
      </c>
      <c r="B16679">
        <v>2082377</v>
      </c>
      <c r="C16679" s="1" t="str">
        <f>HYPERLINK("http://stackoverflow.com/users/2082377", "Nicholas")</f>
        <v>Nicholas</v>
      </c>
      <c r="D16679" t="s">
        <v>17</v>
      </c>
      <c r="E16679">
        <v>1</v>
      </c>
    </row>
    <row r="16680" spans="1:5" x14ac:dyDescent="0.25">
      <c r="A16680">
        <v>16679</v>
      </c>
      <c r="B16680">
        <v>2082511</v>
      </c>
      <c r="C16680" s="1" t="str">
        <f>HYPERLINK("http://stackoverflow.com/users/2082511", "perryhao")</f>
        <v>perryhao</v>
      </c>
      <c r="D16680" t="s">
        <v>17</v>
      </c>
      <c r="E16680">
        <v>1</v>
      </c>
    </row>
    <row r="16681" spans="1:5" x14ac:dyDescent="0.25">
      <c r="A16681">
        <v>16680</v>
      </c>
      <c r="B16681">
        <v>11082890</v>
      </c>
      <c r="C16681" s="1" t="str">
        <f>HYPERLINK("http://stackoverflow.com/users/11082890", "Wanderer Wang")</f>
        <v>Wanderer Wang</v>
      </c>
      <c r="D16681" t="s">
        <v>5</v>
      </c>
      <c r="E16681">
        <v>1</v>
      </c>
    </row>
    <row r="16682" spans="1:5" x14ac:dyDescent="0.25">
      <c r="A16682">
        <v>16681</v>
      </c>
      <c r="B16682">
        <v>11083298</v>
      </c>
      <c r="C16682" s="1" t="str">
        <f>HYPERLINK("http://stackoverflow.com/users/11083298", "Bart Anthonissen")</f>
        <v>Bart Anthonissen</v>
      </c>
      <c r="D16682" t="s">
        <v>4</v>
      </c>
      <c r="E16682">
        <v>1</v>
      </c>
    </row>
    <row r="16683" spans="1:5" x14ac:dyDescent="0.25">
      <c r="A16683">
        <v>16682</v>
      </c>
      <c r="B16683">
        <v>11083421</v>
      </c>
      <c r="C16683" s="1" t="str">
        <f>HYPERLINK("http://stackoverflow.com/users/11083421", "Hanxiao")</f>
        <v>Hanxiao</v>
      </c>
      <c r="D16683" t="s">
        <v>7</v>
      </c>
      <c r="E16683">
        <v>1</v>
      </c>
    </row>
    <row r="16684" spans="1:5" x14ac:dyDescent="0.25">
      <c r="A16684">
        <v>16683</v>
      </c>
      <c r="B16684">
        <v>2086288</v>
      </c>
      <c r="C16684" s="1" t="str">
        <f>HYPERLINK("http://stackoverflow.com/users/2086288", "MaggieWoo")</f>
        <v>MaggieWoo</v>
      </c>
      <c r="D16684" t="s">
        <v>38</v>
      </c>
      <c r="E16684">
        <v>1</v>
      </c>
    </row>
    <row r="16685" spans="1:5" x14ac:dyDescent="0.25">
      <c r="A16685">
        <v>16684</v>
      </c>
      <c r="B16685">
        <v>2086411</v>
      </c>
      <c r="C16685" s="1" t="str">
        <f>HYPERLINK("http://stackoverflow.com/users/2086411", "Thomas Yang")</f>
        <v>Thomas Yang</v>
      </c>
      <c r="D16685" t="s">
        <v>35</v>
      </c>
      <c r="E16685">
        <v>1</v>
      </c>
    </row>
    <row r="16686" spans="1:5" x14ac:dyDescent="0.25">
      <c r="A16686">
        <v>16685</v>
      </c>
      <c r="B16686">
        <v>2086125</v>
      </c>
      <c r="C16686" s="1" t="str">
        <f>HYPERLINK("http://stackoverflow.com/users/2086125", "doudou")</f>
        <v>doudou</v>
      </c>
      <c r="D16686" t="s">
        <v>5</v>
      </c>
      <c r="E16686">
        <v>1</v>
      </c>
    </row>
    <row r="16687" spans="1:5" x14ac:dyDescent="0.25">
      <c r="A16687">
        <v>16686</v>
      </c>
      <c r="B16687">
        <v>7348484</v>
      </c>
      <c r="C16687" s="1" t="str">
        <f>HYPERLINK("http://stackoverflow.com/users/7348484", "CaoMeng")</f>
        <v>CaoMeng</v>
      </c>
      <c r="D16687" t="s">
        <v>5</v>
      </c>
      <c r="E16687">
        <v>1</v>
      </c>
    </row>
    <row r="16688" spans="1:5" x14ac:dyDescent="0.25">
      <c r="A16688">
        <v>16687</v>
      </c>
      <c r="B16688">
        <v>7348589</v>
      </c>
      <c r="C16688" s="1" t="str">
        <f>HYPERLINK("http://stackoverflow.com/users/7348589", "Duane Duan")</f>
        <v>Duane Duan</v>
      </c>
      <c r="D16688" t="s">
        <v>7</v>
      </c>
      <c r="E16688">
        <v>1</v>
      </c>
    </row>
    <row r="16689" spans="1:5" x14ac:dyDescent="0.25">
      <c r="A16689">
        <v>16688</v>
      </c>
      <c r="B16689">
        <v>7348660</v>
      </c>
      <c r="C16689" s="1" t="str">
        <f>HYPERLINK("http://stackoverflow.com/users/7348660", "sprite")</f>
        <v>sprite</v>
      </c>
      <c r="D16689" t="s">
        <v>25</v>
      </c>
      <c r="E16689">
        <v>1</v>
      </c>
    </row>
    <row r="16690" spans="1:5" x14ac:dyDescent="0.25">
      <c r="A16690">
        <v>16689</v>
      </c>
      <c r="B16690">
        <v>7344990</v>
      </c>
      <c r="C16690" s="1" t="str">
        <f>HYPERLINK("http://stackoverflow.com/users/7344990", "rocky")</f>
        <v>rocky</v>
      </c>
      <c r="D16690" t="s">
        <v>4</v>
      </c>
      <c r="E16690">
        <v>1</v>
      </c>
    </row>
    <row r="16691" spans="1:5" x14ac:dyDescent="0.25">
      <c r="A16691">
        <v>16690</v>
      </c>
      <c r="B16691">
        <v>5589162</v>
      </c>
      <c r="C16691" s="1" t="str">
        <f>HYPERLINK("http://stackoverflow.com/users/5589162", "X.Jun")</f>
        <v>X.Jun</v>
      </c>
      <c r="D16691" t="s">
        <v>56</v>
      </c>
      <c r="E16691">
        <v>1</v>
      </c>
    </row>
    <row r="16692" spans="1:5" x14ac:dyDescent="0.25">
      <c r="A16692">
        <v>16691</v>
      </c>
      <c r="B16692">
        <v>5589222</v>
      </c>
      <c r="C16692" s="1" t="str">
        <f>HYPERLINK("http://stackoverflow.com/users/5589222", "Tom.Yang")</f>
        <v>Tom.Yang</v>
      </c>
      <c r="D16692" t="s">
        <v>5</v>
      </c>
      <c r="E16692">
        <v>1</v>
      </c>
    </row>
    <row r="16693" spans="1:5" x14ac:dyDescent="0.25">
      <c r="A16693">
        <v>16692</v>
      </c>
      <c r="B16693">
        <v>3803736</v>
      </c>
      <c r="C16693" s="1" t="str">
        <f>HYPERLINK("http://stackoverflow.com/users/3803736", "Wu Yang")</f>
        <v>Wu Yang</v>
      </c>
      <c r="D16693" t="s">
        <v>78</v>
      </c>
      <c r="E16693">
        <v>1</v>
      </c>
    </row>
    <row r="16694" spans="1:5" x14ac:dyDescent="0.25">
      <c r="A16694">
        <v>16693</v>
      </c>
      <c r="B16694">
        <v>3804173</v>
      </c>
      <c r="C16694" s="1" t="str">
        <f>HYPERLINK("http://stackoverflow.com/users/3804173", "Ryanst")</f>
        <v>Ryanst</v>
      </c>
      <c r="D16694" t="s">
        <v>5</v>
      </c>
      <c r="E16694">
        <v>1</v>
      </c>
    </row>
    <row r="16695" spans="1:5" x14ac:dyDescent="0.25">
      <c r="A16695">
        <v>16694</v>
      </c>
      <c r="B16695">
        <v>9233981</v>
      </c>
      <c r="C16695" s="1" t="str">
        <f>HYPERLINK("http://stackoverflow.com/users/9233981", "Kevin Zheng")</f>
        <v>Kevin Zheng</v>
      </c>
      <c r="D16695" t="s">
        <v>25</v>
      </c>
      <c r="E16695">
        <v>1</v>
      </c>
    </row>
    <row r="16696" spans="1:5" x14ac:dyDescent="0.25">
      <c r="A16696">
        <v>16695</v>
      </c>
      <c r="B16696">
        <v>9234252</v>
      </c>
      <c r="C16696" s="1" t="str">
        <f>HYPERLINK("http://stackoverflow.com/users/9234252", "Keko Ke")</f>
        <v>Keko Ke</v>
      </c>
      <c r="D16696" t="s">
        <v>47</v>
      </c>
      <c r="E16696">
        <v>1</v>
      </c>
    </row>
    <row r="16697" spans="1:5" x14ac:dyDescent="0.25">
      <c r="A16697">
        <v>16696</v>
      </c>
      <c r="B16697">
        <v>5597546</v>
      </c>
      <c r="C16697" s="1" t="str">
        <f>HYPERLINK("http://stackoverflow.com/users/5597546", "chihiro")</f>
        <v>chihiro</v>
      </c>
      <c r="D16697" t="s">
        <v>12</v>
      </c>
      <c r="E16697">
        <v>1</v>
      </c>
    </row>
    <row r="16698" spans="1:5" x14ac:dyDescent="0.25">
      <c r="A16698">
        <v>16697</v>
      </c>
      <c r="B16698">
        <v>7352977</v>
      </c>
      <c r="C16698" s="1" t="str">
        <f>HYPERLINK("http://stackoverflow.com/users/7352977", "p3rh4p5")</f>
        <v>p3rh4p5</v>
      </c>
      <c r="D16698" t="s">
        <v>434</v>
      </c>
      <c r="E16698">
        <v>1</v>
      </c>
    </row>
    <row r="16699" spans="1:5" x14ac:dyDescent="0.25">
      <c r="A16699">
        <v>16698</v>
      </c>
      <c r="B16699">
        <v>7353176</v>
      </c>
      <c r="C16699" s="1" t="str">
        <f>HYPERLINK("http://stackoverflow.com/users/7353176", "shasha")</f>
        <v>shasha</v>
      </c>
      <c r="D16699" t="s">
        <v>22</v>
      </c>
      <c r="E16699">
        <v>1</v>
      </c>
    </row>
    <row r="16700" spans="1:5" x14ac:dyDescent="0.25">
      <c r="A16700">
        <v>16699</v>
      </c>
      <c r="B16700">
        <v>7353472</v>
      </c>
      <c r="C16700" s="1" t="str">
        <f>HYPERLINK("http://stackoverflow.com/users/7353472", "Cody")</f>
        <v>Cody</v>
      </c>
      <c r="D16700" t="s">
        <v>5</v>
      </c>
      <c r="E16700">
        <v>1</v>
      </c>
    </row>
    <row r="16701" spans="1:5" x14ac:dyDescent="0.25">
      <c r="A16701">
        <v>16700</v>
      </c>
      <c r="B16701">
        <v>9238864</v>
      </c>
      <c r="C16701" s="1" t="str">
        <f>HYPERLINK("http://stackoverflow.com/users/9238864", "Hui ZHAN")</f>
        <v>Hui ZHAN</v>
      </c>
      <c r="D16701" t="s">
        <v>4</v>
      </c>
      <c r="E16701">
        <v>1</v>
      </c>
    </row>
    <row r="16702" spans="1:5" x14ac:dyDescent="0.25">
      <c r="A16702">
        <v>16701</v>
      </c>
      <c r="B16702">
        <v>9238937</v>
      </c>
      <c r="C16702" s="1" t="str">
        <f>HYPERLINK("http://stackoverflow.com/users/9238937", "Wang Dexter")</f>
        <v>Wang Dexter</v>
      </c>
      <c r="D16702" t="s">
        <v>43</v>
      </c>
      <c r="E16702">
        <v>1</v>
      </c>
    </row>
    <row r="16703" spans="1:5" x14ac:dyDescent="0.25">
      <c r="A16703">
        <v>16702</v>
      </c>
      <c r="B16703">
        <v>9238999</v>
      </c>
      <c r="C16703" s="1" t="str">
        <f>HYPERLINK("http://stackoverflow.com/users/9238999", "samuel kabayiza")</f>
        <v>samuel kabayiza</v>
      </c>
      <c r="D16703" t="s">
        <v>15</v>
      </c>
      <c r="E16703">
        <v>1</v>
      </c>
    </row>
    <row r="16704" spans="1:5" x14ac:dyDescent="0.25">
      <c r="A16704">
        <v>16703</v>
      </c>
      <c r="B16704">
        <v>2038292</v>
      </c>
      <c r="C16704" s="1" t="str">
        <f>HYPERLINK("http://stackoverflow.com/users/2038292", "feilong.org")</f>
        <v>feilong.org</v>
      </c>
      <c r="D16704" t="s">
        <v>21</v>
      </c>
      <c r="E16704">
        <v>1</v>
      </c>
    </row>
    <row r="16705" spans="1:5" x14ac:dyDescent="0.25">
      <c r="A16705">
        <v>16704</v>
      </c>
      <c r="B16705">
        <v>2038599</v>
      </c>
      <c r="C16705" s="1" t="str">
        <f>HYPERLINK("http://stackoverflow.com/users/2038599", "Lin")</f>
        <v>Lin</v>
      </c>
      <c r="D16705" t="s">
        <v>4</v>
      </c>
      <c r="E16705">
        <v>1</v>
      </c>
    </row>
    <row r="16706" spans="1:5" x14ac:dyDescent="0.25">
      <c r="A16706">
        <v>16705</v>
      </c>
      <c r="B16706">
        <v>7340924</v>
      </c>
      <c r="C16706" s="1" t="str">
        <f>HYPERLINK("http://stackoverflow.com/users/7340924", "Derek")</f>
        <v>Derek</v>
      </c>
      <c r="D16706" t="s">
        <v>131</v>
      </c>
      <c r="E16706">
        <v>1</v>
      </c>
    </row>
    <row r="16707" spans="1:5" x14ac:dyDescent="0.25">
      <c r="A16707">
        <v>16706</v>
      </c>
      <c r="B16707">
        <v>5584356</v>
      </c>
      <c r="C16707" s="1" t="str">
        <f>HYPERLINK("http://stackoverflow.com/users/5584356", "roy")</f>
        <v>roy</v>
      </c>
      <c r="D16707" t="s">
        <v>4</v>
      </c>
      <c r="E16707">
        <v>1</v>
      </c>
    </row>
    <row r="16708" spans="1:5" x14ac:dyDescent="0.25">
      <c r="A16708">
        <v>16707</v>
      </c>
      <c r="B16708">
        <v>11023512</v>
      </c>
      <c r="C16708" s="1" t="str">
        <f>HYPERLINK("http://stackoverflow.com/users/11023512", "Oscar Lee")</f>
        <v>Oscar Lee</v>
      </c>
      <c r="D16708" t="s">
        <v>4</v>
      </c>
      <c r="E16708">
        <v>1</v>
      </c>
    </row>
    <row r="16709" spans="1:5" x14ac:dyDescent="0.25">
      <c r="A16709">
        <v>16708</v>
      </c>
      <c r="B16709">
        <v>7344537</v>
      </c>
      <c r="C16709" s="1" t="str">
        <f>HYPERLINK("http://stackoverflow.com/users/7344537", "BluesNing ")</f>
        <v xml:space="preserve">BluesNing </v>
      </c>
      <c r="D16709" t="s">
        <v>907</v>
      </c>
      <c r="E16709">
        <v>1</v>
      </c>
    </row>
    <row r="16710" spans="1:5" x14ac:dyDescent="0.25">
      <c r="A16710">
        <v>16709</v>
      </c>
      <c r="B16710">
        <v>7344734</v>
      </c>
      <c r="C16710" s="1" t="str">
        <f>HYPERLINK("http://stackoverflow.com/users/7344734", "Wang Howard")</f>
        <v>Wang Howard</v>
      </c>
      <c r="D16710" t="s">
        <v>27</v>
      </c>
      <c r="E16710">
        <v>1</v>
      </c>
    </row>
    <row r="16711" spans="1:5" x14ac:dyDescent="0.25">
      <c r="A16711">
        <v>16710</v>
      </c>
      <c r="B16711">
        <v>2024081</v>
      </c>
      <c r="C16711" s="1" t="str">
        <f>HYPERLINK("http://stackoverflow.com/users/2024081", "KaMao")</f>
        <v>KaMao</v>
      </c>
      <c r="D16711" t="s">
        <v>12</v>
      </c>
      <c r="E16711">
        <v>1</v>
      </c>
    </row>
    <row r="16712" spans="1:5" x14ac:dyDescent="0.25">
      <c r="A16712">
        <v>16711</v>
      </c>
      <c r="B16712">
        <v>5580136</v>
      </c>
      <c r="C16712" s="1" t="str">
        <f>HYPERLINK("http://stackoverflow.com/users/5580136", "Will Poon")</f>
        <v>Will Poon</v>
      </c>
      <c r="D16712" t="s">
        <v>59</v>
      </c>
      <c r="E16712">
        <v>1</v>
      </c>
    </row>
    <row r="16713" spans="1:5" x14ac:dyDescent="0.25">
      <c r="A16713">
        <v>16712</v>
      </c>
      <c r="B16713">
        <v>5580264</v>
      </c>
      <c r="C16713" s="1" t="str">
        <f>HYPERLINK("http://stackoverflow.com/users/5580264", "Runze.Lee")</f>
        <v>Runze.Lee</v>
      </c>
      <c r="D16713" t="s">
        <v>5</v>
      </c>
      <c r="E16713">
        <v>1</v>
      </c>
    </row>
    <row r="16714" spans="1:5" x14ac:dyDescent="0.25">
      <c r="A16714">
        <v>16713</v>
      </c>
      <c r="B16714">
        <v>5580489</v>
      </c>
      <c r="C16714" s="1" t="str">
        <f>HYPERLINK("http://stackoverflow.com/users/5580489", "佘志恒")</f>
        <v>佘志恒</v>
      </c>
      <c r="D16714" t="s">
        <v>5</v>
      </c>
      <c r="E16714">
        <v>1</v>
      </c>
    </row>
    <row r="16715" spans="1:5" x14ac:dyDescent="0.25">
      <c r="A16715">
        <v>16714</v>
      </c>
      <c r="B16715">
        <v>3790554</v>
      </c>
      <c r="C16715" s="1" t="str">
        <f>HYPERLINK("http://stackoverflow.com/users/3790554", "2dxgujun")</f>
        <v>2dxgujun</v>
      </c>
      <c r="D16715" t="s">
        <v>55</v>
      </c>
      <c r="E16715">
        <v>1</v>
      </c>
    </row>
    <row r="16716" spans="1:5" x14ac:dyDescent="0.25">
      <c r="A16716">
        <v>16715</v>
      </c>
      <c r="B16716">
        <v>2017277</v>
      </c>
      <c r="C16716" s="1" t="str">
        <f>HYPERLINK("http://stackoverflow.com/users/2017277", "QihongDong")</f>
        <v>QihongDong</v>
      </c>
      <c r="D16716" t="s">
        <v>37</v>
      </c>
      <c r="E16716">
        <v>1</v>
      </c>
    </row>
    <row r="16717" spans="1:5" x14ac:dyDescent="0.25">
      <c r="A16717">
        <v>16716</v>
      </c>
      <c r="B16717">
        <v>2017688</v>
      </c>
      <c r="C16717" s="1" t="str">
        <f>HYPERLINK("http://stackoverflow.com/users/2017688", "user2017688")</f>
        <v>user2017688</v>
      </c>
      <c r="D16717" t="s">
        <v>4</v>
      </c>
      <c r="E16717">
        <v>1</v>
      </c>
    </row>
    <row r="16718" spans="1:5" x14ac:dyDescent="0.25">
      <c r="A16718">
        <v>16717</v>
      </c>
      <c r="B16718">
        <v>9223995</v>
      </c>
      <c r="C16718" s="1" t="str">
        <f>HYPERLINK("http://stackoverflow.com/users/9223995", "huanxuelian")</f>
        <v>huanxuelian</v>
      </c>
      <c r="D16718" t="s">
        <v>110</v>
      </c>
      <c r="E16718">
        <v>1</v>
      </c>
    </row>
    <row r="16719" spans="1:5" x14ac:dyDescent="0.25">
      <c r="A16719">
        <v>16718</v>
      </c>
      <c r="B16719">
        <v>9224237</v>
      </c>
      <c r="C16719" s="1" t="str">
        <f>HYPERLINK("http://stackoverflow.com/users/9224237", "AlexYIN")</f>
        <v>AlexYIN</v>
      </c>
      <c r="D16719" t="s">
        <v>16</v>
      </c>
      <c r="E16719">
        <v>1</v>
      </c>
    </row>
    <row r="16720" spans="1:5" x14ac:dyDescent="0.25">
      <c r="A16720">
        <v>16719</v>
      </c>
      <c r="B16720">
        <v>3778889</v>
      </c>
      <c r="C16720" s="1" t="str">
        <f>HYPERLINK("http://stackoverflow.com/users/3778889", "marcury")</f>
        <v>marcury</v>
      </c>
      <c r="D16720" t="s">
        <v>4</v>
      </c>
      <c r="E16720">
        <v>1</v>
      </c>
    </row>
    <row r="16721" spans="1:5" x14ac:dyDescent="0.25">
      <c r="A16721">
        <v>16720</v>
      </c>
      <c r="B16721">
        <v>9207711</v>
      </c>
      <c r="C16721" s="1" t="str">
        <f>HYPERLINK("http://stackoverflow.com/users/9207711", "Jinming Sun")</f>
        <v>Jinming Sun</v>
      </c>
      <c r="D16721" t="s">
        <v>4</v>
      </c>
      <c r="E16721">
        <v>1</v>
      </c>
    </row>
    <row r="16722" spans="1:5" x14ac:dyDescent="0.25">
      <c r="A16722">
        <v>16721</v>
      </c>
      <c r="B16722">
        <v>9208069</v>
      </c>
      <c r="C16722" s="1" t="str">
        <f>HYPERLINK("http://stackoverflow.com/users/9208069", "minghuan minghuan")</f>
        <v>minghuan minghuan</v>
      </c>
      <c r="D16722" t="s">
        <v>5</v>
      </c>
      <c r="E16722">
        <v>1</v>
      </c>
    </row>
    <row r="16723" spans="1:5" x14ac:dyDescent="0.25">
      <c r="A16723">
        <v>16722</v>
      </c>
      <c r="B16723">
        <v>5569947</v>
      </c>
      <c r="C16723" s="1" t="str">
        <f>HYPERLINK("http://stackoverflow.com/users/5569947", "Kang")</f>
        <v>Kang</v>
      </c>
      <c r="D16723" t="s">
        <v>34</v>
      </c>
      <c r="E16723">
        <v>1</v>
      </c>
    </row>
    <row r="16724" spans="1:5" x14ac:dyDescent="0.25">
      <c r="A16724">
        <v>16723</v>
      </c>
      <c r="B16724">
        <v>5570010</v>
      </c>
      <c r="C16724" s="1" t="str">
        <f>HYPERLINK("http://stackoverflow.com/users/5570010", "shaoweiYU")</f>
        <v>shaoweiYU</v>
      </c>
      <c r="D16724" t="s">
        <v>4</v>
      </c>
      <c r="E16724">
        <v>1</v>
      </c>
    </row>
    <row r="16725" spans="1:5" x14ac:dyDescent="0.25">
      <c r="A16725">
        <v>16724</v>
      </c>
      <c r="B16725">
        <v>5570196</v>
      </c>
      <c r="C16725" s="1" t="str">
        <f>HYPERLINK("http://stackoverflow.com/users/5570196", "IoCan")</f>
        <v>IoCan</v>
      </c>
      <c r="D16725" t="s">
        <v>37</v>
      </c>
      <c r="E16725">
        <v>1</v>
      </c>
    </row>
    <row r="16726" spans="1:5" x14ac:dyDescent="0.25">
      <c r="A16726">
        <v>16725</v>
      </c>
      <c r="B16726">
        <v>5570248</v>
      </c>
      <c r="C16726" s="1" t="str">
        <f>HYPERLINK("http://stackoverflow.com/users/5570248", "P. Hu")</f>
        <v>P. Hu</v>
      </c>
      <c r="D16726" t="s">
        <v>31</v>
      </c>
      <c r="E16726">
        <v>1</v>
      </c>
    </row>
    <row r="16727" spans="1:5" x14ac:dyDescent="0.25">
      <c r="A16727">
        <v>16726</v>
      </c>
      <c r="B16727">
        <v>9212175</v>
      </c>
      <c r="C16727" s="1" t="str">
        <f>HYPERLINK("http://stackoverflow.com/users/9212175", "akaigyouhou")</f>
        <v>akaigyouhou</v>
      </c>
      <c r="D16727" t="s">
        <v>4</v>
      </c>
      <c r="E16727">
        <v>1</v>
      </c>
    </row>
    <row r="16728" spans="1:5" x14ac:dyDescent="0.25">
      <c r="A16728">
        <v>16727</v>
      </c>
      <c r="B16728">
        <v>7329583</v>
      </c>
      <c r="C16728" s="1" t="str">
        <f>HYPERLINK("http://stackoverflow.com/users/7329583", "aiwangfeng")</f>
        <v>aiwangfeng</v>
      </c>
      <c r="D16728" t="s">
        <v>5</v>
      </c>
      <c r="E16728">
        <v>1</v>
      </c>
    </row>
    <row r="16729" spans="1:5" x14ac:dyDescent="0.25">
      <c r="A16729">
        <v>16728</v>
      </c>
      <c r="B16729">
        <v>7330056</v>
      </c>
      <c r="C16729" s="1" t="str">
        <f>HYPERLINK("http://stackoverflow.com/users/7330056", "Going Keep")</f>
        <v>Going Keep</v>
      </c>
      <c r="D16729" t="s">
        <v>4</v>
      </c>
      <c r="E16729">
        <v>1</v>
      </c>
    </row>
    <row r="16730" spans="1:5" x14ac:dyDescent="0.25">
      <c r="A16730">
        <v>16729</v>
      </c>
      <c r="B16730">
        <v>7330241</v>
      </c>
      <c r="C16730" s="1" t="str">
        <f>HYPERLINK("http://stackoverflow.com/users/7330241", "Thomas.Zenos")</f>
        <v>Thomas.Zenos</v>
      </c>
      <c r="D16730" t="s">
        <v>55</v>
      </c>
      <c r="E16730">
        <v>1</v>
      </c>
    </row>
    <row r="16731" spans="1:5" x14ac:dyDescent="0.25">
      <c r="A16731">
        <v>16730</v>
      </c>
      <c r="B16731">
        <v>7330334</v>
      </c>
      <c r="C16731" s="1" t="str">
        <f>HYPERLINK("http://stackoverflow.com/users/7330334", "Jack H")</f>
        <v>Jack H</v>
      </c>
      <c r="D16731" t="s">
        <v>5</v>
      </c>
      <c r="E16731">
        <v>1</v>
      </c>
    </row>
    <row r="16732" spans="1:5" x14ac:dyDescent="0.25">
      <c r="A16732">
        <v>16731</v>
      </c>
      <c r="B16732">
        <v>5576494</v>
      </c>
      <c r="C16732" s="1" t="str">
        <f>HYPERLINK("http://stackoverflow.com/users/5576494", "Yuchen Lin")</f>
        <v>Yuchen Lin</v>
      </c>
      <c r="D16732" t="s">
        <v>5</v>
      </c>
      <c r="E16732">
        <v>1</v>
      </c>
    </row>
    <row r="16733" spans="1:5" x14ac:dyDescent="0.25">
      <c r="A16733">
        <v>16732</v>
      </c>
      <c r="B16733">
        <v>9215602</v>
      </c>
      <c r="C16733" s="1" t="str">
        <f>HYPERLINK("http://stackoverflow.com/users/9215602", "ElonKou")</f>
        <v>ElonKou</v>
      </c>
      <c r="D16733" t="s">
        <v>908</v>
      </c>
      <c r="E16733">
        <v>1</v>
      </c>
    </row>
    <row r="16734" spans="1:5" x14ac:dyDescent="0.25">
      <c r="A16734">
        <v>16733</v>
      </c>
      <c r="B16734">
        <v>3787047</v>
      </c>
      <c r="C16734" s="1" t="str">
        <f>HYPERLINK("http://stackoverflow.com/users/3787047", "StarBoy")</f>
        <v>StarBoy</v>
      </c>
      <c r="D16734" t="s">
        <v>5</v>
      </c>
      <c r="E16734">
        <v>1</v>
      </c>
    </row>
    <row r="16735" spans="1:5" x14ac:dyDescent="0.25">
      <c r="A16735">
        <v>16734</v>
      </c>
      <c r="B16735">
        <v>2008231</v>
      </c>
      <c r="C16735" s="1" t="str">
        <f>HYPERLINK("http://stackoverflow.com/users/2008231", "Bulldog")</f>
        <v>Bulldog</v>
      </c>
      <c r="D16735" t="s">
        <v>4</v>
      </c>
      <c r="E16735">
        <v>1</v>
      </c>
    </row>
    <row r="16736" spans="1:5" x14ac:dyDescent="0.25">
      <c r="A16736">
        <v>16735</v>
      </c>
      <c r="B16736">
        <v>2008444</v>
      </c>
      <c r="C16736" s="1" t="str">
        <f>HYPERLINK("http://stackoverflow.com/users/2008444", "Risun Chen")</f>
        <v>Risun Chen</v>
      </c>
      <c r="D16736" t="s">
        <v>4</v>
      </c>
      <c r="E16736">
        <v>1</v>
      </c>
    </row>
    <row r="16737" spans="1:5" x14ac:dyDescent="0.25">
      <c r="A16737">
        <v>16736</v>
      </c>
      <c r="B16737">
        <v>3774846</v>
      </c>
      <c r="C16737" s="1" t="str">
        <f>HYPERLINK("http://stackoverflow.com/users/3774846", "waitig")</f>
        <v>waitig</v>
      </c>
      <c r="D16737" t="s">
        <v>6</v>
      </c>
      <c r="E16737">
        <v>1</v>
      </c>
    </row>
    <row r="16738" spans="1:5" x14ac:dyDescent="0.25">
      <c r="A16738">
        <v>16737</v>
      </c>
      <c r="B16738">
        <v>3775212</v>
      </c>
      <c r="C16738" s="1" t="str">
        <f>HYPERLINK("http://stackoverflow.com/users/3775212", "zhushihao")</f>
        <v>zhushihao</v>
      </c>
      <c r="D16738" t="s">
        <v>5</v>
      </c>
      <c r="E16738">
        <v>1</v>
      </c>
    </row>
    <row r="16739" spans="1:5" x14ac:dyDescent="0.25">
      <c r="A16739">
        <v>16738</v>
      </c>
      <c r="B16739">
        <v>1999814</v>
      </c>
      <c r="C16739" s="1" t="str">
        <f>HYPERLINK("http://stackoverflow.com/users/1999814", "yangching")</f>
        <v>yangching</v>
      </c>
      <c r="D16739" t="s">
        <v>4</v>
      </c>
      <c r="E16739">
        <v>1</v>
      </c>
    </row>
    <row r="16740" spans="1:5" x14ac:dyDescent="0.25">
      <c r="A16740">
        <v>16739</v>
      </c>
      <c r="B16740">
        <v>1994505</v>
      </c>
      <c r="C16740" s="1" t="str">
        <f>HYPERLINK("http://stackoverflow.com/users/1994505", "xiaozhang")</f>
        <v>xiaozhang</v>
      </c>
      <c r="D16740" t="s">
        <v>5</v>
      </c>
      <c r="E16740">
        <v>1</v>
      </c>
    </row>
    <row r="16741" spans="1:5" x14ac:dyDescent="0.25">
      <c r="A16741">
        <v>16740</v>
      </c>
      <c r="B16741">
        <v>1994624</v>
      </c>
      <c r="C16741" s="1" t="str">
        <f>HYPERLINK("http://stackoverflow.com/users/1994624", "ssik")</f>
        <v>ssik</v>
      </c>
      <c r="D16741" t="s">
        <v>5</v>
      </c>
      <c r="E16741">
        <v>1</v>
      </c>
    </row>
    <row r="16742" spans="1:5" x14ac:dyDescent="0.25">
      <c r="A16742">
        <v>16741</v>
      </c>
      <c r="B16742">
        <v>1994688</v>
      </c>
      <c r="C16742" s="1" t="str">
        <f>HYPERLINK("http://stackoverflow.com/users/1994688", "bmagierski")</f>
        <v>bmagierski</v>
      </c>
      <c r="D16742" t="s">
        <v>4</v>
      </c>
      <c r="E16742">
        <v>1</v>
      </c>
    </row>
    <row r="16743" spans="1:5" x14ac:dyDescent="0.25">
      <c r="A16743">
        <v>16742</v>
      </c>
      <c r="B16743">
        <v>10989085</v>
      </c>
      <c r="C16743" s="1" t="str">
        <f>HYPERLINK("http://stackoverflow.com/users/10989085", "Ping Qu")</f>
        <v>Ping Qu</v>
      </c>
      <c r="D16743" t="s">
        <v>60</v>
      </c>
      <c r="E16743">
        <v>1</v>
      </c>
    </row>
    <row r="16744" spans="1:5" x14ac:dyDescent="0.25">
      <c r="A16744">
        <v>16743</v>
      </c>
      <c r="B16744">
        <v>7315128</v>
      </c>
      <c r="C16744" s="1" t="str">
        <f>HYPERLINK("http://stackoverflow.com/users/7315128", "John Aibiter")</f>
        <v>John Aibiter</v>
      </c>
      <c r="D16744" t="s">
        <v>74</v>
      </c>
      <c r="E16744">
        <v>1</v>
      </c>
    </row>
    <row r="16745" spans="1:5" x14ac:dyDescent="0.25">
      <c r="A16745">
        <v>16744</v>
      </c>
      <c r="B16745">
        <v>7315130</v>
      </c>
      <c r="C16745" s="1" t="str">
        <f>HYPERLINK("http://stackoverflow.com/users/7315130", "李清源")</f>
        <v>李清源</v>
      </c>
      <c r="D16745" t="s">
        <v>4</v>
      </c>
      <c r="E16745">
        <v>1</v>
      </c>
    </row>
    <row r="16746" spans="1:5" x14ac:dyDescent="0.25">
      <c r="A16746">
        <v>16745</v>
      </c>
      <c r="B16746">
        <v>7315190</v>
      </c>
      <c r="C16746" s="1" t="str">
        <f>HYPERLINK("http://stackoverflow.com/users/7315190", "Bing-Qian Luan")</f>
        <v>Bing-Qian Luan</v>
      </c>
      <c r="D16746" t="s">
        <v>5</v>
      </c>
      <c r="E16746">
        <v>1</v>
      </c>
    </row>
    <row r="16747" spans="1:5" x14ac:dyDescent="0.25">
      <c r="A16747">
        <v>16746</v>
      </c>
      <c r="B16747">
        <v>7315309</v>
      </c>
      <c r="C16747" s="1" t="str">
        <f>HYPERLINK("http://stackoverflow.com/users/7315309", "jeck")</f>
        <v>jeck</v>
      </c>
      <c r="D16747" t="s">
        <v>7</v>
      </c>
      <c r="E16747">
        <v>1</v>
      </c>
    </row>
    <row r="16748" spans="1:5" x14ac:dyDescent="0.25">
      <c r="A16748">
        <v>16747</v>
      </c>
      <c r="B16748">
        <v>3767428</v>
      </c>
      <c r="C16748" s="1" t="str">
        <f>HYPERLINK("http://stackoverflow.com/users/3767428", "Onetaway")</f>
        <v>Onetaway</v>
      </c>
      <c r="D16748" t="s">
        <v>55</v>
      </c>
      <c r="E16748">
        <v>1</v>
      </c>
    </row>
    <row r="16749" spans="1:5" x14ac:dyDescent="0.25">
      <c r="A16749">
        <v>16748</v>
      </c>
      <c r="B16749">
        <v>5561681</v>
      </c>
      <c r="C16749" s="1" t="str">
        <f>HYPERLINK("http://stackoverflow.com/users/5561681", "朱海波")</f>
        <v>朱海波</v>
      </c>
      <c r="D16749" t="s">
        <v>4</v>
      </c>
      <c r="E16749">
        <v>1</v>
      </c>
    </row>
    <row r="16750" spans="1:5" x14ac:dyDescent="0.25">
      <c r="A16750">
        <v>16749</v>
      </c>
      <c r="B16750">
        <v>5561824</v>
      </c>
      <c r="C16750" s="1" t="str">
        <f>HYPERLINK("http://stackoverflow.com/users/5561824", "airt")</f>
        <v>airt</v>
      </c>
      <c r="D16750" t="s">
        <v>54</v>
      </c>
      <c r="E16750">
        <v>1</v>
      </c>
    </row>
    <row r="16751" spans="1:5" x14ac:dyDescent="0.25">
      <c r="A16751">
        <v>16750</v>
      </c>
      <c r="B16751">
        <v>10993559</v>
      </c>
      <c r="C16751" s="1" t="str">
        <f>HYPERLINK("http://stackoverflow.com/users/10993559", "Ethercflow")</f>
        <v>Ethercflow</v>
      </c>
      <c r="D16751" t="s">
        <v>5</v>
      </c>
      <c r="E16751">
        <v>1</v>
      </c>
    </row>
    <row r="16752" spans="1:5" x14ac:dyDescent="0.25">
      <c r="A16752">
        <v>16751</v>
      </c>
      <c r="B16752">
        <v>9198950</v>
      </c>
      <c r="C16752" s="1" t="str">
        <f>HYPERLINK("http://stackoverflow.com/users/9198950", "honkeymon")</f>
        <v>honkeymon</v>
      </c>
      <c r="D16752" t="s">
        <v>4</v>
      </c>
      <c r="E16752">
        <v>1</v>
      </c>
    </row>
    <row r="16753" spans="1:5" x14ac:dyDescent="0.25">
      <c r="A16753">
        <v>16752</v>
      </c>
      <c r="B16753">
        <v>1993981</v>
      </c>
      <c r="C16753" s="1" t="str">
        <f>HYPERLINK("http://stackoverflow.com/users/1993981", "dudong")</f>
        <v>dudong</v>
      </c>
      <c r="D16753" t="s">
        <v>5</v>
      </c>
      <c r="E16753">
        <v>1</v>
      </c>
    </row>
    <row r="16754" spans="1:5" x14ac:dyDescent="0.25">
      <c r="A16754">
        <v>16753</v>
      </c>
      <c r="B16754">
        <v>9138609</v>
      </c>
      <c r="C16754" s="1" t="str">
        <f>HYPERLINK("http://stackoverflow.com/users/9138609", "June")</f>
        <v>June</v>
      </c>
      <c r="D16754" t="s">
        <v>55</v>
      </c>
      <c r="E16754">
        <v>1</v>
      </c>
    </row>
    <row r="16755" spans="1:5" x14ac:dyDescent="0.25">
      <c r="A16755">
        <v>16754</v>
      </c>
      <c r="B16755">
        <v>9138700</v>
      </c>
      <c r="C16755" s="1" t="str">
        <f>HYPERLINK("http://stackoverflow.com/users/9138700", "Pengfei Wang")</f>
        <v>Pengfei Wang</v>
      </c>
      <c r="D16755" t="s">
        <v>108</v>
      </c>
      <c r="E16755">
        <v>1</v>
      </c>
    </row>
    <row r="16756" spans="1:5" x14ac:dyDescent="0.25">
      <c r="A16756">
        <v>16755</v>
      </c>
      <c r="B16756">
        <v>10937803</v>
      </c>
      <c r="C16756" s="1" t="str">
        <f>HYPERLINK("http://stackoverflow.com/users/10937803", "Joe")</f>
        <v>Joe</v>
      </c>
      <c r="D16756" t="s">
        <v>37</v>
      </c>
      <c r="E16756">
        <v>1</v>
      </c>
    </row>
    <row r="16757" spans="1:5" x14ac:dyDescent="0.25">
      <c r="A16757">
        <v>16756</v>
      </c>
      <c r="B16757">
        <v>10937813</v>
      </c>
      <c r="C16757" s="1" t="str">
        <f>HYPERLINK("http://stackoverflow.com/users/10937813", "Qi Gong")</f>
        <v>Qi Gong</v>
      </c>
      <c r="D16757" t="s">
        <v>5</v>
      </c>
      <c r="E16757">
        <v>1</v>
      </c>
    </row>
    <row r="16758" spans="1:5" x14ac:dyDescent="0.25">
      <c r="A16758">
        <v>16757</v>
      </c>
      <c r="B16758">
        <v>1926016</v>
      </c>
      <c r="C16758" s="1" t="str">
        <f>HYPERLINK("http://stackoverflow.com/users/1926016", "Yiming")</f>
        <v>Yiming</v>
      </c>
      <c r="D16758" t="s">
        <v>113</v>
      </c>
      <c r="E16758">
        <v>1</v>
      </c>
    </row>
    <row r="16759" spans="1:5" x14ac:dyDescent="0.25">
      <c r="A16759">
        <v>16758</v>
      </c>
      <c r="B16759">
        <v>1926105</v>
      </c>
      <c r="C16759" s="1" t="str">
        <f>HYPERLINK("http://stackoverflow.com/users/1926105", "Jake Zhao")</f>
        <v>Jake Zhao</v>
      </c>
      <c r="D16759" t="s">
        <v>4</v>
      </c>
      <c r="E16759">
        <v>1</v>
      </c>
    </row>
    <row r="16760" spans="1:5" x14ac:dyDescent="0.25">
      <c r="A16760">
        <v>16759</v>
      </c>
      <c r="B16760">
        <v>9134562</v>
      </c>
      <c r="C16760" s="1" t="str">
        <f>HYPERLINK("http://stackoverflow.com/users/9134562", "VictorJong")</f>
        <v>VictorJong</v>
      </c>
      <c r="D16760" t="s">
        <v>320</v>
      </c>
      <c r="E16760">
        <v>1</v>
      </c>
    </row>
    <row r="16761" spans="1:5" x14ac:dyDescent="0.25">
      <c r="A16761">
        <v>16760</v>
      </c>
      <c r="B16761">
        <v>1921576</v>
      </c>
      <c r="C16761" s="1" t="str">
        <f>HYPERLINK("http://stackoverflow.com/users/1921576", "leebian")</f>
        <v>leebian</v>
      </c>
      <c r="D16761" t="s">
        <v>22</v>
      </c>
      <c r="E16761">
        <v>1</v>
      </c>
    </row>
    <row r="16762" spans="1:5" x14ac:dyDescent="0.25">
      <c r="A16762">
        <v>16761</v>
      </c>
      <c r="B16762">
        <v>10932716</v>
      </c>
      <c r="C16762" s="1" t="str">
        <f>HYPERLINK("http://stackoverflow.com/users/10932716", "Bryan Yin")</f>
        <v>Bryan Yin</v>
      </c>
      <c r="D16762" t="s">
        <v>5</v>
      </c>
      <c r="E16762">
        <v>1</v>
      </c>
    </row>
    <row r="16763" spans="1:5" x14ac:dyDescent="0.25">
      <c r="A16763">
        <v>16762</v>
      </c>
      <c r="B16763">
        <v>9138038</v>
      </c>
      <c r="C16763" s="1" t="str">
        <f>HYPERLINK("http://stackoverflow.com/users/9138038", "陈保桦")</f>
        <v>陈保桦</v>
      </c>
      <c r="D16763" t="s">
        <v>416</v>
      </c>
      <c r="E16763">
        <v>1</v>
      </c>
    </row>
    <row r="16764" spans="1:5" x14ac:dyDescent="0.25">
      <c r="A16764">
        <v>16763</v>
      </c>
      <c r="B16764">
        <v>9138060</v>
      </c>
      <c r="C16764" s="1" t="str">
        <f>HYPERLINK("http://stackoverflow.com/users/9138060", "frech")</f>
        <v>frech</v>
      </c>
      <c r="D16764" t="s">
        <v>7</v>
      </c>
      <c r="E16764">
        <v>1</v>
      </c>
    </row>
    <row r="16765" spans="1:5" x14ac:dyDescent="0.25">
      <c r="A16765">
        <v>16764</v>
      </c>
      <c r="B16765">
        <v>9138282</v>
      </c>
      <c r="C16765" s="1" t="str">
        <f>HYPERLINK("http://stackoverflow.com/users/9138282", "341152 Chyi")</f>
        <v>341152 Chyi</v>
      </c>
      <c r="D16765" t="s">
        <v>4</v>
      </c>
      <c r="E16765">
        <v>1</v>
      </c>
    </row>
    <row r="16766" spans="1:5" x14ac:dyDescent="0.25">
      <c r="A16766">
        <v>16765</v>
      </c>
      <c r="B16766">
        <v>7275126</v>
      </c>
      <c r="C16766" s="1" t="str">
        <f>HYPERLINK("http://stackoverflow.com/users/7275126", "Super.Su")</f>
        <v>Super.Su</v>
      </c>
      <c r="D16766" t="s">
        <v>16</v>
      </c>
      <c r="E16766">
        <v>1</v>
      </c>
    </row>
    <row r="16767" spans="1:5" x14ac:dyDescent="0.25">
      <c r="A16767">
        <v>16766</v>
      </c>
      <c r="B16767">
        <v>5520031</v>
      </c>
      <c r="C16767" s="1" t="str">
        <f>HYPERLINK("http://stackoverflow.com/users/5520031", "Lunar Guan")</f>
        <v>Lunar Guan</v>
      </c>
      <c r="D16767" t="s">
        <v>8</v>
      </c>
      <c r="E16767">
        <v>1</v>
      </c>
    </row>
    <row r="16768" spans="1:5" x14ac:dyDescent="0.25">
      <c r="A16768">
        <v>16767</v>
      </c>
      <c r="B16768">
        <v>5520405</v>
      </c>
      <c r="C16768" s="1" t="str">
        <f>HYPERLINK("http://stackoverflow.com/users/5520405", "Huhaokun")</f>
        <v>Huhaokun</v>
      </c>
      <c r="D16768" t="s">
        <v>4</v>
      </c>
      <c r="E16768">
        <v>1</v>
      </c>
    </row>
    <row r="16769" spans="1:5" x14ac:dyDescent="0.25">
      <c r="A16769">
        <v>16768</v>
      </c>
      <c r="B16769">
        <v>9151462</v>
      </c>
      <c r="C16769" s="1" t="str">
        <f>HYPERLINK("http://stackoverflow.com/users/9151462", "Robin")</f>
        <v>Robin</v>
      </c>
      <c r="D16769" t="s">
        <v>52</v>
      </c>
      <c r="E16769">
        <v>1</v>
      </c>
    </row>
    <row r="16770" spans="1:5" x14ac:dyDescent="0.25">
      <c r="A16770">
        <v>16769</v>
      </c>
      <c r="B16770">
        <v>10946418</v>
      </c>
      <c r="C16770" s="1" t="str">
        <f>HYPERLINK("http://stackoverflow.com/users/10946418", "Daniel Ye")</f>
        <v>Daniel Ye</v>
      </c>
      <c r="D16770" t="s">
        <v>25</v>
      </c>
      <c r="E16770">
        <v>1</v>
      </c>
    </row>
    <row r="16771" spans="1:5" x14ac:dyDescent="0.25">
      <c r="A16771">
        <v>16770</v>
      </c>
      <c r="B16771">
        <v>5524454</v>
      </c>
      <c r="C16771" s="1" t="str">
        <f>HYPERLINK("http://stackoverflow.com/users/5524454", "Andrey Maia")</f>
        <v>Andrey Maia</v>
      </c>
      <c r="D16771" t="s">
        <v>5</v>
      </c>
      <c r="E16771">
        <v>1</v>
      </c>
    </row>
    <row r="16772" spans="1:5" x14ac:dyDescent="0.25">
      <c r="A16772">
        <v>16771</v>
      </c>
      <c r="B16772">
        <v>1926159</v>
      </c>
      <c r="C16772" s="1" t="str">
        <f>HYPERLINK("http://stackoverflow.com/users/1926159", "Boping Liu")</f>
        <v>Boping Liu</v>
      </c>
      <c r="D16772" t="s">
        <v>5</v>
      </c>
      <c r="E16772">
        <v>1</v>
      </c>
    </row>
    <row r="16773" spans="1:5" x14ac:dyDescent="0.25">
      <c r="A16773">
        <v>16772</v>
      </c>
      <c r="B16773">
        <v>5512787</v>
      </c>
      <c r="C16773" s="1" t="str">
        <f>HYPERLINK("http://stackoverflow.com/users/5512787", "yuchuan")</f>
        <v>yuchuan</v>
      </c>
      <c r="D16773" t="s">
        <v>794</v>
      </c>
      <c r="E16773">
        <v>1</v>
      </c>
    </row>
    <row r="16774" spans="1:5" x14ac:dyDescent="0.25">
      <c r="A16774">
        <v>16773</v>
      </c>
      <c r="B16774">
        <v>7267194</v>
      </c>
      <c r="C16774" s="1" t="str">
        <f>HYPERLINK("http://stackoverflow.com/users/7267194", "陈俊乾")</f>
        <v>陈俊乾</v>
      </c>
      <c r="D16774" t="s">
        <v>4</v>
      </c>
      <c r="E16774">
        <v>1</v>
      </c>
    </row>
    <row r="16775" spans="1:5" x14ac:dyDescent="0.25">
      <c r="A16775">
        <v>16774</v>
      </c>
      <c r="B16775">
        <v>10942335</v>
      </c>
      <c r="C16775" s="1" t="str">
        <f>HYPERLINK("http://stackoverflow.com/users/10942335", "heroes521")</f>
        <v>heroes521</v>
      </c>
      <c r="D16775" t="s">
        <v>4</v>
      </c>
      <c r="E16775">
        <v>1</v>
      </c>
    </row>
    <row r="16776" spans="1:5" x14ac:dyDescent="0.25">
      <c r="A16776">
        <v>16775</v>
      </c>
      <c r="B16776">
        <v>10942490</v>
      </c>
      <c r="C16776" s="1" t="str">
        <f>HYPERLINK("http://stackoverflow.com/users/10942490", "Xiaodong Qi")</f>
        <v>Xiaodong Qi</v>
      </c>
      <c r="D16776" t="s">
        <v>62</v>
      </c>
      <c r="E16776">
        <v>1</v>
      </c>
    </row>
    <row r="16777" spans="1:5" x14ac:dyDescent="0.25">
      <c r="A16777">
        <v>16776</v>
      </c>
      <c r="B16777">
        <v>10942602</v>
      </c>
      <c r="C16777" s="1" t="str">
        <f>HYPERLINK("http://stackoverflow.com/users/10942602", "cmtm4")</f>
        <v>cmtm4</v>
      </c>
      <c r="D16777" t="s">
        <v>810</v>
      </c>
      <c r="E16777">
        <v>1</v>
      </c>
    </row>
    <row r="16778" spans="1:5" x14ac:dyDescent="0.25">
      <c r="A16778">
        <v>16777</v>
      </c>
      <c r="B16778">
        <v>10942610</v>
      </c>
      <c r="C16778" s="1" t="str">
        <f>HYPERLINK("http://stackoverflow.com/users/10942610", "LanHao")</f>
        <v>LanHao</v>
      </c>
      <c r="D16778" t="s">
        <v>62</v>
      </c>
      <c r="E16778">
        <v>1</v>
      </c>
    </row>
    <row r="16779" spans="1:5" x14ac:dyDescent="0.25">
      <c r="A16779">
        <v>16778</v>
      </c>
      <c r="B16779">
        <v>10942902</v>
      </c>
      <c r="C16779" s="1" t="str">
        <f>HYPERLINK("http://stackoverflow.com/users/10942902", "Alessandro")</f>
        <v>Alessandro</v>
      </c>
      <c r="D16779" t="s">
        <v>725</v>
      </c>
      <c r="E16779">
        <v>1</v>
      </c>
    </row>
    <row r="16780" spans="1:5" x14ac:dyDescent="0.25">
      <c r="A16780">
        <v>16779</v>
      </c>
      <c r="B16780">
        <v>5517938</v>
      </c>
      <c r="C16780" s="1" t="str">
        <f>HYPERLINK("http://stackoverflow.com/users/5517938", "Jiansheng Ding")</f>
        <v>Jiansheng Ding</v>
      </c>
      <c r="D16780" t="s">
        <v>118</v>
      </c>
      <c r="E16780">
        <v>1</v>
      </c>
    </row>
    <row r="16781" spans="1:5" x14ac:dyDescent="0.25">
      <c r="A16781">
        <v>16780</v>
      </c>
      <c r="B16781">
        <v>9122260</v>
      </c>
      <c r="C16781" s="1" t="str">
        <f>HYPERLINK("http://stackoverflow.com/users/9122260", "Alphateam")</f>
        <v>Alphateam</v>
      </c>
      <c r="D16781" t="s">
        <v>42</v>
      </c>
      <c r="E16781">
        <v>1</v>
      </c>
    </row>
    <row r="16782" spans="1:5" x14ac:dyDescent="0.25">
      <c r="A16782">
        <v>16781</v>
      </c>
      <c r="B16782">
        <v>1902775</v>
      </c>
      <c r="C16782" s="1" t="str">
        <f>HYPERLINK("http://stackoverflow.com/users/1902775", "Xiaobo Yang")</f>
        <v>Xiaobo Yang</v>
      </c>
      <c r="D16782" t="s">
        <v>17</v>
      </c>
      <c r="E16782">
        <v>1</v>
      </c>
    </row>
    <row r="16783" spans="1:5" x14ac:dyDescent="0.25">
      <c r="A16783">
        <v>16782</v>
      </c>
      <c r="B16783">
        <v>1902869</v>
      </c>
      <c r="C16783" s="1" t="str">
        <f>HYPERLINK("http://stackoverflow.com/users/1902869", "Key")</f>
        <v>Key</v>
      </c>
      <c r="D16783" t="s">
        <v>5</v>
      </c>
      <c r="E16783">
        <v>1</v>
      </c>
    </row>
    <row r="16784" spans="1:5" x14ac:dyDescent="0.25">
      <c r="A16784">
        <v>16783</v>
      </c>
      <c r="B16784">
        <v>5492082</v>
      </c>
      <c r="C16784" s="1" t="str">
        <f>HYPERLINK("http://stackoverflow.com/users/5492082", "henry")</f>
        <v>henry</v>
      </c>
      <c r="D16784" t="s">
        <v>5</v>
      </c>
      <c r="E16784">
        <v>1</v>
      </c>
    </row>
    <row r="16785" spans="1:5" x14ac:dyDescent="0.25">
      <c r="A16785">
        <v>16784</v>
      </c>
      <c r="B16785">
        <v>9117509</v>
      </c>
      <c r="C16785" s="1" t="str">
        <f>HYPERLINK("http://stackoverflow.com/users/9117509", "Ken Liu")</f>
        <v>Ken Liu</v>
      </c>
      <c r="D16785" t="s">
        <v>5</v>
      </c>
      <c r="E16785">
        <v>1</v>
      </c>
    </row>
    <row r="16786" spans="1:5" x14ac:dyDescent="0.25">
      <c r="A16786">
        <v>16785</v>
      </c>
      <c r="B16786">
        <v>7250538</v>
      </c>
      <c r="C16786" s="1" t="str">
        <f>HYPERLINK("http://stackoverflow.com/users/7250538", "Andy")</f>
        <v>Andy</v>
      </c>
      <c r="D16786" t="s">
        <v>4</v>
      </c>
      <c r="E16786">
        <v>1</v>
      </c>
    </row>
    <row r="16787" spans="1:5" x14ac:dyDescent="0.25">
      <c r="A16787">
        <v>16786</v>
      </c>
      <c r="B16787">
        <v>7250569</v>
      </c>
      <c r="C16787" s="1" t="str">
        <f>HYPERLINK("http://stackoverflow.com/users/7250569", "Sever.Ho")</f>
        <v>Sever.Ho</v>
      </c>
      <c r="D16787" t="s">
        <v>909</v>
      </c>
      <c r="E16787">
        <v>1</v>
      </c>
    </row>
    <row r="16788" spans="1:5" x14ac:dyDescent="0.25">
      <c r="A16788">
        <v>16787</v>
      </c>
      <c r="B16788">
        <v>1893397</v>
      </c>
      <c r="C16788" s="1" t="str">
        <f>HYPERLINK("http://stackoverflow.com/users/1893397", "Remex Huang")</f>
        <v>Remex Huang</v>
      </c>
      <c r="D16788" t="s">
        <v>4</v>
      </c>
      <c r="E16788">
        <v>1</v>
      </c>
    </row>
    <row r="16789" spans="1:5" x14ac:dyDescent="0.25">
      <c r="A16789">
        <v>16788</v>
      </c>
      <c r="B16789">
        <v>1893438</v>
      </c>
      <c r="C16789" s="1" t="str">
        <f>HYPERLINK("http://stackoverflow.com/users/1893438", "Sam")</f>
        <v>Sam</v>
      </c>
      <c r="D16789" t="s">
        <v>31</v>
      </c>
      <c r="E16789">
        <v>1</v>
      </c>
    </row>
    <row r="16790" spans="1:5" x14ac:dyDescent="0.25">
      <c r="A16790">
        <v>16789</v>
      </c>
      <c r="B16790">
        <v>1903376</v>
      </c>
      <c r="C16790" s="1" t="str">
        <f>HYPERLINK("http://stackoverflow.com/users/1903376", "amaork")</f>
        <v>amaork</v>
      </c>
      <c r="D16790" t="s">
        <v>5</v>
      </c>
      <c r="E16790">
        <v>1</v>
      </c>
    </row>
    <row r="16791" spans="1:5" x14ac:dyDescent="0.25">
      <c r="A16791">
        <v>16790</v>
      </c>
      <c r="B16791">
        <v>1903378</v>
      </c>
      <c r="C16791" s="1" t="str">
        <f>HYPERLINK("http://stackoverflow.com/users/1903378", "Little Eva")</f>
        <v>Little Eva</v>
      </c>
      <c r="D16791" t="s">
        <v>35</v>
      </c>
      <c r="E16791">
        <v>1</v>
      </c>
    </row>
    <row r="16792" spans="1:5" x14ac:dyDescent="0.25">
      <c r="A16792">
        <v>16791</v>
      </c>
      <c r="B16792">
        <v>1907964</v>
      </c>
      <c r="C16792" s="1" t="str">
        <f>HYPERLINK("http://stackoverflow.com/users/1907964", "chezhe")</f>
        <v>chezhe</v>
      </c>
      <c r="D16792" t="s">
        <v>5</v>
      </c>
      <c r="E16792">
        <v>1</v>
      </c>
    </row>
    <row r="16793" spans="1:5" x14ac:dyDescent="0.25">
      <c r="A16793">
        <v>16792</v>
      </c>
      <c r="B16793">
        <v>1908887</v>
      </c>
      <c r="C16793" s="1" t="str">
        <f>HYPERLINK("http://stackoverflow.com/users/1908887", "David")</f>
        <v>David</v>
      </c>
      <c r="D16793" t="s">
        <v>5</v>
      </c>
      <c r="E16793">
        <v>1</v>
      </c>
    </row>
    <row r="16794" spans="1:5" x14ac:dyDescent="0.25">
      <c r="A16794">
        <v>16793</v>
      </c>
      <c r="B16794">
        <v>10921745</v>
      </c>
      <c r="C16794" s="1" t="str">
        <f>HYPERLINK("http://stackoverflow.com/users/10921745", "Sam ye")</f>
        <v>Sam ye</v>
      </c>
      <c r="D16794" t="s">
        <v>505</v>
      </c>
      <c r="E16794">
        <v>1</v>
      </c>
    </row>
    <row r="16795" spans="1:5" x14ac:dyDescent="0.25">
      <c r="A16795">
        <v>16794</v>
      </c>
      <c r="B16795">
        <v>1912635</v>
      </c>
      <c r="C16795" s="1" t="str">
        <f>HYPERLINK("http://stackoverflow.com/users/1912635", "KNothing")</f>
        <v>KNothing</v>
      </c>
      <c r="D16795" t="s">
        <v>5</v>
      </c>
      <c r="E16795">
        <v>1</v>
      </c>
    </row>
    <row r="16796" spans="1:5" x14ac:dyDescent="0.25">
      <c r="A16796">
        <v>16795</v>
      </c>
      <c r="B16796">
        <v>1912902</v>
      </c>
      <c r="C16796" s="1" t="str">
        <f>HYPERLINK("http://stackoverflow.com/users/1912902", "RobinWu")</f>
        <v>RobinWu</v>
      </c>
      <c r="D16796" t="s">
        <v>38</v>
      </c>
      <c r="E16796">
        <v>1</v>
      </c>
    </row>
    <row r="16797" spans="1:5" x14ac:dyDescent="0.25">
      <c r="A16797">
        <v>16796</v>
      </c>
      <c r="B16797">
        <v>7257082</v>
      </c>
      <c r="C16797" s="1" t="str">
        <f>HYPERLINK("http://stackoverflow.com/users/7257082", "Jason Wu")</f>
        <v>Jason Wu</v>
      </c>
      <c r="D16797" t="s">
        <v>5</v>
      </c>
      <c r="E16797">
        <v>1</v>
      </c>
    </row>
    <row r="16798" spans="1:5" x14ac:dyDescent="0.25">
      <c r="A16798">
        <v>16797</v>
      </c>
      <c r="B16798">
        <v>9130304</v>
      </c>
      <c r="C16798" s="1" t="str">
        <f>HYPERLINK("http://stackoverflow.com/users/9130304", "Ke.")</f>
        <v>Ke.</v>
      </c>
      <c r="D16798" t="s">
        <v>4</v>
      </c>
      <c r="E16798">
        <v>1</v>
      </c>
    </row>
    <row r="16799" spans="1:5" x14ac:dyDescent="0.25">
      <c r="A16799">
        <v>16798</v>
      </c>
      <c r="B16799">
        <v>9130670</v>
      </c>
      <c r="C16799" s="1" t="str">
        <f>HYPERLINK("http://stackoverflow.com/users/9130670", "Han Snow")</f>
        <v>Han Snow</v>
      </c>
      <c r="D16799" t="s">
        <v>74</v>
      </c>
      <c r="E16799">
        <v>1</v>
      </c>
    </row>
    <row r="16800" spans="1:5" x14ac:dyDescent="0.25">
      <c r="A16800">
        <v>16799</v>
      </c>
      <c r="B16800">
        <v>1917415</v>
      </c>
      <c r="C16800" s="1" t="str">
        <f>HYPERLINK("http://stackoverflow.com/users/1917415", "Cabins")</f>
        <v>Cabins</v>
      </c>
      <c r="D16800" t="s">
        <v>5</v>
      </c>
      <c r="E16800">
        <v>1</v>
      </c>
    </row>
    <row r="16801" spans="1:5" x14ac:dyDescent="0.25">
      <c r="A16801">
        <v>16800</v>
      </c>
      <c r="B16801">
        <v>1917420</v>
      </c>
      <c r="C16801" s="1" t="str">
        <f>HYPERLINK("http://stackoverflow.com/users/1917420", "Rocky")</f>
        <v>Rocky</v>
      </c>
      <c r="D16801" t="s">
        <v>4</v>
      </c>
      <c r="E16801">
        <v>1</v>
      </c>
    </row>
    <row r="16802" spans="1:5" x14ac:dyDescent="0.25">
      <c r="A16802">
        <v>16801</v>
      </c>
      <c r="B16802">
        <v>1917513</v>
      </c>
      <c r="C16802" s="1" t="str">
        <f>HYPERLINK("http://stackoverflow.com/users/1917513", "Leozy")</f>
        <v>Leozy</v>
      </c>
      <c r="D16802" t="s">
        <v>5</v>
      </c>
      <c r="E16802">
        <v>1</v>
      </c>
    </row>
    <row r="16803" spans="1:5" x14ac:dyDescent="0.25">
      <c r="A16803">
        <v>16802</v>
      </c>
      <c r="B16803">
        <v>1917546</v>
      </c>
      <c r="C16803" s="1" t="str">
        <f>HYPERLINK("http://stackoverflow.com/users/1917546", "zhaoyuqing")</f>
        <v>zhaoyuqing</v>
      </c>
      <c r="D16803" t="s">
        <v>5</v>
      </c>
      <c r="E16803">
        <v>1</v>
      </c>
    </row>
    <row r="16804" spans="1:5" x14ac:dyDescent="0.25">
      <c r="A16804">
        <v>16803</v>
      </c>
      <c r="B16804">
        <v>7260805</v>
      </c>
      <c r="C16804" s="1" t="str">
        <f>HYPERLINK("http://stackoverflow.com/users/7260805", "Ivan")</f>
        <v>Ivan</v>
      </c>
      <c r="D16804" t="s">
        <v>4</v>
      </c>
      <c r="E16804">
        <v>1</v>
      </c>
    </row>
    <row r="16805" spans="1:5" x14ac:dyDescent="0.25">
      <c r="A16805">
        <v>16804</v>
      </c>
      <c r="B16805">
        <v>7260926</v>
      </c>
      <c r="C16805" s="1" t="str">
        <f>HYPERLINK("http://stackoverflow.com/users/7260926", "Xiaogang Yu")</f>
        <v>Xiaogang Yu</v>
      </c>
      <c r="D16805" t="s">
        <v>5</v>
      </c>
      <c r="E16805">
        <v>1</v>
      </c>
    </row>
    <row r="16806" spans="1:5" x14ac:dyDescent="0.25">
      <c r="A16806">
        <v>16805</v>
      </c>
      <c r="B16806">
        <v>7260989</v>
      </c>
      <c r="C16806" s="1" t="str">
        <f>HYPERLINK("http://stackoverflow.com/users/7260989", "slagga")</f>
        <v>slagga</v>
      </c>
      <c r="D16806" t="s">
        <v>7</v>
      </c>
      <c r="E16806">
        <v>1</v>
      </c>
    </row>
    <row r="16807" spans="1:5" x14ac:dyDescent="0.25">
      <c r="A16807">
        <v>16806</v>
      </c>
      <c r="B16807">
        <v>5505421</v>
      </c>
      <c r="C16807" s="1" t="str">
        <f>HYPERLINK("http://stackoverflow.com/users/5505421", "Zane")</f>
        <v>Zane</v>
      </c>
      <c r="D16807" t="s">
        <v>37</v>
      </c>
      <c r="E16807">
        <v>1</v>
      </c>
    </row>
    <row r="16808" spans="1:5" x14ac:dyDescent="0.25">
      <c r="A16808">
        <v>16807</v>
      </c>
      <c r="B16808">
        <v>5505484</v>
      </c>
      <c r="C16808" s="1" t="str">
        <f>HYPERLINK("http://stackoverflow.com/users/5505484", "Allen")</f>
        <v>Allen</v>
      </c>
      <c r="D16808" t="s">
        <v>5</v>
      </c>
      <c r="E16808">
        <v>1</v>
      </c>
    </row>
    <row r="16809" spans="1:5" x14ac:dyDescent="0.25">
      <c r="A16809">
        <v>16808</v>
      </c>
      <c r="B16809">
        <v>5505530</v>
      </c>
      <c r="C16809" s="1" t="str">
        <f>HYPERLINK("http://stackoverflow.com/users/5505530", "vgsir")</f>
        <v>vgsir</v>
      </c>
      <c r="D16809" t="s">
        <v>5</v>
      </c>
      <c r="E16809">
        <v>1</v>
      </c>
    </row>
    <row r="16810" spans="1:5" x14ac:dyDescent="0.25">
      <c r="A16810">
        <v>16809</v>
      </c>
      <c r="B16810">
        <v>5505554</v>
      </c>
      <c r="C16810" s="1" t="str">
        <f>HYPERLINK("http://stackoverflow.com/users/5505554", "Lei Wang")</f>
        <v>Lei Wang</v>
      </c>
      <c r="D16810" t="s">
        <v>4</v>
      </c>
      <c r="E16810">
        <v>1</v>
      </c>
    </row>
    <row r="16811" spans="1:5" x14ac:dyDescent="0.25">
      <c r="A16811">
        <v>16810</v>
      </c>
      <c r="B16811">
        <v>5505642</v>
      </c>
      <c r="C16811" s="1" t="str">
        <f>HYPERLINK("http://stackoverflow.com/users/5505642", "playniuniu")</f>
        <v>playniuniu</v>
      </c>
      <c r="D16811" t="s">
        <v>5</v>
      </c>
      <c r="E16811">
        <v>1</v>
      </c>
    </row>
    <row r="16812" spans="1:5" x14ac:dyDescent="0.25">
      <c r="A16812">
        <v>16811</v>
      </c>
      <c r="B16812">
        <v>5505847</v>
      </c>
      <c r="C16812" s="1" t="str">
        <f>HYPERLINK("http://stackoverflow.com/users/5505847", "Wz10000000000")</f>
        <v>Wz10000000000</v>
      </c>
      <c r="D16812" t="s">
        <v>4</v>
      </c>
      <c r="E16812">
        <v>1</v>
      </c>
    </row>
    <row r="16813" spans="1:5" x14ac:dyDescent="0.25">
      <c r="A16813">
        <v>16812</v>
      </c>
      <c r="B16813">
        <v>1956844</v>
      </c>
      <c r="C16813" s="1" t="str">
        <f>HYPERLINK("http://stackoverflow.com/users/1956844", "ielts0909")</f>
        <v>ielts0909</v>
      </c>
      <c r="D16813" t="s">
        <v>12</v>
      </c>
      <c r="E16813">
        <v>1</v>
      </c>
    </row>
    <row r="16814" spans="1:5" x14ac:dyDescent="0.25">
      <c r="A16814">
        <v>16813</v>
      </c>
      <c r="B16814">
        <v>1957678</v>
      </c>
      <c r="C16814" s="1" t="str">
        <f>HYPERLINK("http://stackoverflow.com/users/1957678", "gentle0219")</f>
        <v>gentle0219</v>
      </c>
      <c r="D16814" t="s">
        <v>320</v>
      </c>
      <c r="E16814">
        <v>1</v>
      </c>
    </row>
    <row r="16815" spans="1:5" x14ac:dyDescent="0.25">
      <c r="A16815">
        <v>16814</v>
      </c>
      <c r="B16815">
        <v>10967305</v>
      </c>
      <c r="C16815" s="1" t="str">
        <f>HYPERLINK("http://stackoverflow.com/users/10967305", "Sarolin Roth")</f>
        <v>Sarolin Roth</v>
      </c>
      <c r="D16815" t="s">
        <v>910</v>
      </c>
      <c r="E16815">
        <v>1</v>
      </c>
    </row>
    <row r="16816" spans="1:5" x14ac:dyDescent="0.25">
      <c r="A16816">
        <v>16815</v>
      </c>
      <c r="B16816">
        <v>10971374</v>
      </c>
      <c r="C16816" s="1" t="str">
        <f>HYPERLINK("http://stackoverflow.com/users/10971374", "Jackli")</f>
        <v>Jackli</v>
      </c>
      <c r="D16816" t="s">
        <v>47</v>
      </c>
      <c r="E16816">
        <v>1</v>
      </c>
    </row>
    <row r="16817" spans="1:5" x14ac:dyDescent="0.25">
      <c r="A16817">
        <v>16816</v>
      </c>
      <c r="B16817">
        <v>9181253</v>
      </c>
      <c r="C16817" s="1" t="str">
        <f>HYPERLINK("http://stackoverflow.com/users/9181253", "Liheng He")</f>
        <v>Liheng He</v>
      </c>
      <c r="D16817" t="s">
        <v>911</v>
      </c>
      <c r="E16817">
        <v>1</v>
      </c>
    </row>
    <row r="16818" spans="1:5" x14ac:dyDescent="0.25">
      <c r="A16818">
        <v>16817</v>
      </c>
      <c r="B16818">
        <v>1957149</v>
      </c>
      <c r="C16818" s="1" t="str">
        <f>HYPERLINK("http://stackoverflow.com/users/1957149", "jackyzeng")</f>
        <v>jackyzeng</v>
      </c>
      <c r="D16818" t="s">
        <v>5</v>
      </c>
      <c r="E16818">
        <v>1</v>
      </c>
    </row>
    <row r="16819" spans="1:5" x14ac:dyDescent="0.25">
      <c r="A16819">
        <v>16818</v>
      </c>
      <c r="B16819">
        <v>1957166</v>
      </c>
      <c r="C16819" s="1" t="str">
        <f>HYPERLINK("http://stackoverflow.com/users/1957166", "okilove")</f>
        <v>okilove</v>
      </c>
      <c r="D16819" t="s">
        <v>5</v>
      </c>
      <c r="E16819">
        <v>1</v>
      </c>
    </row>
    <row r="16820" spans="1:5" x14ac:dyDescent="0.25">
      <c r="A16820">
        <v>16819</v>
      </c>
      <c r="B16820">
        <v>1980349</v>
      </c>
      <c r="C16820" s="1" t="str">
        <f>HYPERLINK("http://stackoverflow.com/users/1980349", "LiTuX")</f>
        <v>LiTuX</v>
      </c>
      <c r="D16820" t="s">
        <v>6</v>
      </c>
      <c r="E16820">
        <v>1</v>
      </c>
    </row>
    <row r="16821" spans="1:5" x14ac:dyDescent="0.25">
      <c r="A16821">
        <v>16820</v>
      </c>
      <c r="B16821">
        <v>9190879</v>
      </c>
      <c r="C16821" s="1" t="str">
        <f>HYPERLINK("http://stackoverflow.com/users/9190879", "linux0x5c")</f>
        <v>linux0x5c</v>
      </c>
      <c r="D16821" t="s">
        <v>79</v>
      </c>
      <c r="E16821">
        <v>1</v>
      </c>
    </row>
    <row r="16822" spans="1:5" x14ac:dyDescent="0.25">
      <c r="A16822">
        <v>16821</v>
      </c>
      <c r="B16822">
        <v>9194413</v>
      </c>
      <c r="C16822" s="1" t="str">
        <f>HYPERLINK("http://stackoverflow.com/users/9194413", "user9194413")</f>
        <v>user9194413</v>
      </c>
      <c r="D16822" t="s">
        <v>5</v>
      </c>
      <c r="E16822">
        <v>1</v>
      </c>
    </row>
    <row r="16823" spans="1:5" x14ac:dyDescent="0.25">
      <c r="A16823">
        <v>16822</v>
      </c>
      <c r="B16823">
        <v>7311830</v>
      </c>
      <c r="C16823" s="1" t="str">
        <f>HYPERLINK("http://stackoverflow.com/users/7311830", "Henryshao7")</f>
        <v>Henryshao7</v>
      </c>
      <c r="D16823" t="s">
        <v>25</v>
      </c>
      <c r="E16823">
        <v>1</v>
      </c>
    </row>
    <row r="16824" spans="1:5" x14ac:dyDescent="0.25">
      <c r="A16824">
        <v>16823</v>
      </c>
      <c r="B16824">
        <v>9190645</v>
      </c>
      <c r="C16824" s="1" t="str">
        <f>HYPERLINK("http://stackoverflow.com/users/9190645", "ghui Chen")</f>
        <v>ghui Chen</v>
      </c>
      <c r="D16824" t="s">
        <v>184</v>
      </c>
      <c r="E16824">
        <v>1</v>
      </c>
    </row>
    <row r="16825" spans="1:5" x14ac:dyDescent="0.25">
      <c r="A16825">
        <v>16824</v>
      </c>
      <c r="B16825">
        <v>7306043</v>
      </c>
      <c r="C16825" s="1" t="str">
        <f>HYPERLINK("http://stackoverflow.com/users/7306043", "陈碧良")</f>
        <v>陈碧良</v>
      </c>
      <c r="D16825" t="s">
        <v>4</v>
      </c>
      <c r="E16825">
        <v>1</v>
      </c>
    </row>
    <row r="16826" spans="1:5" x14ac:dyDescent="0.25">
      <c r="A16826">
        <v>16825</v>
      </c>
      <c r="B16826">
        <v>10980078</v>
      </c>
      <c r="C16826" s="1" t="str">
        <f>HYPERLINK("http://stackoverflow.com/users/10980078", "Parvej Mosharaf")</f>
        <v>Parvej Mosharaf</v>
      </c>
      <c r="D16826" t="s">
        <v>16</v>
      </c>
      <c r="E16826">
        <v>1</v>
      </c>
    </row>
    <row r="16827" spans="1:5" x14ac:dyDescent="0.25">
      <c r="A16827">
        <v>16826</v>
      </c>
      <c r="B16827">
        <v>9186293</v>
      </c>
      <c r="C16827" s="1" t="str">
        <f>HYPERLINK("http://stackoverflow.com/users/9186293", "Peng Liu")</f>
        <v>Peng Liu</v>
      </c>
      <c r="D16827" t="s">
        <v>4</v>
      </c>
      <c r="E16827">
        <v>1</v>
      </c>
    </row>
    <row r="16828" spans="1:5" x14ac:dyDescent="0.25">
      <c r="A16828">
        <v>16827</v>
      </c>
      <c r="B16828">
        <v>5555003</v>
      </c>
      <c r="C16828" s="1" t="str">
        <f>HYPERLINK("http://stackoverflow.com/users/5555003", "Junjie Ding")</f>
        <v>Junjie Ding</v>
      </c>
      <c r="D16828" t="s">
        <v>301</v>
      </c>
      <c r="E16828">
        <v>1</v>
      </c>
    </row>
    <row r="16829" spans="1:5" x14ac:dyDescent="0.25">
      <c r="A16829">
        <v>16828</v>
      </c>
      <c r="B16829">
        <v>1979072</v>
      </c>
      <c r="C16829" s="1" t="str">
        <f>HYPERLINK("http://stackoverflow.com/users/1979072", "userFromChina")</f>
        <v>userFromChina</v>
      </c>
      <c r="D16829" t="s">
        <v>6</v>
      </c>
      <c r="E16829">
        <v>1</v>
      </c>
    </row>
    <row r="16830" spans="1:5" x14ac:dyDescent="0.25">
      <c r="A16830">
        <v>16829</v>
      </c>
      <c r="B16830">
        <v>1979096</v>
      </c>
      <c r="C16830" s="1" t="str">
        <f>HYPERLINK("http://stackoverflow.com/users/1979096", "panda")</f>
        <v>panda</v>
      </c>
      <c r="D16830" t="s">
        <v>5</v>
      </c>
      <c r="E16830">
        <v>1</v>
      </c>
    </row>
    <row r="16831" spans="1:5" x14ac:dyDescent="0.25">
      <c r="A16831">
        <v>16830</v>
      </c>
      <c r="B16831">
        <v>7302575</v>
      </c>
      <c r="C16831" s="1" t="str">
        <f>HYPERLINK("http://stackoverflow.com/users/7302575", "hui qiu")</f>
        <v>hui qiu</v>
      </c>
      <c r="D16831" t="s">
        <v>19</v>
      </c>
      <c r="E16831">
        <v>1</v>
      </c>
    </row>
    <row r="16832" spans="1:5" x14ac:dyDescent="0.25">
      <c r="A16832">
        <v>16831</v>
      </c>
      <c r="B16832">
        <v>1979229</v>
      </c>
      <c r="C16832" s="1" t="str">
        <f>HYPERLINK("http://stackoverflow.com/users/1979229", "metadao")</f>
        <v>metadao</v>
      </c>
      <c r="D16832" t="s">
        <v>15</v>
      </c>
      <c r="E16832">
        <v>1</v>
      </c>
    </row>
    <row r="16833" spans="1:5" x14ac:dyDescent="0.25">
      <c r="A16833">
        <v>16832</v>
      </c>
      <c r="B16833">
        <v>7295237</v>
      </c>
      <c r="C16833" s="1" t="str">
        <f>HYPERLINK("http://stackoverflow.com/users/7295237", "YiMang")</f>
        <v>YiMang</v>
      </c>
      <c r="D16833" t="s">
        <v>4</v>
      </c>
      <c r="E16833">
        <v>1</v>
      </c>
    </row>
    <row r="16834" spans="1:5" x14ac:dyDescent="0.25">
      <c r="A16834">
        <v>16833</v>
      </c>
      <c r="B16834">
        <v>7295392</v>
      </c>
      <c r="C16834" s="1" t="str">
        <f>HYPERLINK("http://stackoverflow.com/users/7295392", "Zhanfei Ma")</f>
        <v>Zhanfei Ma</v>
      </c>
      <c r="D16834" t="s">
        <v>4</v>
      </c>
      <c r="E16834">
        <v>1</v>
      </c>
    </row>
    <row r="16835" spans="1:5" x14ac:dyDescent="0.25">
      <c r="A16835">
        <v>16834</v>
      </c>
      <c r="B16835">
        <v>7295616</v>
      </c>
      <c r="C16835" s="1" t="str">
        <f>HYPERLINK("http://stackoverflow.com/users/7295616", "Wu.Elliot")</f>
        <v>Wu.Elliot</v>
      </c>
      <c r="D16835" t="s">
        <v>4</v>
      </c>
      <c r="E16835">
        <v>1</v>
      </c>
    </row>
    <row r="16836" spans="1:5" x14ac:dyDescent="0.25">
      <c r="A16836">
        <v>16835</v>
      </c>
      <c r="B16836">
        <v>1951052</v>
      </c>
      <c r="C16836" s="1" t="str">
        <f>HYPERLINK("http://stackoverflow.com/users/1951052", "DamonQin")</f>
        <v>DamonQin</v>
      </c>
      <c r="D16836" t="s">
        <v>17</v>
      </c>
      <c r="E16836">
        <v>1</v>
      </c>
    </row>
    <row r="16837" spans="1:5" x14ac:dyDescent="0.25">
      <c r="A16837">
        <v>16836</v>
      </c>
      <c r="B16837">
        <v>7291285</v>
      </c>
      <c r="C16837" s="1" t="str">
        <f>HYPERLINK("http://stackoverflow.com/users/7291285", "Zhangyta")</f>
        <v>Zhangyta</v>
      </c>
      <c r="D16837" t="s">
        <v>154</v>
      </c>
      <c r="E16837">
        <v>1</v>
      </c>
    </row>
    <row r="16838" spans="1:5" x14ac:dyDescent="0.25">
      <c r="A16838">
        <v>16837</v>
      </c>
      <c r="B16838">
        <v>9172479</v>
      </c>
      <c r="C16838" s="1" t="str">
        <f>HYPERLINK("http://stackoverflow.com/users/9172479", "Mingming Shen")</f>
        <v>Mingming Shen</v>
      </c>
      <c r="D16838" t="s">
        <v>4</v>
      </c>
      <c r="E16838">
        <v>1</v>
      </c>
    </row>
    <row r="16839" spans="1:5" x14ac:dyDescent="0.25">
      <c r="A16839">
        <v>16838</v>
      </c>
      <c r="B16839">
        <v>3737273</v>
      </c>
      <c r="C16839" s="1" t="str">
        <f>HYPERLINK("http://stackoverflow.com/users/3737273", "Oakhole")</f>
        <v>Oakhole</v>
      </c>
      <c r="D16839" t="s">
        <v>37</v>
      </c>
      <c r="E16839">
        <v>1</v>
      </c>
    </row>
    <row r="16840" spans="1:5" x14ac:dyDescent="0.25">
      <c r="A16840">
        <v>16839</v>
      </c>
      <c r="B16840">
        <v>3737462</v>
      </c>
      <c r="C16840" s="1" t="str">
        <f>HYPERLINK("http://stackoverflow.com/users/3737462", "marble")</f>
        <v>marble</v>
      </c>
      <c r="D16840" t="s">
        <v>5</v>
      </c>
      <c r="E16840">
        <v>1</v>
      </c>
    </row>
    <row r="16841" spans="1:5" x14ac:dyDescent="0.25">
      <c r="A16841">
        <v>16840</v>
      </c>
      <c r="B16841">
        <v>9166470</v>
      </c>
      <c r="C16841" s="1" t="str">
        <f>HYPERLINK("http://stackoverflow.com/users/9166470", "Jie Ren")</f>
        <v>Jie Ren</v>
      </c>
      <c r="D16841" t="s">
        <v>4</v>
      </c>
      <c r="E16841">
        <v>1</v>
      </c>
    </row>
    <row r="16842" spans="1:5" x14ac:dyDescent="0.25">
      <c r="A16842">
        <v>16841</v>
      </c>
      <c r="B16842">
        <v>9166714</v>
      </c>
      <c r="C16842" s="1" t="str">
        <f>HYPERLINK("http://stackoverflow.com/users/9166714", "JuneFall")</f>
        <v>JuneFall</v>
      </c>
      <c r="D16842" t="s">
        <v>4</v>
      </c>
      <c r="E16842">
        <v>1</v>
      </c>
    </row>
    <row r="16843" spans="1:5" x14ac:dyDescent="0.25">
      <c r="A16843">
        <v>16842</v>
      </c>
      <c r="B16843">
        <v>9166961</v>
      </c>
      <c r="C16843" s="1" t="str">
        <f>HYPERLINK("http://stackoverflow.com/users/9166961", "Eason S")</f>
        <v>Eason S</v>
      </c>
      <c r="D16843" t="s">
        <v>5</v>
      </c>
      <c r="E16843">
        <v>1</v>
      </c>
    </row>
    <row r="16844" spans="1:5" x14ac:dyDescent="0.25">
      <c r="A16844">
        <v>16843</v>
      </c>
      <c r="B16844">
        <v>9167112</v>
      </c>
      <c r="C16844" s="1" t="str">
        <f>HYPERLINK("http://stackoverflow.com/users/9167112", "Sheng Wang")</f>
        <v>Sheng Wang</v>
      </c>
      <c r="D16844" t="s">
        <v>43</v>
      </c>
      <c r="E16844">
        <v>1</v>
      </c>
    </row>
    <row r="16845" spans="1:5" x14ac:dyDescent="0.25">
      <c r="A16845">
        <v>16844</v>
      </c>
      <c r="B16845">
        <v>1950235</v>
      </c>
      <c r="C16845" s="1" t="str">
        <f>HYPERLINK("http://stackoverflow.com/users/1950235", "Eric Sze")</f>
        <v>Eric Sze</v>
      </c>
      <c r="D16845" t="s">
        <v>8</v>
      </c>
      <c r="E16845">
        <v>1</v>
      </c>
    </row>
    <row r="16846" spans="1:5" x14ac:dyDescent="0.25">
      <c r="A16846">
        <v>16845</v>
      </c>
      <c r="B16846">
        <v>1950310</v>
      </c>
      <c r="C16846" s="1" t="str">
        <f>HYPERLINK("http://stackoverflow.com/users/1950310", "Angelo")</f>
        <v>Angelo</v>
      </c>
      <c r="D16846" t="s">
        <v>17</v>
      </c>
      <c r="E16846">
        <v>1</v>
      </c>
    </row>
    <row r="16847" spans="1:5" x14ac:dyDescent="0.25">
      <c r="A16847">
        <v>16846</v>
      </c>
      <c r="B16847">
        <v>7288404</v>
      </c>
      <c r="C16847" s="1" t="str">
        <f>HYPERLINK("http://stackoverflow.com/users/7288404", "Gouper")</f>
        <v>Gouper</v>
      </c>
      <c r="D16847" t="s">
        <v>131</v>
      </c>
      <c r="E16847">
        <v>1</v>
      </c>
    </row>
    <row r="16848" spans="1:5" x14ac:dyDescent="0.25">
      <c r="A16848">
        <v>16847</v>
      </c>
      <c r="B16848">
        <v>10951024</v>
      </c>
      <c r="C16848" s="1" t="str">
        <f>HYPERLINK("http://stackoverflow.com/users/10951024", "saif ullah")</f>
        <v>saif ullah</v>
      </c>
      <c r="D16848" t="s">
        <v>62</v>
      </c>
      <c r="E16848">
        <v>1</v>
      </c>
    </row>
    <row r="16849" spans="1:5" x14ac:dyDescent="0.25">
      <c r="A16849">
        <v>16848</v>
      </c>
      <c r="B16849">
        <v>7279862</v>
      </c>
      <c r="C16849" s="1" t="str">
        <f>HYPERLINK("http://stackoverflow.com/users/7279862", "Bo Xiao")</f>
        <v>Bo Xiao</v>
      </c>
      <c r="D16849" t="s">
        <v>7</v>
      </c>
      <c r="E16849">
        <v>1</v>
      </c>
    </row>
    <row r="16850" spans="1:5" x14ac:dyDescent="0.25">
      <c r="A16850">
        <v>16849</v>
      </c>
      <c r="B16850">
        <v>7279893</v>
      </c>
      <c r="C16850" s="1" t="str">
        <f>HYPERLINK("http://stackoverflow.com/users/7279893", "chacha")</f>
        <v>chacha</v>
      </c>
      <c r="D16850" t="s">
        <v>4</v>
      </c>
      <c r="E16850">
        <v>1</v>
      </c>
    </row>
    <row r="16851" spans="1:5" x14ac:dyDescent="0.25">
      <c r="A16851">
        <v>16850</v>
      </c>
      <c r="B16851">
        <v>7280049</v>
      </c>
      <c r="C16851" s="1" t="str">
        <f>HYPERLINK("http://stackoverflow.com/users/7280049", "Chris.V.Trathen")</f>
        <v>Chris.V.Trathen</v>
      </c>
      <c r="D16851" t="s">
        <v>43</v>
      </c>
      <c r="E16851">
        <v>1</v>
      </c>
    </row>
    <row r="16852" spans="1:5" x14ac:dyDescent="0.25">
      <c r="A16852">
        <v>16851</v>
      </c>
      <c r="B16852">
        <v>10953974</v>
      </c>
      <c r="C16852" s="1" t="str">
        <f>HYPERLINK("http://stackoverflow.com/users/10953974", "Le Yu")</f>
        <v>Le Yu</v>
      </c>
      <c r="D16852" t="s">
        <v>78</v>
      </c>
      <c r="E16852">
        <v>1</v>
      </c>
    </row>
    <row r="16853" spans="1:5" x14ac:dyDescent="0.25">
      <c r="A16853">
        <v>16852</v>
      </c>
      <c r="B16853">
        <v>7282602</v>
      </c>
      <c r="C16853" s="1" t="str">
        <f>HYPERLINK("http://stackoverflow.com/users/7282602", "Raj Huang")</f>
        <v>Raj Huang</v>
      </c>
      <c r="D16853" t="s">
        <v>4</v>
      </c>
      <c r="E16853">
        <v>1</v>
      </c>
    </row>
    <row r="16854" spans="1:5" x14ac:dyDescent="0.25">
      <c r="A16854">
        <v>16853</v>
      </c>
      <c r="B16854">
        <v>7282703</v>
      </c>
      <c r="C16854" s="1" t="str">
        <f>HYPERLINK("http://stackoverflow.com/users/7282703", "Katharina")</f>
        <v>Katharina</v>
      </c>
      <c r="D16854" t="s">
        <v>25</v>
      </c>
      <c r="E16854">
        <v>1</v>
      </c>
    </row>
    <row r="16855" spans="1:5" x14ac:dyDescent="0.25">
      <c r="A16855">
        <v>16854</v>
      </c>
      <c r="B16855">
        <v>7282742</v>
      </c>
      <c r="C16855" s="1" t="str">
        <f>HYPERLINK("http://stackoverflow.com/users/7282742", "bluevoid7")</f>
        <v>bluevoid7</v>
      </c>
      <c r="D16855" t="s">
        <v>5</v>
      </c>
      <c r="E16855">
        <v>1</v>
      </c>
    </row>
    <row r="16856" spans="1:5" x14ac:dyDescent="0.25">
      <c r="A16856">
        <v>16855</v>
      </c>
      <c r="B16856">
        <v>7283180</v>
      </c>
      <c r="C16856" s="1" t="str">
        <f>HYPERLINK("http://stackoverflow.com/users/7283180", "Greg Semenov")</f>
        <v>Greg Semenov</v>
      </c>
      <c r="D16856" t="s">
        <v>7</v>
      </c>
      <c r="E16856">
        <v>1</v>
      </c>
    </row>
    <row r="16857" spans="1:5" x14ac:dyDescent="0.25">
      <c r="A16857">
        <v>16856</v>
      </c>
      <c r="B16857">
        <v>7283715</v>
      </c>
      <c r="C16857" s="1" t="str">
        <f>HYPERLINK("http://stackoverflow.com/users/7283715", "islet8")</f>
        <v>islet8</v>
      </c>
      <c r="D16857" t="s">
        <v>4</v>
      </c>
      <c r="E16857">
        <v>1</v>
      </c>
    </row>
    <row r="16858" spans="1:5" x14ac:dyDescent="0.25">
      <c r="A16858">
        <v>16857</v>
      </c>
      <c r="B16858">
        <v>5527457</v>
      </c>
      <c r="C16858" s="1" t="str">
        <f>HYPERLINK("http://stackoverflow.com/users/5527457", "Stefan Xing")</f>
        <v>Stefan Xing</v>
      </c>
      <c r="D16858" t="s">
        <v>4</v>
      </c>
      <c r="E16858">
        <v>1</v>
      </c>
    </row>
    <row r="16859" spans="1:5" x14ac:dyDescent="0.25">
      <c r="A16859">
        <v>16858</v>
      </c>
      <c r="B16859">
        <v>5527578</v>
      </c>
      <c r="C16859" s="1" t="str">
        <f>HYPERLINK("http://stackoverflow.com/users/5527578", "Satoshigi Suu")</f>
        <v>Satoshigi Suu</v>
      </c>
      <c r="D16859" t="s">
        <v>21</v>
      </c>
      <c r="E16859">
        <v>1</v>
      </c>
    </row>
    <row r="16860" spans="1:5" x14ac:dyDescent="0.25">
      <c r="A16860">
        <v>16859</v>
      </c>
      <c r="B16860">
        <v>7792912</v>
      </c>
      <c r="C16860" s="1" t="str">
        <f>HYPERLINK("http://stackoverflow.com/users/7792912", "sinson")</f>
        <v>sinson</v>
      </c>
      <c r="D16860" t="s">
        <v>449</v>
      </c>
      <c r="E16860">
        <v>1</v>
      </c>
    </row>
    <row r="16861" spans="1:5" x14ac:dyDescent="0.25">
      <c r="A16861">
        <v>16860</v>
      </c>
      <c r="B16861">
        <v>4281039</v>
      </c>
      <c r="C16861" s="1" t="str">
        <f>HYPERLINK("http://stackoverflow.com/users/4281039", "boronmoron")</f>
        <v>boronmoron</v>
      </c>
      <c r="D16861" t="s">
        <v>5</v>
      </c>
      <c r="E16861">
        <v>1</v>
      </c>
    </row>
    <row r="16862" spans="1:5" x14ac:dyDescent="0.25">
      <c r="A16862">
        <v>16861</v>
      </c>
      <c r="B16862">
        <v>4281078</v>
      </c>
      <c r="C16862" s="1" t="str">
        <f>HYPERLINK("http://stackoverflow.com/users/4281078", "Kamille Ryuu")</f>
        <v>Kamille Ryuu</v>
      </c>
      <c r="D16862" t="s">
        <v>4</v>
      </c>
      <c r="E16862">
        <v>1</v>
      </c>
    </row>
    <row r="16863" spans="1:5" x14ac:dyDescent="0.25">
      <c r="A16863">
        <v>16862</v>
      </c>
      <c r="B16863">
        <v>7792359</v>
      </c>
      <c r="C16863" s="1" t="str">
        <f>HYPERLINK("http://stackoverflow.com/users/7792359", "Steven He")</f>
        <v>Steven He</v>
      </c>
      <c r="D16863" t="s">
        <v>4</v>
      </c>
      <c r="E16863">
        <v>1</v>
      </c>
    </row>
    <row r="16864" spans="1:5" x14ac:dyDescent="0.25">
      <c r="A16864">
        <v>16863</v>
      </c>
      <c r="B16864">
        <v>7792789</v>
      </c>
      <c r="C16864" s="1" t="str">
        <f>HYPERLINK("http://stackoverflow.com/users/7792789", "L. Alan")</f>
        <v>L. Alan</v>
      </c>
      <c r="D16864" t="s">
        <v>4</v>
      </c>
      <c r="E16864">
        <v>1</v>
      </c>
    </row>
    <row r="16865" spans="1:5" x14ac:dyDescent="0.25">
      <c r="A16865">
        <v>16864</v>
      </c>
      <c r="B16865">
        <v>7792793</v>
      </c>
      <c r="C16865" s="1" t="str">
        <f>HYPERLINK("http://stackoverflow.com/users/7792793", "mcuking")</f>
        <v>mcuking</v>
      </c>
      <c r="D16865" t="s">
        <v>16</v>
      </c>
      <c r="E16865">
        <v>1</v>
      </c>
    </row>
    <row r="16866" spans="1:5" x14ac:dyDescent="0.25">
      <c r="A16866">
        <v>16865</v>
      </c>
      <c r="B16866">
        <v>7780957</v>
      </c>
      <c r="C16866" s="1" t="str">
        <f>HYPERLINK("http://stackoverflow.com/users/7780957", "shmilychan")</f>
        <v>shmilychan</v>
      </c>
      <c r="D16866" t="s">
        <v>131</v>
      </c>
      <c r="E16866">
        <v>1</v>
      </c>
    </row>
    <row r="16867" spans="1:5" x14ac:dyDescent="0.25">
      <c r="A16867">
        <v>16866</v>
      </c>
      <c r="B16867">
        <v>6031145</v>
      </c>
      <c r="C16867" s="1" t="str">
        <f>HYPERLINK("http://stackoverflow.com/users/6031145", "kbmstkof")</f>
        <v>kbmstkof</v>
      </c>
      <c r="D16867" t="s">
        <v>25</v>
      </c>
      <c r="E16867">
        <v>1</v>
      </c>
    </row>
    <row r="16868" spans="1:5" x14ac:dyDescent="0.25">
      <c r="A16868">
        <v>16867</v>
      </c>
      <c r="B16868">
        <v>7771383</v>
      </c>
      <c r="C16868" s="1" t="str">
        <f>HYPERLINK("http://stackoverflow.com/users/7771383", "Justin Xia")</f>
        <v>Justin Xia</v>
      </c>
      <c r="D16868" t="s">
        <v>5</v>
      </c>
      <c r="E16868">
        <v>1</v>
      </c>
    </row>
    <row r="16869" spans="1:5" x14ac:dyDescent="0.25">
      <c r="A16869">
        <v>16868</v>
      </c>
      <c r="B16869">
        <v>7771779</v>
      </c>
      <c r="C16869" s="1" t="str">
        <f>HYPERLINK("http://stackoverflow.com/users/7771779", "jjljjl")</f>
        <v>jjljjl</v>
      </c>
      <c r="D16869" t="s">
        <v>912</v>
      </c>
      <c r="E16869">
        <v>1</v>
      </c>
    </row>
    <row r="16870" spans="1:5" x14ac:dyDescent="0.25">
      <c r="A16870">
        <v>16869</v>
      </c>
      <c r="B16870">
        <v>6031960</v>
      </c>
      <c r="C16870" s="1" t="str">
        <f>HYPERLINK("http://stackoverflow.com/users/6031960", "Miller Pan")</f>
        <v>Miller Pan</v>
      </c>
      <c r="D16870" t="s">
        <v>4</v>
      </c>
      <c r="E16870">
        <v>1</v>
      </c>
    </row>
    <row r="16871" spans="1:5" x14ac:dyDescent="0.25">
      <c r="A16871">
        <v>16870</v>
      </c>
      <c r="B16871">
        <v>6024115</v>
      </c>
      <c r="C16871" s="1" t="str">
        <f>HYPERLINK("http://stackoverflow.com/users/6024115", "dknight")</f>
        <v>dknight</v>
      </c>
      <c r="D16871" t="s">
        <v>4</v>
      </c>
      <c r="E16871">
        <v>1</v>
      </c>
    </row>
    <row r="16872" spans="1:5" x14ac:dyDescent="0.25">
      <c r="A16872">
        <v>16871</v>
      </c>
      <c r="B16872">
        <v>4251344</v>
      </c>
      <c r="C16872" s="1" t="str">
        <f>HYPERLINK("http://stackoverflow.com/users/4251344", "Shiwei.Fang")</f>
        <v>Shiwei.Fang</v>
      </c>
      <c r="D16872" t="s">
        <v>4</v>
      </c>
      <c r="E16872">
        <v>1</v>
      </c>
    </row>
    <row r="16873" spans="1:5" x14ac:dyDescent="0.25">
      <c r="A16873">
        <v>16872</v>
      </c>
      <c r="B16873">
        <v>4251693</v>
      </c>
      <c r="C16873" s="1" t="str">
        <f>HYPERLINK("http://stackoverflow.com/users/4251693", "duxu")</f>
        <v>duxu</v>
      </c>
      <c r="D16873" t="s">
        <v>62</v>
      </c>
      <c r="E16873">
        <v>1</v>
      </c>
    </row>
    <row r="16874" spans="1:5" x14ac:dyDescent="0.25">
      <c r="A16874">
        <v>16873</v>
      </c>
      <c r="B16874">
        <v>7764771</v>
      </c>
      <c r="C16874" s="1" t="str">
        <f>HYPERLINK("http://stackoverflow.com/users/7764771", "gitvim")</f>
        <v>gitvim</v>
      </c>
      <c r="D16874" t="s">
        <v>7</v>
      </c>
      <c r="E16874">
        <v>1</v>
      </c>
    </row>
    <row r="16875" spans="1:5" x14ac:dyDescent="0.25">
      <c r="A16875">
        <v>16874</v>
      </c>
      <c r="B16875">
        <v>6024741</v>
      </c>
      <c r="C16875" s="1" t="str">
        <f>HYPERLINK("http://stackoverflow.com/users/6024741", "tpkeeper")</f>
        <v>tpkeeper</v>
      </c>
      <c r="D16875" t="s">
        <v>57</v>
      </c>
      <c r="E16875">
        <v>1</v>
      </c>
    </row>
    <row r="16876" spans="1:5" x14ac:dyDescent="0.25">
      <c r="A16876">
        <v>16875</v>
      </c>
      <c r="B16876">
        <v>6024879</v>
      </c>
      <c r="C16876" s="1" t="str">
        <f>HYPERLINK("http://stackoverflow.com/users/6024879", "fengyuwujian")</f>
        <v>fengyuwujian</v>
      </c>
      <c r="D16876" t="s">
        <v>57</v>
      </c>
      <c r="E16876">
        <v>1</v>
      </c>
    </row>
    <row r="16877" spans="1:5" x14ac:dyDescent="0.25">
      <c r="A16877">
        <v>16876</v>
      </c>
      <c r="B16877">
        <v>6032293</v>
      </c>
      <c r="C16877" s="1" t="str">
        <f>HYPERLINK("http://stackoverflow.com/users/6032293", "plusend")</f>
        <v>plusend</v>
      </c>
      <c r="D16877" t="s">
        <v>5</v>
      </c>
      <c r="E16877">
        <v>1</v>
      </c>
    </row>
    <row r="16878" spans="1:5" x14ac:dyDescent="0.25">
      <c r="A16878">
        <v>16877</v>
      </c>
      <c r="B16878">
        <v>6032439</v>
      </c>
      <c r="C16878" s="1" t="str">
        <f>HYPERLINK("http://stackoverflow.com/users/6032439", "Allen-An")</f>
        <v>Allen-An</v>
      </c>
      <c r="D16878" t="s">
        <v>4</v>
      </c>
      <c r="E16878">
        <v>1</v>
      </c>
    </row>
    <row r="16879" spans="1:5" x14ac:dyDescent="0.25">
      <c r="A16879">
        <v>16878</v>
      </c>
      <c r="B16879">
        <v>6032752</v>
      </c>
      <c r="C16879" s="1" t="str">
        <f>HYPERLINK("http://stackoverflow.com/users/6032752", "kunw")</f>
        <v>kunw</v>
      </c>
      <c r="D16879" t="s">
        <v>913</v>
      </c>
      <c r="E16879">
        <v>1</v>
      </c>
    </row>
    <row r="16880" spans="1:5" x14ac:dyDescent="0.25">
      <c r="A16880">
        <v>16879</v>
      </c>
      <c r="B16880">
        <v>7780268</v>
      </c>
      <c r="C16880" s="1" t="str">
        <f>HYPERLINK("http://stackoverflow.com/users/7780268", "madjonr")</f>
        <v>madjonr</v>
      </c>
      <c r="D16880" t="s">
        <v>7</v>
      </c>
      <c r="E16880">
        <v>1</v>
      </c>
    </row>
    <row r="16881" spans="1:5" x14ac:dyDescent="0.25">
      <c r="A16881">
        <v>16880</v>
      </c>
      <c r="B16881">
        <v>7780339</v>
      </c>
      <c r="C16881" s="1" t="str">
        <f>HYPERLINK("http://stackoverflow.com/users/7780339", "Jin.L")</f>
        <v>Jin.L</v>
      </c>
      <c r="D16881" t="s">
        <v>320</v>
      </c>
      <c r="E16881">
        <v>1</v>
      </c>
    </row>
    <row r="16882" spans="1:5" x14ac:dyDescent="0.25">
      <c r="A16882">
        <v>16881</v>
      </c>
      <c r="B16882">
        <v>4269034</v>
      </c>
      <c r="C16882" s="1" t="str">
        <f>HYPERLINK("http://stackoverflow.com/users/4269034", "Safaride")</f>
        <v>Safaride</v>
      </c>
      <c r="D16882" t="s">
        <v>5</v>
      </c>
      <c r="E16882">
        <v>1</v>
      </c>
    </row>
    <row r="16883" spans="1:5" x14ac:dyDescent="0.25">
      <c r="A16883">
        <v>16882</v>
      </c>
      <c r="B16883">
        <v>4269236</v>
      </c>
      <c r="C16883" s="1" t="str">
        <f>HYPERLINK("http://stackoverflow.com/users/4269236", "Nie")</f>
        <v>Nie</v>
      </c>
      <c r="D16883" t="s">
        <v>22</v>
      </c>
      <c r="E16883">
        <v>1</v>
      </c>
    </row>
    <row r="16884" spans="1:5" x14ac:dyDescent="0.25">
      <c r="A16884">
        <v>16883</v>
      </c>
      <c r="B16884">
        <v>4269307</v>
      </c>
      <c r="C16884" s="1" t="str">
        <f>HYPERLINK("http://stackoverflow.com/users/4269307", "Jing Yu")</f>
        <v>Jing Yu</v>
      </c>
      <c r="D16884" t="s">
        <v>21</v>
      </c>
      <c r="E16884">
        <v>1</v>
      </c>
    </row>
    <row r="16885" spans="1:5" x14ac:dyDescent="0.25">
      <c r="A16885">
        <v>16884</v>
      </c>
      <c r="B16885">
        <v>7780906</v>
      </c>
      <c r="C16885" s="1" t="str">
        <f>HYPERLINK("http://stackoverflow.com/users/7780906", "Allen Hong")</f>
        <v>Allen Hong</v>
      </c>
      <c r="D16885" t="s">
        <v>914</v>
      </c>
      <c r="E16885">
        <v>1</v>
      </c>
    </row>
    <row r="16886" spans="1:5" x14ac:dyDescent="0.25">
      <c r="A16886">
        <v>16885</v>
      </c>
      <c r="B16886">
        <v>5978290</v>
      </c>
      <c r="C16886" s="1" t="str">
        <f>HYPERLINK("http://stackoverflow.com/users/5978290", "Syosan")</f>
        <v>Syosan</v>
      </c>
      <c r="D16886" t="s">
        <v>25</v>
      </c>
      <c r="E16886">
        <v>1</v>
      </c>
    </row>
    <row r="16887" spans="1:5" x14ac:dyDescent="0.25">
      <c r="A16887">
        <v>16886</v>
      </c>
      <c r="B16887">
        <v>5978393</v>
      </c>
      <c r="C16887" s="1" t="str">
        <f>HYPERLINK("http://stackoverflow.com/users/5978393", "Estelle_Qiu")</f>
        <v>Estelle_Qiu</v>
      </c>
      <c r="D16887" t="s">
        <v>25</v>
      </c>
      <c r="E16887">
        <v>1</v>
      </c>
    </row>
    <row r="16888" spans="1:5" x14ac:dyDescent="0.25">
      <c r="A16888">
        <v>16887</v>
      </c>
      <c r="B16888">
        <v>5985520</v>
      </c>
      <c r="C16888" s="1" t="str">
        <f>HYPERLINK("http://stackoverflow.com/users/5985520", "Jov_Zyx")</f>
        <v>Jov_Zyx</v>
      </c>
      <c r="D16888" t="s">
        <v>5</v>
      </c>
      <c r="E16888">
        <v>1</v>
      </c>
    </row>
    <row r="16889" spans="1:5" x14ac:dyDescent="0.25">
      <c r="A16889">
        <v>16888</v>
      </c>
      <c r="B16889">
        <v>5985589</v>
      </c>
      <c r="C16889" s="1" t="str">
        <f>HYPERLINK("http://stackoverflow.com/users/5985589", "Jerome Wu")</f>
        <v>Jerome Wu</v>
      </c>
      <c r="D16889" t="s">
        <v>5</v>
      </c>
      <c r="E16889">
        <v>1</v>
      </c>
    </row>
    <row r="16890" spans="1:5" x14ac:dyDescent="0.25">
      <c r="A16890">
        <v>16889</v>
      </c>
      <c r="B16890">
        <v>7728177</v>
      </c>
      <c r="C16890" s="1" t="str">
        <f>HYPERLINK("http://stackoverflow.com/users/7728177", "chang")</f>
        <v>chang</v>
      </c>
      <c r="D16890" t="s">
        <v>907</v>
      </c>
      <c r="E16890">
        <v>1</v>
      </c>
    </row>
    <row r="16891" spans="1:5" x14ac:dyDescent="0.25">
      <c r="A16891">
        <v>16890</v>
      </c>
      <c r="B16891">
        <v>7707629</v>
      </c>
      <c r="C16891" s="1" t="str">
        <f>HYPERLINK("http://stackoverflow.com/users/7707629", "Anna.Lau")</f>
        <v>Anna.Lau</v>
      </c>
      <c r="D16891" t="s">
        <v>5</v>
      </c>
      <c r="E16891">
        <v>1</v>
      </c>
    </row>
    <row r="16892" spans="1:5" x14ac:dyDescent="0.25">
      <c r="A16892">
        <v>16891</v>
      </c>
      <c r="B16892">
        <v>4194152</v>
      </c>
      <c r="C16892" s="1" t="str">
        <f>HYPERLINK("http://stackoverflow.com/users/4194152", "Dcaolw")</f>
        <v>Dcaolw</v>
      </c>
      <c r="D16892" t="s">
        <v>28</v>
      </c>
      <c r="E16892">
        <v>1</v>
      </c>
    </row>
    <row r="16893" spans="1:5" x14ac:dyDescent="0.25">
      <c r="A16893">
        <v>16892</v>
      </c>
      <c r="B16893">
        <v>7721707</v>
      </c>
      <c r="C16893" s="1" t="str">
        <f>HYPERLINK("http://stackoverflow.com/users/7721707", "Jeremy Shu")</f>
        <v>Jeremy Shu</v>
      </c>
      <c r="D16893" t="s">
        <v>7</v>
      </c>
      <c r="E16893">
        <v>1</v>
      </c>
    </row>
    <row r="16894" spans="1:5" x14ac:dyDescent="0.25">
      <c r="A16894">
        <v>16893</v>
      </c>
      <c r="B16894">
        <v>7721937</v>
      </c>
      <c r="C16894" s="1" t="str">
        <f>HYPERLINK("http://stackoverflow.com/users/7721937", "yufeng zhang")</f>
        <v>yufeng zhang</v>
      </c>
      <c r="D16894" t="s">
        <v>4</v>
      </c>
      <c r="E16894">
        <v>1</v>
      </c>
    </row>
    <row r="16895" spans="1:5" x14ac:dyDescent="0.25">
      <c r="A16895">
        <v>16894</v>
      </c>
      <c r="B16895">
        <v>5978683</v>
      </c>
      <c r="C16895" s="1" t="str">
        <f>HYPERLINK("http://stackoverflow.com/users/5978683", "JKJK___")</f>
        <v>JKJK___</v>
      </c>
      <c r="D16895" t="s">
        <v>5</v>
      </c>
      <c r="E16895">
        <v>1</v>
      </c>
    </row>
    <row r="16896" spans="1:5" x14ac:dyDescent="0.25">
      <c r="A16896">
        <v>16895</v>
      </c>
      <c r="B16896">
        <v>5979260</v>
      </c>
      <c r="C16896" s="1" t="str">
        <f>HYPERLINK("http://stackoverflow.com/users/5979260", "Cacious7")</f>
        <v>Cacious7</v>
      </c>
      <c r="D16896" t="s">
        <v>241</v>
      </c>
      <c r="E16896">
        <v>1</v>
      </c>
    </row>
    <row r="16897" spans="1:5" x14ac:dyDescent="0.25">
      <c r="A16897">
        <v>16896</v>
      </c>
      <c r="B16897">
        <v>5979425</v>
      </c>
      <c r="C16897" s="1" t="str">
        <f>HYPERLINK("http://stackoverflow.com/users/5979425", "T.Y. Xing")</f>
        <v>T.Y. Xing</v>
      </c>
      <c r="D16897" t="s">
        <v>131</v>
      </c>
      <c r="E16897">
        <v>1</v>
      </c>
    </row>
    <row r="16898" spans="1:5" x14ac:dyDescent="0.25">
      <c r="A16898">
        <v>16897</v>
      </c>
      <c r="B16898">
        <v>5979532</v>
      </c>
      <c r="C16898" s="1" t="str">
        <f>HYPERLINK("http://stackoverflow.com/users/5979532", "Jingyao Zong")</f>
        <v>Jingyao Zong</v>
      </c>
      <c r="D16898" t="s">
        <v>4</v>
      </c>
      <c r="E16898">
        <v>1</v>
      </c>
    </row>
    <row r="16899" spans="1:5" x14ac:dyDescent="0.25">
      <c r="A16899">
        <v>16898</v>
      </c>
      <c r="B16899">
        <v>7735387</v>
      </c>
      <c r="C16899" s="1" t="str">
        <f>HYPERLINK("http://stackoverflow.com/users/7735387", "Allen")</f>
        <v>Allen</v>
      </c>
      <c r="D16899" t="s">
        <v>915</v>
      </c>
      <c r="E16899">
        <v>1</v>
      </c>
    </row>
    <row r="16900" spans="1:5" x14ac:dyDescent="0.25">
      <c r="A16900">
        <v>16899</v>
      </c>
      <c r="B16900">
        <v>5995321</v>
      </c>
      <c r="C16900" s="1" t="str">
        <f>HYPERLINK("http://stackoverflow.com/users/5995321", "Reven An")</f>
        <v>Reven An</v>
      </c>
      <c r="D16900" t="s">
        <v>5</v>
      </c>
      <c r="E16900">
        <v>1</v>
      </c>
    </row>
    <row r="16901" spans="1:5" x14ac:dyDescent="0.25">
      <c r="A16901">
        <v>16900</v>
      </c>
      <c r="B16901">
        <v>5995332</v>
      </c>
      <c r="C16901" s="1" t="str">
        <f>HYPERLINK("http://stackoverflow.com/users/5995332", "Mr.Wang")</f>
        <v>Mr.Wang</v>
      </c>
      <c r="D16901" t="s">
        <v>4</v>
      </c>
      <c r="E16901">
        <v>1</v>
      </c>
    </row>
    <row r="16902" spans="1:5" x14ac:dyDescent="0.25">
      <c r="A16902">
        <v>16901</v>
      </c>
      <c r="B16902">
        <v>5995334</v>
      </c>
      <c r="C16902" s="1" t="str">
        <f>HYPERLINK("http://stackoverflow.com/users/5995334", "陈伟雄")</f>
        <v>陈伟雄</v>
      </c>
      <c r="D16902" t="s">
        <v>7</v>
      </c>
      <c r="E16902">
        <v>1</v>
      </c>
    </row>
    <row r="16903" spans="1:5" x14ac:dyDescent="0.25">
      <c r="A16903">
        <v>16902</v>
      </c>
      <c r="B16903">
        <v>5995578</v>
      </c>
      <c r="C16903" s="1" t="str">
        <f>HYPERLINK("http://stackoverflow.com/users/5995578", "Ti_Gi")</f>
        <v>Ti_Gi</v>
      </c>
      <c r="D16903" t="s">
        <v>28</v>
      </c>
      <c r="E16903">
        <v>1</v>
      </c>
    </row>
    <row r="16904" spans="1:5" x14ac:dyDescent="0.25">
      <c r="A16904">
        <v>16903</v>
      </c>
      <c r="B16904">
        <v>6018081</v>
      </c>
      <c r="C16904" s="1" t="str">
        <f>HYPERLINK("http://stackoverflow.com/users/6018081", "Eleven")</f>
        <v>Eleven</v>
      </c>
      <c r="D16904" t="s">
        <v>4</v>
      </c>
      <c r="E16904">
        <v>1</v>
      </c>
    </row>
    <row r="16905" spans="1:5" x14ac:dyDescent="0.25">
      <c r="A16905">
        <v>16904</v>
      </c>
      <c r="B16905">
        <v>7757445</v>
      </c>
      <c r="C16905" s="1" t="str">
        <f>HYPERLINK("http://stackoverflow.com/users/7757445", "Fangnan")</f>
        <v>Fangnan</v>
      </c>
      <c r="D16905" t="s">
        <v>52</v>
      </c>
      <c r="E16905">
        <v>1</v>
      </c>
    </row>
    <row r="16906" spans="1:5" x14ac:dyDescent="0.25">
      <c r="A16906">
        <v>16905</v>
      </c>
      <c r="B16906">
        <v>6018974</v>
      </c>
      <c r="C16906" s="1" t="str">
        <f>HYPERLINK("http://stackoverflow.com/users/6018974", "Imonk")</f>
        <v>Imonk</v>
      </c>
      <c r="D16906" t="s">
        <v>55</v>
      </c>
      <c r="E16906">
        <v>1</v>
      </c>
    </row>
    <row r="16907" spans="1:5" x14ac:dyDescent="0.25">
      <c r="A16907">
        <v>16906</v>
      </c>
      <c r="B16907">
        <v>6001502</v>
      </c>
      <c r="C16907" s="1" t="str">
        <f>HYPERLINK("http://stackoverflow.com/users/6001502", "Fausgoal")</f>
        <v>Fausgoal</v>
      </c>
      <c r="D16907" t="s">
        <v>16</v>
      </c>
      <c r="E16907">
        <v>1</v>
      </c>
    </row>
    <row r="16908" spans="1:5" x14ac:dyDescent="0.25">
      <c r="A16908">
        <v>16907</v>
      </c>
      <c r="B16908">
        <v>6001855</v>
      </c>
      <c r="C16908" s="1" t="str">
        <f>HYPERLINK("http://stackoverflow.com/users/6001855", "Gondole")</f>
        <v>Gondole</v>
      </c>
      <c r="D16908" t="s">
        <v>5</v>
      </c>
      <c r="E16908">
        <v>1</v>
      </c>
    </row>
    <row r="16909" spans="1:5" x14ac:dyDescent="0.25">
      <c r="A16909">
        <v>16908</v>
      </c>
      <c r="B16909">
        <v>4230036</v>
      </c>
      <c r="C16909" s="1" t="str">
        <f>HYPERLINK("http://stackoverflow.com/users/4230036", "sheldon5")</f>
        <v>sheldon5</v>
      </c>
      <c r="D16909" t="s">
        <v>7</v>
      </c>
      <c r="E16909">
        <v>1</v>
      </c>
    </row>
    <row r="16910" spans="1:5" x14ac:dyDescent="0.25">
      <c r="A16910">
        <v>16909</v>
      </c>
      <c r="B16910">
        <v>7748960</v>
      </c>
      <c r="C16910" s="1" t="str">
        <f>HYPERLINK("http://stackoverflow.com/users/7748960", "uncle Laden")</f>
        <v>uncle Laden</v>
      </c>
      <c r="D16910" t="s">
        <v>730</v>
      </c>
      <c r="E16910">
        <v>1</v>
      </c>
    </row>
    <row r="16911" spans="1:5" x14ac:dyDescent="0.25">
      <c r="A16911">
        <v>16910</v>
      </c>
      <c r="B16911">
        <v>7749009</v>
      </c>
      <c r="C16911" s="1" t="str">
        <f>HYPERLINK("http://stackoverflow.com/users/7749009", "Anson Ming")</f>
        <v>Anson Ming</v>
      </c>
      <c r="D16911" t="s">
        <v>5</v>
      </c>
      <c r="E16911">
        <v>1</v>
      </c>
    </row>
    <row r="16912" spans="1:5" x14ac:dyDescent="0.25">
      <c r="A16912">
        <v>16911</v>
      </c>
      <c r="B16912">
        <v>5951690</v>
      </c>
      <c r="C16912" s="1" t="str">
        <f>HYPERLINK("http://stackoverflow.com/users/5951690", "Gilgamesh")</f>
        <v>Gilgamesh</v>
      </c>
      <c r="D16912" t="s">
        <v>5</v>
      </c>
      <c r="E16912">
        <v>1</v>
      </c>
    </row>
    <row r="16913" spans="1:5" x14ac:dyDescent="0.25">
      <c r="A16913">
        <v>16912</v>
      </c>
      <c r="B16913">
        <v>4185781</v>
      </c>
      <c r="C16913" s="1" t="str">
        <f>HYPERLINK("http://stackoverflow.com/users/4185781", "BartonQiu")</f>
        <v>BartonQiu</v>
      </c>
      <c r="D16913" t="s">
        <v>4</v>
      </c>
      <c r="E16913">
        <v>1</v>
      </c>
    </row>
    <row r="16914" spans="1:5" x14ac:dyDescent="0.25">
      <c r="A16914">
        <v>16913</v>
      </c>
      <c r="B16914">
        <v>7699386</v>
      </c>
      <c r="C16914" s="1" t="str">
        <f>HYPERLINK("http://stackoverflow.com/users/7699386", "Mudox")</f>
        <v>Mudox</v>
      </c>
      <c r="D16914" t="s">
        <v>7</v>
      </c>
      <c r="E16914">
        <v>1</v>
      </c>
    </row>
    <row r="16915" spans="1:5" x14ac:dyDescent="0.25">
      <c r="A16915">
        <v>16914</v>
      </c>
      <c r="B16915">
        <v>4186295</v>
      </c>
      <c r="C16915" s="1" t="str">
        <f>HYPERLINK("http://stackoverflow.com/users/4186295", "benji")</f>
        <v>benji</v>
      </c>
      <c r="D16915" t="s">
        <v>5</v>
      </c>
      <c r="E16915">
        <v>1</v>
      </c>
    </row>
    <row r="16916" spans="1:5" x14ac:dyDescent="0.25">
      <c r="A16916">
        <v>16915</v>
      </c>
      <c r="B16916">
        <v>7706273</v>
      </c>
      <c r="C16916" s="1" t="str">
        <f>HYPERLINK("http://stackoverflow.com/users/7706273", "JenifferWu")</f>
        <v>JenifferWu</v>
      </c>
      <c r="D16916" t="s">
        <v>43</v>
      </c>
      <c r="E16916">
        <v>1</v>
      </c>
    </row>
    <row r="16917" spans="1:5" x14ac:dyDescent="0.25">
      <c r="A16917">
        <v>16916</v>
      </c>
      <c r="B16917">
        <v>7706406</v>
      </c>
      <c r="C16917" s="1" t="str">
        <f>HYPERLINK("http://stackoverflow.com/users/7706406", "yanglosm")</f>
        <v>yanglosm</v>
      </c>
      <c r="D16917" t="s">
        <v>266</v>
      </c>
      <c r="E16917">
        <v>1</v>
      </c>
    </row>
    <row r="16918" spans="1:5" x14ac:dyDescent="0.25">
      <c r="A16918">
        <v>16917</v>
      </c>
      <c r="B16918">
        <v>4193239</v>
      </c>
      <c r="C16918" s="1" t="str">
        <f>HYPERLINK("http://stackoverflow.com/users/4193239", "dongua")</f>
        <v>dongua</v>
      </c>
      <c r="D16918" t="s">
        <v>21</v>
      </c>
      <c r="E16918">
        <v>1</v>
      </c>
    </row>
    <row r="16919" spans="1:5" x14ac:dyDescent="0.25">
      <c r="A16919">
        <v>16918</v>
      </c>
      <c r="B16919">
        <v>4193805</v>
      </c>
      <c r="C16919" s="1" t="str">
        <f>HYPERLINK("http://stackoverflow.com/users/4193805", "kulakilam")</f>
        <v>kulakilam</v>
      </c>
      <c r="D16919" t="s">
        <v>56</v>
      </c>
      <c r="E16919">
        <v>1</v>
      </c>
    </row>
    <row r="16920" spans="1:5" x14ac:dyDescent="0.25">
      <c r="A16920">
        <v>16919</v>
      </c>
      <c r="B16920">
        <v>5961467</v>
      </c>
      <c r="C16920" s="1" t="str">
        <f>HYPERLINK("http://stackoverflow.com/users/5961467", "deland")</f>
        <v>deland</v>
      </c>
      <c r="D16920" t="s">
        <v>5</v>
      </c>
      <c r="E16920">
        <v>1</v>
      </c>
    </row>
    <row r="16921" spans="1:5" x14ac:dyDescent="0.25">
      <c r="A16921">
        <v>16920</v>
      </c>
      <c r="B16921">
        <v>5961579</v>
      </c>
      <c r="C16921" s="1" t="str">
        <f>HYPERLINK("http://stackoverflow.com/users/5961579", "ziboow")</f>
        <v>ziboow</v>
      </c>
      <c r="D16921" t="s">
        <v>5</v>
      </c>
      <c r="E16921">
        <v>1</v>
      </c>
    </row>
    <row r="16922" spans="1:5" x14ac:dyDescent="0.25">
      <c r="A16922">
        <v>16921</v>
      </c>
      <c r="B16922">
        <v>5961616</v>
      </c>
      <c r="C16922" s="1" t="str">
        <f>HYPERLINK("http://stackoverflow.com/users/5961616", "joe")</f>
        <v>joe</v>
      </c>
      <c r="D16922" t="s">
        <v>5</v>
      </c>
      <c r="E16922">
        <v>1</v>
      </c>
    </row>
    <row r="16923" spans="1:5" x14ac:dyDescent="0.25">
      <c r="A16923">
        <v>16922</v>
      </c>
      <c r="B16923">
        <v>5962119</v>
      </c>
      <c r="C16923" s="1" t="str">
        <f>HYPERLINK("http://stackoverflow.com/users/5962119", "Leslie Cao")</f>
        <v>Leslie Cao</v>
      </c>
      <c r="D16923" t="s">
        <v>28</v>
      </c>
      <c r="E16923">
        <v>1</v>
      </c>
    </row>
    <row r="16924" spans="1:5" x14ac:dyDescent="0.25">
      <c r="A16924">
        <v>16923</v>
      </c>
      <c r="B16924">
        <v>7707100</v>
      </c>
      <c r="C16924" s="1" t="str">
        <f>HYPERLINK("http://stackoverflow.com/users/7707100", "lanmoyingsheng")</f>
        <v>lanmoyingsheng</v>
      </c>
      <c r="D16924" t="s">
        <v>4</v>
      </c>
      <c r="E16924">
        <v>1</v>
      </c>
    </row>
    <row r="16925" spans="1:5" x14ac:dyDescent="0.25">
      <c r="A16925">
        <v>16924</v>
      </c>
      <c r="B16925">
        <v>7707150</v>
      </c>
      <c r="C16925" s="1" t="str">
        <f>HYPERLINK("http://stackoverflow.com/users/7707150", "Steven You")</f>
        <v>Steven You</v>
      </c>
      <c r="D16925" t="s">
        <v>5</v>
      </c>
      <c r="E16925">
        <v>1</v>
      </c>
    </row>
    <row r="16926" spans="1:5" x14ac:dyDescent="0.25">
      <c r="A16926">
        <v>16925</v>
      </c>
      <c r="B16926">
        <v>7707225</v>
      </c>
      <c r="C16926" s="1" t="str">
        <f>HYPERLINK("http://stackoverflow.com/users/7707225", "Lucifer")</f>
        <v>Lucifer</v>
      </c>
      <c r="D16926" t="s">
        <v>16</v>
      </c>
      <c r="E16926">
        <v>1</v>
      </c>
    </row>
    <row r="16927" spans="1:5" x14ac:dyDescent="0.25">
      <c r="A16927">
        <v>16926</v>
      </c>
      <c r="B16927">
        <v>7707266</v>
      </c>
      <c r="C16927" s="1" t="str">
        <f>HYPERLINK("http://stackoverflow.com/users/7707266", "Simon Wood")</f>
        <v>Simon Wood</v>
      </c>
      <c r="D16927" t="s">
        <v>916</v>
      </c>
      <c r="E16927">
        <v>1</v>
      </c>
    </row>
    <row r="16928" spans="1:5" x14ac:dyDescent="0.25">
      <c r="A16928">
        <v>16927</v>
      </c>
      <c r="B16928">
        <v>7707289</v>
      </c>
      <c r="C16928" s="1" t="str">
        <f>HYPERLINK("http://stackoverflow.com/users/7707289", "Hang Yu")</f>
        <v>Hang Yu</v>
      </c>
      <c r="D16928" t="s">
        <v>57</v>
      </c>
      <c r="E16928">
        <v>1</v>
      </c>
    </row>
    <row r="16929" spans="1:5" x14ac:dyDescent="0.25">
      <c r="A16929">
        <v>16928</v>
      </c>
      <c r="B16929">
        <v>7707461</v>
      </c>
      <c r="C16929" s="1" t="str">
        <f>HYPERLINK("http://stackoverflow.com/users/7707461", "hoo3010")</f>
        <v>hoo3010</v>
      </c>
      <c r="D16929" t="s">
        <v>4</v>
      </c>
      <c r="E16929">
        <v>1</v>
      </c>
    </row>
    <row r="16930" spans="1:5" x14ac:dyDescent="0.25">
      <c r="A16930">
        <v>16929</v>
      </c>
      <c r="B16930">
        <v>7677432</v>
      </c>
      <c r="C16930" s="1" t="str">
        <f>HYPERLINK("http://stackoverflow.com/users/7677432", "Fang Yidong")</f>
        <v>Fang Yidong</v>
      </c>
      <c r="D16930" t="s">
        <v>7</v>
      </c>
      <c r="E16930">
        <v>1</v>
      </c>
    </row>
    <row r="16931" spans="1:5" x14ac:dyDescent="0.25">
      <c r="A16931">
        <v>16930</v>
      </c>
      <c r="B16931">
        <v>7677451</v>
      </c>
      <c r="C16931" s="1" t="str">
        <f>HYPERLINK("http://stackoverflow.com/users/7677451", "zhuang ma")</f>
        <v>zhuang ma</v>
      </c>
      <c r="D16931" t="s">
        <v>917</v>
      </c>
      <c r="E16931">
        <v>1</v>
      </c>
    </row>
    <row r="16932" spans="1:5" x14ac:dyDescent="0.25">
      <c r="A16932">
        <v>16931</v>
      </c>
      <c r="B16932">
        <v>7682699</v>
      </c>
      <c r="C16932" s="1" t="str">
        <f>HYPERLINK("http://stackoverflow.com/users/7682699", "elon-z")</f>
        <v>elon-z</v>
      </c>
      <c r="D16932" t="s">
        <v>7</v>
      </c>
      <c r="E16932">
        <v>1</v>
      </c>
    </row>
    <row r="16933" spans="1:5" x14ac:dyDescent="0.25">
      <c r="A16933">
        <v>16932</v>
      </c>
      <c r="B16933">
        <v>7682719</v>
      </c>
      <c r="C16933" s="1" t="str">
        <f>HYPERLINK("http://stackoverflow.com/users/7682719", "Yukun")</f>
        <v>Yukun</v>
      </c>
      <c r="D16933" t="s">
        <v>7</v>
      </c>
      <c r="E16933">
        <v>1</v>
      </c>
    </row>
    <row r="16934" spans="1:5" x14ac:dyDescent="0.25">
      <c r="A16934">
        <v>16933</v>
      </c>
      <c r="B16934">
        <v>4168774</v>
      </c>
      <c r="C16934" s="1" t="str">
        <f>HYPERLINK("http://stackoverflow.com/users/4168774", "Kongming Liang")</f>
        <v>Kongming Liang</v>
      </c>
      <c r="D16934" t="s">
        <v>918</v>
      </c>
      <c r="E16934">
        <v>1</v>
      </c>
    </row>
    <row r="16935" spans="1:5" x14ac:dyDescent="0.25">
      <c r="A16935">
        <v>16934</v>
      </c>
      <c r="B16935">
        <v>7683162</v>
      </c>
      <c r="C16935" s="1" t="str">
        <f>HYPERLINK("http://stackoverflow.com/users/7683162", "geezbugs")</f>
        <v>geezbugs</v>
      </c>
      <c r="D16935" t="s">
        <v>4</v>
      </c>
      <c r="E16935">
        <v>1</v>
      </c>
    </row>
    <row r="16936" spans="1:5" x14ac:dyDescent="0.25">
      <c r="A16936">
        <v>16935</v>
      </c>
      <c r="B16936">
        <v>7682868</v>
      </c>
      <c r="C16936" s="1" t="str">
        <f>HYPERLINK("http://stackoverflow.com/users/7682868", "ailusazh")</f>
        <v>ailusazh</v>
      </c>
      <c r="D16936" t="s">
        <v>55</v>
      </c>
      <c r="E16936">
        <v>1</v>
      </c>
    </row>
    <row r="16937" spans="1:5" x14ac:dyDescent="0.25">
      <c r="A16937">
        <v>16936</v>
      </c>
      <c r="B16937">
        <v>5971917</v>
      </c>
      <c r="C16937" s="1" t="str">
        <f>HYPERLINK("http://stackoverflow.com/users/5971917", "qinwei")</f>
        <v>qinwei</v>
      </c>
      <c r="D16937" t="s">
        <v>91</v>
      </c>
      <c r="E16937">
        <v>1</v>
      </c>
    </row>
    <row r="16938" spans="1:5" x14ac:dyDescent="0.25">
      <c r="A16938">
        <v>16937</v>
      </c>
      <c r="B16938">
        <v>5971980</v>
      </c>
      <c r="C16938" s="1" t="str">
        <f>HYPERLINK("http://stackoverflow.com/users/5971980", "hyper-carrot")</f>
        <v>hyper-carrot</v>
      </c>
      <c r="D16938" t="s">
        <v>5</v>
      </c>
      <c r="E16938">
        <v>1</v>
      </c>
    </row>
    <row r="16939" spans="1:5" x14ac:dyDescent="0.25">
      <c r="A16939">
        <v>16938</v>
      </c>
      <c r="B16939">
        <v>5972158</v>
      </c>
      <c r="C16939" s="1" t="str">
        <f>HYPERLINK("http://stackoverflow.com/users/5972158", "wucipo")</f>
        <v>wucipo</v>
      </c>
      <c r="D16939" t="s">
        <v>42</v>
      </c>
      <c r="E16939">
        <v>1</v>
      </c>
    </row>
    <row r="16940" spans="1:5" x14ac:dyDescent="0.25">
      <c r="A16940">
        <v>16939</v>
      </c>
      <c r="B16940">
        <v>7716017</v>
      </c>
      <c r="C16940" s="1" t="str">
        <f>HYPERLINK("http://stackoverflow.com/users/7716017", "ARareKappa")</f>
        <v>ARareKappa</v>
      </c>
      <c r="D16940" t="s">
        <v>5</v>
      </c>
      <c r="E16940">
        <v>1</v>
      </c>
    </row>
    <row r="16941" spans="1:5" x14ac:dyDescent="0.25">
      <c r="A16941">
        <v>16940</v>
      </c>
      <c r="B16941">
        <v>7716047</v>
      </c>
      <c r="C16941" s="1" t="str">
        <f>HYPERLINK("http://stackoverflow.com/users/7716047", "Bingwen")</f>
        <v>Bingwen</v>
      </c>
      <c r="D16941" t="s">
        <v>4</v>
      </c>
      <c r="E16941">
        <v>1</v>
      </c>
    </row>
    <row r="16942" spans="1:5" x14ac:dyDescent="0.25">
      <c r="A16942">
        <v>16941</v>
      </c>
      <c r="B16942">
        <v>5977941</v>
      </c>
      <c r="C16942" s="1" t="str">
        <f>HYPERLINK("http://stackoverflow.com/users/5977941", "sxfszwr")</f>
        <v>sxfszwr</v>
      </c>
      <c r="D16942" t="s">
        <v>5</v>
      </c>
      <c r="E16942">
        <v>1</v>
      </c>
    </row>
    <row r="16943" spans="1:5" x14ac:dyDescent="0.25">
      <c r="A16943">
        <v>16942</v>
      </c>
      <c r="B16943">
        <v>5978067</v>
      </c>
      <c r="C16943" s="1" t="str">
        <f>HYPERLINK("http://stackoverflow.com/users/5978067", "Frank")</f>
        <v>Frank</v>
      </c>
      <c r="D16943" t="s">
        <v>4</v>
      </c>
      <c r="E16943">
        <v>1</v>
      </c>
    </row>
    <row r="16944" spans="1:5" x14ac:dyDescent="0.25">
      <c r="A16944">
        <v>16943</v>
      </c>
      <c r="B16944">
        <v>7657343</v>
      </c>
      <c r="C16944" s="1" t="str">
        <f>HYPERLINK("http://stackoverflow.com/users/7657343", "tage")</f>
        <v>tage</v>
      </c>
      <c r="D16944" t="s">
        <v>475</v>
      </c>
      <c r="E16944">
        <v>1</v>
      </c>
    </row>
    <row r="16945" spans="1:5" x14ac:dyDescent="0.25">
      <c r="A16945">
        <v>16944</v>
      </c>
      <c r="B16945">
        <v>7657699</v>
      </c>
      <c r="C16945" s="1" t="str">
        <f>HYPERLINK("http://stackoverflow.com/users/7657699", "K. Liu")</f>
        <v>K. Liu</v>
      </c>
      <c r="D16945" t="s">
        <v>55</v>
      </c>
      <c r="E16945">
        <v>1</v>
      </c>
    </row>
    <row r="16946" spans="1:5" x14ac:dyDescent="0.25">
      <c r="A16946">
        <v>16945</v>
      </c>
      <c r="B16946">
        <v>4140081</v>
      </c>
      <c r="C16946" s="1" t="str">
        <f>HYPERLINK("http://stackoverflow.com/users/4140081", "Bill")</f>
        <v>Bill</v>
      </c>
      <c r="D16946" t="s">
        <v>8</v>
      </c>
      <c r="E16946">
        <v>1</v>
      </c>
    </row>
    <row r="16947" spans="1:5" x14ac:dyDescent="0.25">
      <c r="A16947">
        <v>16946</v>
      </c>
      <c r="B16947">
        <v>7669622</v>
      </c>
      <c r="C16947" s="1" t="str">
        <f>HYPERLINK("http://stackoverflow.com/users/7669622", "CaTkQAQ")</f>
        <v>CaTkQAQ</v>
      </c>
      <c r="D16947" t="s">
        <v>7</v>
      </c>
      <c r="E16947">
        <v>1</v>
      </c>
    </row>
    <row r="16948" spans="1:5" x14ac:dyDescent="0.25">
      <c r="A16948">
        <v>16947</v>
      </c>
      <c r="B16948">
        <v>7669658</v>
      </c>
      <c r="C16948" s="1" t="str">
        <f>HYPERLINK("http://stackoverflow.com/users/7669658", "BHB")</f>
        <v>BHB</v>
      </c>
      <c r="D16948" t="s">
        <v>856</v>
      </c>
      <c r="E16948">
        <v>1</v>
      </c>
    </row>
    <row r="16949" spans="1:5" x14ac:dyDescent="0.25">
      <c r="A16949">
        <v>16948</v>
      </c>
      <c r="B16949">
        <v>7669676</v>
      </c>
      <c r="C16949" s="1" t="str">
        <f>HYPERLINK("http://stackoverflow.com/users/7669676", "Chingdomoching")</f>
        <v>Chingdomoching</v>
      </c>
      <c r="D16949" t="s">
        <v>5</v>
      </c>
      <c r="E16949">
        <v>1</v>
      </c>
    </row>
    <row r="16950" spans="1:5" x14ac:dyDescent="0.25">
      <c r="A16950">
        <v>16949</v>
      </c>
      <c r="B16950">
        <v>7677310</v>
      </c>
      <c r="C16950" s="1" t="str">
        <f>HYPERLINK("http://stackoverflow.com/users/7677310", "Alvin Wu")</f>
        <v>Alvin Wu</v>
      </c>
      <c r="D16950" t="s">
        <v>4</v>
      </c>
      <c r="E16950">
        <v>1</v>
      </c>
    </row>
    <row r="16951" spans="1:5" x14ac:dyDescent="0.25">
      <c r="A16951">
        <v>16950</v>
      </c>
      <c r="B16951">
        <v>7663469</v>
      </c>
      <c r="C16951" s="1" t="str">
        <f>HYPERLINK("http://stackoverflow.com/users/7663469", "朧月夜霧起")</f>
        <v>朧月夜霧起</v>
      </c>
      <c r="D16951" t="s">
        <v>47</v>
      </c>
      <c r="E16951">
        <v>1</v>
      </c>
    </row>
    <row r="16952" spans="1:5" x14ac:dyDescent="0.25">
      <c r="A16952">
        <v>16951</v>
      </c>
      <c r="B16952">
        <v>4155041</v>
      </c>
      <c r="C16952" s="1" t="str">
        <f>HYPERLINK("http://stackoverflow.com/users/4155041", "avest")</f>
        <v>avest</v>
      </c>
      <c r="D16952" t="s">
        <v>5</v>
      </c>
      <c r="E16952">
        <v>1</v>
      </c>
    </row>
    <row r="16953" spans="1:5" x14ac:dyDescent="0.25">
      <c r="A16953">
        <v>16952</v>
      </c>
      <c r="B16953">
        <v>7669867</v>
      </c>
      <c r="C16953" s="1" t="str">
        <f>HYPERLINK("http://stackoverflow.com/users/7669867", "phoebusliang")</f>
        <v>phoebusliang</v>
      </c>
      <c r="D16953" t="s">
        <v>131</v>
      </c>
      <c r="E16953">
        <v>1</v>
      </c>
    </row>
    <row r="16954" spans="1:5" x14ac:dyDescent="0.25">
      <c r="A16954">
        <v>16953</v>
      </c>
      <c r="B16954">
        <v>7670128</v>
      </c>
      <c r="C16954" s="1" t="str">
        <f>HYPERLINK("http://stackoverflow.com/users/7670128", "Raymon")</f>
        <v>Raymon</v>
      </c>
      <c r="D16954" t="s">
        <v>4</v>
      </c>
      <c r="E16954">
        <v>1</v>
      </c>
    </row>
    <row r="16955" spans="1:5" x14ac:dyDescent="0.25">
      <c r="A16955">
        <v>16954</v>
      </c>
      <c r="B16955">
        <v>5929190</v>
      </c>
      <c r="C16955" s="1" t="str">
        <f>HYPERLINK("http://stackoverflow.com/users/5929190", "Tracy Wei")</f>
        <v>Tracy Wei</v>
      </c>
      <c r="D16955" t="s">
        <v>919</v>
      </c>
      <c r="E16955">
        <v>1</v>
      </c>
    </row>
    <row r="16956" spans="1:5" x14ac:dyDescent="0.25">
      <c r="A16956">
        <v>16955</v>
      </c>
      <c r="B16956">
        <v>7676713</v>
      </c>
      <c r="C16956" s="1" t="str">
        <f>HYPERLINK("http://stackoverflow.com/users/7676713", "gallen")</f>
        <v>gallen</v>
      </c>
      <c r="D16956" t="s">
        <v>266</v>
      </c>
      <c r="E16956">
        <v>1</v>
      </c>
    </row>
    <row r="16957" spans="1:5" x14ac:dyDescent="0.25">
      <c r="A16957">
        <v>16956</v>
      </c>
      <c r="B16957">
        <v>7648233</v>
      </c>
      <c r="C16957" s="1" t="str">
        <f>HYPERLINK("http://stackoverflow.com/users/7648233", "Mr.Ximen")</f>
        <v>Mr.Ximen</v>
      </c>
      <c r="D16957" t="s">
        <v>5</v>
      </c>
      <c r="E16957">
        <v>1</v>
      </c>
    </row>
    <row r="16958" spans="1:5" x14ac:dyDescent="0.25">
      <c r="A16958">
        <v>16957</v>
      </c>
      <c r="B16958">
        <v>7647854</v>
      </c>
      <c r="C16958" s="1" t="str">
        <f>HYPERLINK("http://stackoverflow.com/users/7647854", "林炳炎")</f>
        <v>林炳炎</v>
      </c>
      <c r="D16958" t="s">
        <v>15</v>
      </c>
      <c r="E16958">
        <v>1</v>
      </c>
    </row>
    <row r="16959" spans="1:5" x14ac:dyDescent="0.25">
      <c r="A16959">
        <v>16958</v>
      </c>
      <c r="B16959">
        <v>7647889</v>
      </c>
      <c r="C16959" s="1" t="str">
        <f>HYPERLINK("http://stackoverflow.com/users/7647889", "SaberScarlet Ren")</f>
        <v>SaberScarlet Ren</v>
      </c>
      <c r="D16959" t="s">
        <v>5</v>
      </c>
      <c r="E16959">
        <v>1</v>
      </c>
    </row>
    <row r="16960" spans="1:5" x14ac:dyDescent="0.25">
      <c r="A16960">
        <v>16959</v>
      </c>
      <c r="B16960">
        <v>7657074</v>
      </c>
      <c r="C16960" s="1" t="str">
        <f>HYPERLINK("http://stackoverflow.com/users/7657074", "Yunsheng.Wu")</f>
        <v>Yunsheng.Wu</v>
      </c>
      <c r="D16960" t="s">
        <v>920</v>
      </c>
      <c r="E16960">
        <v>1</v>
      </c>
    </row>
    <row r="16961" spans="1:5" x14ac:dyDescent="0.25">
      <c r="A16961">
        <v>16960</v>
      </c>
      <c r="B16961">
        <v>9596850</v>
      </c>
      <c r="C16961" s="1" t="str">
        <f>HYPERLINK("http://stackoverflow.com/users/9596850", "Jeff Luo")</f>
        <v>Jeff Luo</v>
      </c>
      <c r="D16961" t="s">
        <v>62</v>
      </c>
      <c r="E16961">
        <v>1</v>
      </c>
    </row>
    <row r="16962" spans="1:5" x14ac:dyDescent="0.25">
      <c r="A16962">
        <v>16961</v>
      </c>
      <c r="B16962">
        <v>7656778</v>
      </c>
      <c r="C16962" s="1" t="str">
        <f>HYPERLINK("http://stackoverflow.com/users/7656778", "hao")</f>
        <v>hao</v>
      </c>
      <c r="D16962" t="s">
        <v>5</v>
      </c>
      <c r="E16962">
        <v>1</v>
      </c>
    </row>
    <row r="16963" spans="1:5" x14ac:dyDescent="0.25">
      <c r="A16963">
        <v>16962</v>
      </c>
      <c r="B16963">
        <v>7648687</v>
      </c>
      <c r="C16963" s="1" t="str">
        <f>HYPERLINK("http://stackoverflow.com/users/7648687", "Qi Li")</f>
        <v>Qi Li</v>
      </c>
      <c r="D16963" t="s">
        <v>921</v>
      </c>
      <c r="E16963">
        <v>1</v>
      </c>
    </row>
    <row r="16964" spans="1:5" x14ac:dyDescent="0.25">
      <c r="A16964">
        <v>16963</v>
      </c>
      <c r="B16964">
        <v>4135956</v>
      </c>
      <c r="C16964" s="1" t="str">
        <f>HYPERLINK("http://stackoverflow.com/users/4135956", "pljhonglu")</f>
        <v>pljhonglu</v>
      </c>
      <c r="D16964" t="s">
        <v>5</v>
      </c>
      <c r="E16964">
        <v>1</v>
      </c>
    </row>
    <row r="16965" spans="1:5" x14ac:dyDescent="0.25">
      <c r="A16965">
        <v>16964</v>
      </c>
      <c r="B16965">
        <v>7653384</v>
      </c>
      <c r="C16965" s="1" t="str">
        <f>HYPERLINK("http://stackoverflow.com/users/7653384", "Gin")</f>
        <v>Gin</v>
      </c>
      <c r="D16965" t="s">
        <v>28</v>
      </c>
      <c r="E16965">
        <v>1</v>
      </c>
    </row>
    <row r="16966" spans="1:5" x14ac:dyDescent="0.25">
      <c r="A16966">
        <v>16965</v>
      </c>
      <c r="B16966">
        <v>9591976</v>
      </c>
      <c r="C16966" s="1" t="str">
        <f>HYPERLINK("http://stackoverflow.com/users/9591976", "Giri")</f>
        <v>Giri</v>
      </c>
      <c r="D16966" t="s">
        <v>4</v>
      </c>
      <c r="E16966">
        <v>1</v>
      </c>
    </row>
    <row r="16967" spans="1:5" x14ac:dyDescent="0.25">
      <c r="A16967">
        <v>16966</v>
      </c>
      <c r="B16967">
        <v>9592289</v>
      </c>
      <c r="C16967" s="1" t="str">
        <f>HYPERLINK("http://stackoverflow.com/users/9592289", "MD SHAKIB")</f>
        <v>MD SHAKIB</v>
      </c>
      <c r="D16967" t="s">
        <v>25</v>
      </c>
      <c r="E16967">
        <v>1</v>
      </c>
    </row>
    <row r="16968" spans="1:5" x14ac:dyDescent="0.25">
      <c r="A16968">
        <v>16967</v>
      </c>
      <c r="B16968">
        <v>7629114</v>
      </c>
      <c r="C16968" s="1" t="str">
        <f>HYPERLINK("http://stackoverflow.com/users/7629114", "Jianliang Liu")</f>
        <v>Jianliang Liu</v>
      </c>
      <c r="D16968" t="s">
        <v>5</v>
      </c>
      <c r="E16968">
        <v>1</v>
      </c>
    </row>
    <row r="16969" spans="1:5" x14ac:dyDescent="0.25">
      <c r="A16969">
        <v>16968</v>
      </c>
      <c r="B16969">
        <v>9563326</v>
      </c>
      <c r="C16969" s="1" t="str">
        <f>HYPERLINK("http://stackoverflow.com/users/9563326", "Brian")</f>
        <v>Brian</v>
      </c>
      <c r="D16969" t="s">
        <v>55</v>
      </c>
      <c r="E16969">
        <v>1</v>
      </c>
    </row>
    <row r="16970" spans="1:5" x14ac:dyDescent="0.25">
      <c r="A16970">
        <v>16969</v>
      </c>
      <c r="B16970">
        <v>5880836</v>
      </c>
      <c r="C16970" s="1" t="str">
        <f>HYPERLINK("http://stackoverflow.com/users/5880836", "Xuezhe Liu")</f>
        <v>Xuezhe Liu</v>
      </c>
      <c r="D16970" t="s">
        <v>4</v>
      </c>
      <c r="E16970">
        <v>1</v>
      </c>
    </row>
    <row r="16971" spans="1:5" x14ac:dyDescent="0.25">
      <c r="A16971">
        <v>16970</v>
      </c>
      <c r="B16971">
        <v>5880841</v>
      </c>
      <c r="C16971" s="1" t="str">
        <f>HYPERLINK("http://stackoverflow.com/users/5880841", "Alruna")</f>
        <v>Alruna</v>
      </c>
      <c r="D16971" t="s">
        <v>17</v>
      </c>
      <c r="E16971">
        <v>1</v>
      </c>
    </row>
    <row r="16972" spans="1:5" x14ac:dyDescent="0.25">
      <c r="A16972">
        <v>16971</v>
      </c>
      <c r="B16972">
        <v>5881347</v>
      </c>
      <c r="C16972" s="1" t="str">
        <f>HYPERLINK("http://stackoverflow.com/users/5881347", "Pysics")</f>
        <v>Pysics</v>
      </c>
      <c r="D16972" t="s">
        <v>922</v>
      </c>
      <c r="E16972">
        <v>1</v>
      </c>
    </row>
    <row r="16973" spans="1:5" x14ac:dyDescent="0.25">
      <c r="A16973">
        <v>16972</v>
      </c>
      <c r="B16973">
        <v>9568628</v>
      </c>
      <c r="C16973" s="1" t="str">
        <f>HYPERLINK("http://stackoverflow.com/users/9568628", "little_snail")</f>
        <v>little_snail</v>
      </c>
      <c r="D16973" t="s">
        <v>16</v>
      </c>
      <c r="E16973">
        <v>1</v>
      </c>
    </row>
    <row r="16974" spans="1:5" x14ac:dyDescent="0.25">
      <c r="A16974">
        <v>16973</v>
      </c>
      <c r="B16974">
        <v>2380967</v>
      </c>
      <c r="C16974" s="1" t="str">
        <f>HYPERLINK("http://stackoverflow.com/users/2380967", "James Mao")</f>
        <v>James Mao</v>
      </c>
      <c r="D16974" t="s">
        <v>4</v>
      </c>
      <c r="E16974">
        <v>1</v>
      </c>
    </row>
    <row r="16975" spans="1:5" x14ac:dyDescent="0.25">
      <c r="A16975">
        <v>16974</v>
      </c>
      <c r="B16975">
        <v>2381060</v>
      </c>
      <c r="C16975" s="1" t="str">
        <f>HYPERLINK("http://stackoverflow.com/users/2381060", "ocean'sCaprice")</f>
        <v>ocean'sCaprice</v>
      </c>
      <c r="D16975" t="s">
        <v>4</v>
      </c>
      <c r="E16975">
        <v>1</v>
      </c>
    </row>
    <row r="16976" spans="1:5" x14ac:dyDescent="0.25">
      <c r="A16976">
        <v>16975</v>
      </c>
      <c r="B16976">
        <v>2381067</v>
      </c>
      <c r="C16976" s="1" t="str">
        <f>HYPERLINK("http://stackoverflow.com/users/2381067", "skywang")</f>
        <v>skywang</v>
      </c>
      <c r="D16976" t="s">
        <v>5</v>
      </c>
      <c r="E16976">
        <v>1</v>
      </c>
    </row>
    <row r="16977" spans="1:5" x14ac:dyDescent="0.25">
      <c r="A16977">
        <v>16976</v>
      </c>
      <c r="B16977">
        <v>5875553</v>
      </c>
      <c r="C16977" s="1" t="str">
        <f>HYPERLINK("http://stackoverflow.com/users/5875553", "Herbie D")</f>
        <v>Herbie D</v>
      </c>
      <c r="D16977" t="s">
        <v>923</v>
      </c>
      <c r="E16977">
        <v>1</v>
      </c>
    </row>
    <row r="16978" spans="1:5" x14ac:dyDescent="0.25">
      <c r="A16978">
        <v>16977</v>
      </c>
      <c r="B16978">
        <v>7620907</v>
      </c>
      <c r="C16978" s="1" t="str">
        <f>HYPERLINK("http://stackoverflow.com/users/7620907", "王子谦")</f>
        <v>王子谦</v>
      </c>
      <c r="D16978" t="s">
        <v>16</v>
      </c>
      <c r="E16978">
        <v>1</v>
      </c>
    </row>
    <row r="16979" spans="1:5" x14ac:dyDescent="0.25">
      <c r="A16979">
        <v>16978</v>
      </c>
      <c r="B16979">
        <v>7621395</v>
      </c>
      <c r="C16979" s="1" t="str">
        <f>HYPERLINK("http://stackoverflow.com/users/7621395", "解振达")</f>
        <v>解振达</v>
      </c>
      <c r="D16979" t="s">
        <v>118</v>
      </c>
      <c r="E16979">
        <v>1</v>
      </c>
    </row>
    <row r="16980" spans="1:5" x14ac:dyDescent="0.25">
      <c r="A16980">
        <v>16979</v>
      </c>
      <c r="B16980">
        <v>9557155</v>
      </c>
      <c r="C16980" s="1" t="str">
        <f>HYPERLINK("http://stackoverflow.com/users/9557155", "Rudy")</f>
        <v>Rudy</v>
      </c>
      <c r="D16980" t="s">
        <v>15</v>
      </c>
      <c r="E16980">
        <v>1</v>
      </c>
    </row>
    <row r="16981" spans="1:5" x14ac:dyDescent="0.25">
      <c r="A16981">
        <v>16980</v>
      </c>
      <c r="B16981">
        <v>7638957</v>
      </c>
      <c r="C16981" s="1" t="str">
        <f>HYPERLINK("http://stackoverflow.com/users/7638957", "dhiman")</f>
        <v>dhiman</v>
      </c>
      <c r="D16981" t="s">
        <v>4</v>
      </c>
      <c r="E16981">
        <v>1</v>
      </c>
    </row>
    <row r="16982" spans="1:5" x14ac:dyDescent="0.25">
      <c r="A16982">
        <v>16981</v>
      </c>
      <c r="B16982">
        <v>7638980</v>
      </c>
      <c r="C16982" s="1" t="str">
        <f>HYPERLINK("http://stackoverflow.com/users/7638980", "ekko_liu")</f>
        <v>ekko_liu</v>
      </c>
      <c r="D16982" t="s">
        <v>28</v>
      </c>
      <c r="E16982">
        <v>1</v>
      </c>
    </row>
    <row r="16983" spans="1:5" x14ac:dyDescent="0.25">
      <c r="A16983">
        <v>16982</v>
      </c>
      <c r="B16983">
        <v>7639179</v>
      </c>
      <c r="C16983" s="1" t="str">
        <f>HYPERLINK("http://stackoverflow.com/users/7639179", "CNife")</f>
        <v>CNife</v>
      </c>
      <c r="D16983" t="s">
        <v>266</v>
      </c>
      <c r="E16983">
        <v>1</v>
      </c>
    </row>
    <row r="16984" spans="1:5" x14ac:dyDescent="0.25">
      <c r="A16984">
        <v>16983</v>
      </c>
      <c r="B16984">
        <v>7639283</v>
      </c>
      <c r="C16984" s="1" t="str">
        <f>HYPERLINK("http://stackoverflow.com/users/7639283", "zengqlleo")</f>
        <v>zengqlleo</v>
      </c>
      <c r="D16984" t="s">
        <v>4</v>
      </c>
      <c r="E16984">
        <v>1</v>
      </c>
    </row>
    <row r="16985" spans="1:5" x14ac:dyDescent="0.25">
      <c r="A16985">
        <v>16984</v>
      </c>
      <c r="B16985">
        <v>7639430</v>
      </c>
      <c r="C16985" s="1" t="str">
        <f>HYPERLINK("http://stackoverflow.com/users/7639430", "gaozhiheng")</f>
        <v>gaozhiheng</v>
      </c>
      <c r="D16985" t="s">
        <v>328</v>
      </c>
      <c r="E16985">
        <v>1</v>
      </c>
    </row>
    <row r="16986" spans="1:5" x14ac:dyDescent="0.25">
      <c r="A16986">
        <v>16985</v>
      </c>
      <c r="B16986">
        <v>5875813</v>
      </c>
      <c r="C16986" s="1" t="str">
        <f>HYPERLINK("http://stackoverflow.com/users/5875813", "Thomas Tan")</f>
        <v>Thomas Tan</v>
      </c>
      <c r="D16986" t="s">
        <v>7</v>
      </c>
      <c r="E16986">
        <v>1</v>
      </c>
    </row>
    <row r="16987" spans="1:5" x14ac:dyDescent="0.25">
      <c r="A16987">
        <v>16986</v>
      </c>
      <c r="B16987">
        <v>7634113</v>
      </c>
      <c r="C16987" s="1" t="str">
        <f>HYPERLINK("http://stackoverflow.com/users/7634113", "rucheng huang")</f>
        <v>rucheng huang</v>
      </c>
      <c r="D16987" t="s">
        <v>924</v>
      </c>
      <c r="E16987">
        <v>1</v>
      </c>
    </row>
    <row r="16988" spans="1:5" x14ac:dyDescent="0.25">
      <c r="A16988">
        <v>16987</v>
      </c>
      <c r="B16988">
        <v>2405385</v>
      </c>
      <c r="C16988" s="1" t="str">
        <f>HYPERLINK("http://stackoverflow.com/users/2405385", "berli")</f>
        <v>berli</v>
      </c>
      <c r="D16988" t="s">
        <v>21</v>
      </c>
      <c r="E16988">
        <v>1</v>
      </c>
    </row>
    <row r="16989" spans="1:5" x14ac:dyDescent="0.25">
      <c r="A16989">
        <v>16988</v>
      </c>
      <c r="B16989">
        <v>2405430</v>
      </c>
      <c r="C16989" s="1" t="str">
        <f>HYPERLINK("http://stackoverflow.com/users/2405430", "LittleKey")</f>
        <v>LittleKey</v>
      </c>
      <c r="D16989" t="s">
        <v>477</v>
      </c>
      <c r="E16989">
        <v>1</v>
      </c>
    </row>
    <row r="16990" spans="1:5" x14ac:dyDescent="0.25">
      <c r="A16990">
        <v>16989</v>
      </c>
      <c r="B16990">
        <v>2405512</v>
      </c>
      <c r="C16990" s="1" t="str">
        <f>HYPERLINK("http://stackoverflow.com/users/2405512", "Zengguotai")</f>
        <v>Zengguotai</v>
      </c>
      <c r="D16990" t="s">
        <v>59</v>
      </c>
      <c r="E16990">
        <v>1</v>
      </c>
    </row>
    <row r="16991" spans="1:5" x14ac:dyDescent="0.25">
      <c r="A16991">
        <v>16990</v>
      </c>
      <c r="B16991">
        <v>5894362</v>
      </c>
      <c r="C16991" s="1" t="str">
        <f>HYPERLINK("http://stackoverflow.com/users/5894362", "user5894362")</f>
        <v>user5894362</v>
      </c>
      <c r="D16991" t="s">
        <v>5</v>
      </c>
      <c r="E16991">
        <v>1</v>
      </c>
    </row>
    <row r="16992" spans="1:5" x14ac:dyDescent="0.25">
      <c r="A16992">
        <v>16991</v>
      </c>
      <c r="B16992">
        <v>2404684</v>
      </c>
      <c r="C16992" s="1" t="str">
        <f>HYPERLINK("http://stackoverflow.com/users/2404684", "Mattie")</f>
        <v>Mattie</v>
      </c>
      <c r="D16992" t="s">
        <v>4</v>
      </c>
      <c r="E16992">
        <v>1</v>
      </c>
    </row>
    <row r="16993" spans="1:5" x14ac:dyDescent="0.25">
      <c r="A16993">
        <v>16992</v>
      </c>
      <c r="B16993">
        <v>2404820</v>
      </c>
      <c r="C16993" s="1" t="str">
        <f>HYPERLINK("http://stackoverflow.com/users/2404820", "guoguanfei")</f>
        <v>guoguanfei</v>
      </c>
      <c r="D16993" t="s">
        <v>5</v>
      </c>
      <c r="E16993">
        <v>1</v>
      </c>
    </row>
    <row r="16994" spans="1:5" x14ac:dyDescent="0.25">
      <c r="A16994">
        <v>16993</v>
      </c>
      <c r="B16994">
        <v>2342432</v>
      </c>
      <c r="C16994" s="1" t="str">
        <f>HYPERLINK("http://stackoverflow.com/users/2342432", "Assassin")</f>
        <v>Assassin</v>
      </c>
      <c r="D16994" t="s">
        <v>5</v>
      </c>
      <c r="E16994">
        <v>1</v>
      </c>
    </row>
    <row r="16995" spans="1:5" x14ac:dyDescent="0.25">
      <c r="A16995">
        <v>16994</v>
      </c>
      <c r="B16995">
        <v>2342536</v>
      </c>
      <c r="C16995" s="1" t="str">
        <f>HYPERLINK("http://stackoverflow.com/users/2342536", "yellowstar520")</f>
        <v>yellowstar520</v>
      </c>
      <c r="D16995" t="s">
        <v>21</v>
      </c>
      <c r="E16995">
        <v>1</v>
      </c>
    </row>
    <row r="16996" spans="1:5" x14ac:dyDescent="0.25">
      <c r="A16996">
        <v>16995</v>
      </c>
      <c r="B16996">
        <v>2342884</v>
      </c>
      <c r="C16996" s="1" t="str">
        <f>HYPERLINK("http://stackoverflow.com/users/2342884", "CoderDg")</f>
        <v>CoderDg</v>
      </c>
      <c r="D16996" t="s">
        <v>5</v>
      </c>
      <c r="E16996">
        <v>1</v>
      </c>
    </row>
    <row r="16997" spans="1:5" x14ac:dyDescent="0.25">
      <c r="A16997">
        <v>16996</v>
      </c>
      <c r="B16997">
        <v>9527197</v>
      </c>
      <c r="C16997" s="1" t="str">
        <f>HYPERLINK("http://stackoverflow.com/users/9527197", "Ray")</f>
        <v>Ray</v>
      </c>
      <c r="D16997" t="s">
        <v>16</v>
      </c>
      <c r="E16997">
        <v>1</v>
      </c>
    </row>
    <row r="16998" spans="1:5" x14ac:dyDescent="0.25">
      <c r="A16998">
        <v>16997</v>
      </c>
      <c r="B16998">
        <v>2349709</v>
      </c>
      <c r="C16998" s="1" t="str">
        <f>HYPERLINK("http://stackoverflow.com/users/2349709", "jie")</f>
        <v>jie</v>
      </c>
      <c r="D16998" t="s">
        <v>129</v>
      </c>
      <c r="E16998">
        <v>1</v>
      </c>
    </row>
    <row r="16999" spans="1:5" x14ac:dyDescent="0.25">
      <c r="A16999">
        <v>16998</v>
      </c>
      <c r="B16999">
        <v>2349811</v>
      </c>
      <c r="C16999" s="1" t="str">
        <f>HYPERLINK("http://stackoverflow.com/users/2349811", "Yijun Fan")</f>
        <v>Yijun Fan</v>
      </c>
      <c r="D16999" t="s">
        <v>12</v>
      </c>
      <c r="E16999">
        <v>1</v>
      </c>
    </row>
    <row r="17000" spans="1:5" x14ac:dyDescent="0.25">
      <c r="A17000">
        <v>16999</v>
      </c>
      <c r="B17000">
        <v>2349934</v>
      </c>
      <c r="C17000" s="1" t="str">
        <f>HYPERLINK("http://stackoverflow.com/users/2349934", "Henry Zhu")</f>
        <v>Henry Zhu</v>
      </c>
      <c r="D17000" t="s">
        <v>47</v>
      </c>
      <c r="E17000">
        <v>1</v>
      </c>
    </row>
    <row r="17001" spans="1:5" x14ac:dyDescent="0.25">
      <c r="A17001">
        <v>17000</v>
      </c>
      <c r="B17001">
        <v>7602022</v>
      </c>
      <c r="C17001" s="1" t="str">
        <f>HYPERLINK("http://stackoverflow.com/users/7602022", "leigaoyi")</f>
        <v>leigaoyi</v>
      </c>
      <c r="D17001" t="s">
        <v>5</v>
      </c>
      <c r="E17001">
        <v>1</v>
      </c>
    </row>
    <row r="17002" spans="1:5" x14ac:dyDescent="0.25">
      <c r="A17002">
        <v>17001</v>
      </c>
      <c r="B17002">
        <v>7602073</v>
      </c>
      <c r="C17002" s="1" t="str">
        <f>HYPERLINK("http://stackoverflow.com/users/7602073", "Jonathan Zhang")</f>
        <v>Jonathan Zhang</v>
      </c>
      <c r="D17002" t="s">
        <v>5</v>
      </c>
      <c r="E17002">
        <v>1</v>
      </c>
    </row>
    <row r="17003" spans="1:5" x14ac:dyDescent="0.25">
      <c r="A17003">
        <v>17002</v>
      </c>
      <c r="B17003">
        <v>7590476</v>
      </c>
      <c r="C17003" s="1" t="str">
        <f>HYPERLINK("http://stackoverflow.com/users/7590476", "Mekoca")</f>
        <v>Mekoca</v>
      </c>
      <c r="D17003" t="s">
        <v>440</v>
      </c>
      <c r="E17003">
        <v>1</v>
      </c>
    </row>
    <row r="17004" spans="1:5" x14ac:dyDescent="0.25">
      <c r="A17004">
        <v>17003</v>
      </c>
      <c r="B17004">
        <v>7590714</v>
      </c>
      <c r="C17004" s="1" t="str">
        <f>HYPERLINK("http://stackoverflow.com/users/7590714", "Alan Lee")</f>
        <v>Alan Lee</v>
      </c>
      <c r="D17004" t="s">
        <v>28</v>
      </c>
      <c r="E17004">
        <v>1</v>
      </c>
    </row>
    <row r="17005" spans="1:5" x14ac:dyDescent="0.25">
      <c r="A17005">
        <v>17004</v>
      </c>
      <c r="B17005">
        <v>7590752</v>
      </c>
      <c r="C17005" s="1" t="str">
        <f>HYPERLINK("http://stackoverflow.com/users/7590752", "ben.fatfox")</f>
        <v>ben.fatfox</v>
      </c>
      <c r="D17005" t="s">
        <v>925</v>
      </c>
      <c r="E17005">
        <v>1</v>
      </c>
    </row>
    <row r="17006" spans="1:5" x14ac:dyDescent="0.25">
      <c r="A17006">
        <v>17005</v>
      </c>
      <c r="B17006">
        <v>9514007</v>
      </c>
      <c r="C17006" s="1" t="str">
        <f>HYPERLINK("http://stackoverflow.com/users/9514007", "虞明金")</f>
        <v>虞明金</v>
      </c>
      <c r="D17006" t="s">
        <v>25</v>
      </c>
      <c r="E17006">
        <v>1</v>
      </c>
    </row>
    <row r="17007" spans="1:5" x14ac:dyDescent="0.25">
      <c r="A17007">
        <v>17006</v>
      </c>
      <c r="B17007">
        <v>9514153</v>
      </c>
      <c r="C17007" s="1" t="str">
        <f>HYPERLINK("http://stackoverflow.com/users/9514153", "Eddie Shen")</f>
        <v>Eddie Shen</v>
      </c>
      <c r="D17007" t="s">
        <v>537</v>
      </c>
      <c r="E17007">
        <v>1</v>
      </c>
    </row>
    <row r="17008" spans="1:5" x14ac:dyDescent="0.25">
      <c r="A17008">
        <v>17007</v>
      </c>
      <c r="B17008">
        <v>9494898</v>
      </c>
      <c r="C17008" s="1" t="str">
        <f>HYPERLINK("http://stackoverflow.com/users/9494898", "Loukas_W")</f>
        <v>Loukas_W</v>
      </c>
      <c r="D17008" t="s">
        <v>57</v>
      </c>
      <c r="E17008">
        <v>1</v>
      </c>
    </row>
    <row r="17009" spans="1:5" x14ac:dyDescent="0.25">
      <c r="A17009">
        <v>17008</v>
      </c>
      <c r="B17009">
        <v>9495041</v>
      </c>
      <c r="C17009" s="1" t="str">
        <f>HYPERLINK("http://stackoverflow.com/users/9495041", "mageover")</f>
        <v>mageover</v>
      </c>
      <c r="D17009" t="s">
        <v>78</v>
      </c>
      <c r="E17009">
        <v>1</v>
      </c>
    </row>
    <row r="17010" spans="1:5" x14ac:dyDescent="0.25">
      <c r="A17010">
        <v>17009</v>
      </c>
      <c r="B17010">
        <v>9495147</v>
      </c>
      <c r="C17010" s="1" t="str">
        <f>HYPERLINK("http://stackoverflow.com/users/9495147", "Mecthew")</f>
        <v>Mecthew</v>
      </c>
      <c r="D17010" t="s">
        <v>55</v>
      </c>
      <c r="E17010">
        <v>1</v>
      </c>
    </row>
    <row r="17011" spans="1:5" x14ac:dyDescent="0.25">
      <c r="A17011">
        <v>17010</v>
      </c>
      <c r="B17011">
        <v>9495231</v>
      </c>
      <c r="C17011" s="1" t="str">
        <f>HYPERLINK("http://stackoverflow.com/users/9495231", "user9495231")</f>
        <v>user9495231</v>
      </c>
      <c r="D17011" t="s">
        <v>4</v>
      </c>
      <c r="E17011">
        <v>1</v>
      </c>
    </row>
    <row r="17012" spans="1:5" x14ac:dyDescent="0.25">
      <c r="A17012">
        <v>17011</v>
      </c>
      <c r="B17012">
        <v>9495307</v>
      </c>
      <c r="C17012" s="1" t="str">
        <f>HYPERLINK("http://stackoverflow.com/users/9495307", "CaesarKing")</f>
        <v>CaesarKing</v>
      </c>
      <c r="D17012" t="s">
        <v>5</v>
      </c>
      <c r="E17012">
        <v>1</v>
      </c>
    </row>
    <row r="17013" spans="1:5" x14ac:dyDescent="0.25">
      <c r="A17013">
        <v>17012</v>
      </c>
      <c r="B17013">
        <v>9495376</v>
      </c>
      <c r="C17013" s="1" t="str">
        <f>HYPERLINK("http://stackoverflow.com/users/9495376", "mayuxi")</f>
        <v>mayuxi</v>
      </c>
      <c r="D17013" t="s">
        <v>4</v>
      </c>
      <c r="E17013">
        <v>1</v>
      </c>
    </row>
    <row r="17014" spans="1:5" x14ac:dyDescent="0.25">
      <c r="A17014">
        <v>17013</v>
      </c>
      <c r="B17014">
        <v>5818894</v>
      </c>
      <c r="C17014" s="1" t="str">
        <f>HYPERLINK("http://stackoverflow.com/users/5818894", "zyh")</f>
        <v>zyh</v>
      </c>
      <c r="D17014" t="s">
        <v>5</v>
      </c>
      <c r="E17014">
        <v>1</v>
      </c>
    </row>
    <row r="17015" spans="1:5" x14ac:dyDescent="0.25">
      <c r="A17015">
        <v>17014</v>
      </c>
      <c r="B17015">
        <v>5819040</v>
      </c>
      <c r="C17015" s="1" t="str">
        <f>HYPERLINK("http://stackoverflow.com/users/5819040", "Frank Xie")</f>
        <v>Frank Xie</v>
      </c>
      <c r="D17015" t="s">
        <v>24</v>
      </c>
      <c r="E17015">
        <v>1</v>
      </c>
    </row>
    <row r="17016" spans="1:5" x14ac:dyDescent="0.25">
      <c r="A17016">
        <v>17015</v>
      </c>
      <c r="B17016">
        <v>5819090</v>
      </c>
      <c r="C17016" s="1" t="str">
        <f>HYPERLINK("http://stackoverflow.com/users/5819090", "Da Lv")</f>
        <v>Da Lv</v>
      </c>
      <c r="D17016" t="s">
        <v>12</v>
      </c>
      <c r="E17016">
        <v>1</v>
      </c>
    </row>
    <row r="17017" spans="1:5" x14ac:dyDescent="0.25">
      <c r="A17017">
        <v>17016</v>
      </c>
      <c r="B17017">
        <v>11289566</v>
      </c>
      <c r="C17017" s="1" t="str">
        <f>HYPERLINK("http://stackoverflow.com/users/11289566", "ruixiang lang")</f>
        <v>ruixiang lang</v>
      </c>
      <c r="D17017" t="s">
        <v>16</v>
      </c>
      <c r="E17017">
        <v>1</v>
      </c>
    </row>
    <row r="17018" spans="1:5" x14ac:dyDescent="0.25">
      <c r="A17018">
        <v>17017</v>
      </c>
      <c r="B17018">
        <v>4051189</v>
      </c>
      <c r="C17018" s="1" t="str">
        <f>HYPERLINK("http://stackoverflow.com/users/4051189", "biaoqier")</f>
        <v>biaoqier</v>
      </c>
      <c r="D17018" t="s">
        <v>17</v>
      </c>
      <c r="E17018">
        <v>1</v>
      </c>
    </row>
    <row r="17019" spans="1:5" x14ac:dyDescent="0.25">
      <c r="A17019">
        <v>17018</v>
      </c>
      <c r="B17019">
        <v>5823183</v>
      </c>
      <c r="C17019" s="1" t="str">
        <f>HYPERLINK("http://stackoverflow.com/users/5823183", "Liu Lei")</f>
        <v>Liu Lei</v>
      </c>
      <c r="D17019" t="s">
        <v>5</v>
      </c>
      <c r="E17019">
        <v>1</v>
      </c>
    </row>
    <row r="17020" spans="1:5" x14ac:dyDescent="0.25">
      <c r="A17020">
        <v>17019</v>
      </c>
      <c r="B17020">
        <v>7573188</v>
      </c>
      <c r="C17020" s="1" t="str">
        <f>HYPERLINK("http://stackoverflow.com/users/7573188", "Jammy Suen")</f>
        <v>Jammy Suen</v>
      </c>
      <c r="D17020" t="s">
        <v>74</v>
      </c>
      <c r="E17020">
        <v>1</v>
      </c>
    </row>
    <row r="17021" spans="1:5" x14ac:dyDescent="0.25">
      <c r="A17021">
        <v>17020</v>
      </c>
      <c r="B17021">
        <v>7573690</v>
      </c>
      <c r="C17021" s="1" t="str">
        <f>HYPERLINK("http://stackoverflow.com/users/7573690", "averyboy")</f>
        <v>averyboy</v>
      </c>
      <c r="D17021" t="s">
        <v>52</v>
      </c>
      <c r="E17021">
        <v>1</v>
      </c>
    </row>
    <row r="17022" spans="1:5" x14ac:dyDescent="0.25">
      <c r="A17022">
        <v>17021</v>
      </c>
      <c r="B17022">
        <v>7573960</v>
      </c>
      <c r="C17022" s="1" t="str">
        <f>HYPERLINK("http://stackoverflow.com/users/7573960", "Colyn050")</f>
        <v>Colyn050</v>
      </c>
      <c r="D17022" t="s">
        <v>38</v>
      </c>
      <c r="E17022">
        <v>1</v>
      </c>
    </row>
    <row r="17023" spans="1:5" x14ac:dyDescent="0.25">
      <c r="A17023">
        <v>17022</v>
      </c>
      <c r="B17023">
        <v>2369108</v>
      </c>
      <c r="C17023" s="1" t="str">
        <f>HYPERLINK("http://stackoverflow.com/users/2369108", "heraclitusq")</f>
        <v>heraclitusq</v>
      </c>
      <c r="D17023" t="s">
        <v>4</v>
      </c>
      <c r="E17023">
        <v>1</v>
      </c>
    </row>
    <row r="17024" spans="1:5" x14ac:dyDescent="0.25">
      <c r="A17024">
        <v>17023</v>
      </c>
      <c r="B17024">
        <v>2369309</v>
      </c>
      <c r="C17024" s="1" t="str">
        <f>HYPERLINK("http://stackoverflow.com/users/2369309", "LeiZhang")</f>
        <v>LeiZhang</v>
      </c>
      <c r="D17024" t="s">
        <v>12</v>
      </c>
      <c r="E17024">
        <v>1</v>
      </c>
    </row>
    <row r="17025" spans="1:5" x14ac:dyDescent="0.25">
      <c r="A17025">
        <v>17024</v>
      </c>
      <c r="B17025">
        <v>2370036</v>
      </c>
      <c r="C17025" s="1" t="str">
        <f>HYPERLINK("http://stackoverflow.com/users/2370036", "Cici Wei")</f>
        <v>Cici Wei</v>
      </c>
      <c r="D17025" t="s">
        <v>12</v>
      </c>
      <c r="E17025">
        <v>1</v>
      </c>
    </row>
    <row r="17026" spans="1:5" x14ac:dyDescent="0.25">
      <c r="A17026">
        <v>17025</v>
      </c>
      <c r="B17026">
        <v>5871611</v>
      </c>
      <c r="C17026" s="1" t="str">
        <f>HYPERLINK("http://stackoverflow.com/users/5871611", "Huibin Dai")</f>
        <v>Huibin Dai</v>
      </c>
      <c r="D17026" t="s">
        <v>38</v>
      </c>
      <c r="E17026">
        <v>1</v>
      </c>
    </row>
    <row r="17027" spans="1:5" x14ac:dyDescent="0.25">
      <c r="A17027">
        <v>17026</v>
      </c>
      <c r="B17027">
        <v>5871969</v>
      </c>
      <c r="C17027" s="1" t="str">
        <f>HYPERLINK("http://stackoverflow.com/users/5871969", "shadow")</f>
        <v>shadow</v>
      </c>
      <c r="D17027" t="s">
        <v>5</v>
      </c>
      <c r="E17027">
        <v>1</v>
      </c>
    </row>
    <row r="17028" spans="1:5" x14ac:dyDescent="0.25">
      <c r="A17028">
        <v>17027</v>
      </c>
      <c r="B17028">
        <v>5863075</v>
      </c>
      <c r="C17028" s="1" t="str">
        <f>HYPERLINK("http://stackoverflow.com/users/5863075", "Leon")</f>
        <v>Leon</v>
      </c>
      <c r="D17028" t="s">
        <v>5</v>
      </c>
      <c r="E17028">
        <v>1</v>
      </c>
    </row>
    <row r="17029" spans="1:5" x14ac:dyDescent="0.25">
      <c r="A17029">
        <v>17028</v>
      </c>
      <c r="B17029">
        <v>9543006</v>
      </c>
      <c r="C17029" s="1" t="str">
        <f>HYPERLINK("http://stackoverflow.com/users/9543006", "The Python Hacker")</f>
        <v>The Python Hacker</v>
      </c>
      <c r="D17029" t="s">
        <v>4</v>
      </c>
      <c r="E17029">
        <v>1</v>
      </c>
    </row>
    <row r="17030" spans="1:5" x14ac:dyDescent="0.25">
      <c r="A17030">
        <v>17029</v>
      </c>
      <c r="B17030">
        <v>7616974</v>
      </c>
      <c r="C17030" s="1" t="str">
        <f>HYPERLINK("http://stackoverflow.com/users/7616974", "Liu Junwei")</f>
        <v>Liu Junwei</v>
      </c>
      <c r="D17030" t="s">
        <v>16</v>
      </c>
      <c r="E17030">
        <v>1</v>
      </c>
    </row>
    <row r="17031" spans="1:5" x14ac:dyDescent="0.25">
      <c r="A17031">
        <v>17030</v>
      </c>
      <c r="B17031">
        <v>7617169</v>
      </c>
      <c r="C17031" s="1" t="str">
        <f>HYPERLINK("http://stackoverflow.com/users/7617169", "likudou kin")</f>
        <v>likudou kin</v>
      </c>
      <c r="D17031" t="s">
        <v>55</v>
      </c>
      <c r="E17031">
        <v>1</v>
      </c>
    </row>
    <row r="17032" spans="1:5" x14ac:dyDescent="0.25">
      <c r="A17032">
        <v>17031</v>
      </c>
      <c r="B17032">
        <v>7617241</v>
      </c>
      <c r="C17032" s="1" t="str">
        <f>HYPERLINK("http://stackoverflow.com/users/7617241", "Payne Zhang")</f>
        <v>Payne Zhang</v>
      </c>
      <c r="D17032" t="s">
        <v>114</v>
      </c>
      <c r="E17032">
        <v>1</v>
      </c>
    </row>
    <row r="17033" spans="1:5" x14ac:dyDescent="0.25">
      <c r="A17033">
        <v>17032</v>
      </c>
      <c r="B17033">
        <v>2368941</v>
      </c>
      <c r="C17033" s="1" t="str">
        <f>HYPERLINK("http://stackoverflow.com/users/2368941", "Jack Mi")</f>
        <v>Jack Mi</v>
      </c>
      <c r="D17033" t="s">
        <v>5</v>
      </c>
      <c r="E17033">
        <v>1</v>
      </c>
    </row>
    <row r="17034" spans="1:5" x14ac:dyDescent="0.25">
      <c r="A17034">
        <v>17033</v>
      </c>
      <c r="B17034">
        <v>2368971</v>
      </c>
      <c r="C17034" s="1" t="str">
        <f>HYPERLINK("http://stackoverflow.com/users/2368971", "lvphonecase")</f>
        <v>lvphonecase</v>
      </c>
      <c r="D17034" t="s">
        <v>17</v>
      </c>
      <c r="E17034">
        <v>1</v>
      </c>
    </row>
    <row r="17035" spans="1:5" x14ac:dyDescent="0.25">
      <c r="A17035">
        <v>17034</v>
      </c>
      <c r="B17035">
        <v>7602231</v>
      </c>
      <c r="C17035" s="1" t="str">
        <f>HYPERLINK("http://stackoverflow.com/users/7602231", "Jason Wong")</f>
        <v>Jason Wong</v>
      </c>
      <c r="D17035" t="s">
        <v>25</v>
      </c>
      <c r="E17035">
        <v>1</v>
      </c>
    </row>
    <row r="17036" spans="1:5" x14ac:dyDescent="0.25">
      <c r="A17036">
        <v>17035</v>
      </c>
      <c r="B17036">
        <v>2359567</v>
      </c>
      <c r="C17036" s="1" t="str">
        <f>HYPERLINK("http://stackoverflow.com/users/2359567", "Mingyu")</f>
        <v>Mingyu</v>
      </c>
      <c r="D17036" t="s">
        <v>17</v>
      </c>
      <c r="E17036">
        <v>1</v>
      </c>
    </row>
    <row r="17037" spans="1:5" x14ac:dyDescent="0.25">
      <c r="A17037">
        <v>17036</v>
      </c>
      <c r="B17037">
        <v>2362229</v>
      </c>
      <c r="C17037" s="1" t="str">
        <f>HYPERLINK("http://stackoverflow.com/users/2362229", "aiguoji")</f>
        <v>aiguoji</v>
      </c>
      <c r="D17037" t="s">
        <v>4</v>
      </c>
      <c r="E17037">
        <v>1</v>
      </c>
    </row>
    <row r="17038" spans="1:5" x14ac:dyDescent="0.25">
      <c r="A17038">
        <v>17037</v>
      </c>
      <c r="B17038">
        <v>7602450</v>
      </c>
      <c r="C17038" s="1" t="str">
        <f>HYPERLINK("http://stackoverflow.com/users/7602450", "Yieron")</f>
        <v>Yieron</v>
      </c>
      <c r="D17038" t="s">
        <v>57</v>
      </c>
      <c r="E17038">
        <v>1</v>
      </c>
    </row>
    <row r="17039" spans="1:5" x14ac:dyDescent="0.25">
      <c r="A17039">
        <v>17038</v>
      </c>
      <c r="B17039">
        <v>5852720</v>
      </c>
      <c r="C17039" s="1" t="str">
        <f>HYPERLINK("http://stackoverflow.com/users/5852720", "Jim")</f>
        <v>Jim</v>
      </c>
      <c r="D17039" t="s">
        <v>31</v>
      </c>
      <c r="E17039">
        <v>1</v>
      </c>
    </row>
    <row r="17040" spans="1:5" x14ac:dyDescent="0.25">
      <c r="A17040">
        <v>17039</v>
      </c>
      <c r="B17040">
        <v>9531958</v>
      </c>
      <c r="C17040" s="1" t="str">
        <f>HYPERLINK("http://stackoverflow.com/users/9531958", "Jerry Han")</f>
        <v>Jerry Han</v>
      </c>
      <c r="D17040" t="s">
        <v>37</v>
      </c>
      <c r="E17040">
        <v>1</v>
      </c>
    </row>
    <row r="17041" spans="1:5" x14ac:dyDescent="0.25">
      <c r="A17041">
        <v>17040</v>
      </c>
      <c r="B17041">
        <v>5857806</v>
      </c>
      <c r="C17041" s="1" t="str">
        <f>HYPERLINK("http://stackoverflow.com/users/5857806", "chen peng")</f>
        <v>chen peng</v>
      </c>
      <c r="D17041" t="s">
        <v>926</v>
      </c>
      <c r="E17041">
        <v>1</v>
      </c>
    </row>
    <row r="17042" spans="1:5" x14ac:dyDescent="0.25">
      <c r="A17042">
        <v>17041</v>
      </c>
      <c r="B17042">
        <v>2357873</v>
      </c>
      <c r="C17042" s="1" t="str">
        <f>HYPERLINK("http://stackoverflow.com/users/2357873", "Wenyong")</f>
        <v>Wenyong</v>
      </c>
      <c r="D17042" t="s">
        <v>5</v>
      </c>
      <c r="E17042">
        <v>1</v>
      </c>
    </row>
    <row r="17043" spans="1:5" x14ac:dyDescent="0.25">
      <c r="A17043">
        <v>17042</v>
      </c>
      <c r="B17043">
        <v>2338101</v>
      </c>
      <c r="C17043" s="1" t="str">
        <f>HYPERLINK("http://stackoverflow.com/users/2338101", "turbo0628")</f>
        <v>turbo0628</v>
      </c>
      <c r="D17043" t="s">
        <v>34</v>
      </c>
      <c r="E17043">
        <v>1</v>
      </c>
    </row>
    <row r="17044" spans="1:5" x14ac:dyDescent="0.25">
      <c r="A17044">
        <v>17043</v>
      </c>
      <c r="B17044">
        <v>2342108</v>
      </c>
      <c r="C17044" s="1" t="str">
        <f>HYPERLINK("http://stackoverflow.com/users/2342108", "Stri")</f>
        <v>Stri</v>
      </c>
      <c r="D17044" t="s">
        <v>5</v>
      </c>
      <c r="E17044">
        <v>1</v>
      </c>
    </row>
    <row r="17045" spans="1:5" x14ac:dyDescent="0.25">
      <c r="A17045">
        <v>17044</v>
      </c>
      <c r="B17045">
        <v>2342166</v>
      </c>
      <c r="C17045" s="1" t="str">
        <f>HYPERLINK("http://stackoverflow.com/users/2342166", "waveopera")</f>
        <v>waveopera</v>
      </c>
      <c r="D17045" t="s">
        <v>5</v>
      </c>
      <c r="E17045">
        <v>1</v>
      </c>
    </row>
    <row r="17046" spans="1:5" x14ac:dyDescent="0.25">
      <c r="A17046">
        <v>17045</v>
      </c>
      <c r="B17046">
        <v>2342203</v>
      </c>
      <c r="C17046" s="1" t="str">
        <f>HYPERLINK("http://stackoverflow.com/users/2342203", "Howard Wang")</f>
        <v>Howard Wang</v>
      </c>
      <c r="D17046" t="s">
        <v>5</v>
      </c>
      <c r="E17046">
        <v>1</v>
      </c>
    </row>
    <row r="17047" spans="1:5" x14ac:dyDescent="0.25">
      <c r="A17047">
        <v>17046</v>
      </c>
      <c r="B17047">
        <v>11276506</v>
      </c>
      <c r="C17047" s="1" t="str">
        <f>HYPERLINK("http://stackoverflow.com/users/11276506", "snowflake01986")</f>
        <v>snowflake01986</v>
      </c>
      <c r="D17047" t="s">
        <v>108</v>
      </c>
      <c r="E17047">
        <v>1</v>
      </c>
    </row>
    <row r="17048" spans="1:5" x14ac:dyDescent="0.25">
      <c r="A17048">
        <v>17047</v>
      </c>
      <c r="B17048">
        <v>2289187</v>
      </c>
      <c r="C17048" s="1" t="str">
        <f>HYPERLINK("http://stackoverflow.com/users/2289187", "mygu")</f>
        <v>mygu</v>
      </c>
      <c r="D17048" t="s">
        <v>31</v>
      </c>
      <c r="E17048">
        <v>1</v>
      </c>
    </row>
    <row r="17049" spans="1:5" x14ac:dyDescent="0.25">
      <c r="A17049">
        <v>17048</v>
      </c>
      <c r="B17049">
        <v>4035611</v>
      </c>
      <c r="C17049" s="1" t="str">
        <f>HYPERLINK("http://stackoverflow.com/users/4035611", "Guti")</f>
        <v>Guti</v>
      </c>
      <c r="D17049" t="s">
        <v>5</v>
      </c>
      <c r="E17049">
        <v>1</v>
      </c>
    </row>
    <row r="17050" spans="1:5" x14ac:dyDescent="0.25">
      <c r="A17050">
        <v>17049</v>
      </c>
      <c r="B17050">
        <v>7562257</v>
      </c>
      <c r="C17050" s="1" t="str">
        <f>HYPERLINK("http://stackoverflow.com/users/7562257", "Jie Liu")</f>
        <v>Jie Liu</v>
      </c>
      <c r="D17050" t="s">
        <v>28</v>
      </c>
      <c r="E17050">
        <v>1</v>
      </c>
    </row>
    <row r="17051" spans="1:5" x14ac:dyDescent="0.25">
      <c r="A17051">
        <v>17050</v>
      </c>
      <c r="B17051">
        <v>7562812</v>
      </c>
      <c r="C17051" s="1" t="str">
        <f>HYPERLINK("http://stackoverflow.com/users/7562812", "Jleafy")</f>
        <v>Jleafy</v>
      </c>
      <c r="D17051" t="s">
        <v>927</v>
      </c>
      <c r="E17051">
        <v>1</v>
      </c>
    </row>
    <row r="17052" spans="1:5" x14ac:dyDescent="0.25">
      <c r="A17052">
        <v>17051</v>
      </c>
      <c r="B17052">
        <v>4039928</v>
      </c>
      <c r="C17052" s="1" t="str">
        <f>HYPERLINK("http://stackoverflow.com/users/4039928", "Midori Kochiya")</f>
        <v>Midori Kochiya</v>
      </c>
      <c r="D17052" t="s">
        <v>22</v>
      </c>
      <c r="E17052">
        <v>1</v>
      </c>
    </row>
    <row r="17053" spans="1:5" x14ac:dyDescent="0.25">
      <c r="A17053">
        <v>17052</v>
      </c>
      <c r="B17053">
        <v>4040337</v>
      </c>
      <c r="C17053" s="1" t="str">
        <f>HYPERLINK("http://stackoverflow.com/users/4040337", "Howie C.")</f>
        <v>Howie C.</v>
      </c>
      <c r="D17053" t="s">
        <v>310</v>
      </c>
      <c r="E17053">
        <v>1</v>
      </c>
    </row>
    <row r="17054" spans="1:5" x14ac:dyDescent="0.25">
      <c r="A17054">
        <v>17053</v>
      </c>
      <c r="B17054">
        <v>7566805</v>
      </c>
      <c r="C17054" s="1" t="str">
        <f>HYPERLINK("http://stackoverflow.com/users/7566805", "Ronny2018")</f>
        <v>Ronny2018</v>
      </c>
      <c r="D17054" t="s">
        <v>550</v>
      </c>
      <c r="E17054">
        <v>1</v>
      </c>
    </row>
    <row r="17055" spans="1:5" x14ac:dyDescent="0.25">
      <c r="A17055">
        <v>17054</v>
      </c>
      <c r="B17055">
        <v>7566875</v>
      </c>
      <c r="C17055" s="1" t="str">
        <f>HYPERLINK("http://stackoverflow.com/users/7566875", "lengender")</f>
        <v>lengender</v>
      </c>
      <c r="D17055" t="s">
        <v>928</v>
      </c>
      <c r="E17055">
        <v>1</v>
      </c>
    </row>
    <row r="17056" spans="1:5" x14ac:dyDescent="0.25">
      <c r="A17056">
        <v>17055</v>
      </c>
      <c r="B17056">
        <v>11281598</v>
      </c>
      <c r="C17056" s="1" t="str">
        <f>HYPERLINK("http://stackoverflow.com/users/11281598", "juif balix")</f>
        <v>juif balix</v>
      </c>
      <c r="D17056" t="s">
        <v>16</v>
      </c>
      <c r="E17056">
        <v>1</v>
      </c>
    </row>
    <row r="17057" spans="1:5" x14ac:dyDescent="0.25">
      <c r="A17057">
        <v>17056</v>
      </c>
      <c r="B17057">
        <v>9490550</v>
      </c>
      <c r="C17057" s="1" t="str">
        <f>HYPERLINK("http://stackoverflow.com/users/9490550", "lixuefang hzh")</f>
        <v>lixuefang hzh</v>
      </c>
      <c r="D17057" t="s">
        <v>929</v>
      </c>
      <c r="E17057">
        <v>1</v>
      </c>
    </row>
    <row r="17058" spans="1:5" x14ac:dyDescent="0.25">
      <c r="A17058">
        <v>17057</v>
      </c>
      <c r="B17058">
        <v>7580659</v>
      </c>
      <c r="C17058" s="1" t="str">
        <f>HYPERLINK("http://stackoverflow.com/users/7580659", "L.Bruce")</f>
        <v>L.Bruce</v>
      </c>
      <c r="D17058" t="s">
        <v>55</v>
      </c>
      <c r="E17058">
        <v>1</v>
      </c>
    </row>
    <row r="17059" spans="1:5" x14ac:dyDescent="0.25">
      <c r="A17059">
        <v>17058</v>
      </c>
      <c r="B17059">
        <v>11297720</v>
      </c>
      <c r="C17059" s="1" t="str">
        <f>HYPERLINK("http://stackoverflow.com/users/11297720", "Keith Clinton")</f>
        <v>Keith Clinton</v>
      </c>
      <c r="D17059" t="s">
        <v>28</v>
      </c>
      <c r="E17059">
        <v>1</v>
      </c>
    </row>
    <row r="17060" spans="1:5" x14ac:dyDescent="0.25">
      <c r="A17060">
        <v>17059</v>
      </c>
      <c r="B17060">
        <v>11297791</v>
      </c>
      <c r="C17060" s="1" t="str">
        <f>HYPERLINK("http://stackoverflow.com/users/11297791", "cqjerry")</f>
        <v>cqjerry</v>
      </c>
      <c r="D17060" t="s">
        <v>4</v>
      </c>
      <c r="E17060">
        <v>1</v>
      </c>
    </row>
    <row r="17061" spans="1:5" x14ac:dyDescent="0.25">
      <c r="A17061">
        <v>17060</v>
      </c>
      <c r="B17061">
        <v>11297968</v>
      </c>
      <c r="C17061" s="1" t="str">
        <f>HYPERLINK("http://stackoverflow.com/users/11297968", "Yuanwei Lu")</f>
        <v>Yuanwei Lu</v>
      </c>
      <c r="D17061" t="s">
        <v>7</v>
      </c>
      <c r="E17061">
        <v>1</v>
      </c>
    </row>
    <row r="17062" spans="1:5" x14ac:dyDescent="0.25">
      <c r="A17062">
        <v>17061</v>
      </c>
      <c r="B17062">
        <v>11298145</v>
      </c>
      <c r="C17062" s="1" t="str">
        <f>HYPERLINK("http://stackoverflow.com/users/11298145", "Q blacker")</f>
        <v>Q blacker</v>
      </c>
      <c r="D17062" t="s">
        <v>662</v>
      </c>
      <c r="E17062">
        <v>1</v>
      </c>
    </row>
    <row r="17063" spans="1:5" x14ac:dyDescent="0.25">
      <c r="A17063">
        <v>17062</v>
      </c>
      <c r="B17063">
        <v>11298287</v>
      </c>
      <c r="C17063" s="1" t="str">
        <f>HYPERLINK("http://stackoverflow.com/users/11298287", "yangfan6677")</f>
        <v>yangfan6677</v>
      </c>
      <c r="D17063" t="s">
        <v>5</v>
      </c>
      <c r="E17063">
        <v>1</v>
      </c>
    </row>
    <row r="17064" spans="1:5" x14ac:dyDescent="0.25">
      <c r="A17064">
        <v>17063</v>
      </c>
      <c r="B17064">
        <v>11298328</v>
      </c>
      <c r="C17064" s="1" t="str">
        <f>HYPERLINK("http://stackoverflow.com/users/11298328", "Terry Zhao")</f>
        <v>Terry Zhao</v>
      </c>
      <c r="D17064" t="s">
        <v>79</v>
      </c>
      <c r="E17064">
        <v>1</v>
      </c>
    </row>
    <row r="17065" spans="1:5" x14ac:dyDescent="0.25">
      <c r="A17065">
        <v>17064</v>
      </c>
      <c r="B17065">
        <v>9503569</v>
      </c>
      <c r="C17065" s="1" t="str">
        <f>HYPERLINK("http://stackoverflow.com/users/9503569", "PingMeSN")</f>
        <v>PingMeSN</v>
      </c>
      <c r="D17065" t="s">
        <v>930</v>
      </c>
      <c r="E17065">
        <v>1</v>
      </c>
    </row>
    <row r="17066" spans="1:5" x14ac:dyDescent="0.25">
      <c r="A17066">
        <v>17065</v>
      </c>
      <c r="B17066">
        <v>9503670</v>
      </c>
      <c r="C17066" s="1" t="str">
        <f>HYPERLINK("http://stackoverflow.com/users/9503670", "Comrade Crusher")</f>
        <v>Comrade Crusher</v>
      </c>
      <c r="D17066" t="s">
        <v>5</v>
      </c>
      <c r="E17066">
        <v>1</v>
      </c>
    </row>
    <row r="17067" spans="1:5" x14ac:dyDescent="0.25">
      <c r="A17067">
        <v>17066</v>
      </c>
      <c r="B17067">
        <v>2325791</v>
      </c>
      <c r="C17067" s="1" t="str">
        <f>HYPERLINK("http://stackoverflow.com/users/2325791", "Todd Fon")</f>
        <v>Todd Fon</v>
      </c>
      <c r="D17067" t="s">
        <v>17</v>
      </c>
      <c r="E17067">
        <v>1</v>
      </c>
    </row>
    <row r="17068" spans="1:5" x14ac:dyDescent="0.25">
      <c r="A17068">
        <v>17067</v>
      </c>
      <c r="B17068">
        <v>2325897</v>
      </c>
      <c r="C17068" s="1" t="str">
        <f>HYPERLINK("http://stackoverflow.com/users/2325897", "Perry Yeh")</f>
        <v>Perry Yeh</v>
      </c>
      <c r="D17068" t="s">
        <v>4</v>
      </c>
      <c r="E17068">
        <v>1</v>
      </c>
    </row>
    <row r="17069" spans="1:5" x14ac:dyDescent="0.25">
      <c r="A17069">
        <v>17068</v>
      </c>
      <c r="B17069">
        <v>2326368</v>
      </c>
      <c r="C17069" s="1" t="str">
        <f>HYPERLINK("http://stackoverflow.com/users/2326368", "小新の蜡笔")</f>
        <v>小新の蜡笔</v>
      </c>
      <c r="D17069" t="s">
        <v>5</v>
      </c>
      <c r="E17069">
        <v>1</v>
      </c>
    </row>
    <row r="17070" spans="1:5" x14ac:dyDescent="0.25">
      <c r="A17070">
        <v>17069</v>
      </c>
      <c r="B17070">
        <v>2326460</v>
      </c>
      <c r="C17070" s="1" t="str">
        <f>HYPERLINK("http://stackoverflow.com/users/2326460", "zhizhen")</f>
        <v>zhizhen</v>
      </c>
      <c r="D17070" t="s">
        <v>5</v>
      </c>
      <c r="E17070">
        <v>1</v>
      </c>
    </row>
    <row r="17071" spans="1:5" x14ac:dyDescent="0.25">
      <c r="A17071">
        <v>17070</v>
      </c>
      <c r="B17071">
        <v>2327091</v>
      </c>
      <c r="C17071" s="1" t="str">
        <f>HYPERLINK("http://stackoverflow.com/users/2327091", "Billy Xu")</f>
        <v>Billy Xu</v>
      </c>
      <c r="D17071" t="s">
        <v>5</v>
      </c>
      <c r="E17071">
        <v>1</v>
      </c>
    </row>
    <row r="17072" spans="1:5" x14ac:dyDescent="0.25">
      <c r="A17072">
        <v>17071</v>
      </c>
      <c r="B17072">
        <v>2327128</v>
      </c>
      <c r="C17072" s="1" t="str">
        <f>HYPERLINK("http://stackoverflow.com/users/2327128", "AN Di")</f>
        <v>AN Di</v>
      </c>
      <c r="D17072" t="s">
        <v>17</v>
      </c>
      <c r="E17072">
        <v>1</v>
      </c>
    </row>
    <row r="17073" spans="1:5" x14ac:dyDescent="0.25">
      <c r="A17073">
        <v>17072</v>
      </c>
      <c r="B17073">
        <v>7583359</v>
      </c>
      <c r="C17073" s="1" t="str">
        <f>HYPERLINK("http://stackoverflow.com/users/7583359", "Allard")</f>
        <v>Allard</v>
      </c>
      <c r="D17073" t="s">
        <v>19</v>
      </c>
      <c r="E17073">
        <v>1</v>
      </c>
    </row>
    <row r="17074" spans="1:5" x14ac:dyDescent="0.25">
      <c r="A17074">
        <v>17073</v>
      </c>
      <c r="B17074">
        <v>7583604</v>
      </c>
      <c r="C17074" s="1" t="str">
        <f>HYPERLINK("http://stackoverflow.com/users/7583604", "Linkt")</f>
        <v>Linkt</v>
      </c>
      <c r="D17074" t="s">
        <v>62</v>
      </c>
      <c r="E17074">
        <v>1</v>
      </c>
    </row>
    <row r="17075" spans="1:5" x14ac:dyDescent="0.25">
      <c r="A17075">
        <v>17074</v>
      </c>
      <c r="B17075">
        <v>7583698</v>
      </c>
      <c r="C17075" s="1" t="str">
        <f>HYPERLINK("http://stackoverflow.com/users/7583698", "Konrad Krawczyk")</f>
        <v>Konrad Krawczyk</v>
      </c>
      <c r="D17075" t="s">
        <v>4</v>
      </c>
      <c r="E17075">
        <v>1</v>
      </c>
    </row>
    <row r="17076" spans="1:5" x14ac:dyDescent="0.25">
      <c r="A17076">
        <v>17075</v>
      </c>
      <c r="B17076">
        <v>2285095</v>
      </c>
      <c r="C17076" s="1" t="str">
        <f>HYPERLINK("http://stackoverflow.com/users/2285095", "inkless")</f>
        <v>inkless</v>
      </c>
      <c r="D17076" t="s">
        <v>4</v>
      </c>
      <c r="E17076">
        <v>1</v>
      </c>
    </row>
    <row r="17077" spans="1:5" x14ac:dyDescent="0.25">
      <c r="A17077">
        <v>17076</v>
      </c>
      <c r="B17077">
        <v>2288797</v>
      </c>
      <c r="C17077" s="1" t="str">
        <f>HYPERLINK("http://stackoverflow.com/users/2288797", "shzy2012")</f>
        <v>shzy2012</v>
      </c>
      <c r="D17077" t="s">
        <v>4</v>
      </c>
      <c r="E17077">
        <v>1</v>
      </c>
    </row>
    <row r="17078" spans="1:5" x14ac:dyDescent="0.25">
      <c r="A17078">
        <v>17077</v>
      </c>
      <c r="B17078">
        <v>7555281</v>
      </c>
      <c r="C17078" s="1" t="str">
        <f>HYPERLINK("http://stackoverflow.com/users/7555281", "Bowen Wu")</f>
        <v>Bowen Wu</v>
      </c>
      <c r="D17078" t="s">
        <v>131</v>
      </c>
      <c r="E17078">
        <v>1</v>
      </c>
    </row>
    <row r="17079" spans="1:5" x14ac:dyDescent="0.25">
      <c r="A17079">
        <v>17078</v>
      </c>
      <c r="B17079">
        <v>7555321</v>
      </c>
      <c r="C17079" s="1" t="str">
        <f>HYPERLINK("http://stackoverflow.com/users/7555321", "yunzhao")</f>
        <v>yunzhao</v>
      </c>
      <c r="D17079" t="s">
        <v>266</v>
      </c>
      <c r="E17079">
        <v>1</v>
      </c>
    </row>
    <row r="17080" spans="1:5" x14ac:dyDescent="0.25">
      <c r="A17080">
        <v>17079</v>
      </c>
      <c r="B17080">
        <v>7555366</v>
      </c>
      <c r="C17080" s="1" t="str">
        <f>HYPERLINK("http://stackoverflow.com/users/7555366", "qdhnf9")</f>
        <v>qdhnf9</v>
      </c>
      <c r="D17080" t="s">
        <v>4</v>
      </c>
      <c r="E17080">
        <v>1</v>
      </c>
    </row>
    <row r="17081" spans="1:5" x14ac:dyDescent="0.25">
      <c r="A17081">
        <v>17080</v>
      </c>
      <c r="B17081">
        <v>7555379</v>
      </c>
      <c r="C17081" s="1" t="str">
        <f>HYPERLINK("http://stackoverflow.com/users/7555379", "hanzhang.qin")</f>
        <v>hanzhang.qin</v>
      </c>
      <c r="D17081" t="s">
        <v>4</v>
      </c>
      <c r="E17081">
        <v>1</v>
      </c>
    </row>
    <row r="17082" spans="1:5" x14ac:dyDescent="0.25">
      <c r="A17082">
        <v>17081</v>
      </c>
      <c r="B17082">
        <v>5808059</v>
      </c>
      <c r="C17082" s="1" t="str">
        <f>HYPERLINK("http://stackoverflow.com/users/5808059", "C_Y")</f>
        <v>C_Y</v>
      </c>
      <c r="D17082" t="s">
        <v>4</v>
      </c>
      <c r="E17082">
        <v>1</v>
      </c>
    </row>
    <row r="17083" spans="1:5" x14ac:dyDescent="0.25">
      <c r="A17083">
        <v>17082</v>
      </c>
      <c r="B17083">
        <v>9478208</v>
      </c>
      <c r="C17083" s="1" t="str">
        <f>HYPERLINK("http://stackoverflow.com/users/9478208", "Fardin Ahsan")</f>
        <v>Fardin Ahsan</v>
      </c>
      <c r="D17083" t="s">
        <v>10</v>
      </c>
      <c r="E17083">
        <v>1</v>
      </c>
    </row>
    <row r="17084" spans="1:5" x14ac:dyDescent="0.25">
      <c r="A17084">
        <v>17083</v>
      </c>
      <c r="B17084">
        <v>9478218</v>
      </c>
      <c r="C17084" s="1" t="str">
        <f>HYPERLINK("http://stackoverflow.com/users/9478218", "naveman8")</f>
        <v>naveman8</v>
      </c>
      <c r="D17084" t="s">
        <v>4</v>
      </c>
      <c r="E17084">
        <v>1</v>
      </c>
    </row>
    <row r="17085" spans="1:5" x14ac:dyDescent="0.25">
      <c r="A17085">
        <v>17084</v>
      </c>
      <c r="B17085">
        <v>5793480</v>
      </c>
      <c r="C17085" s="1" t="str">
        <f>HYPERLINK("http://stackoverflow.com/users/5793480", "Blackhill de Eagle")</f>
        <v>Blackhill de Eagle</v>
      </c>
      <c r="D17085" t="s">
        <v>5</v>
      </c>
      <c r="E17085">
        <v>1</v>
      </c>
    </row>
    <row r="17086" spans="1:5" x14ac:dyDescent="0.25">
      <c r="A17086">
        <v>17085</v>
      </c>
      <c r="B17086">
        <v>9461132</v>
      </c>
      <c r="C17086" s="1" t="str">
        <f>HYPERLINK("http://stackoverflow.com/users/9461132", "keerthana")</f>
        <v>keerthana</v>
      </c>
      <c r="D17086" t="s">
        <v>931</v>
      </c>
      <c r="E17086">
        <v>1</v>
      </c>
    </row>
    <row r="17087" spans="1:5" x14ac:dyDescent="0.25">
      <c r="A17087">
        <v>17086</v>
      </c>
      <c r="B17087">
        <v>9461162</v>
      </c>
      <c r="C17087" s="1" t="str">
        <f>HYPERLINK("http://stackoverflow.com/users/9461162", "Frank Wang")</f>
        <v>Frank Wang</v>
      </c>
      <c r="D17087" t="s">
        <v>184</v>
      </c>
      <c r="E17087">
        <v>1</v>
      </c>
    </row>
    <row r="17088" spans="1:5" x14ac:dyDescent="0.25">
      <c r="A17088">
        <v>17087</v>
      </c>
      <c r="B17088">
        <v>9465425</v>
      </c>
      <c r="C17088" s="1" t="str">
        <f>HYPERLINK("http://stackoverflow.com/users/9465425", "Lin Max")</f>
        <v>Lin Max</v>
      </c>
      <c r="D17088" t="s">
        <v>5</v>
      </c>
      <c r="E17088">
        <v>1</v>
      </c>
    </row>
    <row r="17089" spans="1:5" x14ac:dyDescent="0.25">
      <c r="A17089">
        <v>17088</v>
      </c>
      <c r="B17089">
        <v>9465478</v>
      </c>
      <c r="C17089" s="1" t="str">
        <f>HYPERLINK("http://stackoverflow.com/users/9465478", "lianjiang wu")</f>
        <v>lianjiang wu</v>
      </c>
      <c r="D17089" t="s">
        <v>513</v>
      </c>
      <c r="E17089">
        <v>1</v>
      </c>
    </row>
    <row r="17090" spans="1:5" x14ac:dyDescent="0.25">
      <c r="A17090">
        <v>17089</v>
      </c>
      <c r="B17090">
        <v>9465594</v>
      </c>
      <c r="C17090" s="1" t="str">
        <f>HYPERLINK("http://stackoverflow.com/users/9465594", "曹玉华")</f>
        <v>曹玉华</v>
      </c>
      <c r="D17090" t="s">
        <v>5</v>
      </c>
      <c r="E17090">
        <v>1</v>
      </c>
    </row>
    <row r="17091" spans="1:5" x14ac:dyDescent="0.25">
      <c r="A17091">
        <v>17090</v>
      </c>
      <c r="B17091">
        <v>9465778</v>
      </c>
      <c r="C17091" s="1" t="str">
        <f>HYPERLINK("http://stackoverflow.com/users/9465778", "user9465778")</f>
        <v>user9465778</v>
      </c>
      <c r="D17091" t="s">
        <v>4</v>
      </c>
      <c r="E17091">
        <v>1</v>
      </c>
    </row>
    <row r="17092" spans="1:5" x14ac:dyDescent="0.25">
      <c r="A17092">
        <v>17091</v>
      </c>
      <c r="B17092">
        <v>2284556</v>
      </c>
      <c r="C17092" s="1" t="str">
        <f>HYPERLINK("http://stackoverflow.com/users/2284556", "googlegis")</f>
        <v>googlegis</v>
      </c>
      <c r="D17092" t="s">
        <v>4</v>
      </c>
      <c r="E17092">
        <v>1</v>
      </c>
    </row>
    <row r="17093" spans="1:5" x14ac:dyDescent="0.25">
      <c r="A17093">
        <v>17092</v>
      </c>
      <c r="B17093">
        <v>2284743</v>
      </c>
      <c r="C17093" s="1" t="str">
        <f>HYPERLINK("http://stackoverflow.com/users/2284743", "Alex Win")</f>
        <v>Alex Win</v>
      </c>
      <c r="D17093" t="s">
        <v>5</v>
      </c>
      <c r="E17093">
        <v>1</v>
      </c>
    </row>
    <row r="17094" spans="1:5" x14ac:dyDescent="0.25">
      <c r="A17094">
        <v>17093</v>
      </c>
      <c r="B17094">
        <v>2284775</v>
      </c>
      <c r="C17094" s="1" t="str">
        <f>HYPERLINK("http://stackoverflow.com/users/2284775", "Morton")</f>
        <v>Morton</v>
      </c>
      <c r="D17094" t="s">
        <v>5</v>
      </c>
      <c r="E17094">
        <v>1</v>
      </c>
    </row>
    <row r="17095" spans="1:5" x14ac:dyDescent="0.25">
      <c r="A17095">
        <v>17094</v>
      </c>
      <c r="B17095">
        <v>8504326</v>
      </c>
      <c r="C17095" s="1" t="str">
        <f>HYPERLINK("http://stackoverflow.com/users/8504326", "Danica.Ao")</f>
        <v>Danica.Ao</v>
      </c>
      <c r="D17095" t="s">
        <v>5</v>
      </c>
      <c r="E17095">
        <v>1</v>
      </c>
    </row>
    <row r="17096" spans="1:5" x14ac:dyDescent="0.25">
      <c r="A17096">
        <v>17095</v>
      </c>
      <c r="B17096">
        <v>8504663</v>
      </c>
      <c r="C17096" s="1" t="str">
        <f>HYPERLINK("http://stackoverflow.com/users/8504663", "Penny Peng")</f>
        <v>Penny Peng</v>
      </c>
      <c r="D17096" t="s">
        <v>4</v>
      </c>
      <c r="E17096">
        <v>1</v>
      </c>
    </row>
    <row r="17097" spans="1:5" x14ac:dyDescent="0.25">
      <c r="A17097">
        <v>17096</v>
      </c>
      <c r="B17097">
        <v>10317898</v>
      </c>
      <c r="C17097" s="1" t="str">
        <f>HYPERLINK("http://stackoverflow.com/users/10317898", "user10317898")</f>
        <v>user10317898</v>
      </c>
      <c r="D17097" t="s">
        <v>4</v>
      </c>
      <c r="E17097">
        <v>1</v>
      </c>
    </row>
    <row r="17098" spans="1:5" x14ac:dyDescent="0.25">
      <c r="A17098">
        <v>17097</v>
      </c>
      <c r="B17098">
        <v>10317906</v>
      </c>
      <c r="C17098" s="1" t="str">
        <f>HYPERLINK("http://stackoverflow.com/users/10317906", "Zhenyu Han")</f>
        <v>Zhenyu Han</v>
      </c>
      <c r="D17098" t="s">
        <v>7</v>
      </c>
      <c r="E17098">
        <v>1</v>
      </c>
    </row>
    <row r="17099" spans="1:5" x14ac:dyDescent="0.25">
      <c r="A17099">
        <v>17098</v>
      </c>
      <c r="B17099">
        <v>3141202</v>
      </c>
      <c r="C17099" s="1" t="str">
        <f>HYPERLINK("http://stackoverflow.com/users/3141202", "xianglong")</f>
        <v>xianglong</v>
      </c>
      <c r="D17099" t="s">
        <v>7</v>
      </c>
      <c r="E17099">
        <v>1</v>
      </c>
    </row>
    <row r="17100" spans="1:5" x14ac:dyDescent="0.25">
      <c r="A17100">
        <v>17099</v>
      </c>
      <c r="B17100">
        <v>6681636</v>
      </c>
      <c r="C17100" s="1" t="str">
        <f>HYPERLINK("http://stackoverflow.com/users/6681636", "Tansy.dandan")</f>
        <v>Tansy.dandan</v>
      </c>
      <c r="D17100" t="s">
        <v>4</v>
      </c>
      <c r="E17100">
        <v>1</v>
      </c>
    </row>
    <row r="17101" spans="1:5" x14ac:dyDescent="0.25">
      <c r="A17101">
        <v>17100</v>
      </c>
      <c r="B17101">
        <v>8508982</v>
      </c>
      <c r="C17101" s="1" t="str">
        <f>HYPERLINK("http://stackoverflow.com/users/8508982", "simplesmall")</f>
        <v>simplesmall</v>
      </c>
      <c r="D17101" t="s">
        <v>932</v>
      </c>
      <c r="E17101">
        <v>1</v>
      </c>
    </row>
    <row r="17102" spans="1:5" x14ac:dyDescent="0.25">
      <c r="A17102">
        <v>17101</v>
      </c>
      <c r="B17102">
        <v>8509043</v>
      </c>
      <c r="C17102" s="1" t="str">
        <f>HYPERLINK("http://stackoverflow.com/users/8509043", "Kanhui Ho")</f>
        <v>Kanhui Ho</v>
      </c>
      <c r="D17102" t="s">
        <v>348</v>
      </c>
      <c r="E17102">
        <v>1</v>
      </c>
    </row>
    <row r="17103" spans="1:5" x14ac:dyDescent="0.25">
      <c r="A17103">
        <v>17102</v>
      </c>
      <c r="B17103">
        <v>8509070</v>
      </c>
      <c r="C17103" s="1" t="str">
        <f>HYPERLINK("http://stackoverflow.com/users/8509070", "Jason Li")</f>
        <v>Jason Li</v>
      </c>
      <c r="D17103" t="s">
        <v>74</v>
      </c>
      <c r="E17103">
        <v>1</v>
      </c>
    </row>
    <row r="17104" spans="1:5" x14ac:dyDescent="0.25">
      <c r="A17104">
        <v>17103</v>
      </c>
      <c r="B17104">
        <v>8509131</v>
      </c>
      <c r="C17104" s="1" t="str">
        <f>HYPERLINK("http://stackoverflow.com/users/8509131", "suetmui")</f>
        <v>suetmui</v>
      </c>
      <c r="D17104" t="s">
        <v>933</v>
      </c>
      <c r="E17104">
        <v>1</v>
      </c>
    </row>
    <row r="17105" spans="1:5" x14ac:dyDescent="0.25">
      <c r="A17105">
        <v>17104</v>
      </c>
      <c r="B17105">
        <v>8509156</v>
      </c>
      <c r="C17105" s="1" t="str">
        <f>HYPERLINK("http://stackoverflow.com/users/8509156", "Matt")</f>
        <v>Matt</v>
      </c>
      <c r="D17105" t="s">
        <v>5</v>
      </c>
      <c r="E17105">
        <v>1</v>
      </c>
    </row>
    <row r="17106" spans="1:5" x14ac:dyDescent="0.25">
      <c r="A17106">
        <v>17105</v>
      </c>
      <c r="B17106">
        <v>4963389</v>
      </c>
      <c r="C17106" s="1" t="str">
        <f>HYPERLINK("http://stackoverflow.com/users/4963389", "Jason Sun")</f>
        <v>Jason Sun</v>
      </c>
      <c r="D17106" t="s">
        <v>17</v>
      </c>
      <c r="E17106">
        <v>1</v>
      </c>
    </row>
    <row r="17107" spans="1:5" x14ac:dyDescent="0.25">
      <c r="A17107">
        <v>17106</v>
      </c>
      <c r="B17107">
        <v>4963400</v>
      </c>
      <c r="C17107" s="1" t="str">
        <f>HYPERLINK("http://stackoverflow.com/users/4963400", "Alvin Yeats")</f>
        <v>Alvin Yeats</v>
      </c>
      <c r="D17107" t="s">
        <v>4</v>
      </c>
      <c r="E17107">
        <v>1</v>
      </c>
    </row>
    <row r="17108" spans="1:5" x14ac:dyDescent="0.25">
      <c r="A17108">
        <v>17107</v>
      </c>
      <c r="B17108">
        <v>4963538</v>
      </c>
      <c r="C17108" s="1" t="str">
        <f>HYPERLINK("http://stackoverflow.com/users/4963538", "zzl81cn")</f>
        <v>zzl81cn</v>
      </c>
      <c r="D17108" t="s">
        <v>5</v>
      </c>
      <c r="E17108">
        <v>1</v>
      </c>
    </row>
    <row r="17109" spans="1:5" x14ac:dyDescent="0.25">
      <c r="A17109">
        <v>17108</v>
      </c>
      <c r="B17109">
        <v>3133843</v>
      </c>
      <c r="C17109" s="1" t="str">
        <f>HYPERLINK("http://stackoverflow.com/users/3133843", "Chen Tao")</f>
        <v>Chen Tao</v>
      </c>
      <c r="D17109" t="s">
        <v>17</v>
      </c>
      <c r="E17109">
        <v>1</v>
      </c>
    </row>
    <row r="17110" spans="1:5" x14ac:dyDescent="0.25">
      <c r="A17110">
        <v>17109</v>
      </c>
      <c r="B17110">
        <v>3133926</v>
      </c>
      <c r="C17110" s="1" t="str">
        <f>HYPERLINK("http://stackoverflow.com/users/3133926", "user3133926")</f>
        <v>user3133926</v>
      </c>
      <c r="D17110" t="s">
        <v>934</v>
      </c>
      <c r="E17110">
        <v>1</v>
      </c>
    </row>
    <row r="17111" spans="1:5" x14ac:dyDescent="0.25">
      <c r="A17111">
        <v>17110</v>
      </c>
      <c r="B17111">
        <v>10309664</v>
      </c>
      <c r="C17111" s="1" t="str">
        <f>HYPERLINK("http://stackoverflow.com/users/10309664", "buybutterlampplasticbottles")</f>
        <v>buybutterlampplasticbottles</v>
      </c>
      <c r="D17111" t="s">
        <v>935</v>
      </c>
      <c r="E17111">
        <v>1</v>
      </c>
    </row>
    <row r="17112" spans="1:5" x14ac:dyDescent="0.25">
      <c r="A17112">
        <v>17111</v>
      </c>
      <c r="B17112">
        <v>3134200</v>
      </c>
      <c r="C17112" s="1" t="str">
        <f>HYPERLINK("http://stackoverflow.com/users/3134200", "Hai")</f>
        <v>Hai</v>
      </c>
      <c r="D17112" t="s">
        <v>4</v>
      </c>
      <c r="E17112">
        <v>1</v>
      </c>
    </row>
    <row r="17113" spans="1:5" x14ac:dyDescent="0.25">
      <c r="A17113">
        <v>17112</v>
      </c>
      <c r="B17113">
        <v>10309353</v>
      </c>
      <c r="C17113" s="1" t="str">
        <f>HYPERLINK("http://stackoverflow.com/users/10309353", "zhouyn")</f>
        <v>zhouyn</v>
      </c>
      <c r="D17113" t="s">
        <v>62</v>
      </c>
      <c r="E17113">
        <v>1</v>
      </c>
    </row>
    <row r="17114" spans="1:5" x14ac:dyDescent="0.25">
      <c r="A17114">
        <v>17113</v>
      </c>
      <c r="B17114">
        <v>4953197</v>
      </c>
      <c r="C17114" s="1" t="str">
        <f>HYPERLINK("http://stackoverflow.com/users/4953197", "LiHao")</f>
        <v>LiHao</v>
      </c>
      <c r="D17114" t="s">
        <v>5</v>
      </c>
      <c r="E17114">
        <v>1</v>
      </c>
    </row>
    <row r="17115" spans="1:5" x14ac:dyDescent="0.25">
      <c r="A17115">
        <v>17114</v>
      </c>
      <c r="B17115">
        <v>4953308</v>
      </c>
      <c r="C17115" s="1" t="str">
        <f>HYPERLINK("http://stackoverflow.com/users/4953308", "Summer Xia")</f>
        <v>Summer Xia</v>
      </c>
      <c r="D17115" t="s">
        <v>4</v>
      </c>
      <c r="E17115">
        <v>1</v>
      </c>
    </row>
    <row r="17116" spans="1:5" x14ac:dyDescent="0.25">
      <c r="A17116">
        <v>17115</v>
      </c>
      <c r="B17116">
        <v>4953382</v>
      </c>
      <c r="C17116" s="1" t="str">
        <f>HYPERLINK("http://stackoverflow.com/users/4953382", "Derrick Sun")</f>
        <v>Derrick Sun</v>
      </c>
      <c r="D17116" t="s">
        <v>4</v>
      </c>
      <c r="E17116">
        <v>1</v>
      </c>
    </row>
    <row r="17117" spans="1:5" x14ac:dyDescent="0.25">
      <c r="A17117">
        <v>17116</v>
      </c>
      <c r="B17117">
        <v>4953710</v>
      </c>
      <c r="C17117" s="1" t="str">
        <f>HYPERLINK("http://stackoverflow.com/users/4953710", "Bush")</f>
        <v>Bush</v>
      </c>
      <c r="D17117" t="s">
        <v>5</v>
      </c>
      <c r="E17117">
        <v>1</v>
      </c>
    </row>
    <row r="17118" spans="1:5" x14ac:dyDescent="0.25">
      <c r="A17118">
        <v>17117</v>
      </c>
      <c r="B17118">
        <v>1194506</v>
      </c>
      <c r="C17118" s="1" t="str">
        <f>HYPERLINK("http://stackoverflow.com/users/1194506", "Neron.L")</f>
        <v>Neron.L</v>
      </c>
      <c r="D17118" t="s">
        <v>21</v>
      </c>
      <c r="E17118">
        <v>1</v>
      </c>
    </row>
    <row r="17119" spans="1:5" x14ac:dyDescent="0.25">
      <c r="A17119">
        <v>17118</v>
      </c>
      <c r="B17119">
        <v>10313834</v>
      </c>
      <c r="C17119" s="1" t="str">
        <f>HYPERLINK("http://stackoverflow.com/users/10313834", "ywhu")</f>
        <v>ywhu</v>
      </c>
      <c r="D17119" t="s">
        <v>4</v>
      </c>
      <c r="E17119">
        <v>1</v>
      </c>
    </row>
    <row r="17120" spans="1:5" x14ac:dyDescent="0.25">
      <c r="A17120">
        <v>17119</v>
      </c>
      <c r="B17120">
        <v>10317628</v>
      </c>
      <c r="C17120" s="1" t="str">
        <f>HYPERLINK("http://stackoverflow.com/users/10317628", "Chad")</f>
        <v>Chad</v>
      </c>
      <c r="D17120" t="s">
        <v>74</v>
      </c>
      <c r="E17120">
        <v>1</v>
      </c>
    </row>
    <row r="17121" spans="1:5" x14ac:dyDescent="0.25">
      <c r="A17121">
        <v>17120</v>
      </c>
      <c r="B17121">
        <v>10317703</v>
      </c>
      <c r="C17121" s="1" t="str">
        <f>HYPERLINK("http://stackoverflow.com/users/10317703", "Mervin")</f>
        <v>Mervin</v>
      </c>
      <c r="D17121" t="s">
        <v>28</v>
      </c>
      <c r="E17121">
        <v>1</v>
      </c>
    </row>
    <row r="17122" spans="1:5" x14ac:dyDescent="0.25">
      <c r="A17122">
        <v>17121</v>
      </c>
      <c r="B17122">
        <v>10317768</v>
      </c>
      <c r="C17122" s="1" t="str">
        <f>HYPERLINK("http://stackoverflow.com/users/10317768", "Osblow Wang")</f>
        <v>Osblow Wang</v>
      </c>
      <c r="D17122" t="s">
        <v>25</v>
      </c>
      <c r="E17122">
        <v>1</v>
      </c>
    </row>
    <row r="17123" spans="1:5" x14ac:dyDescent="0.25">
      <c r="A17123">
        <v>17122</v>
      </c>
      <c r="B17123">
        <v>3127126</v>
      </c>
      <c r="C17123" s="1" t="str">
        <f>HYPERLINK("http://stackoverflow.com/users/3127126", "Jack")</f>
        <v>Jack</v>
      </c>
      <c r="D17123" t="s">
        <v>4</v>
      </c>
      <c r="E17123">
        <v>1</v>
      </c>
    </row>
    <row r="17124" spans="1:5" x14ac:dyDescent="0.25">
      <c r="A17124">
        <v>17123</v>
      </c>
      <c r="B17124">
        <v>3127427</v>
      </c>
      <c r="C17124" s="1" t="str">
        <f>HYPERLINK("http://stackoverflow.com/users/3127427", "Joshua Zhou")</f>
        <v>Joshua Zhou</v>
      </c>
      <c r="D17124" t="s">
        <v>21</v>
      </c>
      <c r="E17124">
        <v>1</v>
      </c>
    </row>
    <row r="17125" spans="1:5" x14ac:dyDescent="0.25">
      <c r="A17125">
        <v>17124</v>
      </c>
      <c r="B17125">
        <v>8489895</v>
      </c>
      <c r="C17125" s="1" t="str">
        <f>HYPERLINK("http://stackoverflow.com/users/8489895", "Jan Chur")</f>
        <v>Jan Chur</v>
      </c>
      <c r="D17125" t="s">
        <v>25</v>
      </c>
      <c r="E17125">
        <v>1</v>
      </c>
    </row>
    <row r="17126" spans="1:5" x14ac:dyDescent="0.25">
      <c r="A17126">
        <v>17125</v>
      </c>
      <c r="B17126">
        <v>8489898</v>
      </c>
      <c r="C17126" s="1" t="str">
        <f>HYPERLINK("http://stackoverflow.com/users/8489898", "ZHENYA LIU")</f>
        <v>ZHENYA LIU</v>
      </c>
      <c r="D17126" t="s">
        <v>55</v>
      </c>
      <c r="E17126">
        <v>1</v>
      </c>
    </row>
    <row r="17127" spans="1:5" x14ac:dyDescent="0.25">
      <c r="A17127">
        <v>17126</v>
      </c>
      <c r="B17127">
        <v>10305391</v>
      </c>
      <c r="C17127" s="1" t="str">
        <f>HYPERLINK("http://stackoverflow.com/users/10305391", "XuYuwen")</f>
        <v>XuYuwen</v>
      </c>
      <c r="D17127" t="s">
        <v>76</v>
      </c>
      <c r="E17127">
        <v>1</v>
      </c>
    </row>
    <row r="17128" spans="1:5" x14ac:dyDescent="0.25">
      <c r="A17128">
        <v>17127</v>
      </c>
      <c r="B17128">
        <v>8492749</v>
      </c>
      <c r="C17128" s="1" t="str">
        <f>HYPERLINK("http://stackoverflow.com/users/8492749", "zero_faith")</f>
        <v>zero_faith</v>
      </c>
      <c r="D17128" t="s">
        <v>4</v>
      </c>
      <c r="E17128">
        <v>1</v>
      </c>
    </row>
    <row r="17129" spans="1:5" x14ac:dyDescent="0.25">
      <c r="A17129">
        <v>17128</v>
      </c>
      <c r="B17129">
        <v>8492781</v>
      </c>
      <c r="C17129" s="1" t="str">
        <f>HYPERLINK("http://stackoverflow.com/users/8492781", "yaoyechengming")</f>
        <v>yaoyechengming</v>
      </c>
      <c r="D17129" t="s">
        <v>4</v>
      </c>
      <c r="E17129">
        <v>1</v>
      </c>
    </row>
    <row r="17130" spans="1:5" x14ac:dyDescent="0.25">
      <c r="A17130">
        <v>17129</v>
      </c>
      <c r="B17130">
        <v>8492803</v>
      </c>
      <c r="C17130" s="1" t="str">
        <f>HYPERLINK("http://stackoverflow.com/users/8492803", "Bin Liu")</f>
        <v>Bin Liu</v>
      </c>
      <c r="D17130" t="s">
        <v>5</v>
      </c>
      <c r="E17130">
        <v>1</v>
      </c>
    </row>
    <row r="17131" spans="1:5" x14ac:dyDescent="0.25">
      <c r="A17131">
        <v>17130</v>
      </c>
      <c r="B17131">
        <v>8492846</v>
      </c>
      <c r="C17131" s="1" t="str">
        <f>HYPERLINK("http://stackoverflow.com/users/8492846", "Elynn")</f>
        <v>Elynn</v>
      </c>
      <c r="D17131" t="s">
        <v>5</v>
      </c>
      <c r="E17131">
        <v>1</v>
      </c>
    </row>
    <row r="17132" spans="1:5" x14ac:dyDescent="0.25">
      <c r="A17132">
        <v>17131</v>
      </c>
      <c r="B17132">
        <v>8492896</v>
      </c>
      <c r="C17132" s="1" t="str">
        <f>HYPERLINK("http://stackoverflow.com/users/8492896", "T. Gray")</f>
        <v>T. Gray</v>
      </c>
      <c r="D17132" t="s">
        <v>57</v>
      </c>
      <c r="E17132">
        <v>1</v>
      </c>
    </row>
    <row r="17133" spans="1:5" x14ac:dyDescent="0.25">
      <c r="A17133">
        <v>17132</v>
      </c>
      <c r="B17133">
        <v>8492920</v>
      </c>
      <c r="C17133" s="1" t="str">
        <f>HYPERLINK("http://stackoverflow.com/users/8492920", "WiFi_Uncle")</f>
        <v>WiFi_Uncle</v>
      </c>
      <c r="D17133" t="s">
        <v>29</v>
      </c>
      <c r="E17133">
        <v>1</v>
      </c>
    </row>
    <row r="17134" spans="1:5" x14ac:dyDescent="0.25">
      <c r="A17134">
        <v>17133</v>
      </c>
      <c r="B17134">
        <v>8493123</v>
      </c>
      <c r="C17134" s="1" t="str">
        <f>HYPERLINK("http://stackoverflow.com/users/8493123", "Mandy Zhao")</f>
        <v>Mandy Zhao</v>
      </c>
      <c r="D17134" t="s">
        <v>936</v>
      </c>
      <c r="E17134">
        <v>1</v>
      </c>
    </row>
    <row r="17135" spans="1:5" x14ac:dyDescent="0.25">
      <c r="A17135">
        <v>17134</v>
      </c>
      <c r="B17135">
        <v>8493180</v>
      </c>
      <c r="C17135" s="1" t="str">
        <f>HYPERLINK("http://stackoverflow.com/users/8493180", "niegang")</f>
        <v>niegang</v>
      </c>
      <c r="D17135" t="s">
        <v>4</v>
      </c>
      <c r="E17135">
        <v>1</v>
      </c>
    </row>
    <row r="17136" spans="1:5" x14ac:dyDescent="0.25">
      <c r="A17136">
        <v>17135</v>
      </c>
      <c r="B17136">
        <v>8493258</v>
      </c>
      <c r="C17136" s="1" t="str">
        <f>HYPERLINK("http://stackoverflow.com/users/8493258", "C.Guo")</f>
        <v>C.Guo</v>
      </c>
      <c r="D17136" t="s">
        <v>15</v>
      </c>
      <c r="E17136">
        <v>1</v>
      </c>
    </row>
    <row r="17137" spans="1:5" x14ac:dyDescent="0.25">
      <c r="A17137">
        <v>17136</v>
      </c>
      <c r="B17137">
        <v>8493392</v>
      </c>
      <c r="C17137" s="1" t="str">
        <f>HYPERLINK("http://stackoverflow.com/users/8493392", "qiang wang")</f>
        <v>qiang wang</v>
      </c>
      <c r="D17137" t="s">
        <v>5</v>
      </c>
      <c r="E17137">
        <v>1</v>
      </c>
    </row>
    <row r="17138" spans="1:5" x14ac:dyDescent="0.25">
      <c r="A17138">
        <v>17137</v>
      </c>
      <c r="B17138">
        <v>8493415</v>
      </c>
      <c r="C17138" s="1" t="str">
        <f>HYPERLINK("http://stackoverflow.com/users/8493415", "刘子军")</f>
        <v>刘子军</v>
      </c>
      <c r="D17138" t="s">
        <v>5</v>
      </c>
      <c r="E17138">
        <v>1</v>
      </c>
    </row>
    <row r="17139" spans="1:5" x14ac:dyDescent="0.25">
      <c r="A17139">
        <v>17138</v>
      </c>
      <c r="B17139">
        <v>3122592</v>
      </c>
      <c r="C17139" s="1" t="str">
        <f>HYPERLINK("http://stackoverflow.com/users/3122592", "user3122592")</f>
        <v>user3122592</v>
      </c>
      <c r="D17139" t="s">
        <v>12</v>
      </c>
      <c r="E17139">
        <v>1</v>
      </c>
    </row>
    <row r="17140" spans="1:5" x14ac:dyDescent="0.25">
      <c r="A17140">
        <v>17139</v>
      </c>
      <c r="B17140">
        <v>1169362</v>
      </c>
      <c r="C17140" s="1" t="str">
        <f>HYPERLINK("http://stackoverflow.com/users/1169362", "philbar")</f>
        <v>philbar</v>
      </c>
      <c r="D17140" t="s">
        <v>8</v>
      </c>
      <c r="E17140">
        <v>1</v>
      </c>
    </row>
    <row r="17141" spans="1:5" x14ac:dyDescent="0.25">
      <c r="A17141">
        <v>17140</v>
      </c>
      <c r="B17141">
        <v>6662647</v>
      </c>
      <c r="C17141" s="1" t="str">
        <f>HYPERLINK("http://stackoverflow.com/users/6662647", "zgu")</f>
        <v>zgu</v>
      </c>
      <c r="D17141" t="s">
        <v>43</v>
      </c>
      <c r="E17141">
        <v>1</v>
      </c>
    </row>
    <row r="17142" spans="1:5" x14ac:dyDescent="0.25">
      <c r="A17142">
        <v>17141</v>
      </c>
      <c r="B17142">
        <v>10302356</v>
      </c>
      <c r="C17142" s="1" t="str">
        <f>HYPERLINK("http://stackoverflow.com/users/10302356", "Albert Xu")</f>
        <v>Albert Xu</v>
      </c>
      <c r="D17142" t="s">
        <v>4</v>
      </c>
      <c r="E17142">
        <v>1</v>
      </c>
    </row>
    <row r="17143" spans="1:5" x14ac:dyDescent="0.25">
      <c r="A17143">
        <v>17142</v>
      </c>
      <c r="B17143">
        <v>3119140</v>
      </c>
      <c r="C17143" s="1" t="str">
        <f>HYPERLINK("http://stackoverflow.com/users/3119140", "hemphries")</f>
        <v>hemphries</v>
      </c>
      <c r="D17143" t="s">
        <v>5</v>
      </c>
      <c r="E17143">
        <v>1</v>
      </c>
    </row>
    <row r="17144" spans="1:5" x14ac:dyDescent="0.25">
      <c r="A17144">
        <v>17143</v>
      </c>
      <c r="B17144">
        <v>10293900</v>
      </c>
      <c r="C17144" s="1" t="str">
        <f>HYPERLINK("http://stackoverflow.com/users/10293900", "lebronze")</f>
        <v>lebronze</v>
      </c>
      <c r="D17144" t="s">
        <v>302</v>
      </c>
      <c r="E17144">
        <v>1</v>
      </c>
    </row>
    <row r="17145" spans="1:5" x14ac:dyDescent="0.25">
      <c r="A17145">
        <v>17144</v>
      </c>
      <c r="B17145">
        <v>3119030</v>
      </c>
      <c r="C17145" s="1" t="str">
        <f>HYPERLINK("http://stackoverflow.com/users/3119030", "sanshanchuns")</f>
        <v>sanshanchuns</v>
      </c>
      <c r="D17145" t="s">
        <v>4</v>
      </c>
      <c r="E17145">
        <v>1</v>
      </c>
    </row>
    <row r="17146" spans="1:5" x14ac:dyDescent="0.25">
      <c r="A17146">
        <v>17145</v>
      </c>
      <c r="B17146">
        <v>1141161</v>
      </c>
      <c r="C17146" s="1" t="str">
        <f>HYPERLINK("http://stackoverflow.com/users/1141161", "yosaku01")</f>
        <v>yosaku01</v>
      </c>
      <c r="D17146" t="s">
        <v>4</v>
      </c>
      <c r="E17146">
        <v>1</v>
      </c>
    </row>
    <row r="17147" spans="1:5" x14ac:dyDescent="0.25">
      <c r="A17147">
        <v>17146</v>
      </c>
      <c r="B17147">
        <v>3105818</v>
      </c>
      <c r="C17147" s="1" t="str">
        <f>HYPERLINK("http://stackoverflow.com/users/3105818", "luguilong")</f>
        <v>luguilong</v>
      </c>
      <c r="D17147" t="s">
        <v>17</v>
      </c>
      <c r="E17147">
        <v>1</v>
      </c>
    </row>
    <row r="17148" spans="1:5" x14ac:dyDescent="0.25">
      <c r="A17148">
        <v>17147</v>
      </c>
      <c r="B17148">
        <v>3105918</v>
      </c>
      <c r="C17148" s="1" t="str">
        <f>HYPERLINK("http://stackoverflow.com/users/3105918", "longdw")</f>
        <v>longdw</v>
      </c>
      <c r="D17148" t="s">
        <v>48</v>
      </c>
      <c r="E17148">
        <v>1</v>
      </c>
    </row>
    <row r="17149" spans="1:5" x14ac:dyDescent="0.25">
      <c r="A17149">
        <v>17148</v>
      </c>
      <c r="B17149">
        <v>3106029</v>
      </c>
      <c r="C17149" s="1" t="str">
        <f>HYPERLINK("http://stackoverflow.com/users/3106029", "Sevenv")</f>
        <v>Sevenv</v>
      </c>
      <c r="D17149" t="s">
        <v>21</v>
      </c>
      <c r="E17149">
        <v>1</v>
      </c>
    </row>
    <row r="17150" spans="1:5" x14ac:dyDescent="0.25">
      <c r="A17150">
        <v>17149</v>
      </c>
      <c r="B17150">
        <v>1142261</v>
      </c>
      <c r="C17150" s="1" t="str">
        <f>HYPERLINK("http://stackoverflow.com/users/1142261", "N.G")</f>
        <v>N.G</v>
      </c>
      <c r="D17150" t="s">
        <v>38</v>
      </c>
      <c r="E17150">
        <v>1</v>
      </c>
    </row>
    <row r="17151" spans="1:5" x14ac:dyDescent="0.25">
      <c r="A17151">
        <v>17150</v>
      </c>
      <c r="B17151">
        <v>1150290</v>
      </c>
      <c r="C17151" s="1" t="str">
        <f>HYPERLINK("http://stackoverflow.com/users/1150290", "kinozenc")</f>
        <v>kinozenc</v>
      </c>
      <c r="D17151" t="s">
        <v>54</v>
      </c>
      <c r="E17151">
        <v>1</v>
      </c>
    </row>
    <row r="17152" spans="1:5" x14ac:dyDescent="0.25">
      <c r="A17152">
        <v>17151</v>
      </c>
      <c r="B17152">
        <v>8472210</v>
      </c>
      <c r="C17152" s="1" t="str">
        <f>HYPERLINK("http://stackoverflow.com/users/8472210", "WatchY")</f>
        <v>WatchY</v>
      </c>
      <c r="D17152" t="s">
        <v>120</v>
      </c>
      <c r="E17152">
        <v>1</v>
      </c>
    </row>
    <row r="17153" spans="1:5" x14ac:dyDescent="0.25">
      <c r="A17153">
        <v>17152</v>
      </c>
      <c r="B17153">
        <v>3110590</v>
      </c>
      <c r="C17153" s="1" t="str">
        <f>HYPERLINK("http://stackoverflow.com/users/3110590", "eoeforname")</f>
        <v>eoeforname</v>
      </c>
      <c r="D17153" t="s">
        <v>12</v>
      </c>
      <c r="E17153">
        <v>1</v>
      </c>
    </row>
    <row r="17154" spans="1:5" x14ac:dyDescent="0.25">
      <c r="A17154">
        <v>17153</v>
      </c>
      <c r="B17154">
        <v>1161983</v>
      </c>
      <c r="C17154" s="1" t="str">
        <f>HYPERLINK("http://stackoverflow.com/users/1161983", "Pei")</f>
        <v>Pei</v>
      </c>
      <c r="D17154" t="s">
        <v>57</v>
      </c>
      <c r="E17154">
        <v>1</v>
      </c>
    </row>
    <row r="17155" spans="1:5" x14ac:dyDescent="0.25">
      <c r="A17155">
        <v>17154</v>
      </c>
      <c r="B17155">
        <v>3113620</v>
      </c>
      <c r="C17155" s="1" t="str">
        <f>HYPERLINK("http://stackoverflow.com/users/3113620", "wavky wand")</f>
        <v>wavky wand</v>
      </c>
      <c r="D17155" t="s">
        <v>293</v>
      </c>
      <c r="E17155">
        <v>1</v>
      </c>
    </row>
    <row r="17156" spans="1:5" x14ac:dyDescent="0.25">
      <c r="A17156">
        <v>17155</v>
      </c>
      <c r="B17156">
        <v>3113642</v>
      </c>
      <c r="C17156" s="1" t="str">
        <f>HYPERLINK("http://stackoverflow.com/users/3113642", "Zhijinag Dong")</f>
        <v>Zhijinag Dong</v>
      </c>
      <c r="D17156" t="s">
        <v>5</v>
      </c>
      <c r="E17156">
        <v>1</v>
      </c>
    </row>
    <row r="17157" spans="1:5" x14ac:dyDescent="0.25">
      <c r="A17157">
        <v>17156</v>
      </c>
      <c r="B17157">
        <v>3113681</v>
      </c>
      <c r="C17157" s="1" t="str">
        <f>HYPERLINK("http://stackoverflow.com/users/3113681", "kycool")</f>
        <v>kycool</v>
      </c>
      <c r="D17157" t="s">
        <v>21</v>
      </c>
      <c r="E17157">
        <v>1</v>
      </c>
    </row>
    <row r="17158" spans="1:5" x14ac:dyDescent="0.25">
      <c r="A17158">
        <v>17157</v>
      </c>
      <c r="B17158">
        <v>3113718</v>
      </c>
      <c r="C17158" s="1" t="str">
        <f>HYPERLINK("http://stackoverflow.com/users/3113718", "Jeremy")</f>
        <v>Jeremy</v>
      </c>
      <c r="D17158" t="s">
        <v>54</v>
      </c>
      <c r="E17158">
        <v>1</v>
      </c>
    </row>
    <row r="17159" spans="1:5" x14ac:dyDescent="0.25">
      <c r="A17159">
        <v>17158</v>
      </c>
      <c r="B17159">
        <v>3113746</v>
      </c>
      <c r="C17159" s="1" t="str">
        <f>HYPERLINK("http://stackoverflow.com/users/3113746", "高顺生")</f>
        <v>高顺生</v>
      </c>
      <c r="D17159" t="s">
        <v>5</v>
      </c>
      <c r="E17159">
        <v>1</v>
      </c>
    </row>
    <row r="17160" spans="1:5" x14ac:dyDescent="0.25">
      <c r="A17160">
        <v>17159</v>
      </c>
      <c r="B17160">
        <v>3113939</v>
      </c>
      <c r="C17160" s="1" t="str">
        <f>HYPERLINK("http://stackoverflow.com/users/3113939", "i-Android")</f>
        <v>i-Android</v>
      </c>
      <c r="D17160" t="s">
        <v>16</v>
      </c>
      <c r="E17160">
        <v>1</v>
      </c>
    </row>
    <row r="17161" spans="1:5" x14ac:dyDescent="0.25">
      <c r="A17161">
        <v>17160</v>
      </c>
      <c r="B17161">
        <v>3114014</v>
      </c>
      <c r="C17161" s="1" t="str">
        <f>HYPERLINK("http://stackoverflow.com/users/3114014", "Ben")</f>
        <v>Ben</v>
      </c>
      <c r="D17161" t="s">
        <v>17</v>
      </c>
      <c r="E17161">
        <v>1</v>
      </c>
    </row>
    <row r="17162" spans="1:5" x14ac:dyDescent="0.25">
      <c r="A17162">
        <v>17161</v>
      </c>
      <c r="B17162">
        <v>3114265</v>
      </c>
      <c r="C17162" s="1" t="str">
        <f>HYPERLINK("http://stackoverflow.com/users/3114265", "吴发亮")</f>
        <v>吴发亮</v>
      </c>
      <c r="D17162" t="s">
        <v>4</v>
      </c>
      <c r="E17162">
        <v>1</v>
      </c>
    </row>
    <row r="17163" spans="1:5" x14ac:dyDescent="0.25">
      <c r="A17163">
        <v>17162</v>
      </c>
      <c r="B17163">
        <v>8475752</v>
      </c>
      <c r="C17163" s="1" t="str">
        <f>HYPERLINK("http://stackoverflow.com/users/8475752", "Mr.Frank")</f>
        <v>Mr.Frank</v>
      </c>
      <c r="D17163" t="s">
        <v>16</v>
      </c>
      <c r="E17163">
        <v>1</v>
      </c>
    </row>
    <row r="17164" spans="1:5" x14ac:dyDescent="0.25">
      <c r="A17164">
        <v>17163</v>
      </c>
      <c r="B17164">
        <v>8475784</v>
      </c>
      <c r="C17164" s="1" t="str">
        <f>HYPERLINK("http://stackoverflow.com/users/8475784", "Charlie Wang")</f>
        <v>Charlie Wang</v>
      </c>
      <c r="D17164" t="s">
        <v>4</v>
      </c>
      <c r="E17164">
        <v>1</v>
      </c>
    </row>
    <row r="17165" spans="1:5" x14ac:dyDescent="0.25">
      <c r="A17165">
        <v>17164</v>
      </c>
      <c r="B17165">
        <v>8476113</v>
      </c>
      <c r="C17165" s="1" t="str">
        <f>HYPERLINK("http://stackoverflow.com/users/8476113", "yu.li")</f>
        <v>yu.li</v>
      </c>
      <c r="D17165" t="s">
        <v>937</v>
      </c>
      <c r="E17165">
        <v>1</v>
      </c>
    </row>
    <row r="17166" spans="1:5" x14ac:dyDescent="0.25">
      <c r="A17166">
        <v>17165</v>
      </c>
      <c r="B17166">
        <v>10268015</v>
      </c>
      <c r="C17166" s="1" t="str">
        <f>HYPERLINK("http://stackoverflow.com/users/10268015", "Albert Peng")</f>
        <v>Albert Peng</v>
      </c>
      <c r="D17166" t="s">
        <v>4</v>
      </c>
      <c r="E17166">
        <v>1</v>
      </c>
    </row>
    <row r="17167" spans="1:5" x14ac:dyDescent="0.25">
      <c r="A17167">
        <v>17166</v>
      </c>
      <c r="B17167">
        <v>8454291</v>
      </c>
      <c r="C17167" s="1" t="str">
        <f>HYPERLINK("http://stackoverflow.com/users/8454291", "JT SHI")</f>
        <v>JT SHI</v>
      </c>
      <c r="D17167" t="s">
        <v>55</v>
      </c>
      <c r="E17167">
        <v>1</v>
      </c>
    </row>
    <row r="17168" spans="1:5" x14ac:dyDescent="0.25">
      <c r="A17168">
        <v>17167</v>
      </c>
      <c r="B17168">
        <v>8450295</v>
      </c>
      <c r="C17168" s="1" t="str">
        <f>HYPERLINK("http://stackoverflow.com/users/8450295", "Srikant Varadaraj")</f>
        <v>Srikant Varadaraj</v>
      </c>
      <c r="D17168" t="s">
        <v>5</v>
      </c>
      <c r="E17168">
        <v>1</v>
      </c>
    </row>
    <row r="17169" spans="1:5" x14ac:dyDescent="0.25">
      <c r="A17169">
        <v>17168</v>
      </c>
      <c r="B17169">
        <v>3094238</v>
      </c>
      <c r="C17169" s="1" t="str">
        <f>HYPERLINK("http://stackoverflow.com/users/3094238", "webmaster")</f>
        <v>webmaster</v>
      </c>
      <c r="D17169" t="s">
        <v>4</v>
      </c>
      <c r="E17169">
        <v>1</v>
      </c>
    </row>
    <row r="17170" spans="1:5" x14ac:dyDescent="0.25">
      <c r="A17170">
        <v>17169</v>
      </c>
      <c r="B17170">
        <v>3094241</v>
      </c>
      <c r="C17170" s="1" t="str">
        <f>HYPERLINK("http://stackoverflow.com/users/3094241", "user3094241")</f>
        <v>user3094241</v>
      </c>
      <c r="D17170" t="s">
        <v>54</v>
      </c>
      <c r="E17170">
        <v>1</v>
      </c>
    </row>
    <row r="17171" spans="1:5" x14ac:dyDescent="0.25">
      <c r="A17171">
        <v>17170</v>
      </c>
      <c r="B17171">
        <v>3094452</v>
      </c>
      <c r="C17171" s="1" t="str">
        <f>HYPERLINK("http://stackoverflow.com/users/3094452", "Bevis")</f>
        <v>Bevis</v>
      </c>
      <c r="D17171" t="s">
        <v>15</v>
      </c>
      <c r="E17171">
        <v>1</v>
      </c>
    </row>
    <row r="17172" spans="1:5" x14ac:dyDescent="0.25">
      <c r="A17172">
        <v>17171</v>
      </c>
      <c r="B17172">
        <v>6638839</v>
      </c>
      <c r="C17172" s="1" t="str">
        <f>HYPERLINK("http://stackoverflow.com/users/6638839", "ChestnutHeng")</f>
        <v>ChestnutHeng</v>
      </c>
      <c r="D17172" t="s">
        <v>938</v>
      </c>
      <c r="E17172">
        <v>1</v>
      </c>
    </row>
    <row r="17173" spans="1:5" x14ac:dyDescent="0.25">
      <c r="A17173">
        <v>17172</v>
      </c>
      <c r="B17173">
        <v>6638872</v>
      </c>
      <c r="C17173" s="1" t="str">
        <f>HYPERLINK("http://stackoverflow.com/users/6638872", "lwh")</f>
        <v>lwh</v>
      </c>
      <c r="D17173" t="s">
        <v>5</v>
      </c>
      <c r="E17173">
        <v>1</v>
      </c>
    </row>
    <row r="17174" spans="1:5" x14ac:dyDescent="0.25">
      <c r="A17174">
        <v>17173</v>
      </c>
      <c r="B17174">
        <v>6639154</v>
      </c>
      <c r="C17174" s="1" t="str">
        <f>HYPERLINK("http://stackoverflow.com/users/6639154", "Wei Zhou")</f>
        <v>Wei Zhou</v>
      </c>
      <c r="D17174" t="s">
        <v>5</v>
      </c>
      <c r="E17174">
        <v>1</v>
      </c>
    </row>
    <row r="17175" spans="1:5" x14ac:dyDescent="0.25">
      <c r="A17175">
        <v>17174</v>
      </c>
      <c r="B17175">
        <v>1127301</v>
      </c>
      <c r="C17175" s="1" t="str">
        <f>HYPERLINK("http://stackoverflow.com/users/1127301", "李亚夫")</f>
        <v>李亚夫</v>
      </c>
      <c r="D17175" t="s">
        <v>4</v>
      </c>
      <c r="E17175">
        <v>1</v>
      </c>
    </row>
    <row r="17176" spans="1:5" x14ac:dyDescent="0.25">
      <c r="A17176">
        <v>17175</v>
      </c>
      <c r="B17176">
        <v>4912548</v>
      </c>
      <c r="C17176" s="1" t="str">
        <f>HYPERLINK("http://stackoverflow.com/users/4912548", "段方伟")</f>
        <v>段方伟</v>
      </c>
      <c r="D17176" t="s">
        <v>4</v>
      </c>
      <c r="E17176">
        <v>1</v>
      </c>
    </row>
    <row r="17177" spans="1:5" x14ac:dyDescent="0.25">
      <c r="A17177">
        <v>17176</v>
      </c>
      <c r="B17177">
        <v>8458700</v>
      </c>
      <c r="C17177" s="1" t="str">
        <f>HYPERLINK("http://stackoverflow.com/users/8458700", "Grobovski")</f>
        <v>Grobovski</v>
      </c>
      <c r="D17177" t="s">
        <v>25</v>
      </c>
      <c r="E17177">
        <v>1</v>
      </c>
    </row>
    <row r="17178" spans="1:5" x14ac:dyDescent="0.25">
      <c r="A17178">
        <v>17177</v>
      </c>
      <c r="B17178">
        <v>3094532</v>
      </c>
      <c r="C17178" s="1" t="str">
        <f>HYPERLINK("http://stackoverflow.com/users/3094532", "waitinghope")</f>
        <v>waitinghope</v>
      </c>
      <c r="D17178" t="s">
        <v>5</v>
      </c>
      <c r="E17178">
        <v>1</v>
      </c>
    </row>
    <row r="17179" spans="1:5" x14ac:dyDescent="0.25">
      <c r="A17179">
        <v>17178</v>
      </c>
      <c r="B17179">
        <v>3094725</v>
      </c>
      <c r="C17179" s="1" t="str">
        <f>HYPERLINK("http://stackoverflow.com/users/3094725", "mac0ne")</f>
        <v>mac0ne</v>
      </c>
      <c r="D17179" t="s">
        <v>57</v>
      </c>
      <c r="E17179">
        <v>1</v>
      </c>
    </row>
    <row r="17180" spans="1:5" x14ac:dyDescent="0.25">
      <c r="A17180">
        <v>17179</v>
      </c>
      <c r="B17180">
        <v>1135563</v>
      </c>
      <c r="C17180" s="1" t="str">
        <f>HYPERLINK("http://stackoverflow.com/users/1135563", "KaiYun")</f>
        <v>KaiYun</v>
      </c>
      <c r="D17180" t="s">
        <v>4</v>
      </c>
      <c r="E17180">
        <v>1</v>
      </c>
    </row>
    <row r="17181" spans="1:5" x14ac:dyDescent="0.25">
      <c r="A17181">
        <v>17180</v>
      </c>
      <c r="B17181">
        <v>10276204</v>
      </c>
      <c r="C17181" s="1" t="str">
        <f>HYPERLINK("http://stackoverflow.com/users/10276204", "Lucka")</f>
        <v>Lucka</v>
      </c>
      <c r="D17181" t="s">
        <v>54</v>
      </c>
      <c r="E17181">
        <v>1</v>
      </c>
    </row>
    <row r="17182" spans="1:5" x14ac:dyDescent="0.25">
      <c r="A17182">
        <v>17181</v>
      </c>
      <c r="B17182">
        <v>10276333</v>
      </c>
      <c r="C17182" s="1" t="str">
        <f>HYPERLINK("http://stackoverflow.com/users/10276333", "Jack Hwo")</f>
        <v>Jack Hwo</v>
      </c>
      <c r="D17182" t="s">
        <v>13</v>
      </c>
      <c r="E17182">
        <v>1</v>
      </c>
    </row>
    <row r="17183" spans="1:5" x14ac:dyDescent="0.25">
      <c r="A17183">
        <v>17182</v>
      </c>
      <c r="B17183">
        <v>10276473</v>
      </c>
      <c r="C17183" s="1" t="str">
        <f>HYPERLINK("http://stackoverflow.com/users/10276473", "Wray Chen")</f>
        <v>Wray Chen</v>
      </c>
      <c r="D17183" t="s">
        <v>25</v>
      </c>
      <c r="E17183">
        <v>1</v>
      </c>
    </row>
    <row r="17184" spans="1:5" x14ac:dyDescent="0.25">
      <c r="A17184">
        <v>17183</v>
      </c>
      <c r="B17184">
        <v>10276512</v>
      </c>
      <c r="C17184" s="1" t="str">
        <f>HYPERLINK("http://stackoverflow.com/users/10276512", "Chris Mai")</f>
        <v>Chris Mai</v>
      </c>
      <c r="D17184" t="s">
        <v>939</v>
      </c>
      <c r="E17184">
        <v>1</v>
      </c>
    </row>
    <row r="17185" spans="1:5" x14ac:dyDescent="0.25">
      <c r="A17185">
        <v>17184</v>
      </c>
      <c r="B17185">
        <v>1129378</v>
      </c>
      <c r="C17185" s="1" t="str">
        <f>HYPERLINK("http://stackoverflow.com/users/1129378", "Aquietzero")</f>
        <v>Aquietzero</v>
      </c>
      <c r="D17185" t="s">
        <v>21</v>
      </c>
      <c r="E17185">
        <v>1</v>
      </c>
    </row>
    <row r="17186" spans="1:5" x14ac:dyDescent="0.25">
      <c r="A17186">
        <v>17185</v>
      </c>
      <c r="B17186">
        <v>3102342</v>
      </c>
      <c r="C17186" s="1" t="str">
        <f>HYPERLINK("http://stackoverflow.com/users/3102342", "Ethan Jia")</f>
        <v>Ethan Jia</v>
      </c>
      <c r="D17186" t="s">
        <v>73</v>
      </c>
      <c r="E17186">
        <v>1</v>
      </c>
    </row>
    <row r="17187" spans="1:5" x14ac:dyDescent="0.25">
      <c r="A17187">
        <v>17186</v>
      </c>
      <c r="B17187">
        <v>1128035</v>
      </c>
      <c r="C17187" s="1" t="str">
        <f>HYPERLINK("http://stackoverflow.com/users/1128035", "hufeng")</f>
        <v>hufeng</v>
      </c>
      <c r="D17187" t="s">
        <v>37</v>
      </c>
      <c r="E17187">
        <v>1</v>
      </c>
    </row>
    <row r="17188" spans="1:5" x14ac:dyDescent="0.25">
      <c r="A17188">
        <v>17187</v>
      </c>
      <c r="B17188">
        <v>10272572</v>
      </c>
      <c r="C17188" s="1" t="str">
        <f>HYPERLINK("http://stackoverflow.com/users/10272572", "providelightningrods")</f>
        <v>providelightningrods</v>
      </c>
      <c r="D17188" t="s">
        <v>940</v>
      </c>
      <c r="E17188">
        <v>1</v>
      </c>
    </row>
    <row r="17189" spans="1:5" x14ac:dyDescent="0.25">
      <c r="A17189">
        <v>17188</v>
      </c>
      <c r="B17189">
        <v>10272634</v>
      </c>
      <c r="C17189" s="1" t="str">
        <f>HYPERLINK("http://stackoverflow.com/users/10272634", "jerryMouse")</f>
        <v>jerryMouse</v>
      </c>
      <c r="D17189" t="s">
        <v>16</v>
      </c>
      <c r="E17189">
        <v>1</v>
      </c>
    </row>
    <row r="17190" spans="1:5" x14ac:dyDescent="0.25">
      <c r="A17190">
        <v>17189</v>
      </c>
      <c r="B17190">
        <v>8462753</v>
      </c>
      <c r="C17190" s="1" t="str">
        <f>HYPERLINK("http://stackoverflow.com/users/8462753", "Junnan Liu")</f>
        <v>Junnan Liu</v>
      </c>
      <c r="D17190" t="s">
        <v>131</v>
      </c>
      <c r="E17190">
        <v>1</v>
      </c>
    </row>
    <row r="17191" spans="1:5" x14ac:dyDescent="0.25">
      <c r="A17191">
        <v>17190</v>
      </c>
      <c r="B17191">
        <v>8463019</v>
      </c>
      <c r="C17191" s="1" t="str">
        <f>HYPERLINK("http://stackoverflow.com/users/8463019", "Hongtao.Li")</f>
        <v>Hongtao.Li</v>
      </c>
      <c r="D17191" t="s">
        <v>5</v>
      </c>
      <c r="E17191">
        <v>1</v>
      </c>
    </row>
    <row r="17192" spans="1:5" x14ac:dyDescent="0.25">
      <c r="A17192">
        <v>17191</v>
      </c>
      <c r="B17192">
        <v>1287290</v>
      </c>
      <c r="C17192" s="1" t="str">
        <f>HYPERLINK("http://stackoverflow.com/users/1287290", "Younger Shen")</f>
        <v>Younger Shen</v>
      </c>
      <c r="D17192" t="s">
        <v>941</v>
      </c>
      <c r="E17192">
        <v>1</v>
      </c>
    </row>
    <row r="17193" spans="1:5" x14ac:dyDescent="0.25">
      <c r="A17193">
        <v>17192</v>
      </c>
      <c r="B17193">
        <v>3193263</v>
      </c>
      <c r="C17193" s="1" t="str">
        <f>HYPERLINK("http://stackoverflow.com/users/3193263", "kookus")</f>
        <v>kookus</v>
      </c>
      <c r="D17193" t="s">
        <v>5</v>
      </c>
      <c r="E17193">
        <v>1</v>
      </c>
    </row>
    <row r="17194" spans="1:5" x14ac:dyDescent="0.25">
      <c r="A17194">
        <v>17193</v>
      </c>
      <c r="B17194">
        <v>3193310</v>
      </c>
      <c r="C17194" s="1" t="str">
        <f>HYPERLINK("http://stackoverflow.com/users/3193310", "RobinsonWang")</f>
        <v>RobinsonWang</v>
      </c>
      <c r="D17194" t="s">
        <v>12</v>
      </c>
      <c r="E17194">
        <v>1</v>
      </c>
    </row>
    <row r="17195" spans="1:5" x14ac:dyDescent="0.25">
      <c r="A17195">
        <v>17194</v>
      </c>
      <c r="B17195">
        <v>3193411</v>
      </c>
      <c r="C17195" s="1" t="str">
        <f>HYPERLINK("http://stackoverflow.com/users/3193411", "caohongfei881")</f>
        <v>caohongfei881</v>
      </c>
      <c r="D17195" t="s">
        <v>37</v>
      </c>
      <c r="E17195">
        <v>1</v>
      </c>
    </row>
    <row r="17196" spans="1:5" x14ac:dyDescent="0.25">
      <c r="A17196">
        <v>17195</v>
      </c>
      <c r="B17196">
        <v>3193468</v>
      </c>
      <c r="C17196" s="1" t="str">
        <f>HYPERLINK("http://stackoverflow.com/users/3193468", "zior")</f>
        <v>zior</v>
      </c>
      <c r="D17196" t="s">
        <v>5</v>
      </c>
      <c r="E17196">
        <v>1</v>
      </c>
    </row>
    <row r="17197" spans="1:5" x14ac:dyDescent="0.25">
      <c r="A17197">
        <v>17196</v>
      </c>
      <c r="B17197">
        <v>8558830</v>
      </c>
      <c r="C17197" s="1" t="str">
        <f>HYPERLINK("http://stackoverflow.com/users/8558830", "sunranlb")</f>
        <v>sunranlb</v>
      </c>
      <c r="D17197" t="s">
        <v>5</v>
      </c>
      <c r="E17197">
        <v>1</v>
      </c>
    </row>
    <row r="17198" spans="1:5" x14ac:dyDescent="0.25">
      <c r="A17198">
        <v>17197</v>
      </c>
      <c r="B17198">
        <v>8559250</v>
      </c>
      <c r="C17198" s="1" t="str">
        <f>HYPERLINK("http://stackoverflow.com/users/8559250", "Chi-Yeung Law")</f>
        <v>Chi-Yeung Law</v>
      </c>
      <c r="D17198" t="s">
        <v>25</v>
      </c>
      <c r="E17198">
        <v>1</v>
      </c>
    </row>
    <row r="17199" spans="1:5" x14ac:dyDescent="0.25">
      <c r="A17199">
        <v>17198</v>
      </c>
      <c r="B17199">
        <v>8562621</v>
      </c>
      <c r="C17199" s="1" t="str">
        <f>HYPERLINK("http://stackoverflow.com/users/8562621", "hzc")</f>
        <v>hzc</v>
      </c>
      <c r="D17199" t="s">
        <v>7</v>
      </c>
      <c r="E17199">
        <v>1</v>
      </c>
    </row>
    <row r="17200" spans="1:5" x14ac:dyDescent="0.25">
      <c r="A17200">
        <v>17199</v>
      </c>
      <c r="B17200">
        <v>5008824</v>
      </c>
      <c r="C17200" s="1" t="str">
        <f>HYPERLINK("http://stackoverflow.com/users/5008824", "David Hsu")</f>
        <v>David Hsu</v>
      </c>
      <c r="D17200" t="s">
        <v>4</v>
      </c>
      <c r="E17200">
        <v>1</v>
      </c>
    </row>
    <row r="17201" spans="1:5" x14ac:dyDescent="0.25">
      <c r="A17201">
        <v>17200</v>
      </c>
      <c r="B17201">
        <v>8566651</v>
      </c>
      <c r="C17201" s="1" t="str">
        <f>HYPERLINK("http://stackoverflow.com/users/8566651", "taylor simon")</f>
        <v>taylor simon</v>
      </c>
      <c r="D17201" t="s">
        <v>16</v>
      </c>
      <c r="E17201">
        <v>1</v>
      </c>
    </row>
    <row r="17202" spans="1:5" x14ac:dyDescent="0.25">
      <c r="A17202">
        <v>17201</v>
      </c>
      <c r="B17202">
        <v>8566654</v>
      </c>
      <c r="C17202" s="1" t="str">
        <f>HYPERLINK("http://stackoverflow.com/users/8566654", "wj p")</f>
        <v>wj p</v>
      </c>
      <c r="D17202" t="s">
        <v>192</v>
      </c>
      <c r="E17202">
        <v>1</v>
      </c>
    </row>
    <row r="17203" spans="1:5" x14ac:dyDescent="0.25">
      <c r="A17203">
        <v>17202</v>
      </c>
      <c r="B17203">
        <v>1287847</v>
      </c>
      <c r="C17203" s="1" t="str">
        <f>HYPERLINK("http://stackoverflow.com/users/1287847", "ntesXiaosheng")</f>
        <v>ntesXiaosheng</v>
      </c>
      <c r="D17203" t="s">
        <v>12</v>
      </c>
      <c r="E17203">
        <v>1</v>
      </c>
    </row>
    <row r="17204" spans="1:5" x14ac:dyDescent="0.25">
      <c r="A17204">
        <v>17203</v>
      </c>
      <c r="B17204">
        <v>8562078</v>
      </c>
      <c r="C17204" s="1" t="str">
        <f>HYPERLINK("http://stackoverflow.com/users/8562078", "zq70101")</f>
        <v>zq70101</v>
      </c>
      <c r="D17204" t="s">
        <v>942</v>
      </c>
      <c r="E17204">
        <v>1</v>
      </c>
    </row>
    <row r="17205" spans="1:5" x14ac:dyDescent="0.25">
      <c r="A17205">
        <v>17204</v>
      </c>
      <c r="B17205">
        <v>8562196</v>
      </c>
      <c r="C17205" s="1" t="str">
        <f>HYPERLINK("http://stackoverflow.com/users/8562196", "Nico")</f>
        <v>Nico</v>
      </c>
      <c r="D17205" t="s">
        <v>943</v>
      </c>
      <c r="E17205">
        <v>1</v>
      </c>
    </row>
    <row r="17206" spans="1:5" x14ac:dyDescent="0.25">
      <c r="A17206">
        <v>17205</v>
      </c>
      <c r="B17206">
        <v>8562479</v>
      </c>
      <c r="C17206" s="1" t="str">
        <f>HYPERLINK("http://stackoverflow.com/users/8562479", "SuiXing Chen")</f>
        <v>SuiXing Chen</v>
      </c>
      <c r="D17206" t="s">
        <v>25</v>
      </c>
      <c r="E17206">
        <v>1</v>
      </c>
    </row>
    <row r="17207" spans="1:5" x14ac:dyDescent="0.25">
      <c r="A17207">
        <v>17206</v>
      </c>
      <c r="B17207">
        <v>10383314</v>
      </c>
      <c r="C17207" s="1" t="str">
        <f>HYPERLINK("http://stackoverflow.com/users/10383314", "陈瑞发")</f>
        <v>陈瑞发</v>
      </c>
      <c r="D17207" t="s">
        <v>78</v>
      </c>
      <c r="E17207">
        <v>1</v>
      </c>
    </row>
    <row r="17208" spans="1:5" x14ac:dyDescent="0.25">
      <c r="A17208">
        <v>17207</v>
      </c>
      <c r="B17208">
        <v>10383736</v>
      </c>
      <c r="C17208" s="1" t="str">
        <f>HYPERLINK("http://stackoverflow.com/users/10383736", "阮博闻")</f>
        <v>阮博闻</v>
      </c>
      <c r="D17208" t="s">
        <v>52</v>
      </c>
      <c r="E17208">
        <v>1</v>
      </c>
    </row>
    <row r="17209" spans="1:5" x14ac:dyDescent="0.25">
      <c r="A17209">
        <v>17208</v>
      </c>
      <c r="B17209">
        <v>10383923</v>
      </c>
      <c r="C17209" s="1" t="str">
        <f>HYPERLINK("http://stackoverflow.com/users/10383923", "陈鹏飞")</f>
        <v>陈鹏飞</v>
      </c>
      <c r="D17209" t="s">
        <v>7</v>
      </c>
      <c r="E17209">
        <v>1</v>
      </c>
    </row>
    <row r="17210" spans="1:5" x14ac:dyDescent="0.25">
      <c r="A17210">
        <v>17209</v>
      </c>
      <c r="B17210">
        <v>6738994</v>
      </c>
      <c r="C17210" s="1" t="str">
        <f>HYPERLINK("http://stackoverflow.com/users/6738994", "Hao Gu")</f>
        <v>Hao Gu</v>
      </c>
      <c r="D17210" t="s">
        <v>4</v>
      </c>
      <c r="E17210">
        <v>1</v>
      </c>
    </row>
    <row r="17211" spans="1:5" x14ac:dyDescent="0.25">
      <c r="A17211">
        <v>17210</v>
      </c>
      <c r="B17211">
        <v>1300725</v>
      </c>
      <c r="C17211" s="1" t="str">
        <f>HYPERLINK("http://stackoverflow.com/users/1300725", "WANG Cheng")</f>
        <v>WANG Cheng</v>
      </c>
      <c r="D17211" t="s">
        <v>54</v>
      </c>
      <c r="E17211">
        <v>1</v>
      </c>
    </row>
    <row r="17212" spans="1:5" x14ac:dyDescent="0.25">
      <c r="A17212">
        <v>17211</v>
      </c>
      <c r="B17212">
        <v>1301370</v>
      </c>
      <c r="C17212" s="1" t="str">
        <f>HYPERLINK("http://stackoverflow.com/users/1301370", "Carton He")</f>
        <v>Carton He</v>
      </c>
      <c r="D17212" t="s">
        <v>4</v>
      </c>
      <c r="E17212">
        <v>1</v>
      </c>
    </row>
    <row r="17213" spans="1:5" x14ac:dyDescent="0.25">
      <c r="A17213">
        <v>17212</v>
      </c>
      <c r="B17213">
        <v>1302245</v>
      </c>
      <c r="C17213" s="1" t="str">
        <f>HYPERLINK("http://stackoverflow.com/users/1302245", "Akey Zhang")</f>
        <v>Akey Zhang</v>
      </c>
      <c r="D17213" t="s">
        <v>37</v>
      </c>
      <c r="E17213">
        <v>1</v>
      </c>
    </row>
    <row r="17214" spans="1:5" x14ac:dyDescent="0.25">
      <c r="A17214">
        <v>17213</v>
      </c>
      <c r="B17214">
        <v>1302344</v>
      </c>
      <c r="C17214" s="1" t="str">
        <f>HYPERLINK("http://stackoverflow.com/users/1302344", "mapp")</f>
        <v>mapp</v>
      </c>
      <c r="D17214" t="s">
        <v>5</v>
      </c>
      <c r="E17214">
        <v>1</v>
      </c>
    </row>
    <row r="17215" spans="1:5" x14ac:dyDescent="0.25">
      <c r="A17215">
        <v>17214</v>
      </c>
      <c r="B17215">
        <v>1302374</v>
      </c>
      <c r="C17215" s="1" t="str">
        <f>HYPERLINK("http://stackoverflow.com/users/1302374", "fuacici")</f>
        <v>fuacici</v>
      </c>
      <c r="D17215" t="s">
        <v>5</v>
      </c>
      <c r="E17215">
        <v>1</v>
      </c>
    </row>
    <row r="17216" spans="1:5" x14ac:dyDescent="0.25">
      <c r="A17216">
        <v>17215</v>
      </c>
      <c r="B17216">
        <v>1302388</v>
      </c>
      <c r="C17216" s="1" t="str">
        <f>HYPERLINK("http://stackoverflow.com/users/1302388", "Andy Wallace")</f>
        <v>Andy Wallace</v>
      </c>
      <c r="D17216" t="s">
        <v>4</v>
      </c>
      <c r="E17216">
        <v>1</v>
      </c>
    </row>
    <row r="17217" spans="1:5" x14ac:dyDescent="0.25">
      <c r="A17217">
        <v>17216</v>
      </c>
      <c r="B17217">
        <v>8550770</v>
      </c>
      <c r="C17217" s="1" t="str">
        <f>HYPERLINK("http://stackoverflow.com/users/8550770", "Hailong Liu")</f>
        <v>Hailong Liu</v>
      </c>
      <c r="D17217" t="s">
        <v>5</v>
      </c>
      <c r="E17217">
        <v>1</v>
      </c>
    </row>
    <row r="17218" spans="1:5" x14ac:dyDescent="0.25">
      <c r="A17218">
        <v>17217</v>
      </c>
      <c r="B17218">
        <v>5001644</v>
      </c>
      <c r="C17218" s="1" t="str">
        <f>HYPERLINK("http://stackoverflow.com/users/5001644", "refine-wind")</f>
        <v>refine-wind</v>
      </c>
      <c r="D17218" t="s">
        <v>12</v>
      </c>
      <c r="E17218">
        <v>1</v>
      </c>
    </row>
    <row r="17219" spans="1:5" x14ac:dyDescent="0.25">
      <c r="A17219">
        <v>17218</v>
      </c>
      <c r="B17219">
        <v>10367419</v>
      </c>
      <c r="C17219" s="1" t="str">
        <f>HYPERLINK("http://stackoverflow.com/users/10367419", "YuXuanLi")</f>
        <v>YuXuanLi</v>
      </c>
      <c r="D17219" t="s">
        <v>25</v>
      </c>
      <c r="E17219">
        <v>1</v>
      </c>
    </row>
    <row r="17220" spans="1:5" x14ac:dyDescent="0.25">
      <c r="A17220">
        <v>17219</v>
      </c>
      <c r="B17220">
        <v>10367420</v>
      </c>
      <c r="C17220" s="1" t="str">
        <f>HYPERLINK("http://stackoverflow.com/users/10367420", "赵立行")</f>
        <v>赵立行</v>
      </c>
      <c r="D17220" t="s">
        <v>7</v>
      </c>
      <c r="E17220">
        <v>1</v>
      </c>
    </row>
    <row r="17221" spans="1:5" x14ac:dyDescent="0.25">
      <c r="A17221">
        <v>17220</v>
      </c>
      <c r="B17221">
        <v>10367693</v>
      </c>
      <c r="C17221" s="1" t="str">
        <f>HYPERLINK("http://stackoverflow.com/users/10367693", "Finn")</f>
        <v>Finn</v>
      </c>
      <c r="D17221" t="s">
        <v>7</v>
      </c>
      <c r="E17221">
        <v>1</v>
      </c>
    </row>
    <row r="17222" spans="1:5" x14ac:dyDescent="0.25">
      <c r="A17222">
        <v>17221</v>
      </c>
      <c r="B17222">
        <v>3189324</v>
      </c>
      <c r="C17222" s="1" t="str">
        <f>HYPERLINK("http://stackoverflow.com/users/3189324", "Jiuhua.Xie")</f>
        <v>Jiuhua.Xie</v>
      </c>
      <c r="D17222" t="s">
        <v>5</v>
      </c>
      <c r="E17222">
        <v>1</v>
      </c>
    </row>
    <row r="17223" spans="1:5" x14ac:dyDescent="0.25">
      <c r="A17223">
        <v>17222</v>
      </c>
      <c r="B17223">
        <v>3189696</v>
      </c>
      <c r="C17223" s="1" t="str">
        <f>HYPERLINK("http://stackoverflow.com/users/3189696", "Derek Zhang")</f>
        <v>Derek Zhang</v>
      </c>
      <c r="D17223" t="s">
        <v>4</v>
      </c>
      <c r="E17223">
        <v>1</v>
      </c>
    </row>
    <row r="17224" spans="1:5" x14ac:dyDescent="0.25">
      <c r="A17224">
        <v>17223</v>
      </c>
      <c r="B17224">
        <v>8550894</v>
      </c>
      <c r="C17224" s="1" t="str">
        <f>HYPERLINK("http://stackoverflow.com/users/8550894", "ShArkJING")</f>
        <v>ShArkJING</v>
      </c>
      <c r="D17224" t="s">
        <v>131</v>
      </c>
      <c r="E17224">
        <v>1</v>
      </c>
    </row>
    <row r="17225" spans="1:5" x14ac:dyDescent="0.25">
      <c r="A17225">
        <v>17224</v>
      </c>
      <c r="B17225">
        <v>6724453</v>
      </c>
      <c r="C17225" s="1" t="str">
        <f>HYPERLINK("http://stackoverflow.com/users/6724453", "Daniel")</f>
        <v>Daniel</v>
      </c>
      <c r="D17225" t="s">
        <v>33</v>
      </c>
      <c r="E17225">
        <v>1</v>
      </c>
    </row>
    <row r="17226" spans="1:5" x14ac:dyDescent="0.25">
      <c r="A17226">
        <v>17225</v>
      </c>
      <c r="B17226">
        <v>8554695</v>
      </c>
      <c r="C17226" s="1" t="str">
        <f>HYPERLINK("http://stackoverflow.com/users/8554695", "K.Ben")</f>
        <v>K.Ben</v>
      </c>
      <c r="D17226" t="s">
        <v>266</v>
      </c>
      <c r="E17226">
        <v>1</v>
      </c>
    </row>
    <row r="17227" spans="1:5" x14ac:dyDescent="0.25">
      <c r="A17227">
        <v>17226</v>
      </c>
      <c r="B17227">
        <v>10359145</v>
      </c>
      <c r="C17227" s="1" t="str">
        <f>HYPERLINK("http://stackoverflow.com/users/10359145", "Jaxon")</f>
        <v>Jaxon</v>
      </c>
      <c r="D17227" t="s">
        <v>4</v>
      </c>
      <c r="E17227">
        <v>1</v>
      </c>
    </row>
    <row r="17228" spans="1:5" x14ac:dyDescent="0.25">
      <c r="A17228">
        <v>17227</v>
      </c>
      <c r="B17228">
        <v>10359237</v>
      </c>
      <c r="C17228" s="1" t="str">
        <f>HYPERLINK("http://stackoverflow.com/users/10359237", "Kayn Liu")</f>
        <v>Kayn Liu</v>
      </c>
      <c r="D17228" t="s">
        <v>7</v>
      </c>
      <c r="E17228">
        <v>1</v>
      </c>
    </row>
    <row r="17229" spans="1:5" x14ac:dyDescent="0.25">
      <c r="A17229">
        <v>17228</v>
      </c>
      <c r="B17229">
        <v>8550481</v>
      </c>
      <c r="C17229" s="1" t="str">
        <f>HYPERLINK("http://stackoverflow.com/users/8550481", "Rey")</f>
        <v>Rey</v>
      </c>
      <c r="D17229" t="s">
        <v>944</v>
      </c>
      <c r="E17229">
        <v>1</v>
      </c>
    </row>
    <row r="17230" spans="1:5" x14ac:dyDescent="0.25">
      <c r="A17230">
        <v>17229</v>
      </c>
      <c r="B17230">
        <v>6720621</v>
      </c>
      <c r="C17230" s="1" t="str">
        <f>HYPERLINK("http://stackoverflow.com/users/6720621", "Leon.z")</f>
        <v>Leon.z</v>
      </c>
      <c r="D17230" t="s">
        <v>25</v>
      </c>
      <c r="E17230">
        <v>1</v>
      </c>
    </row>
    <row r="17231" spans="1:5" x14ac:dyDescent="0.25">
      <c r="A17231">
        <v>17230</v>
      </c>
      <c r="B17231">
        <v>4997423</v>
      </c>
      <c r="C17231" s="1" t="str">
        <f>HYPERLINK("http://stackoverflow.com/users/4997423", "objectlife")</f>
        <v>objectlife</v>
      </c>
      <c r="D17231" t="s">
        <v>5</v>
      </c>
      <c r="E17231">
        <v>1</v>
      </c>
    </row>
    <row r="17232" spans="1:5" x14ac:dyDescent="0.25">
      <c r="A17232">
        <v>17231</v>
      </c>
      <c r="B17232">
        <v>4997646</v>
      </c>
      <c r="C17232" s="1" t="str">
        <f>HYPERLINK("http://stackoverflow.com/users/4997646", "shuax")</f>
        <v>shuax</v>
      </c>
      <c r="D17232" t="s">
        <v>22</v>
      </c>
      <c r="E17232">
        <v>1</v>
      </c>
    </row>
    <row r="17233" spans="1:5" x14ac:dyDescent="0.25">
      <c r="A17233">
        <v>17232</v>
      </c>
      <c r="B17233">
        <v>1251513</v>
      </c>
      <c r="C17233" s="1" t="str">
        <f>HYPERLINK("http://stackoverflow.com/users/1251513", "fanyange")</f>
        <v>fanyange</v>
      </c>
      <c r="D17233" t="s">
        <v>22</v>
      </c>
      <c r="E17233">
        <v>1</v>
      </c>
    </row>
    <row r="17234" spans="1:5" x14ac:dyDescent="0.25">
      <c r="A17234">
        <v>17233</v>
      </c>
      <c r="B17234">
        <v>1252165</v>
      </c>
      <c r="C17234" s="1" t="str">
        <f>HYPERLINK("http://stackoverflow.com/users/1252165", "Goodev")</f>
        <v>Goodev</v>
      </c>
      <c r="D17234" t="s">
        <v>5</v>
      </c>
      <c r="E17234">
        <v>1</v>
      </c>
    </row>
    <row r="17235" spans="1:5" x14ac:dyDescent="0.25">
      <c r="A17235">
        <v>17234</v>
      </c>
      <c r="B17235">
        <v>10350564</v>
      </c>
      <c r="C17235" s="1" t="str">
        <f>HYPERLINK("http://stackoverflow.com/users/10350564", "Bo Bobo")</f>
        <v>Bo Bobo</v>
      </c>
      <c r="D17235" t="s">
        <v>4</v>
      </c>
      <c r="E17235">
        <v>1</v>
      </c>
    </row>
    <row r="17236" spans="1:5" x14ac:dyDescent="0.25">
      <c r="A17236">
        <v>17235</v>
      </c>
      <c r="B17236">
        <v>10350621</v>
      </c>
      <c r="C17236" s="1" t="str">
        <f>HYPERLINK("http://stackoverflow.com/users/10350621", "Jun ZHOU")</f>
        <v>Jun ZHOU</v>
      </c>
      <c r="D17236" t="s">
        <v>4</v>
      </c>
      <c r="E17236">
        <v>1</v>
      </c>
    </row>
    <row r="17237" spans="1:5" x14ac:dyDescent="0.25">
      <c r="A17237">
        <v>17236</v>
      </c>
      <c r="B17237">
        <v>6712712</v>
      </c>
      <c r="C17237" s="1" t="str">
        <f>HYPERLINK("http://stackoverflow.com/users/6712712", "E Cai")</f>
        <v>E Cai</v>
      </c>
      <c r="D17237" t="s">
        <v>4</v>
      </c>
      <c r="E17237">
        <v>1</v>
      </c>
    </row>
    <row r="17238" spans="1:5" x14ac:dyDescent="0.25">
      <c r="A17238">
        <v>17237</v>
      </c>
      <c r="B17238">
        <v>4990623</v>
      </c>
      <c r="C17238" s="1" t="str">
        <f>HYPERLINK("http://stackoverflow.com/users/4990623", "datakeen")</f>
        <v>datakeen</v>
      </c>
      <c r="D17238" t="s">
        <v>55</v>
      </c>
      <c r="E17238">
        <v>1</v>
      </c>
    </row>
    <row r="17239" spans="1:5" x14ac:dyDescent="0.25">
      <c r="A17239">
        <v>17238</v>
      </c>
      <c r="B17239">
        <v>8546064</v>
      </c>
      <c r="C17239" s="1" t="str">
        <f>HYPERLINK("http://stackoverflow.com/users/8546064", "王蕴睿")</f>
        <v>王蕴睿</v>
      </c>
      <c r="D17239" t="s">
        <v>93</v>
      </c>
      <c r="E17239">
        <v>1</v>
      </c>
    </row>
    <row r="17240" spans="1:5" x14ac:dyDescent="0.25">
      <c r="A17240">
        <v>17239</v>
      </c>
      <c r="B17240">
        <v>4993948</v>
      </c>
      <c r="C17240" s="1" t="str">
        <f>HYPERLINK("http://stackoverflow.com/users/4993948", "Eason Ren")</f>
        <v>Eason Ren</v>
      </c>
      <c r="D17240" t="s">
        <v>37</v>
      </c>
      <c r="E17240">
        <v>1</v>
      </c>
    </row>
    <row r="17241" spans="1:5" x14ac:dyDescent="0.25">
      <c r="A17241">
        <v>17240</v>
      </c>
      <c r="B17241">
        <v>4993994</v>
      </c>
      <c r="C17241" s="1" t="str">
        <f>HYPERLINK("http://stackoverflow.com/users/4993994", "Jecky")</f>
        <v>Jecky</v>
      </c>
      <c r="D17241" t="s">
        <v>4</v>
      </c>
      <c r="E17241">
        <v>1</v>
      </c>
    </row>
    <row r="17242" spans="1:5" x14ac:dyDescent="0.25">
      <c r="A17242">
        <v>17241</v>
      </c>
      <c r="B17242">
        <v>3172867</v>
      </c>
      <c r="C17242" s="1" t="str">
        <f>HYPERLINK("http://stackoverflow.com/users/3172867", "Madao")</f>
        <v>Madao</v>
      </c>
      <c r="D17242" t="s">
        <v>31</v>
      </c>
      <c r="E17242">
        <v>1</v>
      </c>
    </row>
    <row r="17243" spans="1:5" x14ac:dyDescent="0.25">
      <c r="A17243">
        <v>17242</v>
      </c>
      <c r="B17243">
        <v>6705875</v>
      </c>
      <c r="C17243" s="1" t="str">
        <f>HYPERLINK("http://stackoverflow.com/users/6705875", "mrclock")</f>
        <v>mrclock</v>
      </c>
      <c r="D17243" t="s">
        <v>4</v>
      </c>
      <c r="E17243">
        <v>1</v>
      </c>
    </row>
    <row r="17244" spans="1:5" x14ac:dyDescent="0.25">
      <c r="A17244">
        <v>17243</v>
      </c>
      <c r="B17244">
        <v>10346465</v>
      </c>
      <c r="C17244" s="1" t="str">
        <f>HYPERLINK("http://stackoverflow.com/users/10346465", "BruceLee")</f>
        <v>BruceLee</v>
      </c>
      <c r="D17244" t="s">
        <v>28</v>
      </c>
      <c r="E17244">
        <v>1</v>
      </c>
    </row>
    <row r="17245" spans="1:5" x14ac:dyDescent="0.25">
      <c r="A17245">
        <v>17244</v>
      </c>
      <c r="B17245">
        <v>10346485</v>
      </c>
      <c r="C17245" s="1" t="str">
        <f>HYPERLINK("http://stackoverflow.com/users/10346485", "Youtiao")</f>
        <v>Youtiao</v>
      </c>
      <c r="D17245" t="s">
        <v>22</v>
      </c>
      <c r="E17245">
        <v>1</v>
      </c>
    </row>
    <row r="17246" spans="1:5" x14ac:dyDescent="0.25">
      <c r="A17246">
        <v>17245</v>
      </c>
      <c r="B17246">
        <v>8537017</v>
      </c>
      <c r="C17246" s="1" t="str">
        <f>HYPERLINK("http://stackoverflow.com/users/8537017", "Hans.Hu")</f>
        <v>Hans.Hu</v>
      </c>
      <c r="D17246" t="s">
        <v>28</v>
      </c>
      <c r="E17246">
        <v>1</v>
      </c>
    </row>
    <row r="17247" spans="1:5" x14ac:dyDescent="0.25">
      <c r="A17247">
        <v>17246</v>
      </c>
      <c r="B17247">
        <v>8537198</v>
      </c>
      <c r="C17247" s="1" t="str">
        <f>HYPERLINK("http://stackoverflow.com/users/8537198", "Denny")</f>
        <v>Denny</v>
      </c>
      <c r="D17247" t="s">
        <v>28</v>
      </c>
      <c r="E17247">
        <v>1</v>
      </c>
    </row>
    <row r="17248" spans="1:5" x14ac:dyDescent="0.25">
      <c r="A17248">
        <v>17247</v>
      </c>
      <c r="B17248">
        <v>8537323</v>
      </c>
      <c r="C17248" s="1" t="str">
        <f>HYPERLINK("http://stackoverflow.com/users/8537323", "Endness Waltz")</f>
        <v>Endness Waltz</v>
      </c>
      <c r="D17248" t="s">
        <v>4</v>
      </c>
      <c r="E17248">
        <v>1</v>
      </c>
    </row>
    <row r="17249" spans="1:5" x14ac:dyDescent="0.25">
      <c r="A17249">
        <v>17248</v>
      </c>
      <c r="B17249">
        <v>3168396</v>
      </c>
      <c r="C17249" s="1" t="str">
        <f>HYPERLINK("http://stackoverflow.com/users/3168396", "Ferret")</f>
        <v>Ferret</v>
      </c>
      <c r="D17249" t="s">
        <v>37</v>
      </c>
      <c r="E17249">
        <v>1</v>
      </c>
    </row>
    <row r="17250" spans="1:5" x14ac:dyDescent="0.25">
      <c r="A17250">
        <v>17249</v>
      </c>
      <c r="B17250">
        <v>8533440</v>
      </c>
      <c r="C17250" s="1" t="str">
        <f>HYPERLINK("http://stackoverflow.com/users/8533440", "Hawking Liu")</f>
        <v>Hawking Liu</v>
      </c>
      <c r="D17250" t="s">
        <v>4</v>
      </c>
      <c r="E17250">
        <v>1</v>
      </c>
    </row>
    <row r="17251" spans="1:5" x14ac:dyDescent="0.25">
      <c r="A17251">
        <v>17250</v>
      </c>
      <c r="B17251">
        <v>3161864</v>
      </c>
      <c r="C17251" s="1" t="str">
        <f>HYPERLINK("http://stackoverflow.com/users/3161864", "yellow超")</f>
        <v>yellow超</v>
      </c>
      <c r="D17251" t="s">
        <v>5</v>
      </c>
      <c r="E17251">
        <v>1</v>
      </c>
    </row>
    <row r="17252" spans="1:5" x14ac:dyDescent="0.25">
      <c r="A17252">
        <v>17251</v>
      </c>
      <c r="B17252">
        <v>3161916</v>
      </c>
      <c r="C17252" s="1" t="str">
        <f>HYPERLINK("http://stackoverflow.com/users/3161916", "user3161916")</f>
        <v>user3161916</v>
      </c>
      <c r="D17252" t="s">
        <v>945</v>
      </c>
      <c r="E17252">
        <v>1</v>
      </c>
    </row>
    <row r="17253" spans="1:5" x14ac:dyDescent="0.25">
      <c r="A17253">
        <v>17252</v>
      </c>
      <c r="B17253">
        <v>4977836</v>
      </c>
      <c r="C17253" s="1" t="str">
        <f>HYPERLINK("http://stackoverflow.com/users/4977836", "alienzj")</f>
        <v>alienzj</v>
      </c>
      <c r="D17253" t="s">
        <v>52</v>
      </c>
      <c r="E17253">
        <v>1</v>
      </c>
    </row>
    <row r="17254" spans="1:5" x14ac:dyDescent="0.25">
      <c r="A17254">
        <v>17253</v>
      </c>
      <c r="B17254">
        <v>10339730</v>
      </c>
      <c r="C17254" s="1" t="str">
        <f>HYPERLINK("http://stackoverflow.com/users/10339730", "lrmwym")</f>
        <v>lrmwym</v>
      </c>
      <c r="D17254" t="s">
        <v>303</v>
      </c>
      <c r="E17254">
        <v>1</v>
      </c>
    </row>
    <row r="17255" spans="1:5" x14ac:dyDescent="0.25">
      <c r="A17255">
        <v>17254</v>
      </c>
      <c r="B17255">
        <v>8522082</v>
      </c>
      <c r="C17255" s="1" t="str">
        <f>HYPERLINK("http://stackoverflow.com/users/8522082", "Timm Lee")</f>
        <v>Timm Lee</v>
      </c>
      <c r="D17255" t="s">
        <v>7</v>
      </c>
      <c r="E17255">
        <v>1</v>
      </c>
    </row>
    <row r="17256" spans="1:5" x14ac:dyDescent="0.25">
      <c r="A17256">
        <v>17255</v>
      </c>
      <c r="B17256">
        <v>10342590</v>
      </c>
      <c r="C17256" s="1" t="str">
        <f>HYPERLINK("http://stackoverflow.com/users/10342590", "fansly")</f>
        <v>fansly</v>
      </c>
      <c r="D17256" t="s">
        <v>25</v>
      </c>
      <c r="E17256">
        <v>1</v>
      </c>
    </row>
    <row r="17257" spans="1:5" x14ac:dyDescent="0.25">
      <c r="A17257">
        <v>17256</v>
      </c>
      <c r="B17257">
        <v>6702880</v>
      </c>
      <c r="C17257" s="1" t="str">
        <f>HYPERLINK("http://stackoverflow.com/users/6702880", "George Lau")</f>
        <v>George Lau</v>
      </c>
      <c r="D17257" t="s">
        <v>7</v>
      </c>
      <c r="E17257">
        <v>1</v>
      </c>
    </row>
    <row r="17258" spans="1:5" x14ac:dyDescent="0.25">
      <c r="A17258">
        <v>17257</v>
      </c>
      <c r="B17258">
        <v>6702888</v>
      </c>
      <c r="C17258" s="1" t="str">
        <f>HYPERLINK("http://stackoverflow.com/users/6702888", "John Zhu")</f>
        <v>John Zhu</v>
      </c>
      <c r="D17258" t="s">
        <v>7</v>
      </c>
      <c r="E17258">
        <v>1</v>
      </c>
    </row>
    <row r="17259" spans="1:5" x14ac:dyDescent="0.25">
      <c r="A17259">
        <v>17258</v>
      </c>
      <c r="B17259">
        <v>8529565</v>
      </c>
      <c r="C17259" s="1" t="str">
        <f>HYPERLINK("http://stackoverflow.com/users/8529565", "mystic_cg")</f>
        <v>mystic_cg</v>
      </c>
      <c r="D17259" t="s">
        <v>4</v>
      </c>
      <c r="E17259">
        <v>1</v>
      </c>
    </row>
    <row r="17260" spans="1:5" x14ac:dyDescent="0.25">
      <c r="A17260">
        <v>17259</v>
      </c>
      <c r="B17260">
        <v>8529916</v>
      </c>
      <c r="C17260" s="1" t="str">
        <f>HYPERLINK("http://stackoverflow.com/users/8529916", "Kai")</f>
        <v>Kai</v>
      </c>
      <c r="D17260" t="s">
        <v>74</v>
      </c>
      <c r="E17260">
        <v>1</v>
      </c>
    </row>
    <row r="17261" spans="1:5" x14ac:dyDescent="0.25">
      <c r="A17261">
        <v>17260</v>
      </c>
      <c r="B17261">
        <v>8529935</v>
      </c>
      <c r="C17261" s="1" t="str">
        <f>HYPERLINK("http://stackoverflow.com/users/8529935", "Zhang Chuheng")</f>
        <v>Zhang Chuheng</v>
      </c>
      <c r="D17261" t="s">
        <v>5</v>
      </c>
      <c r="E17261">
        <v>1</v>
      </c>
    </row>
    <row r="17262" spans="1:5" x14ac:dyDescent="0.25">
      <c r="A17262">
        <v>17261</v>
      </c>
      <c r="B17262">
        <v>8530058</v>
      </c>
      <c r="C17262" s="1" t="str">
        <f>HYPERLINK("http://stackoverflow.com/users/8530058", "Ye DaWei")</f>
        <v>Ye DaWei</v>
      </c>
      <c r="D17262" t="s">
        <v>5</v>
      </c>
      <c r="E17262">
        <v>1</v>
      </c>
    </row>
    <row r="17263" spans="1:5" x14ac:dyDescent="0.25">
      <c r="A17263">
        <v>17262</v>
      </c>
      <c r="B17263">
        <v>3145775</v>
      </c>
      <c r="C17263" s="1" t="str">
        <f>HYPERLINK("http://stackoverflow.com/users/3145775", "Tomar")</f>
        <v>Tomar</v>
      </c>
      <c r="D17263" t="s">
        <v>17</v>
      </c>
      <c r="E17263">
        <v>1</v>
      </c>
    </row>
    <row r="17264" spans="1:5" x14ac:dyDescent="0.25">
      <c r="A17264">
        <v>17263</v>
      </c>
      <c r="B17264">
        <v>3145983</v>
      </c>
      <c r="C17264" s="1" t="str">
        <f>HYPERLINK("http://stackoverflow.com/users/3145983", "J.ruiF")</f>
        <v>J.ruiF</v>
      </c>
      <c r="D17264" t="s">
        <v>5</v>
      </c>
      <c r="E17264">
        <v>1</v>
      </c>
    </row>
    <row r="17265" spans="1:5" x14ac:dyDescent="0.25">
      <c r="A17265">
        <v>17264</v>
      </c>
      <c r="B17265">
        <v>6685086</v>
      </c>
      <c r="C17265" s="1" t="str">
        <f>HYPERLINK("http://stackoverflow.com/users/6685086", "AndersonLMB")</f>
        <v>AndersonLMB</v>
      </c>
      <c r="D17265" t="s">
        <v>21</v>
      </c>
      <c r="E17265">
        <v>1</v>
      </c>
    </row>
    <row r="17266" spans="1:5" x14ac:dyDescent="0.25">
      <c r="A17266">
        <v>17265</v>
      </c>
      <c r="B17266">
        <v>8513418</v>
      </c>
      <c r="C17266" s="1" t="str">
        <f>HYPERLINK("http://stackoverflow.com/users/8513418", "Jing Wang")</f>
        <v>Jing Wang</v>
      </c>
      <c r="D17266" t="s">
        <v>214</v>
      </c>
      <c r="E17266">
        <v>1</v>
      </c>
    </row>
    <row r="17267" spans="1:5" x14ac:dyDescent="0.25">
      <c r="A17267">
        <v>17266</v>
      </c>
      <c r="B17267">
        <v>3153004</v>
      </c>
      <c r="C17267" s="1" t="str">
        <f>HYPERLINK("http://stackoverflow.com/users/3153004", "gonggong")</f>
        <v>gonggong</v>
      </c>
      <c r="D17267" t="s">
        <v>5</v>
      </c>
      <c r="E17267">
        <v>1</v>
      </c>
    </row>
    <row r="17268" spans="1:5" x14ac:dyDescent="0.25">
      <c r="A17268">
        <v>17267</v>
      </c>
      <c r="B17268">
        <v>4959819</v>
      </c>
      <c r="C17268" s="1" t="str">
        <f>HYPERLINK("http://stackoverflow.com/users/4959819", "Peng Tan")</f>
        <v>Peng Tan</v>
      </c>
      <c r="D17268" t="s">
        <v>946</v>
      </c>
      <c r="E17268">
        <v>1</v>
      </c>
    </row>
    <row r="17269" spans="1:5" x14ac:dyDescent="0.25">
      <c r="A17269">
        <v>17268</v>
      </c>
      <c r="B17269">
        <v>3141526</v>
      </c>
      <c r="C17269" s="1" t="str">
        <f>HYPERLINK("http://stackoverflow.com/users/3141526", "SuperXiaoqiang")</f>
        <v>SuperXiaoqiang</v>
      </c>
      <c r="D17269" t="s">
        <v>4</v>
      </c>
      <c r="E17269">
        <v>1</v>
      </c>
    </row>
    <row r="17270" spans="1:5" x14ac:dyDescent="0.25">
      <c r="A17270">
        <v>17269</v>
      </c>
      <c r="B17270">
        <v>3141530</v>
      </c>
      <c r="C17270" s="1" t="str">
        <f>HYPERLINK("http://stackoverflow.com/users/3141530", "user3141530")</f>
        <v>user3141530</v>
      </c>
      <c r="D17270" t="s">
        <v>314</v>
      </c>
      <c r="E17270">
        <v>1</v>
      </c>
    </row>
    <row r="17271" spans="1:5" x14ac:dyDescent="0.25">
      <c r="A17271">
        <v>17270</v>
      </c>
      <c r="B17271">
        <v>3141635</v>
      </c>
      <c r="C17271" s="1" t="str">
        <f>HYPERLINK("http://stackoverflow.com/users/3141635", "hildert")</f>
        <v>hildert</v>
      </c>
      <c r="D17271" t="s">
        <v>3</v>
      </c>
      <c r="E17271">
        <v>1</v>
      </c>
    </row>
    <row r="17272" spans="1:5" x14ac:dyDescent="0.25">
      <c r="A17272">
        <v>17271</v>
      </c>
      <c r="B17272">
        <v>3145087</v>
      </c>
      <c r="C17272" s="1" t="str">
        <f>HYPERLINK("http://stackoverflow.com/users/3145087", "pikaya")</f>
        <v>pikaya</v>
      </c>
      <c r="D17272" t="s">
        <v>4</v>
      </c>
      <c r="E17272">
        <v>1</v>
      </c>
    </row>
    <row r="17273" spans="1:5" x14ac:dyDescent="0.25">
      <c r="A17273">
        <v>17272</v>
      </c>
      <c r="B17273">
        <v>3145149</v>
      </c>
      <c r="C17273" s="1" t="str">
        <f>HYPERLINK("http://stackoverflow.com/users/3145149", "digger.c.g")</f>
        <v>digger.c.g</v>
      </c>
      <c r="D17273" t="s">
        <v>5</v>
      </c>
      <c r="E17273">
        <v>1</v>
      </c>
    </row>
    <row r="17274" spans="1:5" x14ac:dyDescent="0.25">
      <c r="A17274">
        <v>17273</v>
      </c>
      <c r="B17274">
        <v>3145150</v>
      </c>
      <c r="C17274" s="1" t="str">
        <f>HYPERLINK("http://stackoverflow.com/users/3145150", "Robert Hu")</f>
        <v>Robert Hu</v>
      </c>
      <c r="D17274" t="s">
        <v>17</v>
      </c>
      <c r="E17274">
        <v>1</v>
      </c>
    </row>
    <row r="17275" spans="1:5" x14ac:dyDescent="0.25">
      <c r="A17275">
        <v>17274</v>
      </c>
      <c r="B17275">
        <v>3145345</v>
      </c>
      <c r="C17275" s="1" t="str">
        <f>HYPERLINK("http://stackoverflow.com/users/3145345", "Ronnie")</f>
        <v>Ronnie</v>
      </c>
      <c r="D17275" t="s">
        <v>4</v>
      </c>
      <c r="E17275">
        <v>1</v>
      </c>
    </row>
    <row r="17276" spans="1:5" x14ac:dyDescent="0.25">
      <c r="A17276">
        <v>17275</v>
      </c>
      <c r="B17276">
        <v>3145368</v>
      </c>
      <c r="C17276" s="1" t="str">
        <f>HYPERLINK("http://stackoverflow.com/users/3145368", "WayneLin")</f>
        <v>WayneLin</v>
      </c>
      <c r="D17276" t="s">
        <v>5</v>
      </c>
      <c r="E17276">
        <v>1</v>
      </c>
    </row>
    <row r="17277" spans="1:5" x14ac:dyDescent="0.25">
      <c r="A17277">
        <v>17276</v>
      </c>
      <c r="B17277">
        <v>1219088</v>
      </c>
      <c r="C17277" s="1" t="str">
        <f>HYPERLINK("http://stackoverflow.com/users/1219088", "chapant")</f>
        <v>chapant</v>
      </c>
      <c r="D17277" t="s">
        <v>205</v>
      </c>
      <c r="E17277">
        <v>1</v>
      </c>
    </row>
    <row r="17278" spans="1:5" x14ac:dyDescent="0.25">
      <c r="A17278">
        <v>17277</v>
      </c>
      <c r="B17278">
        <v>3153084</v>
      </c>
      <c r="C17278" s="1" t="str">
        <f>HYPERLINK("http://stackoverflow.com/users/3153084", "Falvon")</f>
        <v>Falvon</v>
      </c>
      <c r="D17278" t="s">
        <v>12</v>
      </c>
      <c r="E17278">
        <v>1</v>
      </c>
    </row>
    <row r="17279" spans="1:5" x14ac:dyDescent="0.25">
      <c r="A17279">
        <v>17278</v>
      </c>
      <c r="B17279">
        <v>10330922</v>
      </c>
      <c r="C17279" s="1" t="str">
        <f>HYPERLINK("http://stackoverflow.com/users/10330922", "J.Guo")</f>
        <v>J.Guo</v>
      </c>
      <c r="D17279" t="s">
        <v>17</v>
      </c>
      <c r="E17279">
        <v>1</v>
      </c>
    </row>
    <row r="17280" spans="1:5" x14ac:dyDescent="0.25">
      <c r="A17280">
        <v>17279</v>
      </c>
      <c r="B17280">
        <v>10331040</v>
      </c>
      <c r="C17280" s="1" t="str">
        <f>HYPERLINK("http://stackoverflow.com/users/10331040", "Faizali Muhammadzoda")</f>
        <v>Faizali Muhammadzoda</v>
      </c>
      <c r="D17280" t="s">
        <v>57</v>
      </c>
      <c r="E17280">
        <v>1</v>
      </c>
    </row>
    <row r="17281" spans="1:5" x14ac:dyDescent="0.25">
      <c r="A17281">
        <v>17280</v>
      </c>
      <c r="B17281">
        <v>10334440</v>
      </c>
      <c r="C17281" s="1" t="str">
        <f>HYPERLINK("http://stackoverflow.com/users/10334440", "Tars Li")</f>
        <v>Tars Li</v>
      </c>
      <c r="D17281" t="s">
        <v>15</v>
      </c>
      <c r="E17281">
        <v>1</v>
      </c>
    </row>
    <row r="17282" spans="1:5" x14ac:dyDescent="0.25">
      <c r="A17282">
        <v>17281</v>
      </c>
      <c r="B17282">
        <v>8522225</v>
      </c>
      <c r="C17282" s="1" t="str">
        <f>HYPERLINK("http://stackoverflow.com/users/8522225", "Elliott")</f>
        <v>Elliott</v>
      </c>
      <c r="D17282" t="s">
        <v>33</v>
      </c>
      <c r="E17282">
        <v>1</v>
      </c>
    </row>
    <row r="17283" spans="1:5" x14ac:dyDescent="0.25">
      <c r="A17283">
        <v>17282</v>
      </c>
      <c r="B17283">
        <v>8522266</v>
      </c>
      <c r="C17283" s="1" t="str">
        <f>HYPERLINK("http://stackoverflow.com/users/8522266", "lvyidan")</f>
        <v>lvyidan</v>
      </c>
      <c r="D17283" t="s">
        <v>947</v>
      </c>
      <c r="E17283">
        <v>1</v>
      </c>
    </row>
    <row r="17284" spans="1:5" x14ac:dyDescent="0.25">
      <c r="A17284">
        <v>17283</v>
      </c>
      <c r="B17284">
        <v>8522279</v>
      </c>
      <c r="C17284" s="1" t="str">
        <f>HYPERLINK("http://stackoverflow.com/users/8522279", "宗丹丹")</f>
        <v>宗丹丹</v>
      </c>
      <c r="D17284" t="s">
        <v>4</v>
      </c>
      <c r="E17284">
        <v>1</v>
      </c>
    </row>
    <row r="17285" spans="1:5" x14ac:dyDescent="0.25">
      <c r="A17285">
        <v>17284</v>
      </c>
      <c r="B17285">
        <v>8522283</v>
      </c>
      <c r="C17285" s="1" t="str">
        <f>HYPERLINK("http://stackoverflow.com/users/8522283", "Hning.Z")</f>
        <v>Hning.Z</v>
      </c>
      <c r="D17285" t="s">
        <v>131</v>
      </c>
      <c r="E17285">
        <v>1</v>
      </c>
    </row>
    <row r="17286" spans="1:5" x14ac:dyDescent="0.25">
      <c r="A17286">
        <v>17285</v>
      </c>
      <c r="B17286">
        <v>8525807</v>
      </c>
      <c r="C17286" s="1" t="str">
        <f>HYPERLINK("http://stackoverflow.com/users/8525807", "PWAEZQS")</f>
        <v>PWAEZQS</v>
      </c>
      <c r="D17286" t="s">
        <v>546</v>
      </c>
      <c r="E17286">
        <v>1</v>
      </c>
    </row>
    <row r="17287" spans="1:5" x14ac:dyDescent="0.25">
      <c r="A17287">
        <v>17286</v>
      </c>
      <c r="B17287">
        <v>8525876</v>
      </c>
      <c r="C17287" s="1" t="str">
        <f>HYPERLINK("http://stackoverflow.com/users/8525876", "jiqiu")</f>
        <v>jiqiu</v>
      </c>
      <c r="D17287" t="s">
        <v>5</v>
      </c>
      <c r="E17287">
        <v>1</v>
      </c>
    </row>
    <row r="17288" spans="1:5" x14ac:dyDescent="0.25">
      <c r="A17288">
        <v>17287</v>
      </c>
      <c r="B17288">
        <v>8525912</v>
      </c>
      <c r="C17288" s="1" t="str">
        <f>HYPERLINK("http://stackoverflow.com/users/8525912", "SP.Ren")</f>
        <v>SP.Ren</v>
      </c>
      <c r="D17288" t="s">
        <v>120</v>
      </c>
      <c r="E17288">
        <v>1</v>
      </c>
    </row>
    <row r="17289" spans="1:5" x14ac:dyDescent="0.25">
      <c r="A17289">
        <v>17288</v>
      </c>
      <c r="B17289">
        <v>8526041</v>
      </c>
      <c r="C17289" s="1" t="str">
        <f>HYPERLINK("http://stackoverflow.com/users/8526041", "WilliamChan")</f>
        <v>WilliamChan</v>
      </c>
      <c r="D17289" t="s">
        <v>4</v>
      </c>
      <c r="E17289">
        <v>1</v>
      </c>
    </row>
    <row r="17290" spans="1:5" x14ac:dyDescent="0.25">
      <c r="A17290">
        <v>17289</v>
      </c>
      <c r="B17290">
        <v>8526091</v>
      </c>
      <c r="C17290" s="1" t="str">
        <f>HYPERLINK("http://stackoverflow.com/users/8526091", "Paul")</f>
        <v>Paul</v>
      </c>
      <c r="D17290" t="s">
        <v>4</v>
      </c>
      <c r="E17290">
        <v>1</v>
      </c>
    </row>
    <row r="17291" spans="1:5" x14ac:dyDescent="0.25">
      <c r="A17291">
        <v>17290</v>
      </c>
      <c r="B17291">
        <v>4977150</v>
      </c>
      <c r="C17291" s="1" t="str">
        <f>HYPERLINK("http://stackoverflow.com/users/4977150", "Inno")</f>
        <v>Inno</v>
      </c>
      <c r="D17291" t="s">
        <v>5</v>
      </c>
      <c r="E17291">
        <v>1</v>
      </c>
    </row>
    <row r="17292" spans="1:5" x14ac:dyDescent="0.25">
      <c r="A17292">
        <v>17291</v>
      </c>
      <c r="B17292">
        <v>8379452</v>
      </c>
      <c r="C17292" s="1" t="str">
        <f>HYPERLINK("http://stackoverflow.com/users/8379452", "Damon Lai")</f>
        <v>Damon Lai</v>
      </c>
      <c r="D17292" t="s">
        <v>25</v>
      </c>
      <c r="E17292">
        <v>1</v>
      </c>
    </row>
    <row r="17293" spans="1:5" x14ac:dyDescent="0.25">
      <c r="A17293">
        <v>17292</v>
      </c>
      <c r="B17293">
        <v>3015468</v>
      </c>
      <c r="C17293" s="1" t="str">
        <f>HYPERLINK("http://stackoverflow.com/users/3015468", "liguigen")</f>
        <v>liguigen</v>
      </c>
      <c r="D17293" t="s">
        <v>37</v>
      </c>
      <c r="E17293">
        <v>1</v>
      </c>
    </row>
    <row r="17294" spans="1:5" x14ac:dyDescent="0.25">
      <c r="A17294">
        <v>17293</v>
      </c>
      <c r="B17294">
        <v>3015825</v>
      </c>
      <c r="C17294" s="1" t="str">
        <f>HYPERLINK("http://stackoverflow.com/users/3015825", "pauli")</f>
        <v>pauli</v>
      </c>
      <c r="D17294" t="s">
        <v>4</v>
      </c>
      <c r="E17294">
        <v>1</v>
      </c>
    </row>
    <row r="17295" spans="1:5" x14ac:dyDescent="0.25">
      <c r="A17295">
        <v>17294</v>
      </c>
      <c r="B17295">
        <v>10206037</v>
      </c>
      <c r="C17295" s="1" t="str">
        <f>HYPERLINK("http://stackoverflow.com/users/10206037", "Atlas")</f>
        <v>Atlas</v>
      </c>
      <c r="D17295" t="s">
        <v>74</v>
      </c>
      <c r="E17295">
        <v>1</v>
      </c>
    </row>
    <row r="17296" spans="1:5" x14ac:dyDescent="0.25">
      <c r="A17296">
        <v>17295</v>
      </c>
      <c r="B17296">
        <v>10206496</v>
      </c>
      <c r="C17296" s="1" t="str">
        <f>HYPERLINK("http://stackoverflow.com/users/10206496", "xtlsoft")</f>
        <v>xtlsoft</v>
      </c>
      <c r="D17296" t="s">
        <v>948</v>
      </c>
      <c r="E17296">
        <v>1</v>
      </c>
    </row>
    <row r="17297" spans="1:5" x14ac:dyDescent="0.25">
      <c r="A17297">
        <v>17296</v>
      </c>
      <c r="B17297">
        <v>8391657</v>
      </c>
      <c r="C17297" s="1" t="str">
        <f>HYPERLINK("http://stackoverflow.com/users/8391657", "BlackCat.Zhu")</f>
        <v>BlackCat.Zhu</v>
      </c>
      <c r="D17297" t="s">
        <v>252</v>
      </c>
      <c r="E17297">
        <v>1</v>
      </c>
    </row>
    <row r="17298" spans="1:5" x14ac:dyDescent="0.25">
      <c r="A17298">
        <v>17297</v>
      </c>
      <c r="B17298">
        <v>8391849</v>
      </c>
      <c r="C17298" s="1" t="str">
        <f>HYPERLINK("http://stackoverflow.com/users/8391849", "zhsh lan")</f>
        <v>zhsh lan</v>
      </c>
      <c r="D17298" t="s">
        <v>7</v>
      </c>
      <c r="E17298">
        <v>1</v>
      </c>
    </row>
    <row r="17299" spans="1:5" x14ac:dyDescent="0.25">
      <c r="A17299">
        <v>17298</v>
      </c>
      <c r="B17299">
        <v>8391891</v>
      </c>
      <c r="C17299" s="1" t="str">
        <f>HYPERLINK("http://stackoverflow.com/users/8391891", "lin ma")</f>
        <v>lin ma</v>
      </c>
      <c r="D17299" t="s">
        <v>62</v>
      </c>
      <c r="E17299">
        <v>1</v>
      </c>
    </row>
    <row r="17300" spans="1:5" x14ac:dyDescent="0.25">
      <c r="A17300">
        <v>17299</v>
      </c>
      <c r="B17300">
        <v>3040082</v>
      </c>
      <c r="C17300" s="1" t="str">
        <f>HYPERLINK("http://stackoverflow.com/users/3040082", "Aedric Chen")</f>
        <v>Aedric Chen</v>
      </c>
      <c r="D17300" t="s">
        <v>17</v>
      </c>
      <c r="E17300">
        <v>1</v>
      </c>
    </row>
    <row r="17301" spans="1:5" x14ac:dyDescent="0.25">
      <c r="A17301">
        <v>17300</v>
      </c>
      <c r="B17301">
        <v>8396777</v>
      </c>
      <c r="C17301" s="1" t="str">
        <f>HYPERLINK("http://stackoverflow.com/users/8396777", "H. Feb")</f>
        <v>H. Feb</v>
      </c>
      <c r="D17301" t="s">
        <v>57</v>
      </c>
      <c r="E17301">
        <v>1</v>
      </c>
    </row>
    <row r="17302" spans="1:5" x14ac:dyDescent="0.25">
      <c r="A17302">
        <v>17301</v>
      </c>
      <c r="B17302">
        <v>8396821</v>
      </c>
      <c r="C17302" s="1" t="str">
        <f>HYPERLINK("http://stackoverflow.com/users/8396821", "whoru.S.Q")</f>
        <v>whoru.S.Q</v>
      </c>
      <c r="D17302" t="s">
        <v>114</v>
      </c>
      <c r="E17302">
        <v>1</v>
      </c>
    </row>
    <row r="17303" spans="1:5" x14ac:dyDescent="0.25">
      <c r="A17303">
        <v>17302</v>
      </c>
      <c r="B17303">
        <v>1031866</v>
      </c>
      <c r="C17303" s="1" t="str">
        <f>HYPERLINK("http://stackoverflow.com/users/1031866", "edward")</f>
        <v>edward</v>
      </c>
      <c r="D17303" t="s">
        <v>5</v>
      </c>
      <c r="E17303">
        <v>1</v>
      </c>
    </row>
    <row r="17304" spans="1:5" x14ac:dyDescent="0.25">
      <c r="A17304">
        <v>17303</v>
      </c>
      <c r="B17304">
        <v>10214989</v>
      </c>
      <c r="C17304" s="1" t="str">
        <f>HYPERLINK("http://stackoverflow.com/users/10214989", "usama")</f>
        <v>usama</v>
      </c>
      <c r="D17304" t="s">
        <v>55</v>
      </c>
      <c r="E17304">
        <v>1</v>
      </c>
    </row>
    <row r="17305" spans="1:5" x14ac:dyDescent="0.25">
      <c r="A17305">
        <v>17304</v>
      </c>
      <c r="B17305">
        <v>10215295</v>
      </c>
      <c r="C17305" s="1" t="str">
        <f>HYPERLINK("http://stackoverflow.com/users/10215295", "Li Li")</f>
        <v>Li Li</v>
      </c>
      <c r="D17305" t="s">
        <v>7</v>
      </c>
      <c r="E17305">
        <v>1</v>
      </c>
    </row>
    <row r="17306" spans="1:5" x14ac:dyDescent="0.25">
      <c r="A17306">
        <v>17305</v>
      </c>
      <c r="B17306">
        <v>1033712</v>
      </c>
      <c r="C17306" s="1" t="str">
        <f>HYPERLINK("http://stackoverflow.com/users/1033712", "chjlu")</f>
        <v>chjlu</v>
      </c>
      <c r="D17306" t="s">
        <v>4</v>
      </c>
      <c r="E17306">
        <v>1</v>
      </c>
    </row>
    <row r="17307" spans="1:5" x14ac:dyDescent="0.25">
      <c r="A17307">
        <v>17306</v>
      </c>
      <c r="B17307">
        <v>3011492</v>
      </c>
      <c r="C17307" s="1" t="str">
        <f>HYPERLINK("http://stackoverflow.com/users/3011492", "Nevalosa")</f>
        <v>Nevalosa</v>
      </c>
      <c r="D17307" t="s">
        <v>4</v>
      </c>
      <c r="E17307">
        <v>1</v>
      </c>
    </row>
    <row r="17308" spans="1:5" x14ac:dyDescent="0.25">
      <c r="A17308">
        <v>17307</v>
      </c>
      <c r="B17308">
        <v>3011668</v>
      </c>
      <c r="C17308" s="1" t="str">
        <f>HYPERLINK("http://stackoverflow.com/users/3011668", "markjour")</f>
        <v>markjour</v>
      </c>
      <c r="D17308" t="s">
        <v>8</v>
      </c>
      <c r="E17308">
        <v>1</v>
      </c>
    </row>
    <row r="17309" spans="1:5" x14ac:dyDescent="0.25">
      <c r="A17309">
        <v>17308</v>
      </c>
      <c r="B17309">
        <v>3011951</v>
      </c>
      <c r="C17309" s="1" t="str">
        <f>HYPERLINK("http://stackoverflow.com/users/3011951", "slade")</f>
        <v>slade</v>
      </c>
      <c r="D17309" t="s">
        <v>4</v>
      </c>
      <c r="E17309">
        <v>1</v>
      </c>
    </row>
    <row r="17310" spans="1:5" x14ac:dyDescent="0.25">
      <c r="A17310">
        <v>17309</v>
      </c>
      <c r="B17310">
        <v>3012013</v>
      </c>
      <c r="C17310" s="1" t="str">
        <f>HYPERLINK("http://stackoverflow.com/users/3012013", "Z.P.Shao")</f>
        <v>Z.P.Shao</v>
      </c>
      <c r="D17310" t="s">
        <v>37</v>
      </c>
      <c r="E17310">
        <v>1</v>
      </c>
    </row>
    <row r="17311" spans="1:5" x14ac:dyDescent="0.25">
      <c r="A17311">
        <v>17310</v>
      </c>
      <c r="B17311">
        <v>8374967</v>
      </c>
      <c r="C17311" s="1" t="str">
        <f>HYPERLINK("http://stackoverflow.com/users/8374967", "huan Ouyang")</f>
        <v>huan Ouyang</v>
      </c>
      <c r="D17311" t="s">
        <v>949</v>
      </c>
      <c r="E17311">
        <v>1</v>
      </c>
    </row>
    <row r="17312" spans="1:5" x14ac:dyDescent="0.25">
      <c r="A17312">
        <v>17311</v>
      </c>
      <c r="B17312">
        <v>8375146</v>
      </c>
      <c r="C17312" s="1" t="str">
        <f>HYPERLINK("http://stackoverflow.com/users/8375146", "Yiran Wu")</f>
        <v>Yiran Wu</v>
      </c>
      <c r="D17312" t="s">
        <v>4</v>
      </c>
      <c r="E17312">
        <v>1</v>
      </c>
    </row>
    <row r="17313" spans="1:5" x14ac:dyDescent="0.25">
      <c r="A17313">
        <v>17312</v>
      </c>
      <c r="B17313">
        <v>8366762</v>
      </c>
      <c r="C17313" s="1" t="str">
        <f>HYPERLINK("http://stackoverflow.com/users/8366762", "宋志文")</f>
        <v>宋志文</v>
      </c>
      <c r="D17313" t="s">
        <v>16</v>
      </c>
      <c r="E17313">
        <v>1</v>
      </c>
    </row>
    <row r="17314" spans="1:5" x14ac:dyDescent="0.25">
      <c r="A17314">
        <v>17313</v>
      </c>
      <c r="B17314">
        <v>6560138</v>
      </c>
      <c r="C17314" s="1" t="str">
        <f>HYPERLINK("http://stackoverflow.com/users/6560138", "Will Shek")</f>
        <v>Will Shek</v>
      </c>
      <c r="D17314" t="s">
        <v>5</v>
      </c>
      <c r="E17314">
        <v>1</v>
      </c>
    </row>
    <row r="17315" spans="1:5" x14ac:dyDescent="0.25">
      <c r="A17315">
        <v>17314</v>
      </c>
      <c r="B17315">
        <v>10185001</v>
      </c>
      <c r="C17315" s="1" t="str">
        <f>HYPERLINK("http://stackoverflow.com/users/10185001", "HAO WU")</f>
        <v>HAO WU</v>
      </c>
      <c r="D17315" t="s">
        <v>4</v>
      </c>
      <c r="E17315">
        <v>1</v>
      </c>
    </row>
    <row r="17316" spans="1:5" x14ac:dyDescent="0.25">
      <c r="A17316">
        <v>17315</v>
      </c>
      <c r="B17316">
        <v>10185152</v>
      </c>
      <c r="C17316" s="1" t="str">
        <f>HYPERLINK("http://stackoverflow.com/users/10185152", "Neo Liu")</f>
        <v>Neo Liu</v>
      </c>
      <c r="D17316" t="s">
        <v>67</v>
      </c>
      <c r="E17316">
        <v>1</v>
      </c>
    </row>
    <row r="17317" spans="1:5" x14ac:dyDescent="0.25">
      <c r="A17317">
        <v>17316</v>
      </c>
      <c r="B17317">
        <v>10185314</v>
      </c>
      <c r="C17317" s="1" t="str">
        <f>HYPERLINK("http://stackoverflow.com/users/10185314", "L.Hurous")</f>
        <v>L.Hurous</v>
      </c>
      <c r="D17317" t="s">
        <v>108</v>
      </c>
      <c r="E17317">
        <v>1</v>
      </c>
    </row>
    <row r="17318" spans="1:5" x14ac:dyDescent="0.25">
      <c r="A17318">
        <v>17317</v>
      </c>
      <c r="B17318">
        <v>1010709</v>
      </c>
      <c r="C17318" s="1" t="str">
        <f>HYPERLINK("http://stackoverflow.com/users/1010709", "Liulie")</f>
        <v>Liulie</v>
      </c>
      <c r="D17318" t="s">
        <v>5</v>
      </c>
      <c r="E17318">
        <v>1</v>
      </c>
    </row>
    <row r="17319" spans="1:5" x14ac:dyDescent="0.25">
      <c r="A17319">
        <v>17318</v>
      </c>
      <c r="B17319">
        <v>8387077</v>
      </c>
      <c r="C17319" s="1" t="str">
        <f>HYPERLINK("http://stackoverflow.com/users/8387077", "Anqi")</f>
        <v>Anqi</v>
      </c>
      <c r="D17319" t="s">
        <v>7</v>
      </c>
      <c r="E17319">
        <v>1</v>
      </c>
    </row>
    <row r="17320" spans="1:5" x14ac:dyDescent="0.25">
      <c r="A17320">
        <v>17319</v>
      </c>
      <c r="B17320">
        <v>10201437</v>
      </c>
      <c r="C17320" s="1" t="str">
        <f>HYPERLINK("http://stackoverflow.com/users/10201437", "user10201437")</f>
        <v>user10201437</v>
      </c>
      <c r="D17320" t="s">
        <v>7</v>
      </c>
      <c r="E17320">
        <v>1</v>
      </c>
    </row>
    <row r="17321" spans="1:5" x14ac:dyDescent="0.25">
      <c r="A17321">
        <v>17320</v>
      </c>
      <c r="B17321">
        <v>10202180</v>
      </c>
      <c r="C17321" s="1" t="str">
        <f>HYPERLINK("http://stackoverflow.com/users/10202180", "Zhang MengMei")</f>
        <v>Zhang MengMei</v>
      </c>
      <c r="D17321" t="s">
        <v>5</v>
      </c>
      <c r="E17321">
        <v>1</v>
      </c>
    </row>
    <row r="17322" spans="1:5" x14ac:dyDescent="0.25">
      <c r="A17322">
        <v>17321</v>
      </c>
      <c r="B17322">
        <v>3029737</v>
      </c>
      <c r="C17322" s="1" t="str">
        <f>HYPERLINK("http://stackoverflow.com/users/3029737", "Chenping Lu")</f>
        <v>Chenping Lu</v>
      </c>
      <c r="D17322" t="s">
        <v>4</v>
      </c>
      <c r="E17322">
        <v>1</v>
      </c>
    </row>
    <row r="17323" spans="1:5" x14ac:dyDescent="0.25">
      <c r="A17323">
        <v>17322</v>
      </c>
      <c r="B17323">
        <v>10189330</v>
      </c>
      <c r="C17323" s="1" t="str">
        <f>HYPERLINK("http://stackoverflow.com/users/10189330", "realTheo")</f>
        <v>realTheo</v>
      </c>
      <c r="D17323" t="s">
        <v>4</v>
      </c>
      <c r="E17323">
        <v>1</v>
      </c>
    </row>
    <row r="17324" spans="1:5" x14ac:dyDescent="0.25">
      <c r="A17324">
        <v>17323</v>
      </c>
      <c r="B17324">
        <v>3015947</v>
      </c>
      <c r="C17324" s="1" t="str">
        <f>HYPERLINK("http://stackoverflow.com/users/3015947", "timelong")</f>
        <v>timelong</v>
      </c>
      <c r="D17324" t="s">
        <v>5</v>
      </c>
      <c r="E17324">
        <v>1</v>
      </c>
    </row>
    <row r="17325" spans="1:5" x14ac:dyDescent="0.25">
      <c r="A17325">
        <v>17324</v>
      </c>
      <c r="B17325">
        <v>3016010</v>
      </c>
      <c r="C17325" s="1" t="str">
        <f>HYPERLINK("http://stackoverflow.com/users/3016010", "Brave Tiger")</f>
        <v>Brave Tiger</v>
      </c>
      <c r="D17325" t="s">
        <v>56</v>
      </c>
      <c r="E17325">
        <v>1</v>
      </c>
    </row>
    <row r="17326" spans="1:5" x14ac:dyDescent="0.25">
      <c r="A17326">
        <v>17325</v>
      </c>
      <c r="B17326">
        <v>3016096</v>
      </c>
      <c r="C17326" s="1" t="str">
        <f>HYPERLINK("http://stackoverflow.com/users/3016096", "leebeanstriving")</f>
        <v>leebeanstriving</v>
      </c>
      <c r="D17326" t="s">
        <v>21</v>
      </c>
      <c r="E17326">
        <v>1</v>
      </c>
    </row>
    <row r="17327" spans="1:5" x14ac:dyDescent="0.25">
      <c r="A17327">
        <v>17326</v>
      </c>
      <c r="B17327">
        <v>3016104</v>
      </c>
      <c r="C17327" s="1" t="str">
        <f>HYPERLINK("http://stackoverflow.com/users/3016104", "shu liang")</f>
        <v>shu liang</v>
      </c>
      <c r="D17327" t="s">
        <v>5</v>
      </c>
      <c r="E17327">
        <v>1</v>
      </c>
    </row>
    <row r="17328" spans="1:5" x14ac:dyDescent="0.25">
      <c r="A17328">
        <v>17327</v>
      </c>
      <c r="B17328">
        <v>10193106</v>
      </c>
      <c r="C17328" s="1" t="str">
        <f>HYPERLINK("http://stackoverflow.com/users/10193106", "KUDZAI BOSHA")</f>
        <v>KUDZAI BOSHA</v>
      </c>
      <c r="D17328" t="s">
        <v>16</v>
      </c>
      <c r="E17328">
        <v>1</v>
      </c>
    </row>
    <row r="17329" spans="1:5" x14ac:dyDescent="0.25">
      <c r="A17329">
        <v>17328</v>
      </c>
      <c r="B17329">
        <v>8379175</v>
      </c>
      <c r="C17329" s="1" t="str">
        <f>HYPERLINK("http://stackoverflow.com/users/8379175", "lotus")</f>
        <v>lotus</v>
      </c>
      <c r="D17329" t="s">
        <v>55</v>
      </c>
      <c r="E17329">
        <v>1</v>
      </c>
    </row>
    <row r="17330" spans="1:5" x14ac:dyDescent="0.25">
      <c r="A17330">
        <v>17329</v>
      </c>
      <c r="B17330">
        <v>8332793</v>
      </c>
      <c r="C17330" s="1" t="str">
        <f>HYPERLINK("http://stackoverflow.com/users/8332793", "wingfai chow")</f>
        <v>wingfai chow</v>
      </c>
      <c r="D17330" t="s">
        <v>25</v>
      </c>
      <c r="E17330">
        <v>1</v>
      </c>
    </row>
    <row r="17331" spans="1:5" x14ac:dyDescent="0.25">
      <c r="A17331">
        <v>17330</v>
      </c>
      <c r="B17331">
        <v>4808656</v>
      </c>
      <c r="C17331" s="1" t="str">
        <f>HYPERLINK("http://stackoverflow.com/users/4808656", "Eico Lin")</f>
        <v>Eico Lin</v>
      </c>
      <c r="D17331" t="s">
        <v>7</v>
      </c>
      <c r="E17331">
        <v>1</v>
      </c>
    </row>
    <row r="17332" spans="1:5" x14ac:dyDescent="0.25">
      <c r="A17332">
        <v>17331</v>
      </c>
      <c r="B17332">
        <v>2981581</v>
      </c>
      <c r="C17332" s="1" t="str">
        <f>HYPERLINK("http://stackoverflow.com/users/2981581", "jrdeng")</f>
        <v>jrdeng</v>
      </c>
      <c r="D17332" t="s">
        <v>22</v>
      </c>
      <c r="E17332">
        <v>1</v>
      </c>
    </row>
    <row r="17333" spans="1:5" x14ac:dyDescent="0.25">
      <c r="A17333">
        <v>17332</v>
      </c>
      <c r="B17333">
        <v>2982405</v>
      </c>
      <c r="C17333" s="1" t="str">
        <f>HYPERLINK("http://stackoverflow.com/users/2982405", "Xu Li")</f>
        <v>Xu Li</v>
      </c>
      <c r="D17333" t="s">
        <v>5</v>
      </c>
      <c r="E17333">
        <v>1</v>
      </c>
    </row>
    <row r="17334" spans="1:5" x14ac:dyDescent="0.25">
      <c r="A17334">
        <v>17333</v>
      </c>
      <c r="B17334">
        <v>10153461</v>
      </c>
      <c r="C17334" s="1" t="str">
        <f>HYPERLINK("http://stackoverflow.com/users/10153461", "William")</f>
        <v>William</v>
      </c>
      <c r="D17334" t="s">
        <v>5</v>
      </c>
      <c r="E17334">
        <v>1</v>
      </c>
    </row>
    <row r="17335" spans="1:5" x14ac:dyDescent="0.25">
      <c r="A17335">
        <v>17334</v>
      </c>
      <c r="B17335">
        <v>8340533</v>
      </c>
      <c r="C17335" s="1" t="str">
        <f>HYPERLINK("http://stackoverflow.com/users/8340533", "Oscar Cai")</f>
        <v>Oscar Cai</v>
      </c>
      <c r="D17335" t="s">
        <v>28</v>
      </c>
      <c r="E17335">
        <v>1</v>
      </c>
    </row>
    <row r="17336" spans="1:5" x14ac:dyDescent="0.25">
      <c r="A17336">
        <v>17335</v>
      </c>
      <c r="B17336">
        <v>10159464</v>
      </c>
      <c r="C17336" s="1" t="str">
        <f>HYPERLINK("http://stackoverflow.com/users/10159464", "Lemon Ju")</f>
        <v>Lemon Ju</v>
      </c>
      <c r="D17336" t="s">
        <v>4</v>
      </c>
      <c r="E17336">
        <v>1</v>
      </c>
    </row>
    <row r="17337" spans="1:5" x14ac:dyDescent="0.25">
      <c r="A17337">
        <v>17336</v>
      </c>
      <c r="B17337">
        <v>10159747</v>
      </c>
      <c r="C17337" s="1" t="str">
        <f>HYPERLINK("http://stackoverflow.com/users/10159747", "Lynn Hu")</f>
        <v>Lynn Hu</v>
      </c>
      <c r="D17337" t="s">
        <v>25</v>
      </c>
      <c r="E17337">
        <v>1</v>
      </c>
    </row>
    <row r="17338" spans="1:5" x14ac:dyDescent="0.25">
      <c r="A17338">
        <v>17337</v>
      </c>
      <c r="B17338">
        <v>10159840</v>
      </c>
      <c r="C17338" s="1" t="str">
        <f>HYPERLINK("http://stackoverflow.com/users/10159840", "Zhang Jun")</f>
        <v>Zhang Jun</v>
      </c>
      <c r="D17338" t="s">
        <v>28</v>
      </c>
      <c r="E17338">
        <v>1</v>
      </c>
    </row>
    <row r="17339" spans="1:5" x14ac:dyDescent="0.25">
      <c r="A17339">
        <v>17338</v>
      </c>
      <c r="B17339">
        <v>6538039</v>
      </c>
      <c r="C17339" s="1" t="str">
        <f>HYPERLINK("http://stackoverflow.com/users/6538039", "Zhangch Alex")</f>
        <v>Zhangch Alex</v>
      </c>
      <c r="D17339" t="s">
        <v>5</v>
      </c>
      <c r="E17339">
        <v>1</v>
      </c>
    </row>
    <row r="17340" spans="1:5" x14ac:dyDescent="0.25">
      <c r="A17340">
        <v>17339</v>
      </c>
      <c r="B17340">
        <v>2987984</v>
      </c>
      <c r="C17340" s="1" t="str">
        <f>HYPERLINK("http://stackoverflow.com/users/2987984", "Boris")</f>
        <v>Boris</v>
      </c>
      <c r="D17340" t="s">
        <v>5</v>
      </c>
      <c r="E17340">
        <v>1</v>
      </c>
    </row>
    <row r="17341" spans="1:5" x14ac:dyDescent="0.25">
      <c r="A17341">
        <v>17340</v>
      </c>
      <c r="B17341">
        <v>2988002</v>
      </c>
      <c r="C17341" s="1" t="str">
        <f>HYPERLINK("http://stackoverflow.com/users/2988002", "Zhu Jiale")</f>
        <v>Zhu Jiale</v>
      </c>
      <c r="D17341" t="s">
        <v>4</v>
      </c>
      <c r="E17341">
        <v>1</v>
      </c>
    </row>
    <row r="17342" spans="1:5" x14ac:dyDescent="0.25">
      <c r="A17342">
        <v>17341</v>
      </c>
      <c r="B17342">
        <v>2988090</v>
      </c>
      <c r="C17342" s="1" t="str">
        <f>HYPERLINK("http://stackoverflow.com/users/2988090", "zhangliang605")</f>
        <v>zhangliang605</v>
      </c>
      <c r="D17342" t="s">
        <v>5</v>
      </c>
      <c r="E17342">
        <v>1</v>
      </c>
    </row>
    <row r="17343" spans="1:5" x14ac:dyDescent="0.25">
      <c r="A17343">
        <v>17342</v>
      </c>
      <c r="B17343">
        <v>4803659</v>
      </c>
      <c r="C17343" s="1" t="str">
        <f>HYPERLINK("http://stackoverflow.com/users/4803659", "Magicer")</f>
        <v>Magicer</v>
      </c>
      <c r="D17343" t="s">
        <v>5</v>
      </c>
      <c r="E17343">
        <v>1</v>
      </c>
    </row>
    <row r="17344" spans="1:5" x14ac:dyDescent="0.25">
      <c r="A17344">
        <v>17343</v>
      </c>
      <c r="B17344">
        <v>4803898</v>
      </c>
      <c r="C17344" s="1" t="str">
        <f>HYPERLINK("http://stackoverflow.com/users/4803898", "Allen Walker")</f>
        <v>Allen Walker</v>
      </c>
      <c r="D17344" t="s">
        <v>5</v>
      </c>
      <c r="E17344">
        <v>1</v>
      </c>
    </row>
    <row r="17345" spans="1:5" x14ac:dyDescent="0.25">
      <c r="A17345">
        <v>17344</v>
      </c>
      <c r="B17345">
        <v>10153016</v>
      </c>
      <c r="C17345" s="1" t="str">
        <f>HYPERLINK("http://stackoverflow.com/users/10153016", "Shunhua Gai")</f>
        <v>Shunhua Gai</v>
      </c>
      <c r="D17345" t="s">
        <v>5</v>
      </c>
      <c r="E17345">
        <v>1</v>
      </c>
    </row>
    <row r="17346" spans="1:5" x14ac:dyDescent="0.25">
      <c r="A17346">
        <v>17345</v>
      </c>
      <c r="B17346">
        <v>10153196</v>
      </c>
      <c r="C17346" s="1" t="str">
        <f>HYPERLINK("http://stackoverflow.com/users/10153196", "JieShao")</f>
        <v>JieShao</v>
      </c>
      <c r="D17346" t="s">
        <v>950</v>
      </c>
      <c r="E17346">
        <v>1</v>
      </c>
    </row>
    <row r="17347" spans="1:5" x14ac:dyDescent="0.25">
      <c r="A17347">
        <v>17346</v>
      </c>
      <c r="B17347">
        <v>10153215</v>
      </c>
      <c r="C17347" s="1" t="str">
        <f>HYPERLINK("http://stackoverflow.com/users/10153215", "Carlos Liu")</f>
        <v>Carlos Liu</v>
      </c>
      <c r="D17347" t="s">
        <v>4</v>
      </c>
      <c r="E17347">
        <v>1</v>
      </c>
    </row>
    <row r="17348" spans="1:5" x14ac:dyDescent="0.25">
      <c r="A17348">
        <v>17347</v>
      </c>
      <c r="B17348">
        <v>6531275</v>
      </c>
      <c r="C17348" s="1" t="str">
        <f>HYPERLINK("http://stackoverflow.com/users/6531275", "KDL")</f>
        <v>KDL</v>
      </c>
      <c r="D17348" t="s">
        <v>248</v>
      </c>
      <c r="E17348">
        <v>1</v>
      </c>
    </row>
    <row r="17349" spans="1:5" x14ac:dyDescent="0.25">
      <c r="A17349">
        <v>17348</v>
      </c>
      <c r="B17349">
        <v>4800397</v>
      </c>
      <c r="C17349" s="1" t="str">
        <f>HYPERLINK("http://stackoverflow.com/users/4800397", "wyiwt")</f>
        <v>wyiwt</v>
      </c>
      <c r="D17349" t="s">
        <v>5</v>
      </c>
      <c r="E17349">
        <v>1</v>
      </c>
    </row>
    <row r="17350" spans="1:5" x14ac:dyDescent="0.25">
      <c r="A17350">
        <v>17349</v>
      </c>
      <c r="B17350">
        <v>8329181</v>
      </c>
      <c r="C17350" s="1" t="str">
        <f>HYPERLINK("http://stackoverflow.com/users/8329181", "xodarap")</f>
        <v>xodarap</v>
      </c>
      <c r="D17350" t="s">
        <v>5</v>
      </c>
      <c r="E17350">
        <v>1</v>
      </c>
    </row>
    <row r="17351" spans="1:5" x14ac:dyDescent="0.25">
      <c r="A17351">
        <v>17350</v>
      </c>
      <c r="B17351">
        <v>8329243</v>
      </c>
      <c r="C17351" s="1" t="str">
        <f>HYPERLINK("http://stackoverflow.com/users/8329243", "Andrew")</f>
        <v>Andrew</v>
      </c>
      <c r="D17351" t="s">
        <v>4</v>
      </c>
      <c r="E17351">
        <v>1</v>
      </c>
    </row>
    <row r="17352" spans="1:5" x14ac:dyDescent="0.25">
      <c r="A17352">
        <v>17351</v>
      </c>
      <c r="B17352">
        <v>8329351</v>
      </c>
      <c r="C17352" s="1" t="str">
        <f>HYPERLINK("http://stackoverflow.com/users/8329351", "Corrine")</f>
        <v>Corrine</v>
      </c>
      <c r="D17352" t="s">
        <v>146</v>
      </c>
      <c r="E17352">
        <v>1</v>
      </c>
    </row>
    <row r="17353" spans="1:5" x14ac:dyDescent="0.25">
      <c r="A17353">
        <v>17352</v>
      </c>
      <c r="B17353">
        <v>8332419</v>
      </c>
      <c r="C17353" s="1" t="str">
        <f>HYPERLINK("http://stackoverflow.com/users/8332419", "Bo Yuan")</f>
        <v>Bo Yuan</v>
      </c>
      <c r="D17353" t="s">
        <v>11</v>
      </c>
      <c r="E17353">
        <v>1</v>
      </c>
    </row>
    <row r="17354" spans="1:5" x14ac:dyDescent="0.25">
      <c r="A17354">
        <v>17353</v>
      </c>
      <c r="B17354">
        <v>919340</v>
      </c>
      <c r="C17354" s="1" t="str">
        <f>HYPERLINK("http://stackoverflow.com/users/919340", "Smile")</f>
        <v>Smile</v>
      </c>
      <c r="D17354" t="s">
        <v>5</v>
      </c>
      <c r="E17354">
        <v>1</v>
      </c>
    </row>
    <row r="17355" spans="1:5" x14ac:dyDescent="0.25">
      <c r="A17355">
        <v>17354</v>
      </c>
      <c r="B17355">
        <v>919077</v>
      </c>
      <c r="C17355" s="1" t="str">
        <f>HYPERLINK("http://stackoverflow.com/users/919077", "interjc")</f>
        <v>interjc</v>
      </c>
      <c r="D17355" t="s">
        <v>8</v>
      </c>
      <c r="E17355">
        <v>1</v>
      </c>
    </row>
    <row r="17356" spans="1:5" x14ac:dyDescent="0.25">
      <c r="A17356">
        <v>17355</v>
      </c>
      <c r="B17356">
        <v>2988199</v>
      </c>
      <c r="C17356" s="1" t="str">
        <f>HYPERLINK("http://stackoverflow.com/users/2988199", "lytmac")</f>
        <v>lytmac</v>
      </c>
      <c r="D17356" t="s">
        <v>22</v>
      </c>
      <c r="E17356">
        <v>1</v>
      </c>
    </row>
    <row r="17357" spans="1:5" x14ac:dyDescent="0.25">
      <c r="A17357">
        <v>17356</v>
      </c>
      <c r="B17357">
        <v>10163931</v>
      </c>
      <c r="C17357" s="1" t="str">
        <f>HYPERLINK("http://stackoverflow.com/users/10163931", "tong li")</f>
        <v>tong li</v>
      </c>
      <c r="D17357" t="s">
        <v>52</v>
      </c>
      <c r="E17357">
        <v>1</v>
      </c>
    </row>
    <row r="17358" spans="1:5" x14ac:dyDescent="0.25">
      <c r="A17358">
        <v>17357</v>
      </c>
      <c r="B17358">
        <v>10164221</v>
      </c>
      <c r="C17358" s="1" t="str">
        <f>HYPERLINK("http://stackoverflow.com/users/10164221", "Su Yang")</f>
        <v>Su Yang</v>
      </c>
      <c r="D17358" t="s">
        <v>108</v>
      </c>
      <c r="E17358">
        <v>1</v>
      </c>
    </row>
    <row r="17359" spans="1:5" x14ac:dyDescent="0.25">
      <c r="A17359">
        <v>17358</v>
      </c>
      <c r="B17359">
        <v>8353314</v>
      </c>
      <c r="C17359" s="1" t="str">
        <f>HYPERLINK("http://stackoverflow.com/users/8353314", "Clement LiXD")</f>
        <v>Clement LiXD</v>
      </c>
      <c r="D17359" t="s">
        <v>17</v>
      </c>
      <c r="E17359">
        <v>1</v>
      </c>
    </row>
    <row r="17360" spans="1:5" x14ac:dyDescent="0.25">
      <c r="A17360">
        <v>17359</v>
      </c>
      <c r="B17360">
        <v>8353701</v>
      </c>
      <c r="C17360" s="1" t="str">
        <f>HYPERLINK("http://stackoverflow.com/users/8353701", "Ning Bi")</f>
        <v>Ning Bi</v>
      </c>
      <c r="D17360" t="s">
        <v>4</v>
      </c>
      <c r="E17360">
        <v>1</v>
      </c>
    </row>
    <row r="17361" spans="1:5" x14ac:dyDescent="0.25">
      <c r="A17361">
        <v>17360</v>
      </c>
      <c r="B17361">
        <v>8358018</v>
      </c>
      <c r="C17361" s="1" t="str">
        <f>HYPERLINK("http://stackoverflow.com/users/8358018", "EvanCHEN")</f>
        <v>EvanCHEN</v>
      </c>
      <c r="D17361" t="s">
        <v>55</v>
      </c>
      <c r="E17361">
        <v>1</v>
      </c>
    </row>
    <row r="17362" spans="1:5" x14ac:dyDescent="0.25">
      <c r="A17362">
        <v>17361</v>
      </c>
      <c r="B17362">
        <v>2992067</v>
      </c>
      <c r="C17362" s="1" t="str">
        <f>HYPERLINK("http://stackoverflow.com/users/2992067", "Stephen.Z")</f>
        <v>Stephen.Z</v>
      </c>
      <c r="D17362" t="s">
        <v>4</v>
      </c>
      <c r="E17362">
        <v>1</v>
      </c>
    </row>
    <row r="17363" spans="1:5" x14ac:dyDescent="0.25">
      <c r="A17363">
        <v>17362</v>
      </c>
      <c r="B17363">
        <v>2992185</v>
      </c>
      <c r="C17363" s="1" t="str">
        <f>HYPERLINK("http://stackoverflow.com/users/2992185", "renyouyin")</f>
        <v>renyouyin</v>
      </c>
      <c r="D17363" t="s">
        <v>6</v>
      </c>
      <c r="E17363">
        <v>1</v>
      </c>
    </row>
    <row r="17364" spans="1:5" x14ac:dyDescent="0.25">
      <c r="A17364">
        <v>17363</v>
      </c>
      <c r="B17364">
        <v>970382</v>
      </c>
      <c r="C17364" s="1" t="str">
        <f>HYPERLINK("http://stackoverflow.com/users/970382", "Liu Yongtai")</f>
        <v>Liu Yongtai</v>
      </c>
      <c r="D17364" t="s">
        <v>56</v>
      </c>
      <c r="E17364">
        <v>1</v>
      </c>
    </row>
    <row r="17365" spans="1:5" x14ac:dyDescent="0.25">
      <c r="A17365">
        <v>17364</v>
      </c>
      <c r="B17365">
        <v>8361933</v>
      </c>
      <c r="C17365" s="1" t="str">
        <f>HYPERLINK("http://stackoverflow.com/users/8361933", "Starry Cheng")</f>
        <v>Starry Cheng</v>
      </c>
      <c r="D17365" t="s">
        <v>4</v>
      </c>
      <c r="E17365">
        <v>1</v>
      </c>
    </row>
    <row r="17366" spans="1:5" x14ac:dyDescent="0.25">
      <c r="A17366">
        <v>17365</v>
      </c>
      <c r="B17366">
        <v>8362109</v>
      </c>
      <c r="C17366" s="1" t="str">
        <f>HYPERLINK("http://stackoverflow.com/users/8362109", "cgnerds")</f>
        <v>cgnerds</v>
      </c>
      <c r="D17366" t="s">
        <v>5</v>
      </c>
      <c r="E17366">
        <v>1</v>
      </c>
    </row>
    <row r="17367" spans="1:5" x14ac:dyDescent="0.25">
      <c r="A17367">
        <v>17366</v>
      </c>
      <c r="B17367">
        <v>8362115</v>
      </c>
      <c r="C17367" s="1" t="str">
        <f>HYPERLINK("http://stackoverflow.com/users/8362115", "user8362115")</f>
        <v>user8362115</v>
      </c>
      <c r="D17367" t="s">
        <v>16</v>
      </c>
      <c r="E17367">
        <v>1</v>
      </c>
    </row>
    <row r="17368" spans="1:5" x14ac:dyDescent="0.25">
      <c r="A17368">
        <v>17367</v>
      </c>
      <c r="B17368">
        <v>8362322</v>
      </c>
      <c r="C17368" s="1" t="str">
        <f>HYPERLINK("http://stackoverflow.com/users/8362322", "Linyxus")</f>
        <v>Linyxus</v>
      </c>
      <c r="D17368" t="s">
        <v>10</v>
      </c>
      <c r="E17368">
        <v>1</v>
      </c>
    </row>
    <row r="17369" spans="1:5" x14ac:dyDescent="0.25">
      <c r="A17369">
        <v>17368</v>
      </c>
      <c r="B17369">
        <v>8362575</v>
      </c>
      <c r="C17369" s="1" t="str">
        <f>HYPERLINK("http://stackoverflow.com/users/8362575", "Zic Wang")</f>
        <v>Zic Wang</v>
      </c>
      <c r="D17369" t="s">
        <v>55</v>
      </c>
      <c r="E17369">
        <v>1</v>
      </c>
    </row>
    <row r="17370" spans="1:5" x14ac:dyDescent="0.25">
      <c r="A17370">
        <v>17369</v>
      </c>
      <c r="B17370">
        <v>4830840</v>
      </c>
      <c r="C17370" s="1" t="str">
        <f>HYPERLINK("http://stackoverflow.com/users/4830840", "Ray Chan")</f>
        <v>Ray Chan</v>
      </c>
      <c r="D17370" t="s">
        <v>17</v>
      </c>
      <c r="E17370">
        <v>1</v>
      </c>
    </row>
    <row r="17371" spans="1:5" x14ac:dyDescent="0.25">
      <c r="A17371">
        <v>17370</v>
      </c>
      <c r="B17371">
        <v>3006950</v>
      </c>
      <c r="C17371" s="1" t="str">
        <f>HYPERLINK("http://stackoverflow.com/users/3006950", "julong")</f>
        <v>julong</v>
      </c>
      <c r="D17371" t="s">
        <v>6</v>
      </c>
      <c r="E17371">
        <v>1</v>
      </c>
    </row>
    <row r="17372" spans="1:5" x14ac:dyDescent="0.25">
      <c r="A17372">
        <v>17371</v>
      </c>
      <c r="B17372">
        <v>3007195</v>
      </c>
      <c r="C17372" s="1" t="str">
        <f>HYPERLINK("http://stackoverflow.com/users/3007195", "Steve Wins")</f>
        <v>Steve Wins</v>
      </c>
      <c r="D17372" t="s">
        <v>5</v>
      </c>
      <c r="E17372">
        <v>1</v>
      </c>
    </row>
    <row r="17373" spans="1:5" x14ac:dyDescent="0.25">
      <c r="A17373">
        <v>17372</v>
      </c>
      <c r="B17373">
        <v>976248</v>
      </c>
      <c r="C17373" s="1" t="str">
        <f>HYPERLINK("http://stackoverflow.com/users/976248", "national007")</f>
        <v>national007</v>
      </c>
      <c r="D17373" t="s">
        <v>21</v>
      </c>
      <c r="E17373">
        <v>1</v>
      </c>
    </row>
    <row r="17374" spans="1:5" x14ac:dyDescent="0.25">
      <c r="A17374">
        <v>17373</v>
      </c>
      <c r="B17374">
        <v>6593162</v>
      </c>
      <c r="C17374" s="1" t="str">
        <f>HYPERLINK("http://stackoverflow.com/users/6593162", "Joy Kuang")</f>
        <v>Joy Kuang</v>
      </c>
      <c r="D17374" t="s">
        <v>417</v>
      </c>
      <c r="E17374">
        <v>1</v>
      </c>
    </row>
    <row r="17375" spans="1:5" x14ac:dyDescent="0.25">
      <c r="A17375">
        <v>17374</v>
      </c>
      <c r="B17375">
        <v>10222963</v>
      </c>
      <c r="C17375" s="1" t="str">
        <f>HYPERLINK("http://stackoverflow.com/users/10222963", "Yi Fabao Tandam")</f>
        <v>Yi Fabao Tandam</v>
      </c>
      <c r="D17375" t="s">
        <v>4</v>
      </c>
      <c r="E17375">
        <v>1</v>
      </c>
    </row>
    <row r="17376" spans="1:5" x14ac:dyDescent="0.25">
      <c r="A17376">
        <v>17375</v>
      </c>
      <c r="B17376">
        <v>10223028</v>
      </c>
      <c r="C17376" s="1" t="str">
        <f>HYPERLINK("http://stackoverflow.com/users/10223028", "BytedanceHR")</f>
        <v>BytedanceHR</v>
      </c>
      <c r="D17376" t="s">
        <v>5</v>
      </c>
      <c r="E17376">
        <v>1</v>
      </c>
    </row>
    <row r="17377" spans="1:5" x14ac:dyDescent="0.25">
      <c r="A17377">
        <v>17376</v>
      </c>
      <c r="B17377">
        <v>10223040</v>
      </c>
      <c r="C17377" s="1" t="str">
        <f>HYPERLINK("http://stackoverflow.com/users/10223040", "afastainlesskb")</f>
        <v>afastainlesskb</v>
      </c>
      <c r="D17377" t="s">
        <v>951</v>
      </c>
      <c r="E17377">
        <v>1</v>
      </c>
    </row>
    <row r="17378" spans="1:5" x14ac:dyDescent="0.25">
      <c r="A17378">
        <v>17377</v>
      </c>
      <c r="B17378">
        <v>10223159</v>
      </c>
      <c r="C17378" s="1" t="str">
        <f>HYPERLINK("http://stackoverflow.com/users/10223159", "stone liu")</f>
        <v>stone liu</v>
      </c>
      <c r="D17378" t="s">
        <v>4</v>
      </c>
      <c r="E17378">
        <v>1</v>
      </c>
    </row>
    <row r="17379" spans="1:5" x14ac:dyDescent="0.25">
      <c r="A17379">
        <v>17378</v>
      </c>
      <c r="B17379">
        <v>1052058</v>
      </c>
      <c r="C17379" s="1" t="str">
        <f>HYPERLINK("http://stackoverflow.com/users/1052058", "小小大熊")</f>
        <v>小小大熊</v>
      </c>
      <c r="D17379" t="s">
        <v>54</v>
      </c>
      <c r="E17379">
        <v>1</v>
      </c>
    </row>
    <row r="17380" spans="1:5" x14ac:dyDescent="0.25">
      <c r="A17380">
        <v>17379</v>
      </c>
      <c r="B17380">
        <v>8408940</v>
      </c>
      <c r="C17380" s="1" t="str">
        <f>HYPERLINK("http://stackoverflow.com/users/8408940", "LQ Ruan")</f>
        <v>LQ Ruan</v>
      </c>
      <c r="D17380" t="s">
        <v>52</v>
      </c>
      <c r="E17380">
        <v>1</v>
      </c>
    </row>
    <row r="17381" spans="1:5" x14ac:dyDescent="0.25">
      <c r="A17381">
        <v>17380</v>
      </c>
      <c r="B17381">
        <v>10222737</v>
      </c>
      <c r="C17381" s="1" t="str">
        <f>HYPERLINK("http://stackoverflow.com/users/10222737", "SIGKILL")</f>
        <v>SIGKILL</v>
      </c>
      <c r="D17381" t="s">
        <v>28</v>
      </c>
      <c r="E17381">
        <v>1</v>
      </c>
    </row>
    <row r="17382" spans="1:5" x14ac:dyDescent="0.25">
      <c r="A17382">
        <v>17381</v>
      </c>
      <c r="B17382">
        <v>10222762</v>
      </c>
      <c r="C17382" s="1" t="str">
        <f>HYPERLINK("http://stackoverflow.com/users/10222762", "hs.zhang")</f>
        <v>hs.zhang</v>
      </c>
      <c r="D17382" t="s">
        <v>43</v>
      </c>
      <c r="E17382">
        <v>1</v>
      </c>
    </row>
    <row r="17383" spans="1:5" x14ac:dyDescent="0.25">
      <c r="A17383">
        <v>17382</v>
      </c>
      <c r="B17383">
        <v>8408673</v>
      </c>
      <c r="C17383" s="1" t="str">
        <f>HYPERLINK("http://stackoverflow.com/users/8408673", "Jhon Zhi")</f>
        <v>Jhon Zhi</v>
      </c>
      <c r="D17383" t="s">
        <v>952</v>
      </c>
      <c r="E17383">
        <v>1</v>
      </c>
    </row>
    <row r="17384" spans="1:5" x14ac:dyDescent="0.25">
      <c r="A17384">
        <v>17383</v>
      </c>
      <c r="B17384">
        <v>8408749</v>
      </c>
      <c r="C17384" s="1" t="str">
        <f>HYPERLINK("http://stackoverflow.com/users/8408749", "AdamHuang")</f>
        <v>AdamHuang</v>
      </c>
      <c r="D17384" t="s">
        <v>4</v>
      </c>
      <c r="E17384">
        <v>1</v>
      </c>
    </row>
    <row r="17385" spans="1:5" x14ac:dyDescent="0.25">
      <c r="A17385">
        <v>17384</v>
      </c>
      <c r="B17385">
        <v>8408804</v>
      </c>
      <c r="C17385" s="1" t="str">
        <f>HYPERLINK("http://stackoverflow.com/users/8408804", "MonsterCJJ")</f>
        <v>MonsterCJJ</v>
      </c>
      <c r="D17385" t="s">
        <v>4</v>
      </c>
      <c r="E17385">
        <v>1</v>
      </c>
    </row>
    <row r="17386" spans="1:5" x14ac:dyDescent="0.25">
      <c r="A17386">
        <v>17385</v>
      </c>
      <c r="B17386">
        <v>8408805</v>
      </c>
      <c r="C17386" s="1" t="str">
        <f>HYPERLINK("http://stackoverflow.com/users/8408805", "GB Xu")</f>
        <v>GB Xu</v>
      </c>
      <c r="D17386" t="s">
        <v>118</v>
      </c>
      <c r="E17386">
        <v>1</v>
      </c>
    </row>
    <row r="17387" spans="1:5" x14ac:dyDescent="0.25">
      <c r="A17387">
        <v>17386</v>
      </c>
      <c r="B17387">
        <v>8408815</v>
      </c>
      <c r="C17387" s="1" t="str">
        <f>HYPERLINK("http://stackoverflow.com/users/8408815", "Noone")</f>
        <v>Noone</v>
      </c>
      <c r="D17387" t="s">
        <v>7</v>
      </c>
      <c r="E17387">
        <v>1</v>
      </c>
    </row>
    <row r="17388" spans="1:5" x14ac:dyDescent="0.25">
      <c r="A17388">
        <v>17387</v>
      </c>
      <c r="B17388">
        <v>3044293</v>
      </c>
      <c r="C17388" s="1" t="str">
        <f>HYPERLINK("http://stackoverflow.com/users/3044293", "Y.Xue")</f>
        <v>Y.Xue</v>
      </c>
      <c r="D17388" t="s">
        <v>5</v>
      </c>
      <c r="E17388">
        <v>1</v>
      </c>
    </row>
    <row r="17389" spans="1:5" x14ac:dyDescent="0.25">
      <c r="A17389">
        <v>17388</v>
      </c>
      <c r="B17389">
        <v>6587164</v>
      </c>
      <c r="C17389" s="1" t="str">
        <f>HYPERLINK("http://stackoverflow.com/users/6587164", "Qianchao Pan")</f>
        <v>Qianchao Pan</v>
      </c>
      <c r="D17389" t="s">
        <v>74</v>
      </c>
      <c r="E17389">
        <v>1</v>
      </c>
    </row>
    <row r="17390" spans="1:5" x14ac:dyDescent="0.25">
      <c r="A17390">
        <v>17389</v>
      </c>
      <c r="B17390">
        <v>1039246</v>
      </c>
      <c r="C17390" s="1" t="str">
        <f>HYPERLINK("http://stackoverflow.com/users/1039246", "gykpro")</f>
        <v>gykpro</v>
      </c>
      <c r="D17390" t="s">
        <v>12</v>
      </c>
      <c r="E17390">
        <v>1</v>
      </c>
    </row>
    <row r="17391" spans="1:5" x14ac:dyDescent="0.25">
      <c r="A17391">
        <v>17390</v>
      </c>
      <c r="B17391">
        <v>3049034</v>
      </c>
      <c r="C17391" s="1" t="str">
        <f>HYPERLINK("http://stackoverflow.com/users/3049034", "Lele")</f>
        <v>Lele</v>
      </c>
      <c r="D17391" t="s">
        <v>35</v>
      </c>
      <c r="E17391">
        <v>1</v>
      </c>
    </row>
    <row r="17392" spans="1:5" x14ac:dyDescent="0.25">
      <c r="A17392">
        <v>17391</v>
      </c>
      <c r="B17392">
        <v>4866682</v>
      </c>
      <c r="C17392" s="1" t="str">
        <f>HYPERLINK("http://stackoverflow.com/users/4866682", "yuxingxin")</f>
        <v>yuxingxin</v>
      </c>
      <c r="D17392" t="s">
        <v>54</v>
      </c>
      <c r="E17392">
        <v>1</v>
      </c>
    </row>
    <row r="17393" spans="1:5" x14ac:dyDescent="0.25">
      <c r="A17393">
        <v>17392</v>
      </c>
      <c r="B17393">
        <v>4867536</v>
      </c>
      <c r="C17393" s="1" t="str">
        <f>HYPERLINK("http://stackoverflow.com/users/4867536", "Benjamin Jiang")</f>
        <v>Benjamin Jiang</v>
      </c>
      <c r="D17393" t="s">
        <v>21</v>
      </c>
      <c r="E17393">
        <v>1</v>
      </c>
    </row>
    <row r="17394" spans="1:5" x14ac:dyDescent="0.25">
      <c r="A17394">
        <v>17393</v>
      </c>
      <c r="B17394">
        <v>8404953</v>
      </c>
      <c r="C17394" s="1" t="str">
        <f>HYPERLINK("http://stackoverflow.com/users/8404953", "Bowen Cui")</f>
        <v>Bowen Cui</v>
      </c>
      <c r="D17394" t="s">
        <v>5</v>
      </c>
      <c r="E17394">
        <v>1</v>
      </c>
    </row>
    <row r="17395" spans="1:5" x14ac:dyDescent="0.25">
      <c r="A17395">
        <v>17394</v>
      </c>
      <c r="B17395">
        <v>8405654</v>
      </c>
      <c r="C17395" s="1" t="str">
        <f>HYPERLINK("http://stackoverflow.com/users/8405654", "vcan")</f>
        <v>vcan</v>
      </c>
      <c r="D17395" t="s">
        <v>25</v>
      </c>
      <c r="E17395">
        <v>1</v>
      </c>
    </row>
    <row r="17396" spans="1:5" x14ac:dyDescent="0.25">
      <c r="A17396">
        <v>17395</v>
      </c>
      <c r="B17396">
        <v>3048503</v>
      </c>
      <c r="C17396" s="1" t="str">
        <f>HYPERLINK("http://stackoverflow.com/users/3048503", "Aliao")</f>
        <v>Aliao</v>
      </c>
      <c r="D17396" t="s">
        <v>5</v>
      </c>
      <c r="E17396">
        <v>1</v>
      </c>
    </row>
    <row r="17397" spans="1:5" x14ac:dyDescent="0.25">
      <c r="A17397">
        <v>17396</v>
      </c>
      <c r="B17397">
        <v>3048576</v>
      </c>
      <c r="C17397" s="1" t="str">
        <f>HYPERLINK("http://stackoverflow.com/users/3048576", "babycrazy80")</f>
        <v>babycrazy80</v>
      </c>
      <c r="D17397" t="s">
        <v>22</v>
      </c>
      <c r="E17397">
        <v>1</v>
      </c>
    </row>
    <row r="17398" spans="1:5" x14ac:dyDescent="0.25">
      <c r="A17398">
        <v>17397</v>
      </c>
      <c r="B17398">
        <v>3048630</v>
      </c>
      <c r="C17398" s="1" t="str">
        <f>HYPERLINK("http://stackoverflow.com/users/3048630", "wangdun686")</f>
        <v>wangdun686</v>
      </c>
      <c r="D17398" t="s">
        <v>5</v>
      </c>
      <c r="E17398">
        <v>1</v>
      </c>
    </row>
    <row r="17399" spans="1:5" x14ac:dyDescent="0.25">
      <c r="A17399">
        <v>17398</v>
      </c>
      <c r="B17399">
        <v>4882096</v>
      </c>
      <c r="C17399" s="1" t="str">
        <f>HYPERLINK("http://stackoverflow.com/users/4882096", "ladrift")</f>
        <v>ladrift</v>
      </c>
      <c r="D17399" t="s">
        <v>52</v>
      </c>
      <c r="E17399">
        <v>1</v>
      </c>
    </row>
    <row r="17400" spans="1:5" x14ac:dyDescent="0.25">
      <c r="A17400">
        <v>17399</v>
      </c>
      <c r="B17400">
        <v>4882131</v>
      </c>
      <c r="C17400" s="1" t="str">
        <f>HYPERLINK("http://stackoverflow.com/users/4882131", "HaoLiang")</f>
        <v>HaoLiang</v>
      </c>
      <c r="D17400" t="s">
        <v>5</v>
      </c>
      <c r="E17400">
        <v>1</v>
      </c>
    </row>
    <row r="17401" spans="1:5" x14ac:dyDescent="0.25">
      <c r="A17401">
        <v>17400</v>
      </c>
      <c r="B17401">
        <v>4882375</v>
      </c>
      <c r="C17401" s="1" t="str">
        <f>HYPERLINK("http://stackoverflow.com/users/4882375", "zhaoccx")</f>
        <v>zhaoccx</v>
      </c>
      <c r="D17401" t="s">
        <v>7</v>
      </c>
      <c r="E17401">
        <v>1</v>
      </c>
    </row>
    <row r="17402" spans="1:5" x14ac:dyDescent="0.25">
      <c r="A17402">
        <v>17401</v>
      </c>
      <c r="B17402">
        <v>1072489</v>
      </c>
      <c r="C17402" s="1" t="str">
        <f>HYPERLINK("http://stackoverflow.com/users/1072489", "zjhiphop")</f>
        <v>zjhiphop</v>
      </c>
      <c r="D17402" t="s">
        <v>4</v>
      </c>
      <c r="E17402">
        <v>1</v>
      </c>
    </row>
    <row r="17403" spans="1:5" x14ac:dyDescent="0.25">
      <c r="A17403">
        <v>17402</v>
      </c>
      <c r="B17403">
        <v>6602873</v>
      </c>
      <c r="C17403" s="1" t="str">
        <f>HYPERLINK("http://stackoverflow.com/users/6602873", "yfzhe")</f>
        <v>yfzhe</v>
      </c>
      <c r="D17403" t="s">
        <v>52</v>
      </c>
      <c r="E17403">
        <v>1</v>
      </c>
    </row>
    <row r="17404" spans="1:5" x14ac:dyDescent="0.25">
      <c r="A17404">
        <v>17403</v>
      </c>
      <c r="B17404">
        <v>1072606</v>
      </c>
      <c r="C17404" s="1" t="str">
        <f>HYPERLINK("http://stackoverflow.com/users/1072606", "Duke")</f>
        <v>Duke</v>
      </c>
      <c r="D17404" t="s">
        <v>4</v>
      </c>
      <c r="E17404">
        <v>1</v>
      </c>
    </row>
    <row r="17405" spans="1:5" x14ac:dyDescent="0.25">
      <c r="A17405">
        <v>17404</v>
      </c>
      <c r="B17405">
        <v>1072797</v>
      </c>
      <c r="C17405" s="1" t="str">
        <f>HYPERLINK("http://stackoverflow.com/users/1072797", "Zhichu")</f>
        <v>Zhichu</v>
      </c>
      <c r="D17405" t="s">
        <v>4</v>
      </c>
      <c r="E17405">
        <v>1</v>
      </c>
    </row>
    <row r="17406" spans="1:5" x14ac:dyDescent="0.25">
      <c r="A17406">
        <v>17405</v>
      </c>
      <c r="B17406">
        <v>1060006</v>
      </c>
      <c r="C17406" s="1" t="str">
        <f>HYPERLINK("http://stackoverflow.com/users/1060006", "Ksky")</f>
        <v>Ksky</v>
      </c>
      <c r="D17406" t="s">
        <v>5</v>
      </c>
      <c r="E17406">
        <v>1</v>
      </c>
    </row>
    <row r="17407" spans="1:5" x14ac:dyDescent="0.25">
      <c r="A17407">
        <v>17406</v>
      </c>
      <c r="B17407">
        <v>1060055</v>
      </c>
      <c r="C17407" s="1" t="str">
        <f>HYPERLINK("http://stackoverflow.com/users/1060055", "Eric")</f>
        <v>Eric</v>
      </c>
      <c r="D17407" t="s">
        <v>22</v>
      </c>
      <c r="E17407">
        <v>1</v>
      </c>
    </row>
    <row r="17408" spans="1:5" x14ac:dyDescent="0.25">
      <c r="A17408">
        <v>17407</v>
      </c>
      <c r="B17408">
        <v>3061299</v>
      </c>
      <c r="C17408" s="1" t="str">
        <f>HYPERLINK("http://stackoverflow.com/users/3061299", "Robust")</f>
        <v>Robust</v>
      </c>
      <c r="D17408" t="s">
        <v>21</v>
      </c>
      <c r="E17408">
        <v>1</v>
      </c>
    </row>
    <row r="17409" spans="1:5" x14ac:dyDescent="0.25">
      <c r="A17409">
        <v>17408</v>
      </c>
      <c r="B17409">
        <v>3061328</v>
      </c>
      <c r="C17409" s="1" t="str">
        <f>HYPERLINK("http://stackoverflow.com/users/3061328", "Allen Xu")</f>
        <v>Allen Xu</v>
      </c>
      <c r="D17409" t="s">
        <v>4</v>
      </c>
      <c r="E17409">
        <v>1</v>
      </c>
    </row>
    <row r="17410" spans="1:5" x14ac:dyDescent="0.25">
      <c r="A17410">
        <v>17409</v>
      </c>
      <c r="B17410">
        <v>6602030</v>
      </c>
      <c r="C17410" s="1" t="str">
        <f>HYPERLINK("http://stackoverflow.com/users/6602030", "wenbo Zhao")</f>
        <v>wenbo Zhao</v>
      </c>
      <c r="D17410" t="s">
        <v>4</v>
      </c>
      <c r="E17410">
        <v>1</v>
      </c>
    </row>
    <row r="17411" spans="1:5" x14ac:dyDescent="0.25">
      <c r="A17411">
        <v>17410</v>
      </c>
      <c r="B17411">
        <v>10232609</v>
      </c>
      <c r="C17411" s="1" t="str">
        <f>HYPERLINK("http://stackoverflow.com/users/10232609", "scott")</f>
        <v>scott</v>
      </c>
      <c r="D17411" t="s">
        <v>43</v>
      </c>
      <c r="E17411">
        <v>1</v>
      </c>
    </row>
    <row r="17412" spans="1:5" x14ac:dyDescent="0.25">
      <c r="A17412">
        <v>17411</v>
      </c>
      <c r="B17412">
        <v>10232827</v>
      </c>
      <c r="C17412" s="1" t="str">
        <f>HYPERLINK("http://stackoverflow.com/users/10232827", "Andrew Liu")</f>
        <v>Andrew Liu</v>
      </c>
      <c r="D17412" t="s">
        <v>57</v>
      </c>
      <c r="E17412">
        <v>1</v>
      </c>
    </row>
    <row r="17413" spans="1:5" x14ac:dyDescent="0.25">
      <c r="A17413">
        <v>17412</v>
      </c>
      <c r="B17413">
        <v>8421793</v>
      </c>
      <c r="C17413" s="1" t="str">
        <f>HYPERLINK("http://stackoverflow.com/users/8421793", "章天祥")</f>
        <v>章天祥</v>
      </c>
      <c r="D17413" t="s">
        <v>4</v>
      </c>
      <c r="E17413">
        <v>1</v>
      </c>
    </row>
    <row r="17414" spans="1:5" x14ac:dyDescent="0.25">
      <c r="A17414">
        <v>17413</v>
      </c>
      <c r="B17414">
        <v>3056202</v>
      </c>
      <c r="C17414" s="1" t="str">
        <f>HYPERLINK("http://stackoverflow.com/users/3056202", "Thinking a name")</f>
        <v>Thinking a name</v>
      </c>
      <c r="D17414" t="s">
        <v>4</v>
      </c>
      <c r="E17414">
        <v>1</v>
      </c>
    </row>
    <row r="17415" spans="1:5" x14ac:dyDescent="0.25">
      <c r="A17415">
        <v>17414</v>
      </c>
      <c r="B17415">
        <v>3056373</v>
      </c>
      <c r="C17415" s="1" t="str">
        <f>HYPERLINK("http://stackoverflow.com/users/3056373", "Tolecen")</f>
        <v>Tolecen</v>
      </c>
      <c r="D17415" t="s">
        <v>5</v>
      </c>
      <c r="E17415">
        <v>1</v>
      </c>
    </row>
    <row r="17416" spans="1:5" x14ac:dyDescent="0.25">
      <c r="A17416">
        <v>17415</v>
      </c>
      <c r="B17416">
        <v>3056768</v>
      </c>
      <c r="C17416" s="1" t="str">
        <f>HYPERLINK("http://stackoverflow.com/users/3056768", "ellie zhu")</f>
        <v>ellie zhu</v>
      </c>
      <c r="D17416" t="s">
        <v>4</v>
      </c>
      <c r="E17416">
        <v>1</v>
      </c>
    </row>
    <row r="17417" spans="1:5" x14ac:dyDescent="0.25">
      <c r="A17417">
        <v>17416</v>
      </c>
      <c r="B17417">
        <v>3056910</v>
      </c>
      <c r="C17417" s="1" t="str">
        <f>HYPERLINK("http://stackoverflow.com/users/3056910", "Mox")</f>
        <v>Mox</v>
      </c>
      <c r="D17417" t="s">
        <v>21</v>
      </c>
      <c r="E17417">
        <v>1</v>
      </c>
    </row>
    <row r="17418" spans="1:5" x14ac:dyDescent="0.25">
      <c r="A17418">
        <v>17417</v>
      </c>
      <c r="B17418">
        <v>10228356</v>
      </c>
      <c r="C17418" s="1" t="str">
        <f>HYPERLINK("http://stackoverflow.com/users/10228356", "Simon Sun")</f>
        <v>Simon Sun</v>
      </c>
      <c r="D17418" t="s">
        <v>74</v>
      </c>
      <c r="E17418">
        <v>1</v>
      </c>
    </row>
    <row r="17419" spans="1:5" x14ac:dyDescent="0.25">
      <c r="A17419">
        <v>17418</v>
      </c>
      <c r="B17419">
        <v>1059478</v>
      </c>
      <c r="C17419" s="1" t="str">
        <f>HYPERLINK("http://stackoverflow.com/users/1059478", "Wellming")</f>
        <v>Wellming</v>
      </c>
      <c r="D17419" t="s">
        <v>12</v>
      </c>
      <c r="E17419">
        <v>1</v>
      </c>
    </row>
    <row r="17420" spans="1:5" x14ac:dyDescent="0.25">
      <c r="A17420">
        <v>17419</v>
      </c>
      <c r="B17420">
        <v>6622988</v>
      </c>
      <c r="C17420" s="1" t="str">
        <f>HYPERLINK("http://stackoverflow.com/users/6622988", "g0dw5")</f>
        <v>g0dw5</v>
      </c>
      <c r="D17420" t="s">
        <v>5</v>
      </c>
      <c r="E17420">
        <v>1</v>
      </c>
    </row>
    <row r="17421" spans="1:5" x14ac:dyDescent="0.25">
      <c r="A17421">
        <v>17420</v>
      </c>
      <c r="B17421">
        <v>10254761</v>
      </c>
      <c r="C17421" s="1" t="str">
        <f>HYPERLINK("http://stackoverflow.com/users/10254761", "user10254761")</f>
        <v>user10254761</v>
      </c>
      <c r="D17421" t="s">
        <v>505</v>
      </c>
      <c r="E17421">
        <v>1</v>
      </c>
    </row>
    <row r="17422" spans="1:5" x14ac:dyDescent="0.25">
      <c r="A17422">
        <v>17421</v>
      </c>
      <c r="B17422">
        <v>8440729</v>
      </c>
      <c r="C17422" s="1" t="str">
        <f>HYPERLINK("http://stackoverflow.com/users/8440729", "Yohee Yang")</f>
        <v>Yohee Yang</v>
      </c>
      <c r="D17422" t="s">
        <v>5</v>
      </c>
      <c r="E17422">
        <v>1</v>
      </c>
    </row>
    <row r="17423" spans="1:5" x14ac:dyDescent="0.25">
      <c r="A17423">
        <v>17422</v>
      </c>
      <c r="B17423">
        <v>8441370</v>
      </c>
      <c r="C17423" s="1" t="str">
        <f>HYPERLINK("http://stackoverflow.com/users/8441370", "Liss L")</f>
        <v>Liss L</v>
      </c>
      <c r="D17423" t="s">
        <v>7</v>
      </c>
      <c r="E17423">
        <v>1</v>
      </c>
    </row>
    <row r="17424" spans="1:5" x14ac:dyDescent="0.25">
      <c r="A17424">
        <v>17423</v>
      </c>
      <c r="B17424">
        <v>1100114</v>
      </c>
      <c r="C17424" s="1" t="str">
        <f>HYPERLINK("http://stackoverflow.com/users/1100114", "nwf5d")</f>
        <v>nwf5d</v>
      </c>
      <c r="D17424" t="s">
        <v>5</v>
      </c>
      <c r="E17424">
        <v>1</v>
      </c>
    </row>
    <row r="17425" spans="1:5" x14ac:dyDescent="0.25">
      <c r="A17425">
        <v>17424</v>
      </c>
      <c r="B17425">
        <v>4904636</v>
      </c>
      <c r="C17425" s="1" t="str">
        <f>HYPERLINK("http://stackoverflow.com/users/4904636", "Cheung Chan")</f>
        <v>Cheung Chan</v>
      </c>
      <c r="D17425" t="s">
        <v>5</v>
      </c>
      <c r="E17425">
        <v>1</v>
      </c>
    </row>
    <row r="17426" spans="1:5" x14ac:dyDescent="0.25">
      <c r="A17426">
        <v>17425</v>
      </c>
      <c r="B17426">
        <v>1109505</v>
      </c>
      <c r="C17426" s="1" t="str">
        <f>HYPERLINK("http://stackoverflow.com/users/1109505", "ruitao")</f>
        <v>ruitao</v>
      </c>
      <c r="D17426" t="s">
        <v>21</v>
      </c>
      <c r="E17426">
        <v>1</v>
      </c>
    </row>
    <row r="17427" spans="1:5" x14ac:dyDescent="0.25">
      <c r="A17427">
        <v>17426</v>
      </c>
      <c r="B17427">
        <v>4904990</v>
      </c>
      <c r="C17427" s="1" t="str">
        <f>HYPERLINK("http://stackoverflow.com/users/4904990", "CrazyWizzy")</f>
        <v>CrazyWizzy</v>
      </c>
      <c r="D17427" t="s">
        <v>5</v>
      </c>
      <c r="E17427">
        <v>1</v>
      </c>
    </row>
    <row r="17428" spans="1:5" x14ac:dyDescent="0.25">
      <c r="A17428">
        <v>17427</v>
      </c>
      <c r="B17428">
        <v>6630887</v>
      </c>
      <c r="C17428" s="1" t="str">
        <f>HYPERLINK("http://stackoverflow.com/users/6630887", "HYOUKA")</f>
        <v>HYOUKA</v>
      </c>
      <c r="D17428" t="s">
        <v>434</v>
      </c>
      <c r="E17428">
        <v>1</v>
      </c>
    </row>
    <row r="17429" spans="1:5" x14ac:dyDescent="0.25">
      <c r="A17429">
        <v>17428</v>
      </c>
      <c r="B17429">
        <v>6631008</v>
      </c>
      <c r="C17429" s="1" t="str">
        <f>HYPERLINK("http://stackoverflow.com/users/6631008", "RaynorChan")</f>
        <v>RaynorChan</v>
      </c>
      <c r="D17429" t="s">
        <v>302</v>
      </c>
      <c r="E17429">
        <v>1</v>
      </c>
    </row>
    <row r="17430" spans="1:5" x14ac:dyDescent="0.25">
      <c r="A17430">
        <v>17429</v>
      </c>
      <c r="B17430">
        <v>10263054</v>
      </c>
      <c r="C17430" s="1" t="str">
        <f>HYPERLINK("http://stackoverflow.com/users/10263054", "grohjirod")</f>
        <v>grohjirod</v>
      </c>
      <c r="D17430" t="s">
        <v>953</v>
      </c>
      <c r="E17430">
        <v>1</v>
      </c>
    </row>
    <row r="17431" spans="1:5" x14ac:dyDescent="0.25">
      <c r="A17431">
        <v>17430</v>
      </c>
      <c r="B17431">
        <v>3090964</v>
      </c>
      <c r="C17431" s="1" t="str">
        <f>HYPERLINK("http://stackoverflow.com/users/3090964", "wongshion")</f>
        <v>wongshion</v>
      </c>
      <c r="D17431" t="s">
        <v>37</v>
      </c>
      <c r="E17431">
        <v>1</v>
      </c>
    </row>
    <row r="17432" spans="1:5" x14ac:dyDescent="0.25">
      <c r="A17432">
        <v>17431</v>
      </c>
      <c r="B17432">
        <v>4908999</v>
      </c>
      <c r="C17432" s="1" t="str">
        <f>HYPERLINK("http://stackoverflow.com/users/4908999", "wacoom")</f>
        <v>wacoom</v>
      </c>
      <c r="D17432" t="s">
        <v>5</v>
      </c>
      <c r="E17432">
        <v>1</v>
      </c>
    </row>
    <row r="17433" spans="1:5" x14ac:dyDescent="0.25">
      <c r="A17433">
        <v>17432</v>
      </c>
      <c r="B17433">
        <v>1094891</v>
      </c>
      <c r="C17433" s="1" t="str">
        <f>HYPERLINK("http://stackoverflow.com/users/1094891", "vangie")</f>
        <v>vangie</v>
      </c>
      <c r="D17433" t="s">
        <v>4</v>
      </c>
      <c r="E17433">
        <v>1</v>
      </c>
    </row>
    <row r="17434" spans="1:5" x14ac:dyDescent="0.25">
      <c r="A17434">
        <v>17433</v>
      </c>
      <c r="B17434">
        <v>1093473</v>
      </c>
      <c r="C17434" s="1" t="str">
        <f>HYPERLINK("http://stackoverflow.com/users/1093473", "cch")</f>
        <v>cch</v>
      </c>
      <c r="D17434" t="s">
        <v>5</v>
      </c>
      <c r="E17434">
        <v>1</v>
      </c>
    </row>
    <row r="17435" spans="1:5" x14ac:dyDescent="0.25">
      <c r="A17435">
        <v>17434</v>
      </c>
      <c r="B17435">
        <v>10249954</v>
      </c>
      <c r="C17435" s="1" t="str">
        <f>HYPERLINK("http://stackoverflow.com/users/10249954", "Liu Daxin")</f>
        <v>Liu Daxin</v>
      </c>
      <c r="D17435" t="s">
        <v>677</v>
      </c>
      <c r="E17435">
        <v>1</v>
      </c>
    </row>
    <row r="17436" spans="1:5" x14ac:dyDescent="0.25">
      <c r="A17436">
        <v>17435</v>
      </c>
      <c r="B17436">
        <v>10250231</v>
      </c>
      <c r="C17436" s="1" t="str">
        <f>HYPERLINK("http://stackoverflow.com/users/10250231", "Daowei Lin")</f>
        <v>Daowei Lin</v>
      </c>
      <c r="D17436" t="s">
        <v>5</v>
      </c>
      <c r="E17436">
        <v>1</v>
      </c>
    </row>
    <row r="17437" spans="1:5" x14ac:dyDescent="0.25">
      <c r="A17437">
        <v>17436</v>
      </c>
      <c r="B17437">
        <v>10250520</v>
      </c>
      <c r="C17437" s="1" t="str">
        <f>HYPERLINK("http://stackoverflow.com/users/10250520", "woclass")</f>
        <v>woclass</v>
      </c>
      <c r="D17437" t="s">
        <v>5</v>
      </c>
      <c r="E17437">
        <v>1</v>
      </c>
    </row>
    <row r="17438" spans="1:5" x14ac:dyDescent="0.25">
      <c r="A17438">
        <v>17437</v>
      </c>
      <c r="B17438">
        <v>10250727</v>
      </c>
      <c r="C17438" s="1" t="str">
        <f>HYPERLINK("http://stackoverflow.com/users/10250727", "agile6v")</f>
        <v>agile6v</v>
      </c>
      <c r="D17438" t="s">
        <v>5</v>
      </c>
      <c r="E17438">
        <v>1</v>
      </c>
    </row>
    <row r="17439" spans="1:5" x14ac:dyDescent="0.25">
      <c r="A17439">
        <v>17438</v>
      </c>
      <c r="B17439">
        <v>6618424</v>
      </c>
      <c r="C17439" s="1" t="str">
        <f>HYPERLINK("http://stackoverflow.com/users/6618424", "shiyuan ding")</f>
        <v>shiyuan ding</v>
      </c>
      <c r="D17439" t="s">
        <v>205</v>
      </c>
      <c r="E17439">
        <v>1</v>
      </c>
    </row>
    <row r="17440" spans="1:5" x14ac:dyDescent="0.25">
      <c r="A17440">
        <v>17439</v>
      </c>
      <c r="B17440">
        <v>10244783</v>
      </c>
      <c r="C17440" s="1" t="str">
        <f>HYPERLINK("http://stackoverflow.com/users/10244783", "pmicn")</f>
        <v>pmicn</v>
      </c>
      <c r="D17440" t="s">
        <v>5</v>
      </c>
      <c r="E17440">
        <v>1</v>
      </c>
    </row>
    <row r="17441" spans="1:5" x14ac:dyDescent="0.25">
      <c r="A17441">
        <v>17440</v>
      </c>
      <c r="B17441">
        <v>10245537</v>
      </c>
      <c r="C17441" s="1" t="str">
        <f>HYPERLINK("http://stackoverflow.com/users/10245537", "wenhao")</f>
        <v>wenhao</v>
      </c>
      <c r="D17441" t="s">
        <v>4</v>
      </c>
      <c r="E17441">
        <v>1</v>
      </c>
    </row>
    <row r="17442" spans="1:5" x14ac:dyDescent="0.25">
      <c r="A17442">
        <v>17441</v>
      </c>
      <c r="B17442">
        <v>1086894</v>
      </c>
      <c r="C17442" s="1" t="str">
        <f>HYPERLINK("http://stackoverflow.com/users/1086894", "leander")</f>
        <v>leander</v>
      </c>
      <c r="D17442" t="s">
        <v>5</v>
      </c>
      <c r="E17442">
        <v>1</v>
      </c>
    </row>
    <row r="17443" spans="1:5" x14ac:dyDescent="0.25">
      <c r="A17443">
        <v>17442</v>
      </c>
      <c r="B17443">
        <v>1086980</v>
      </c>
      <c r="C17443" s="1" t="str">
        <f>HYPERLINK("http://stackoverflow.com/users/1086980", "Carl")</f>
        <v>Carl</v>
      </c>
      <c r="D17443" t="s">
        <v>5</v>
      </c>
      <c r="E17443">
        <v>1</v>
      </c>
    </row>
    <row r="17444" spans="1:5" x14ac:dyDescent="0.25">
      <c r="A17444">
        <v>17443</v>
      </c>
      <c r="B17444">
        <v>1087255</v>
      </c>
      <c r="C17444" s="1" t="str">
        <f>HYPERLINK("http://stackoverflow.com/users/1087255", "Ice White")</f>
        <v>Ice White</v>
      </c>
      <c r="D17444" t="s">
        <v>5</v>
      </c>
      <c r="E17444">
        <v>1</v>
      </c>
    </row>
    <row r="17445" spans="1:5" x14ac:dyDescent="0.25">
      <c r="A17445">
        <v>17444</v>
      </c>
      <c r="B17445">
        <v>1080228</v>
      </c>
      <c r="C17445" s="1" t="str">
        <f>HYPERLINK("http://stackoverflow.com/users/1080228", "dailiang")</f>
        <v>dailiang</v>
      </c>
      <c r="D17445" t="s">
        <v>5</v>
      </c>
      <c r="E17445">
        <v>1</v>
      </c>
    </row>
    <row r="17446" spans="1:5" x14ac:dyDescent="0.25">
      <c r="A17446">
        <v>17445</v>
      </c>
      <c r="B17446">
        <v>1088956</v>
      </c>
      <c r="C17446" s="1" t="str">
        <f>HYPERLINK("http://stackoverflow.com/users/1088956", "Storm Qi")</f>
        <v>Storm Qi</v>
      </c>
      <c r="D17446" t="s">
        <v>8</v>
      </c>
      <c r="E17446">
        <v>1</v>
      </c>
    </row>
    <row r="17447" spans="1:5" x14ac:dyDescent="0.25">
      <c r="A17447">
        <v>17446</v>
      </c>
      <c r="B17447">
        <v>4885621</v>
      </c>
      <c r="C17447" s="1" t="str">
        <f>HYPERLINK("http://stackoverflow.com/users/4885621", "Jiangtao LI")</f>
        <v>Jiangtao LI</v>
      </c>
      <c r="D17447" t="s">
        <v>4</v>
      </c>
      <c r="E17447">
        <v>1</v>
      </c>
    </row>
    <row r="17448" spans="1:5" x14ac:dyDescent="0.25">
      <c r="A17448">
        <v>17447</v>
      </c>
      <c r="B17448">
        <v>4885654</v>
      </c>
      <c r="C17448" s="1" t="str">
        <f>HYPERLINK("http://stackoverflow.com/users/4885654", "chuck")</f>
        <v>chuck</v>
      </c>
      <c r="D17448" t="s">
        <v>4</v>
      </c>
      <c r="E17448">
        <v>1</v>
      </c>
    </row>
    <row r="17449" spans="1:5" x14ac:dyDescent="0.25">
      <c r="A17449">
        <v>17448</v>
      </c>
      <c r="B17449">
        <v>4885730</v>
      </c>
      <c r="C17449" s="1" t="str">
        <f>HYPERLINK("http://stackoverflow.com/users/4885730", "chason")</f>
        <v>chason</v>
      </c>
      <c r="D17449" t="s">
        <v>4</v>
      </c>
      <c r="E17449">
        <v>1</v>
      </c>
    </row>
    <row r="17450" spans="1:5" x14ac:dyDescent="0.25">
      <c r="A17450">
        <v>17449</v>
      </c>
      <c r="B17450">
        <v>4885842</v>
      </c>
      <c r="C17450" s="1" t="str">
        <f>HYPERLINK("http://stackoverflow.com/users/4885842", "louie_nz")</f>
        <v>louie_nz</v>
      </c>
      <c r="D17450" t="s">
        <v>4</v>
      </c>
      <c r="E17450">
        <v>1</v>
      </c>
    </row>
    <row r="17451" spans="1:5" x14ac:dyDescent="0.25">
      <c r="A17451">
        <v>17450</v>
      </c>
      <c r="B17451">
        <v>1073307</v>
      </c>
      <c r="C17451" s="1" t="str">
        <f>HYPERLINK("http://stackoverflow.com/users/1073307", "Geoffrey")</f>
        <v>Geoffrey</v>
      </c>
      <c r="D17451" t="s">
        <v>954</v>
      </c>
      <c r="E17451">
        <v>1</v>
      </c>
    </row>
    <row r="17452" spans="1:5" x14ac:dyDescent="0.25">
      <c r="A17452">
        <v>17451</v>
      </c>
      <c r="B17452">
        <v>1073664</v>
      </c>
      <c r="C17452" s="1" t="str">
        <f>HYPERLINK("http://stackoverflow.com/users/1073664", "cqy279")</f>
        <v>cqy279</v>
      </c>
      <c r="D17452" t="s">
        <v>21</v>
      </c>
      <c r="E17452">
        <v>1</v>
      </c>
    </row>
    <row r="17453" spans="1:5" x14ac:dyDescent="0.25">
      <c r="A17453">
        <v>17452</v>
      </c>
      <c r="B17453">
        <v>1078667</v>
      </c>
      <c r="C17453" s="1" t="str">
        <f>HYPERLINK("http://stackoverflow.com/users/1078667", "Suning")</f>
        <v>Suning</v>
      </c>
      <c r="D17453" t="s">
        <v>37</v>
      </c>
      <c r="E17453">
        <v>1</v>
      </c>
    </row>
    <row r="17454" spans="1:5" x14ac:dyDescent="0.25">
      <c r="A17454">
        <v>17453</v>
      </c>
      <c r="B17454">
        <v>1079795</v>
      </c>
      <c r="C17454" s="1" t="str">
        <f>HYPERLINK("http://stackoverflow.com/users/1079795", "bigqiang")</f>
        <v>bigqiang</v>
      </c>
      <c r="D17454" t="s">
        <v>5</v>
      </c>
      <c r="E17454">
        <v>1</v>
      </c>
    </row>
    <row r="17455" spans="1:5" x14ac:dyDescent="0.25">
      <c r="A17455">
        <v>17454</v>
      </c>
      <c r="B17455">
        <v>1079042</v>
      </c>
      <c r="C17455" s="1" t="str">
        <f>HYPERLINK("http://stackoverflow.com/users/1079042", "Liang Chen")</f>
        <v>Liang Chen</v>
      </c>
      <c r="D17455" t="s">
        <v>4</v>
      </c>
      <c r="E17455">
        <v>1</v>
      </c>
    </row>
    <row r="17456" spans="1:5" x14ac:dyDescent="0.25">
      <c r="A17456">
        <v>17455</v>
      </c>
      <c r="B17456">
        <v>1079902</v>
      </c>
      <c r="C17456" s="1" t="str">
        <f>HYPERLINK("http://stackoverflow.com/users/1079902", "Niven Zhang")</f>
        <v>Niven Zhang</v>
      </c>
      <c r="D17456" t="s">
        <v>21</v>
      </c>
      <c r="E17456">
        <v>1</v>
      </c>
    </row>
    <row r="17457" spans="1:5" x14ac:dyDescent="0.25">
      <c r="A17457">
        <v>17456</v>
      </c>
      <c r="B17457">
        <v>5026935</v>
      </c>
      <c r="C17457" s="1" t="str">
        <f>HYPERLINK("http://stackoverflow.com/users/5026935", "zmcNotafraid")</f>
        <v>zmcNotafraid</v>
      </c>
      <c r="D17457" t="s">
        <v>5</v>
      </c>
      <c r="E17457">
        <v>1</v>
      </c>
    </row>
    <row r="17458" spans="1:5" x14ac:dyDescent="0.25">
      <c r="A17458">
        <v>17457</v>
      </c>
      <c r="B17458">
        <v>6746577</v>
      </c>
      <c r="C17458" s="1" t="str">
        <f>HYPERLINK("http://stackoverflow.com/users/6746577", "Mfans")</f>
        <v>Mfans</v>
      </c>
      <c r="D17458" t="s">
        <v>955</v>
      </c>
      <c r="E17458">
        <v>1</v>
      </c>
    </row>
    <row r="17459" spans="1:5" x14ac:dyDescent="0.25">
      <c r="A17459">
        <v>17458</v>
      </c>
      <c r="B17459">
        <v>5026769</v>
      </c>
      <c r="C17459" s="1" t="str">
        <f>HYPERLINK("http://stackoverflow.com/users/5026769", "easy-money-sniper")</f>
        <v>easy-money-sniper</v>
      </c>
      <c r="D17459" t="s">
        <v>35</v>
      </c>
      <c r="E17459">
        <v>1</v>
      </c>
    </row>
    <row r="17460" spans="1:5" x14ac:dyDescent="0.25">
      <c r="A17460">
        <v>17459</v>
      </c>
      <c r="B17460">
        <v>6750424</v>
      </c>
      <c r="C17460" s="1" t="str">
        <f>HYPERLINK("http://stackoverflow.com/users/6750424", "Minhua Chen")</f>
        <v>Minhua Chen</v>
      </c>
      <c r="D17460" t="s">
        <v>956</v>
      </c>
      <c r="E17460">
        <v>1</v>
      </c>
    </row>
    <row r="17461" spans="1:5" x14ac:dyDescent="0.25">
      <c r="A17461">
        <v>17460</v>
      </c>
      <c r="B17461">
        <v>6750580</v>
      </c>
      <c r="C17461" s="1" t="str">
        <f>HYPERLINK("http://stackoverflow.com/users/6750580", "LangLangFan")</f>
        <v>LangLangFan</v>
      </c>
      <c r="D17461" t="s">
        <v>957</v>
      </c>
      <c r="E17461">
        <v>1</v>
      </c>
    </row>
    <row r="17462" spans="1:5" x14ac:dyDescent="0.25">
      <c r="A17462">
        <v>17461</v>
      </c>
      <c r="B17462">
        <v>8582534</v>
      </c>
      <c r="C17462" s="1" t="str">
        <f>HYPERLINK("http://stackoverflow.com/users/8582534", "Haoqiang Liu")</f>
        <v>Haoqiang Liu</v>
      </c>
      <c r="D17462" t="s">
        <v>52</v>
      </c>
      <c r="E17462">
        <v>1</v>
      </c>
    </row>
    <row r="17463" spans="1:5" x14ac:dyDescent="0.25">
      <c r="A17463">
        <v>17462</v>
      </c>
      <c r="B17463">
        <v>8582739</v>
      </c>
      <c r="C17463" s="1" t="str">
        <f>HYPERLINK("http://stackoverflow.com/users/8582739", "Yam")</f>
        <v>Yam</v>
      </c>
      <c r="D17463" t="s">
        <v>266</v>
      </c>
      <c r="E17463">
        <v>1</v>
      </c>
    </row>
    <row r="17464" spans="1:5" x14ac:dyDescent="0.25">
      <c r="A17464">
        <v>17463</v>
      </c>
      <c r="B17464">
        <v>5022558</v>
      </c>
      <c r="C17464" s="1" t="str">
        <f>HYPERLINK("http://stackoverflow.com/users/5022558", "zhangkuyun")</f>
        <v>zhangkuyun</v>
      </c>
      <c r="D17464" t="s">
        <v>4</v>
      </c>
      <c r="E17464">
        <v>1</v>
      </c>
    </row>
    <row r="17465" spans="1:5" x14ac:dyDescent="0.25">
      <c r="A17465">
        <v>17464</v>
      </c>
      <c r="B17465">
        <v>5022596</v>
      </c>
      <c r="C17465" s="1" t="str">
        <f>HYPERLINK("http://stackoverflow.com/users/5022596", "Qiang")</f>
        <v>Qiang</v>
      </c>
      <c r="D17465" t="s">
        <v>4</v>
      </c>
      <c r="E17465">
        <v>1</v>
      </c>
    </row>
    <row r="17466" spans="1:5" x14ac:dyDescent="0.25">
      <c r="A17466">
        <v>17465</v>
      </c>
      <c r="B17466">
        <v>10391641</v>
      </c>
      <c r="C17466" s="1" t="str">
        <f>HYPERLINK("http://stackoverflow.com/users/10391641", "Owen Chen")</f>
        <v>Owen Chen</v>
      </c>
      <c r="D17466" t="s">
        <v>4</v>
      </c>
      <c r="E17466">
        <v>1</v>
      </c>
    </row>
    <row r="17467" spans="1:5" x14ac:dyDescent="0.25">
      <c r="A17467">
        <v>17466</v>
      </c>
      <c r="B17467">
        <v>1311801</v>
      </c>
      <c r="C17467" s="1" t="str">
        <f>HYPERLINK("http://stackoverflow.com/users/1311801", "wanghuibuaa")</f>
        <v>wanghuibuaa</v>
      </c>
      <c r="D17467" t="s">
        <v>5</v>
      </c>
      <c r="E17467">
        <v>1</v>
      </c>
    </row>
    <row r="17468" spans="1:5" x14ac:dyDescent="0.25">
      <c r="A17468">
        <v>17467</v>
      </c>
      <c r="B17468">
        <v>6747019</v>
      </c>
      <c r="C17468" s="1" t="str">
        <f>HYPERLINK("http://stackoverflow.com/users/6747019", "ellieandallen")</f>
        <v>ellieandallen</v>
      </c>
      <c r="D17468" t="s">
        <v>52</v>
      </c>
      <c r="E17468">
        <v>1</v>
      </c>
    </row>
    <row r="17469" spans="1:5" x14ac:dyDescent="0.25">
      <c r="A17469">
        <v>17468</v>
      </c>
      <c r="B17469">
        <v>3215257</v>
      </c>
      <c r="C17469" s="1" t="str">
        <f>HYPERLINK("http://stackoverflow.com/users/3215257", "Turandot")</f>
        <v>Turandot</v>
      </c>
      <c r="D17469" t="s">
        <v>43</v>
      </c>
      <c r="E17469">
        <v>1</v>
      </c>
    </row>
    <row r="17470" spans="1:5" x14ac:dyDescent="0.25">
      <c r="A17470">
        <v>17469</v>
      </c>
      <c r="B17470">
        <v>10395550</v>
      </c>
      <c r="C17470" s="1" t="str">
        <f>HYPERLINK("http://stackoverflow.com/users/10395550", "Geo HongShu")</f>
        <v>Geo HongShu</v>
      </c>
      <c r="D17470" t="s">
        <v>74</v>
      </c>
      <c r="E17470">
        <v>1</v>
      </c>
    </row>
    <row r="17471" spans="1:5" x14ac:dyDescent="0.25">
      <c r="A17471">
        <v>17470</v>
      </c>
      <c r="B17471">
        <v>10395696</v>
      </c>
      <c r="C17471" s="1" t="str">
        <f>HYPERLINK("http://stackoverflow.com/users/10395696", "user10395696")</f>
        <v>user10395696</v>
      </c>
      <c r="D17471" t="s">
        <v>4</v>
      </c>
      <c r="E17471">
        <v>1</v>
      </c>
    </row>
    <row r="17472" spans="1:5" x14ac:dyDescent="0.25">
      <c r="A17472">
        <v>17471</v>
      </c>
      <c r="B17472">
        <v>6742743</v>
      </c>
      <c r="C17472" s="1" t="str">
        <f>HYPERLINK("http://stackoverflow.com/users/6742743", "CezarCao")</f>
        <v>CezarCao</v>
      </c>
      <c r="D17472" t="s">
        <v>79</v>
      </c>
      <c r="E17472">
        <v>1</v>
      </c>
    </row>
    <row r="17473" spans="1:5" x14ac:dyDescent="0.25">
      <c r="A17473">
        <v>17472</v>
      </c>
      <c r="B17473">
        <v>3207988</v>
      </c>
      <c r="C17473" s="1" t="str">
        <f>HYPERLINK("http://stackoverflow.com/users/3207988", "legend")</f>
        <v>legend</v>
      </c>
      <c r="D17473" t="s">
        <v>5</v>
      </c>
      <c r="E17473">
        <v>1</v>
      </c>
    </row>
    <row r="17474" spans="1:5" x14ac:dyDescent="0.25">
      <c r="A17474">
        <v>17473</v>
      </c>
      <c r="B17474">
        <v>1294860</v>
      </c>
      <c r="C17474" s="1" t="str">
        <f>HYPERLINK("http://stackoverflow.com/users/1294860", "zuopingchen")</f>
        <v>zuopingchen</v>
      </c>
      <c r="D17474" t="s">
        <v>12</v>
      </c>
      <c r="E17474">
        <v>1</v>
      </c>
    </row>
    <row r="17475" spans="1:5" x14ac:dyDescent="0.25">
      <c r="A17475">
        <v>17474</v>
      </c>
      <c r="B17475">
        <v>8575026</v>
      </c>
      <c r="C17475" s="1" t="str">
        <f>HYPERLINK("http://stackoverflow.com/users/8575026", "XiaoXing")</f>
        <v>XiaoXing</v>
      </c>
      <c r="D17475" t="s">
        <v>172</v>
      </c>
      <c r="E17475">
        <v>1</v>
      </c>
    </row>
    <row r="17476" spans="1:5" x14ac:dyDescent="0.25">
      <c r="A17476">
        <v>17475</v>
      </c>
      <c r="B17476">
        <v>8575115</v>
      </c>
      <c r="C17476" s="1" t="str">
        <f>HYPERLINK("http://stackoverflow.com/users/8575115", "ZhengPeng")</f>
        <v>ZhengPeng</v>
      </c>
      <c r="D17476" t="s">
        <v>180</v>
      </c>
      <c r="E17476">
        <v>1</v>
      </c>
    </row>
    <row r="17477" spans="1:5" x14ac:dyDescent="0.25">
      <c r="A17477">
        <v>17476</v>
      </c>
      <c r="B17477">
        <v>1339122</v>
      </c>
      <c r="C17477" s="1" t="str">
        <f>HYPERLINK("http://stackoverflow.com/users/1339122", "Kim Leo")</f>
        <v>Kim Leo</v>
      </c>
      <c r="D17477" t="s">
        <v>22</v>
      </c>
      <c r="E17477">
        <v>1</v>
      </c>
    </row>
    <row r="17478" spans="1:5" x14ac:dyDescent="0.25">
      <c r="A17478">
        <v>17477</v>
      </c>
      <c r="B17478">
        <v>1338692</v>
      </c>
      <c r="C17478" s="1" t="str">
        <f>HYPERLINK("http://stackoverflow.com/users/1338692", "David")</f>
        <v>David</v>
      </c>
      <c r="D17478" t="s">
        <v>5</v>
      </c>
      <c r="E17478">
        <v>1</v>
      </c>
    </row>
    <row r="17479" spans="1:5" x14ac:dyDescent="0.25">
      <c r="A17479">
        <v>17478</v>
      </c>
      <c r="B17479">
        <v>3236629</v>
      </c>
      <c r="C17479" s="1" t="str">
        <f>HYPERLINK("http://stackoverflow.com/users/3236629", "culture")</f>
        <v>culture</v>
      </c>
      <c r="D17479" t="s">
        <v>5</v>
      </c>
      <c r="E17479">
        <v>1</v>
      </c>
    </row>
    <row r="17480" spans="1:5" x14ac:dyDescent="0.25">
      <c r="A17480">
        <v>17479</v>
      </c>
      <c r="B17480">
        <v>1355069</v>
      </c>
      <c r="C17480" s="1" t="str">
        <f>HYPERLINK("http://stackoverflow.com/users/1355069", "williamwue")</f>
        <v>williamwue</v>
      </c>
      <c r="D17480" t="s">
        <v>4</v>
      </c>
      <c r="E17480">
        <v>1</v>
      </c>
    </row>
    <row r="17481" spans="1:5" x14ac:dyDescent="0.25">
      <c r="A17481">
        <v>17480</v>
      </c>
      <c r="B17481">
        <v>1355170</v>
      </c>
      <c r="C17481" s="1" t="str">
        <f>HYPERLINK("http://stackoverflow.com/users/1355170", "DaiMing")</f>
        <v>DaiMing</v>
      </c>
      <c r="D17481" t="s">
        <v>5</v>
      </c>
      <c r="E17481">
        <v>1</v>
      </c>
    </row>
    <row r="17482" spans="1:5" x14ac:dyDescent="0.25">
      <c r="A17482">
        <v>17481</v>
      </c>
      <c r="B17482">
        <v>10409419</v>
      </c>
      <c r="C17482" s="1" t="str">
        <f>HYPERLINK("http://stackoverflow.com/users/10409419", "GuoDongdong")</f>
        <v>GuoDongdong</v>
      </c>
      <c r="D17482" t="s">
        <v>4</v>
      </c>
      <c r="E17482">
        <v>1</v>
      </c>
    </row>
    <row r="17483" spans="1:5" x14ac:dyDescent="0.25">
      <c r="A17483">
        <v>17482</v>
      </c>
      <c r="B17483">
        <v>6762476</v>
      </c>
      <c r="C17483" s="1" t="str">
        <f>HYPERLINK("http://stackoverflow.com/users/6762476", "Lich_Amnesia")</f>
        <v>Lich_Amnesia</v>
      </c>
      <c r="D17483" t="s">
        <v>37</v>
      </c>
      <c r="E17483">
        <v>1</v>
      </c>
    </row>
    <row r="17484" spans="1:5" x14ac:dyDescent="0.25">
      <c r="A17484">
        <v>17483</v>
      </c>
      <c r="B17484">
        <v>5038447</v>
      </c>
      <c r="C17484" s="1" t="str">
        <f>HYPERLINK("http://stackoverflow.com/users/5038447", "panjizhi")</f>
        <v>panjizhi</v>
      </c>
      <c r="D17484" t="s">
        <v>5</v>
      </c>
      <c r="E17484">
        <v>1</v>
      </c>
    </row>
    <row r="17485" spans="1:5" x14ac:dyDescent="0.25">
      <c r="A17485">
        <v>17484</v>
      </c>
      <c r="B17485">
        <v>5038764</v>
      </c>
      <c r="C17485" s="1" t="str">
        <f>HYPERLINK("http://stackoverflow.com/users/5038764", "zeront")</f>
        <v>zeront</v>
      </c>
      <c r="D17485" t="s">
        <v>4</v>
      </c>
      <c r="E17485">
        <v>1</v>
      </c>
    </row>
    <row r="17486" spans="1:5" x14ac:dyDescent="0.25">
      <c r="A17486">
        <v>17485</v>
      </c>
      <c r="B17486">
        <v>1344317</v>
      </c>
      <c r="C17486" s="1" t="str">
        <f>HYPERLINK("http://stackoverflow.com/users/1344317", "PurplSoul")</f>
        <v>PurplSoul</v>
      </c>
      <c r="D17486" t="s">
        <v>5</v>
      </c>
      <c r="E17486">
        <v>1</v>
      </c>
    </row>
    <row r="17487" spans="1:5" x14ac:dyDescent="0.25">
      <c r="A17487">
        <v>17486</v>
      </c>
      <c r="B17487">
        <v>10412216</v>
      </c>
      <c r="C17487" s="1" t="str">
        <f>HYPERLINK("http://stackoverflow.com/users/10412216", "lipglossmanufacturers")</f>
        <v>lipglossmanufacturers</v>
      </c>
      <c r="D17487" t="s">
        <v>958</v>
      </c>
      <c r="E17487">
        <v>1</v>
      </c>
    </row>
    <row r="17488" spans="1:5" x14ac:dyDescent="0.25">
      <c r="A17488">
        <v>17487</v>
      </c>
      <c r="B17488">
        <v>3231327</v>
      </c>
      <c r="C17488" s="1" t="str">
        <f>HYPERLINK("http://stackoverflow.com/users/3231327", "wg206")</f>
        <v>wg206</v>
      </c>
      <c r="D17488" t="s">
        <v>4</v>
      </c>
      <c r="E17488">
        <v>1</v>
      </c>
    </row>
    <row r="17489" spans="1:5" x14ac:dyDescent="0.25">
      <c r="A17489">
        <v>17488</v>
      </c>
      <c r="B17489">
        <v>3231362</v>
      </c>
      <c r="C17489" s="1" t="str">
        <f>HYPERLINK("http://stackoverflow.com/users/3231362", "JoeHu")</f>
        <v>JoeHu</v>
      </c>
      <c r="D17489" t="s">
        <v>13</v>
      </c>
      <c r="E17489">
        <v>1</v>
      </c>
    </row>
    <row r="17490" spans="1:5" x14ac:dyDescent="0.25">
      <c r="A17490">
        <v>17489</v>
      </c>
      <c r="B17490">
        <v>3231724</v>
      </c>
      <c r="C17490" s="1" t="str">
        <f>HYPERLINK("http://stackoverflow.com/users/3231724", "BenYang")</f>
        <v>BenYang</v>
      </c>
      <c r="D17490" t="s">
        <v>21</v>
      </c>
      <c r="E17490">
        <v>1</v>
      </c>
    </row>
    <row r="17491" spans="1:5" x14ac:dyDescent="0.25">
      <c r="A17491">
        <v>17490</v>
      </c>
      <c r="B17491">
        <v>3232424</v>
      </c>
      <c r="C17491" s="1" t="str">
        <f>HYPERLINK("http://stackoverflow.com/users/3232424", "Zhang Hui")</f>
        <v>Zhang Hui</v>
      </c>
      <c r="D17491" t="s">
        <v>22</v>
      </c>
      <c r="E17491">
        <v>1</v>
      </c>
    </row>
    <row r="17492" spans="1:5" x14ac:dyDescent="0.25">
      <c r="A17492">
        <v>17491</v>
      </c>
      <c r="B17492">
        <v>1330644</v>
      </c>
      <c r="C17492" s="1" t="str">
        <f>HYPERLINK("http://stackoverflow.com/users/1330644", "Xiaoming")</f>
        <v>Xiaoming</v>
      </c>
      <c r="D17492" t="s">
        <v>4</v>
      </c>
      <c r="E17492">
        <v>1</v>
      </c>
    </row>
    <row r="17493" spans="1:5" x14ac:dyDescent="0.25">
      <c r="A17493">
        <v>17492</v>
      </c>
      <c r="B17493">
        <v>8590867</v>
      </c>
      <c r="C17493" s="1" t="str">
        <f>HYPERLINK("http://stackoverflow.com/users/8590867", "liunanChen")</f>
        <v>liunanChen</v>
      </c>
      <c r="D17493" t="s">
        <v>43</v>
      </c>
      <c r="E17493">
        <v>1</v>
      </c>
    </row>
    <row r="17494" spans="1:5" x14ac:dyDescent="0.25">
      <c r="A17494">
        <v>17493</v>
      </c>
      <c r="B17494">
        <v>8590946</v>
      </c>
      <c r="C17494" s="1" t="str">
        <f>HYPERLINK("http://stackoverflow.com/users/8590946", "Mark Wang")</f>
        <v>Mark Wang</v>
      </c>
      <c r="D17494" t="s">
        <v>93</v>
      </c>
      <c r="E17494">
        <v>1</v>
      </c>
    </row>
    <row r="17495" spans="1:5" x14ac:dyDescent="0.25">
      <c r="A17495">
        <v>17494</v>
      </c>
      <c r="B17495">
        <v>1331908</v>
      </c>
      <c r="C17495" s="1" t="str">
        <f>HYPERLINK("http://stackoverflow.com/users/1331908", "werther")</f>
        <v>werther</v>
      </c>
      <c r="D17495" t="s">
        <v>12</v>
      </c>
      <c r="E17495">
        <v>1</v>
      </c>
    </row>
    <row r="17496" spans="1:5" x14ac:dyDescent="0.25">
      <c r="A17496">
        <v>17495</v>
      </c>
      <c r="B17496">
        <v>8585987</v>
      </c>
      <c r="C17496" s="1" t="str">
        <f>HYPERLINK("http://stackoverflow.com/users/8585987", "袁兆麟")</f>
        <v>袁兆麟</v>
      </c>
      <c r="D17496" t="s">
        <v>5</v>
      </c>
      <c r="E17496">
        <v>1</v>
      </c>
    </row>
    <row r="17497" spans="1:5" x14ac:dyDescent="0.25">
      <c r="A17497">
        <v>17496</v>
      </c>
      <c r="B17497">
        <v>8586256</v>
      </c>
      <c r="C17497" s="1" t="str">
        <f>HYPERLINK("http://stackoverflow.com/users/8586256", "GeYF")</f>
        <v>GeYF</v>
      </c>
      <c r="D17497" t="s">
        <v>74</v>
      </c>
      <c r="E17497">
        <v>1</v>
      </c>
    </row>
    <row r="17498" spans="1:5" x14ac:dyDescent="0.25">
      <c r="A17498">
        <v>17497</v>
      </c>
      <c r="B17498">
        <v>5030206</v>
      </c>
      <c r="C17498" s="1" t="str">
        <f>HYPERLINK("http://stackoverflow.com/users/5030206", "small.dream")</f>
        <v>small.dream</v>
      </c>
      <c r="D17498" t="s">
        <v>4</v>
      </c>
      <c r="E17498">
        <v>1</v>
      </c>
    </row>
    <row r="17499" spans="1:5" x14ac:dyDescent="0.25">
      <c r="A17499">
        <v>17498</v>
      </c>
      <c r="B17499">
        <v>1323334</v>
      </c>
      <c r="C17499" s="1" t="str">
        <f>HYPERLINK("http://stackoverflow.com/users/1323334", "coswind")</f>
        <v>coswind</v>
      </c>
      <c r="D17499" t="s">
        <v>5</v>
      </c>
      <c r="E17499">
        <v>1</v>
      </c>
    </row>
    <row r="17500" spans="1:5" x14ac:dyDescent="0.25">
      <c r="A17500">
        <v>17499</v>
      </c>
      <c r="B17500">
        <v>1323397</v>
      </c>
      <c r="C17500" s="1" t="str">
        <f>HYPERLINK("http://stackoverflow.com/users/1323397", "Ceeji")</f>
        <v>Ceeji</v>
      </c>
      <c r="D17500" t="s">
        <v>8</v>
      </c>
      <c r="E17500">
        <v>1</v>
      </c>
    </row>
    <row r="17501" spans="1:5" x14ac:dyDescent="0.25">
      <c r="A17501">
        <v>17500</v>
      </c>
      <c r="B17501">
        <v>10423860</v>
      </c>
      <c r="C17501" s="1" t="str">
        <f>HYPERLINK("http://stackoverflow.com/users/10423860", "Alex2wong")</f>
        <v>Alex2wong</v>
      </c>
      <c r="D17501" t="s">
        <v>4</v>
      </c>
      <c r="E17501">
        <v>1</v>
      </c>
    </row>
    <row r="17502" spans="1:5" x14ac:dyDescent="0.25">
      <c r="A17502">
        <v>17501</v>
      </c>
      <c r="B17502">
        <v>8610272</v>
      </c>
      <c r="C17502" s="1" t="str">
        <f>HYPERLINK("http://stackoverflow.com/users/8610272", "Kevin Kang")</f>
        <v>Kevin Kang</v>
      </c>
      <c r="D17502" t="s">
        <v>5</v>
      </c>
      <c r="E17502">
        <v>1</v>
      </c>
    </row>
    <row r="17503" spans="1:5" x14ac:dyDescent="0.25">
      <c r="A17503">
        <v>17502</v>
      </c>
      <c r="B17503">
        <v>8610548</v>
      </c>
      <c r="C17503" s="1" t="str">
        <f>HYPERLINK("http://stackoverflow.com/users/8610548", "David")</f>
        <v>David</v>
      </c>
      <c r="D17503" t="s">
        <v>25</v>
      </c>
      <c r="E17503">
        <v>1</v>
      </c>
    </row>
    <row r="17504" spans="1:5" x14ac:dyDescent="0.25">
      <c r="A17504">
        <v>17503</v>
      </c>
      <c r="B17504">
        <v>8624499</v>
      </c>
      <c r="C17504" s="1" t="str">
        <f>HYPERLINK("http://stackoverflow.com/users/8624499", "Patrick Fu")</f>
        <v>Patrick Fu</v>
      </c>
      <c r="D17504" t="s">
        <v>4</v>
      </c>
      <c r="E17504">
        <v>1</v>
      </c>
    </row>
    <row r="17505" spans="1:5" x14ac:dyDescent="0.25">
      <c r="A17505">
        <v>17504</v>
      </c>
      <c r="B17505">
        <v>8624613</v>
      </c>
      <c r="C17505" s="1" t="str">
        <f>HYPERLINK("http://stackoverflow.com/users/8624613", "Jacky Lu")</f>
        <v>Jacky Lu</v>
      </c>
      <c r="D17505" t="s">
        <v>16</v>
      </c>
      <c r="E17505">
        <v>1</v>
      </c>
    </row>
    <row r="17506" spans="1:5" x14ac:dyDescent="0.25">
      <c r="A17506">
        <v>17505</v>
      </c>
      <c r="B17506">
        <v>8624648</v>
      </c>
      <c r="C17506" s="1" t="str">
        <f>HYPERLINK("http://stackoverflow.com/users/8624648", "王浦阳")</f>
        <v>王浦阳</v>
      </c>
      <c r="D17506" t="s">
        <v>4</v>
      </c>
      <c r="E17506">
        <v>1</v>
      </c>
    </row>
    <row r="17507" spans="1:5" x14ac:dyDescent="0.25">
      <c r="A17507">
        <v>17506</v>
      </c>
      <c r="B17507">
        <v>8625044</v>
      </c>
      <c r="C17507" s="1" t="str">
        <f>HYPERLINK("http://stackoverflow.com/users/8625044", "xuefeng huang")</f>
        <v>xuefeng huang</v>
      </c>
      <c r="D17507" t="s">
        <v>4</v>
      </c>
      <c r="E17507">
        <v>1</v>
      </c>
    </row>
    <row r="17508" spans="1:5" x14ac:dyDescent="0.25">
      <c r="A17508">
        <v>17507</v>
      </c>
      <c r="B17508">
        <v>8625077</v>
      </c>
      <c r="C17508" s="1" t="str">
        <f>HYPERLINK("http://stackoverflow.com/users/8625077", "Yi Shi")</f>
        <v>Yi Shi</v>
      </c>
      <c r="D17508" t="s">
        <v>120</v>
      </c>
      <c r="E17508">
        <v>1</v>
      </c>
    </row>
    <row r="17509" spans="1:5" x14ac:dyDescent="0.25">
      <c r="A17509">
        <v>17508</v>
      </c>
      <c r="B17509">
        <v>8625105</v>
      </c>
      <c r="C17509" s="1" t="str">
        <f>HYPERLINK("http://stackoverflow.com/users/8625105", "wangweilun")</f>
        <v>wangweilun</v>
      </c>
      <c r="D17509" t="s">
        <v>28</v>
      </c>
      <c r="E17509">
        <v>1</v>
      </c>
    </row>
    <row r="17510" spans="1:5" x14ac:dyDescent="0.25">
      <c r="A17510">
        <v>17509</v>
      </c>
      <c r="B17510">
        <v>8625151</v>
      </c>
      <c r="C17510" s="1" t="str">
        <f>HYPERLINK("http://stackoverflow.com/users/8625151", "文琦 chen")</f>
        <v>文琦 chen</v>
      </c>
      <c r="D17510" t="s">
        <v>959</v>
      </c>
      <c r="E17510">
        <v>1</v>
      </c>
    </row>
    <row r="17511" spans="1:5" x14ac:dyDescent="0.25">
      <c r="A17511">
        <v>17510</v>
      </c>
      <c r="B17511">
        <v>10442529</v>
      </c>
      <c r="C17511" s="1" t="str">
        <f>HYPERLINK("http://stackoverflow.com/users/10442529", "yaoxx")</f>
        <v>yaoxx</v>
      </c>
      <c r="D17511" t="s">
        <v>4</v>
      </c>
      <c r="E17511">
        <v>1</v>
      </c>
    </row>
    <row r="17512" spans="1:5" x14ac:dyDescent="0.25">
      <c r="A17512">
        <v>17511</v>
      </c>
      <c r="B17512">
        <v>8629701</v>
      </c>
      <c r="C17512" s="1" t="str">
        <f>HYPERLINK("http://stackoverflow.com/users/8629701", "tylerzhou")</f>
        <v>tylerzhou</v>
      </c>
      <c r="D17512" t="s">
        <v>4</v>
      </c>
      <c r="E17512">
        <v>1</v>
      </c>
    </row>
    <row r="17513" spans="1:5" x14ac:dyDescent="0.25">
      <c r="A17513">
        <v>17512</v>
      </c>
      <c r="B17513">
        <v>1381512</v>
      </c>
      <c r="C17513" s="1" t="str">
        <f>HYPERLINK("http://stackoverflow.com/users/1381512", "Everett")</f>
        <v>Everett</v>
      </c>
      <c r="D17513" t="s">
        <v>4</v>
      </c>
      <c r="E17513">
        <v>1</v>
      </c>
    </row>
    <row r="17514" spans="1:5" x14ac:dyDescent="0.25">
      <c r="A17514">
        <v>17513</v>
      </c>
      <c r="B17514">
        <v>1360215</v>
      </c>
      <c r="C17514" s="1" t="str">
        <f>HYPERLINK("http://stackoverflow.com/users/1360215", "JoeZhao")</f>
        <v>JoeZhao</v>
      </c>
      <c r="D17514" t="s">
        <v>12</v>
      </c>
      <c r="E17514">
        <v>1</v>
      </c>
    </row>
    <row r="17515" spans="1:5" x14ac:dyDescent="0.25">
      <c r="A17515">
        <v>17514</v>
      </c>
      <c r="B17515">
        <v>1360667</v>
      </c>
      <c r="C17515" s="1" t="str">
        <f>HYPERLINK("http://stackoverflow.com/users/1360667", "GreatJonney")</f>
        <v>GreatJonney</v>
      </c>
      <c r="D17515" t="s">
        <v>4</v>
      </c>
      <c r="E17515">
        <v>1</v>
      </c>
    </row>
    <row r="17516" spans="1:5" x14ac:dyDescent="0.25">
      <c r="A17516">
        <v>17515</v>
      </c>
      <c r="B17516">
        <v>1356245</v>
      </c>
      <c r="C17516" s="1" t="str">
        <f>HYPERLINK("http://stackoverflow.com/users/1356245", "david")</f>
        <v>david</v>
      </c>
      <c r="D17516" t="s">
        <v>4</v>
      </c>
      <c r="E17516">
        <v>1</v>
      </c>
    </row>
    <row r="17517" spans="1:5" x14ac:dyDescent="0.25">
      <c r="A17517">
        <v>17516</v>
      </c>
      <c r="B17517">
        <v>5049205</v>
      </c>
      <c r="C17517" s="1" t="str">
        <f>HYPERLINK("http://stackoverflow.com/users/5049205", "Tsui Jie")</f>
        <v>Tsui Jie</v>
      </c>
      <c r="D17517" t="s">
        <v>960</v>
      </c>
      <c r="E17517">
        <v>1</v>
      </c>
    </row>
    <row r="17518" spans="1:5" x14ac:dyDescent="0.25">
      <c r="A17518">
        <v>17517</v>
      </c>
      <c r="B17518">
        <v>5049249</v>
      </c>
      <c r="C17518" s="1" t="str">
        <f>HYPERLINK("http://stackoverflow.com/users/5049249", "developer")</f>
        <v>developer</v>
      </c>
      <c r="D17518" t="s">
        <v>961</v>
      </c>
      <c r="E17518">
        <v>1</v>
      </c>
    </row>
    <row r="17519" spans="1:5" x14ac:dyDescent="0.25">
      <c r="A17519">
        <v>17518</v>
      </c>
      <c r="B17519">
        <v>6772557</v>
      </c>
      <c r="C17519" s="1" t="str">
        <f>HYPERLINK("http://stackoverflow.com/users/6772557", "Stephen Huang")</f>
        <v>Stephen Huang</v>
      </c>
      <c r="D17519" t="s">
        <v>4</v>
      </c>
      <c r="E17519">
        <v>1</v>
      </c>
    </row>
    <row r="17520" spans="1:5" x14ac:dyDescent="0.25">
      <c r="A17520">
        <v>17519</v>
      </c>
      <c r="B17520">
        <v>6773276</v>
      </c>
      <c r="C17520" s="1" t="str">
        <f>HYPERLINK("http://stackoverflow.com/users/6773276", "ty1921")</f>
        <v>ty1921</v>
      </c>
      <c r="D17520" t="s">
        <v>28</v>
      </c>
      <c r="E17520">
        <v>1</v>
      </c>
    </row>
    <row r="17521" spans="1:5" x14ac:dyDescent="0.25">
      <c r="A17521">
        <v>17520</v>
      </c>
      <c r="B17521">
        <v>8637751</v>
      </c>
      <c r="C17521" s="1" t="str">
        <f>HYPERLINK("http://stackoverflow.com/users/8637751", "jackChen")</f>
        <v>jackChen</v>
      </c>
      <c r="D17521" t="s">
        <v>962</v>
      </c>
      <c r="E17521">
        <v>1</v>
      </c>
    </row>
    <row r="17522" spans="1:5" x14ac:dyDescent="0.25">
      <c r="A17522">
        <v>17521</v>
      </c>
      <c r="B17522">
        <v>1376309</v>
      </c>
      <c r="C17522" s="1" t="str">
        <f>HYPERLINK("http://stackoverflow.com/users/1376309", "zqfs")</f>
        <v>zqfs</v>
      </c>
      <c r="D17522" t="s">
        <v>54</v>
      </c>
      <c r="E17522">
        <v>1</v>
      </c>
    </row>
    <row r="17523" spans="1:5" x14ac:dyDescent="0.25">
      <c r="A17523">
        <v>17522</v>
      </c>
      <c r="B17523">
        <v>1381811</v>
      </c>
      <c r="C17523" s="1" t="str">
        <f>HYPERLINK("http://stackoverflow.com/users/1381811", "Carol Evans")</f>
        <v>Carol Evans</v>
      </c>
      <c r="D17523" t="s">
        <v>5</v>
      </c>
      <c r="E17523">
        <v>1</v>
      </c>
    </row>
    <row r="17524" spans="1:5" x14ac:dyDescent="0.25">
      <c r="A17524">
        <v>17523</v>
      </c>
      <c r="B17524">
        <v>1381982</v>
      </c>
      <c r="C17524" s="1" t="str">
        <f>HYPERLINK("http://stackoverflow.com/users/1381982", "chenpingjun1990")</f>
        <v>chenpingjun1990</v>
      </c>
      <c r="D17524" t="s">
        <v>35</v>
      </c>
      <c r="E17524">
        <v>1</v>
      </c>
    </row>
    <row r="17525" spans="1:5" x14ac:dyDescent="0.25">
      <c r="A17525">
        <v>17524</v>
      </c>
      <c r="B17525">
        <v>1382165</v>
      </c>
      <c r="C17525" s="1" t="str">
        <f>HYPERLINK("http://stackoverflow.com/users/1382165", "nitrogen")</f>
        <v>nitrogen</v>
      </c>
      <c r="D17525" t="s">
        <v>34</v>
      </c>
      <c r="E17525">
        <v>1</v>
      </c>
    </row>
    <row r="17526" spans="1:5" x14ac:dyDescent="0.25">
      <c r="A17526">
        <v>17525</v>
      </c>
      <c r="B17526">
        <v>5073034</v>
      </c>
      <c r="C17526" s="1" t="str">
        <f>HYPERLINK("http://stackoverflow.com/users/5073034", "redsea")</f>
        <v>redsea</v>
      </c>
      <c r="D17526" t="s">
        <v>6</v>
      </c>
      <c r="E17526">
        <v>1</v>
      </c>
    </row>
    <row r="17527" spans="1:5" x14ac:dyDescent="0.25">
      <c r="A17527">
        <v>17526</v>
      </c>
      <c r="B17527">
        <v>5073151</v>
      </c>
      <c r="C17527" s="1" t="str">
        <f>HYPERLINK("http://stackoverflow.com/users/5073151", "bollinwu")</f>
        <v>bollinwu</v>
      </c>
      <c r="D17527" t="s">
        <v>963</v>
      </c>
      <c r="E17527">
        <v>1</v>
      </c>
    </row>
    <row r="17528" spans="1:5" x14ac:dyDescent="0.25">
      <c r="A17528">
        <v>17527</v>
      </c>
      <c r="B17528">
        <v>10446429</v>
      </c>
      <c r="C17528" s="1" t="str">
        <f>HYPERLINK("http://stackoverflow.com/users/10446429", "jun mickel")</f>
        <v>jun mickel</v>
      </c>
      <c r="D17528" t="s">
        <v>16</v>
      </c>
      <c r="E17528">
        <v>1</v>
      </c>
    </row>
    <row r="17529" spans="1:5" x14ac:dyDescent="0.25">
      <c r="A17529">
        <v>17528</v>
      </c>
      <c r="B17529">
        <v>8633785</v>
      </c>
      <c r="C17529" s="1" t="str">
        <f>HYPERLINK("http://stackoverflow.com/users/8633785", "wangsch")</f>
        <v>wangsch</v>
      </c>
      <c r="D17529" t="s">
        <v>5</v>
      </c>
      <c r="E17529">
        <v>1</v>
      </c>
    </row>
    <row r="17530" spans="1:5" x14ac:dyDescent="0.25">
      <c r="A17530">
        <v>17529</v>
      </c>
      <c r="B17530">
        <v>1395083</v>
      </c>
      <c r="C17530" s="1" t="str">
        <f>HYPERLINK("http://stackoverflow.com/users/1395083", "Kyle Feng")</f>
        <v>Kyle Feng</v>
      </c>
      <c r="D17530" t="s">
        <v>12</v>
      </c>
      <c r="E17530">
        <v>1</v>
      </c>
    </row>
    <row r="17531" spans="1:5" x14ac:dyDescent="0.25">
      <c r="A17531">
        <v>17530</v>
      </c>
      <c r="B17531">
        <v>1395090</v>
      </c>
      <c r="C17531" s="1" t="str">
        <f>HYPERLINK("http://stackoverflow.com/users/1395090", "HUITS")</f>
        <v>HUITS</v>
      </c>
      <c r="D17531" t="s">
        <v>5</v>
      </c>
      <c r="E17531">
        <v>1</v>
      </c>
    </row>
    <row r="17532" spans="1:5" x14ac:dyDescent="0.25">
      <c r="A17532">
        <v>17531</v>
      </c>
      <c r="B17532">
        <v>1395304</v>
      </c>
      <c r="C17532" s="1" t="str">
        <f>HYPERLINK("http://stackoverflow.com/users/1395304", "Yunjey")</f>
        <v>Yunjey</v>
      </c>
      <c r="D17532" t="s">
        <v>4</v>
      </c>
      <c r="E17532">
        <v>1</v>
      </c>
    </row>
    <row r="17533" spans="1:5" x14ac:dyDescent="0.25">
      <c r="A17533">
        <v>17532</v>
      </c>
      <c r="B17533">
        <v>8638098</v>
      </c>
      <c r="C17533" s="1" t="str">
        <f>HYPERLINK("http://stackoverflow.com/users/8638098", "Y.Lee")</f>
        <v>Y.Lee</v>
      </c>
      <c r="D17533" t="s">
        <v>964</v>
      </c>
      <c r="E17533">
        <v>1</v>
      </c>
    </row>
    <row r="17534" spans="1:5" x14ac:dyDescent="0.25">
      <c r="A17534">
        <v>17533</v>
      </c>
      <c r="B17534">
        <v>8638261</v>
      </c>
      <c r="C17534" s="1" t="str">
        <f>HYPERLINK("http://stackoverflow.com/users/8638261", "Najmul")</f>
        <v>Najmul</v>
      </c>
      <c r="D17534" t="s">
        <v>4</v>
      </c>
      <c r="E17534">
        <v>1</v>
      </c>
    </row>
    <row r="17535" spans="1:5" x14ac:dyDescent="0.25">
      <c r="A17535">
        <v>17534</v>
      </c>
      <c r="B17535">
        <v>1395606</v>
      </c>
      <c r="C17535" s="1" t="str">
        <f>HYPERLINK("http://stackoverflow.com/users/1395606", "jwkfreedom")</f>
        <v>jwkfreedom</v>
      </c>
      <c r="D17535" t="s">
        <v>4</v>
      </c>
      <c r="E17535">
        <v>1</v>
      </c>
    </row>
    <row r="17536" spans="1:5" x14ac:dyDescent="0.25">
      <c r="A17536">
        <v>17535</v>
      </c>
      <c r="B17536">
        <v>1395700</v>
      </c>
      <c r="C17536" s="1" t="str">
        <f>HYPERLINK("http://stackoverflow.com/users/1395700", "Yixi")</f>
        <v>Yixi</v>
      </c>
      <c r="D17536" t="s">
        <v>22</v>
      </c>
      <c r="E17536">
        <v>1</v>
      </c>
    </row>
    <row r="17537" spans="1:5" x14ac:dyDescent="0.25">
      <c r="A17537">
        <v>17536</v>
      </c>
      <c r="B17537">
        <v>1400171</v>
      </c>
      <c r="C17537" s="1" t="str">
        <f>HYPERLINK("http://stackoverflow.com/users/1400171", "joetang")</f>
        <v>joetang</v>
      </c>
      <c r="D17537" t="s">
        <v>22</v>
      </c>
      <c r="E17537">
        <v>1</v>
      </c>
    </row>
    <row r="17538" spans="1:5" x14ac:dyDescent="0.25">
      <c r="A17538">
        <v>17537</v>
      </c>
      <c r="B17538">
        <v>1400527</v>
      </c>
      <c r="C17538" s="1" t="str">
        <f>HYPERLINK("http://stackoverflow.com/users/1400527", "veil")</f>
        <v>veil</v>
      </c>
      <c r="D17538" t="s">
        <v>8</v>
      </c>
      <c r="E17538">
        <v>1</v>
      </c>
    </row>
    <row r="17539" spans="1:5" x14ac:dyDescent="0.25">
      <c r="A17539">
        <v>17538</v>
      </c>
      <c r="B17539">
        <v>8646719</v>
      </c>
      <c r="C17539" s="1" t="str">
        <f>HYPERLINK("http://stackoverflow.com/users/8646719", "NickHdx")</f>
        <v>NickHdx</v>
      </c>
      <c r="D17539" t="s">
        <v>7</v>
      </c>
      <c r="E17539">
        <v>1</v>
      </c>
    </row>
    <row r="17540" spans="1:5" x14ac:dyDescent="0.25">
      <c r="A17540">
        <v>17539</v>
      </c>
      <c r="B17540">
        <v>6807186</v>
      </c>
      <c r="C17540" s="1" t="str">
        <f>HYPERLINK("http://stackoverflow.com/users/6807186", "Shangdaemon")</f>
        <v>Shangdaemon</v>
      </c>
      <c r="D17540" t="s">
        <v>4</v>
      </c>
      <c r="E17540">
        <v>1</v>
      </c>
    </row>
    <row r="17541" spans="1:5" x14ac:dyDescent="0.25">
      <c r="A17541">
        <v>17540</v>
      </c>
      <c r="B17541">
        <v>10459456</v>
      </c>
      <c r="C17541" s="1" t="str">
        <f>HYPERLINK("http://stackoverflow.com/users/10459456", "陈浩宇")</f>
        <v>陈浩宇</v>
      </c>
      <c r="D17541" t="s">
        <v>965</v>
      </c>
      <c r="E17541">
        <v>1</v>
      </c>
    </row>
    <row r="17542" spans="1:5" x14ac:dyDescent="0.25">
      <c r="A17542">
        <v>17541</v>
      </c>
      <c r="B17542">
        <v>10459482</v>
      </c>
      <c r="C17542" s="1" t="str">
        <f>HYPERLINK("http://stackoverflow.com/users/10459482", "ciphor")</f>
        <v>ciphor</v>
      </c>
      <c r="D17542" t="s">
        <v>5</v>
      </c>
      <c r="E17542">
        <v>1</v>
      </c>
    </row>
    <row r="17543" spans="1:5" x14ac:dyDescent="0.25">
      <c r="A17543">
        <v>17542</v>
      </c>
      <c r="B17543">
        <v>10459599</v>
      </c>
      <c r="C17543" s="1" t="str">
        <f>HYPERLINK("http://stackoverflow.com/users/10459599", "Prograndma")</f>
        <v>Prograndma</v>
      </c>
      <c r="D17543" t="s">
        <v>7</v>
      </c>
      <c r="E17543">
        <v>1</v>
      </c>
    </row>
    <row r="17544" spans="1:5" x14ac:dyDescent="0.25">
      <c r="A17544">
        <v>17543</v>
      </c>
      <c r="B17544">
        <v>10459631</v>
      </c>
      <c r="C17544" s="1" t="str">
        <f>HYPERLINK("http://stackoverflow.com/users/10459631", "Way Leung")</f>
        <v>Way Leung</v>
      </c>
      <c r="D17544" t="s">
        <v>25</v>
      </c>
      <c r="E17544">
        <v>1</v>
      </c>
    </row>
    <row r="17545" spans="1:5" x14ac:dyDescent="0.25">
      <c r="A17545">
        <v>17544</v>
      </c>
      <c r="B17545">
        <v>1402981</v>
      </c>
      <c r="C17545" s="1" t="str">
        <f>HYPERLINK("http://stackoverflow.com/users/1402981", "moongenius")</f>
        <v>moongenius</v>
      </c>
      <c r="D17545" t="s">
        <v>63</v>
      </c>
      <c r="E17545">
        <v>1</v>
      </c>
    </row>
    <row r="17546" spans="1:5" x14ac:dyDescent="0.25">
      <c r="A17546">
        <v>17545</v>
      </c>
      <c r="B17546">
        <v>1403659</v>
      </c>
      <c r="C17546" s="1" t="str">
        <f>HYPERLINK("http://stackoverflow.com/users/1403659", "星小宝")</f>
        <v>星小宝</v>
      </c>
      <c r="D17546" t="s">
        <v>4</v>
      </c>
      <c r="E17546">
        <v>1</v>
      </c>
    </row>
    <row r="17547" spans="1:5" x14ac:dyDescent="0.25">
      <c r="A17547">
        <v>17546</v>
      </c>
      <c r="B17547">
        <v>10463906</v>
      </c>
      <c r="C17547" s="1" t="str">
        <f>HYPERLINK("http://stackoverflow.com/users/10463906", "Chronis G")</f>
        <v>Chronis G</v>
      </c>
      <c r="D17547" t="s">
        <v>966</v>
      </c>
      <c r="E17547">
        <v>1</v>
      </c>
    </row>
    <row r="17548" spans="1:5" x14ac:dyDescent="0.25">
      <c r="A17548">
        <v>17547</v>
      </c>
      <c r="B17548">
        <v>3283477</v>
      </c>
      <c r="C17548" s="1" t="str">
        <f>HYPERLINK("http://stackoverflow.com/users/3283477", "xiaodong")</f>
        <v>xiaodong</v>
      </c>
      <c r="D17548" t="s">
        <v>5</v>
      </c>
      <c r="E17548">
        <v>1</v>
      </c>
    </row>
    <row r="17549" spans="1:5" x14ac:dyDescent="0.25">
      <c r="A17549">
        <v>17548</v>
      </c>
      <c r="B17549">
        <v>1409235</v>
      </c>
      <c r="C17549" s="1" t="str">
        <f>HYPERLINK("http://stackoverflow.com/users/1409235", "花样的年华")</f>
        <v>花样的年华</v>
      </c>
      <c r="D17549" t="s">
        <v>34</v>
      </c>
      <c r="E17549">
        <v>1</v>
      </c>
    </row>
    <row r="17550" spans="1:5" x14ac:dyDescent="0.25">
      <c r="A17550">
        <v>17549</v>
      </c>
      <c r="B17550">
        <v>1409492</v>
      </c>
      <c r="C17550" s="1" t="str">
        <f>HYPERLINK("http://stackoverflow.com/users/1409492", "catinlab")</f>
        <v>catinlab</v>
      </c>
      <c r="D17550" t="s">
        <v>5</v>
      </c>
      <c r="E17550">
        <v>1</v>
      </c>
    </row>
    <row r="17551" spans="1:5" x14ac:dyDescent="0.25">
      <c r="A17551">
        <v>17550</v>
      </c>
      <c r="B17551">
        <v>3278361</v>
      </c>
      <c r="C17551" s="1" t="str">
        <f>HYPERLINK("http://stackoverflow.com/users/3278361", "user3278361")</f>
        <v>user3278361</v>
      </c>
      <c r="D17551" t="s">
        <v>888</v>
      </c>
      <c r="E17551">
        <v>1</v>
      </c>
    </row>
    <row r="17552" spans="1:5" x14ac:dyDescent="0.25">
      <c r="A17552">
        <v>17551</v>
      </c>
      <c r="B17552">
        <v>1409855</v>
      </c>
      <c r="C17552" s="1" t="str">
        <f>HYPERLINK("http://stackoverflow.com/users/1409855", "twang0475")</f>
        <v>twang0475</v>
      </c>
      <c r="D17552" t="s">
        <v>5</v>
      </c>
      <c r="E17552">
        <v>1</v>
      </c>
    </row>
    <row r="17553" spans="1:5" x14ac:dyDescent="0.25">
      <c r="A17553">
        <v>17552</v>
      </c>
      <c r="B17553">
        <v>5098171</v>
      </c>
      <c r="C17553" s="1" t="str">
        <f>HYPERLINK("http://stackoverflow.com/users/5098171", "yuqiao ning")</f>
        <v>yuqiao ning</v>
      </c>
      <c r="D17553" t="s">
        <v>57</v>
      </c>
      <c r="E17553">
        <v>1</v>
      </c>
    </row>
    <row r="17554" spans="1:5" x14ac:dyDescent="0.25">
      <c r="A17554">
        <v>17553</v>
      </c>
      <c r="B17554">
        <v>1414353</v>
      </c>
      <c r="C17554" s="1" t="str">
        <f>HYPERLINK("http://stackoverflow.com/users/1414353", "Gao YiXiang")</f>
        <v>Gao YiXiang</v>
      </c>
      <c r="D17554" t="s">
        <v>5</v>
      </c>
      <c r="E17554">
        <v>1</v>
      </c>
    </row>
    <row r="17555" spans="1:5" x14ac:dyDescent="0.25">
      <c r="A17555">
        <v>17554</v>
      </c>
      <c r="B17555">
        <v>8673443</v>
      </c>
      <c r="C17555" s="1" t="str">
        <f>HYPERLINK("http://stackoverflow.com/users/8673443", "Michael Yu")</f>
        <v>Michael Yu</v>
      </c>
      <c r="D17555" t="s">
        <v>4</v>
      </c>
      <c r="E17555">
        <v>1</v>
      </c>
    </row>
    <row r="17556" spans="1:5" x14ac:dyDescent="0.25">
      <c r="A17556">
        <v>17555</v>
      </c>
      <c r="B17556">
        <v>8673570</v>
      </c>
      <c r="C17556" s="1" t="str">
        <f>HYPERLINK("http://stackoverflow.com/users/8673570", "SophieX")</f>
        <v>SophieX</v>
      </c>
      <c r="D17556" t="s">
        <v>16</v>
      </c>
      <c r="E17556">
        <v>1</v>
      </c>
    </row>
    <row r="17557" spans="1:5" x14ac:dyDescent="0.25">
      <c r="A17557">
        <v>17556</v>
      </c>
      <c r="B17557">
        <v>1427582</v>
      </c>
      <c r="C17557" s="1" t="str">
        <f>HYPERLINK("http://stackoverflow.com/users/1427582", "makto")</f>
        <v>makto</v>
      </c>
      <c r="D17557" t="s">
        <v>5</v>
      </c>
      <c r="E17557">
        <v>1</v>
      </c>
    </row>
    <row r="17558" spans="1:5" x14ac:dyDescent="0.25">
      <c r="A17558">
        <v>17557</v>
      </c>
      <c r="B17558">
        <v>1427588</v>
      </c>
      <c r="C17558" s="1" t="str">
        <f>HYPERLINK("http://stackoverflow.com/users/1427588", "PIN0KI0")</f>
        <v>PIN0KI0</v>
      </c>
      <c r="D17558" t="s">
        <v>4</v>
      </c>
      <c r="E17558">
        <v>1</v>
      </c>
    </row>
    <row r="17559" spans="1:5" x14ac:dyDescent="0.25">
      <c r="A17559">
        <v>17558</v>
      </c>
      <c r="B17559">
        <v>8669768</v>
      </c>
      <c r="C17559" s="1" t="str">
        <f>HYPERLINK("http://stackoverflow.com/users/8669768", "chey")</f>
        <v>chey</v>
      </c>
      <c r="D17559" t="s">
        <v>5</v>
      </c>
      <c r="E17559">
        <v>1</v>
      </c>
    </row>
    <row r="17560" spans="1:5" x14ac:dyDescent="0.25">
      <c r="A17560">
        <v>17559</v>
      </c>
      <c r="B17560">
        <v>8669815</v>
      </c>
      <c r="C17560" s="1" t="str">
        <f>HYPERLINK("http://stackoverflow.com/users/8669815", "L. Yangyuanchen")</f>
        <v>L. Yangyuanchen</v>
      </c>
      <c r="D17560" t="s">
        <v>4</v>
      </c>
      <c r="E17560">
        <v>1</v>
      </c>
    </row>
    <row r="17561" spans="1:5" x14ac:dyDescent="0.25">
      <c r="A17561">
        <v>17560</v>
      </c>
      <c r="B17561">
        <v>1415565</v>
      </c>
      <c r="C17561" s="1" t="str">
        <f>HYPERLINK("http://stackoverflow.com/users/1415565", "Lingol")</f>
        <v>Lingol</v>
      </c>
      <c r="D17561" t="s">
        <v>21</v>
      </c>
      <c r="E17561">
        <v>1</v>
      </c>
    </row>
    <row r="17562" spans="1:5" x14ac:dyDescent="0.25">
      <c r="A17562">
        <v>17561</v>
      </c>
      <c r="B17562">
        <v>5098810</v>
      </c>
      <c r="C17562" s="1" t="str">
        <f>HYPERLINK("http://stackoverflow.com/users/5098810", "ngu")</f>
        <v>ngu</v>
      </c>
      <c r="D17562" t="s">
        <v>5</v>
      </c>
      <c r="E17562">
        <v>1</v>
      </c>
    </row>
    <row r="17563" spans="1:5" x14ac:dyDescent="0.25">
      <c r="A17563">
        <v>17562</v>
      </c>
      <c r="B17563">
        <v>5098817</v>
      </c>
      <c r="C17563" s="1" t="str">
        <f>HYPERLINK("http://stackoverflow.com/users/5098817", "dennis")</f>
        <v>dennis</v>
      </c>
      <c r="D17563" t="s">
        <v>17</v>
      </c>
      <c r="E17563">
        <v>1</v>
      </c>
    </row>
    <row r="17564" spans="1:5" x14ac:dyDescent="0.25">
      <c r="A17564">
        <v>17563</v>
      </c>
      <c r="B17564">
        <v>10477839</v>
      </c>
      <c r="C17564" s="1" t="str">
        <f>HYPERLINK("http://stackoverflow.com/users/10477839", "Zlatan Wang")</f>
        <v>Zlatan Wang</v>
      </c>
      <c r="D17564" t="s">
        <v>4</v>
      </c>
      <c r="E17564">
        <v>1</v>
      </c>
    </row>
    <row r="17565" spans="1:5" x14ac:dyDescent="0.25">
      <c r="A17565">
        <v>17564</v>
      </c>
      <c r="B17565">
        <v>8665587</v>
      </c>
      <c r="C17565" s="1" t="str">
        <f>HYPERLINK("http://stackoverflow.com/users/8665587", "LiYongZhen")</f>
        <v>LiYongZhen</v>
      </c>
      <c r="D17565" t="s">
        <v>5</v>
      </c>
      <c r="E17565">
        <v>1</v>
      </c>
    </row>
    <row r="17566" spans="1:5" x14ac:dyDescent="0.25">
      <c r="A17566">
        <v>17565</v>
      </c>
      <c r="B17566">
        <v>8665921</v>
      </c>
      <c r="C17566" s="1" t="str">
        <f>HYPERLINK("http://stackoverflow.com/users/8665921", "misbah")</f>
        <v>misbah</v>
      </c>
      <c r="D17566" t="s">
        <v>4</v>
      </c>
      <c r="E17566">
        <v>1</v>
      </c>
    </row>
    <row r="17567" spans="1:5" x14ac:dyDescent="0.25">
      <c r="A17567">
        <v>17566</v>
      </c>
      <c r="B17567">
        <v>10478782</v>
      </c>
      <c r="C17567" s="1" t="str">
        <f>HYPERLINK("http://stackoverflow.com/users/10478782", "zoudzp")</f>
        <v>zoudzp</v>
      </c>
      <c r="D17567" t="s">
        <v>415</v>
      </c>
      <c r="E17567">
        <v>1</v>
      </c>
    </row>
    <row r="17568" spans="1:5" x14ac:dyDescent="0.25">
      <c r="A17568">
        <v>17567</v>
      </c>
      <c r="B17568">
        <v>5118557</v>
      </c>
      <c r="C17568" s="1" t="str">
        <f>HYPERLINK("http://stackoverflow.com/users/5118557", "Sergei Bykov")</f>
        <v>Sergei Bykov</v>
      </c>
      <c r="D17568" t="s">
        <v>967</v>
      </c>
      <c r="E17568">
        <v>1</v>
      </c>
    </row>
    <row r="17569" spans="1:5" x14ac:dyDescent="0.25">
      <c r="A17569">
        <v>17568</v>
      </c>
      <c r="B17569">
        <v>5118380</v>
      </c>
      <c r="C17569" s="1" t="str">
        <f>HYPERLINK("http://stackoverflow.com/users/5118380", "Yan Jin")</f>
        <v>Yan Jin</v>
      </c>
      <c r="D17569" t="s">
        <v>4</v>
      </c>
      <c r="E17569">
        <v>1</v>
      </c>
    </row>
    <row r="17570" spans="1:5" x14ac:dyDescent="0.25">
      <c r="A17570">
        <v>17569</v>
      </c>
      <c r="B17570">
        <v>10491421</v>
      </c>
      <c r="C17570" s="1" t="str">
        <f>HYPERLINK("http://stackoverflow.com/users/10491421", "hualie jiang")</f>
        <v>hualie jiang</v>
      </c>
      <c r="D17570" t="s">
        <v>7</v>
      </c>
      <c r="E17570">
        <v>1</v>
      </c>
    </row>
    <row r="17571" spans="1:5" x14ac:dyDescent="0.25">
      <c r="A17571">
        <v>17570</v>
      </c>
      <c r="B17571">
        <v>1433476</v>
      </c>
      <c r="C17571" s="1" t="str">
        <f>HYPERLINK("http://stackoverflow.com/users/1433476", "user1433476")</f>
        <v>user1433476</v>
      </c>
      <c r="D17571" t="s">
        <v>7</v>
      </c>
      <c r="E17571">
        <v>1</v>
      </c>
    </row>
    <row r="17572" spans="1:5" x14ac:dyDescent="0.25">
      <c r="A17572">
        <v>17571</v>
      </c>
      <c r="B17572">
        <v>1433694</v>
      </c>
      <c r="C17572" s="1" t="str">
        <f>HYPERLINK("http://stackoverflow.com/users/1433694", "Lee")</f>
        <v>Lee</v>
      </c>
      <c r="D17572" t="s">
        <v>4</v>
      </c>
      <c r="E17572">
        <v>1</v>
      </c>
    </row>
    <row r="17573" spans="1:5" x14ac:dyDescent="0.25">
      <c r="A17573">
        <v>17572</v>
      </c>
      <c r="B17573">
        <v>1434198</v>
      </c>
      <c r="C17573" s="1" t="str">
        <f>HYPERLINK("http://stackoverflow.com/users/1434198", "shuijingshi2")</f>
        <v>shuijingshi2</v>
      </c>
      <c r="D17573" t="s">
        <v>47</v>
      </c>
      <c r="E17573">
        <v>1</v>
      </c>
    </row>
    <row r="17574" spans="1:5" x14ac:dyDescent="0.25">
      <c r="A17574">
        <v>17573</v>
      </c>
      <c r="B17574">
        <v>1434255</v>
      </c>
      <c r="C17574" s="1" t="str">
        <f>HYPERLINK("http://stackoverflow.com/users/1434255", "user1434255")</f>
        <v>user1434255</v>
      </c>
      <c r="D17574" t="s">
        <v>17</v>
      </c>
      <c r="E17574">
        <v>1</v>
      </c>
    </row>
    <row r="17575" spans="1:5" x14ac:dyDescent="0.25">
      <c r="A17575">
        <v>17574</v>
      </c>
      <c r="B17575">
        <v>1434485</v>
      </c>
      <c r="C17575" s="1" t="str">
        <f>HYPERLINK("http://stackoverflow.com/users/1434485", "Chasel Wu")</f>
        <v>Chasel Wu</v>
      </c>
      <c r="D17575" t="s">
        <v>3</v>
      </c>
      <c r="E17575">
        <v>1</v>
      </c>
    </row>
    <row r="17576" spans="1:5" x14ac:dyDescent="0.25">
      <c r="A17576">
        <v>17575</v>
      </c>
      <c r="B17576">
        <v>1434511</v>
      </c>
      <c r="C17576" s="1" t="str">
        <f>HYPERLINK("http://stackoverflow.com/users/1434511", "Wendy Wang")</f>
        <v>Wendy Wang</v>
      </c>
      <c r="D17576" t="s">
        <v>4</v>
      </c>
      <c r="E17576">
        <v>1</v>
      </c>
    </row>
    <row r="17577" spans="1:5" x14ac:dyDescent="0.25">
      <c r="A17577">
        <v>17576</v>
      </c>
      <c r="B17577">
        <v>5122766</v>
      </c>
      <c r="C17577" s="1" t="str">
        <f>HYPERLINK("http://stackoverflow.com/users/5122766", "Lei Li")</f>
        <v>Lei Li</v>
      </c>
      <c r="D17577" t="s">
        <v>16</v>
      </c>
      <c r="E17577">
        <v>1</v>
      </c>
    </row>
    <row r="17578" spans="1:5" x14ac:dyDescent="0.25">
      <c r="A17578">
        <v>17577</v>
      </c>
      <c r="B17578">
        <v>10499691</v>
      </c>
      <c r="C17578" s="1" t="str">
        <f>HYPERLINK("http://stackoverflow.com/users/10499691", "Daopeng")</f>
        <v>Daopeng</v>
      </c>
      <c r="D17578" t="s">
        <v>62</v>
      </c>
      <c r="E17578">
        <v>1</v>
      </c>
    </row>
    <row r="17579" spans="1:5" x14ac:dyDescent="0.25">
      <c r="A17579">
        <v>17578</v>
      </c>
      <c r="B17579">
        <v>10499720</v>
      </c>
      <c r="C17579" s="1" t="str">
        <f>HYPERLINK("http://stackoverflow.com/users/10499720", "li shaohua")</f>
        <v>li shaohua</v>
      </c>
      <c r="D17579" t="s">
        <v>7</v>
      </c>
      <c r="E17579">
        <v>1</v>
      </c>
    </row>
    <row r="17580" spans="1:5" x14ac:dyDescent="0.25">
      <c r="A17580">
        <v>17579</v>
      </c>
      <c r="B17580">
        <v>8690598</v>
      </c>
      <c r="C17580" s="1" t="str">
        <f>HYPERLINK("http://stackoverflow.com/users/8690598", "Gu Yi")</f>
        <v>Gu Yi</v>
      </c>
      <c r="D17580" t="s">
        <v>52</v>
      </c>
      <c r="E17580">
        <v>1</v>
      </c>
    </row>
    <row r="17581" spans="1:5" x14ac:dyDescent="0.25">
      <c r="A17581">
        <v>17580</v>
      </c>
      <c r="B17581">
        <v>3307070</v>
      </c>
      <c r="C17581" s="1" t="str">
        <f>HYPERLINK("http://stackoverflow.com/users/3307070", "Arrow Rowe")</f>
        <v>Arrow Rowe</v>
      </c>
      <c r="D17581" t="s">
        <v>4</v>
      </c>
      <c r="E17581">
        <v>1</v>
      </c>
    </row>
    <row r="17582" spans="1:5" x14ac:dyDescent="0.25">
      <c r="A17582">
        <v>17581</v>
      </c>
      <c r="B17582">
        <v>5122545</v>
      </c>
      <c r="C17582" s="1" t="str">
        <f>HYPERLINK("http://stackoverflow.com/users/5122545", "Susan")</f>
        <v>Susan</v>
      </c>
      <c r="D17582" t="s">
        <v>5</v>
      </c>
      <c r="E17582">
        <v>1</v>
      </c>
    </row>
    <row r="17583" spans="1:5" x14ac:dyDescent="0.25">
      <c r="A17583">
        <v>17582</v>
      </c>
      <c r="B17583">
        <v>1447150</v>
      </c>
      <c r="C17583" s="1" t="str">
        <f>HYPERLINK("http://stackoverflow.com/users/1447150", "Deng Liang")</f>
        <v>Deng Liang</v>
      </c>
      <c r="D17583" t="s">
        <v>5</v>
      </c>
      <c r="E17583">
        <v>1</v>
      </c>
    </row>
    <row r="17584" spans="1:5" x14ac:dyDescent="0.25">
      <c r="A17584">
        <v>17583</v>
      </c>
      <c r="B17584">
        <v>3317719</v>
      </c>
      <c r="C17584" s="1" t="str">
        <f>HYPERLINK("http://stackoverflow.com/users/3317719", "jincheng")</f>
        <v>jincheng</v>
      </c>
      <c r="D17584" t="s">
        <v>80</v>
      </c>
      <c r="E17584">
        <v>1</v>
      </c>
    </row>
    <row r="17585" spans="1:5" x14ac:dyDescent="0.25">
      <c r="A17585">
        <v>17584</v>
      </c>
      <c r="B17585">
        <v>3318122</v>
      </c>
      <c r="C17585" s="1" t="str">
        <f>HYPERLINK("http://stackoverflow.com/users/3318122", "Matt Cui")</f>
        <v>Matt Cui</v>
      </c>
      <c r="D17585" t="s">
        <v>5</v>
      </c>
      <c r="E17585">
        <v>1</v>
      </c>
    </row>
    <row r="17586" spans="1:5" x14ac:dyDescent="0.25">
      <c r="A17586">
        <v>17585</v>
      </c>
      <c r="B17586">
        <v>3318190</v>
      </c>
      <c r="C17586" s="1" t="str">
        <f>HYPERLINK("http://stackoverflow.com/users/3318190", "jiasheng")</f>
        <v>jiasheng</v>
      </c>
      <c r="D17586" t="s">
        <v>5</v>
      </c>
      <c r="E17586">
        <v>1</v>
      </c>
    </row>
    <row r="17587" spans="1:5" x14ac:dyDescent="0.25">
      <c r="A17587">
        <v>17586</v>
      </c>
      <c r="B17587">
        <v>3318215</v>
      </c>
      <c r="C17587" s="1" t="str">
        <f>HYPERLINK("http://stackoverflow.com/users/3318215", "Edwin SHu")</f>
        <v>Edwin SHu</v>
      </c>
      <c r="D17587" t="s">
        <v>22</v>
      </c>
      <c r="E17587">
        <v>1</v>
      </c>
    </row>
    <row r="17588" spans="1:5" x14ac:dyDescent="0.25">
      <c r="A17588">
        <v>17587</v>
      </c>
      <c r="B17588">
        <v>3318402</v>
      </c>
      <c r="C17588" s="1" t="str">
        <f>HYPERLINK("http://stackoverflow.com/users/3318402", "Profundis")</f>
        <v>Profundis</v>
      </c>
      <c r="D17588" t="s">
        <v>5</v>
      </c>
      <c r="E17588">
        <v>1</v>
      </c>
    </row>
    <row r="17589" spans="1:5" x14ac:dyDescent="0.25">
      <c r="A17589">
        <v>17588</v>
      </c>
      <c r="B17589">
        <v>5142574</v>
      </c>
      <c r="C17589" s="1" t="str">
        <f>HYPERLINK("http://stackoverflow.com/users/5142574", "Beggao")</f>
        <v>Beggao</v>
      </c>
      <c r="D17589" t="s">
        <v>5</v>
      </c>
      <c r="E17589">
        <v>1</v>
      </c>
    </row>
    <row r="17590" spans="1:5" x14ac:dyDescent="0.25">
      <c r="A17590">
        <v>17589</v>
      </c>
      <c r="B17590">
        <v>10521903</v>
      </c>
      <c r="C17590" s="1" t="str">
        <f>HYPERLINK("http://stackoverflow.com/users/10521903", "Chuck")</f>
        <v>Chuck</v>
      </c>
      <c r="D17590" t="s">
        <v>4</v>
      </c>
      <c r="E17590">
        <v>1</v>
      </c>
    </row>
    <row r="17591" spans="1:5" x14ac:dyDescent="0.25">
      <c r="A17591">
        <v>17590</v>
      </c>
      <c r="B17591">
        <v>10521952</v>
      </c>
      <c r="C17591" s="1" t="str">
        <f>HYPERLINK("http://stackoverflow.com/users/10521952", "leo cloud")</f>
        <v>leo cloud</v>
      </c>
      <c r="D17591" t="s">
        <v>4</v>
      </c>
      <c r="E17591">
        <v>1</v>
      </c>
    </row>
    <row r="17592" spans="1:5" x14ac:dyDescent="0.25">
      <c r="A17592">
        <v>17591</v>
      </c>
      <c r="B17592">
        <v>10522160</v>
      </c>
      <c r="C17592" s="1" t="str">
        <f>HYPERLINK("http://stackoverflow.com/users/10522160", "jaymz")</f>
        <v>jaymz</v>
      </c>
      <c r="D17592" t="s">
        <v>4</v>
      </c>
      <c r="E17592">
        <v>1</v>
      </c>
    </row>
    <row r="17593" spans="1:5" x14ac:dyDescent="0.25">
      <c r="A17593">
        <v>17592</v>
      </c>
      <c r="B17593">
        <v>8712916</v>
      </c>
      <c r="C17593" s="1" t="str">
        <f>HYPERLINK("http://stackoverflow.com/users/8712916", "HQSun")</f>
        <v>HQSun</v>
      </c>
      <c r="D17593" t="s">
        <v>57</v>
      </c>
      <c r="E17593">
        <v>1</v>
      </c>
    </row>
    <row r="17594" spans="1:5" x14ac:dyDescent="0.25">
      <c r="A17594">
        <v>17593</v>
      </c>
      <c r="B17594">
        <v>8713583</v>
      </c>
      <c r="C17594" s="1" t="str">
        <f>HYPERLINK("http://stackoverflow.com/users/8713583", "Elliot Cheung")</f>
        <v>Elliot Cheung</v>
      </c>
      <c r="D17594" t="s">
        <v>5</v>
      </c>
      <c r="E17594">
        <v>1</v>
      </c>
    </row>
    <row r="17595" spans="1:5" x14ac:dyDescent="0.25">
      <c r="A17595">
        <v>17594</v>
      </c>
      <c r="B17595">
        <v>1470980</v>
      </c>
      <c r="C17595" s="1" t="str">
        <f>HYPERLINK("http://stackoverflow.com/users/1470980", "allencui")</f>
        <v>allencui</v>
      </c>
      <c r="D17595" t="s">
        <v>5</v>
      </c>
      <c r="E17595">
        <v>1</v>
      </c>
    </row>
    <row r="17596" spans="1:5" x14ac:dyDescent="0.25">
      <c r="A17596">
        <v>17595</v>
      </c>
      <c r="B17596">
        <v>1471047</v>
      </c>
      <c r="C17596" s="1" t="str">
        <f>HYPERLINK("http://stackoverflow.com/users/1471047", "tove")</f>
        <v>tove</v>
      </c>
      <c r="D17596" t="s">
        <v>4</v>
      </c>
      <c r="E17596">
        <v>1</v>
      </c>
    </row>
    <row r="17597" spans="1:5" x14ac:dyDescent="0.25">
      <c r="A17597">
        <v>17596</v>
      </c>
      <c r="B17597">
        <v>8708544</v>
      </c>
      <c r="C17597" s="1" t="str">
        <f>HYPERLINK("http://stackoverflow.com/users/8708544", "Allen Du")</f>
        <v>Allen Du</v>
      </c>
      <c r="D17597" t="s">
        <v>5</v>
      </c>
      <c r="E17597">
        <v>1</v>
      </c>
    </row>
    <row r="17598" spans="1:5" x14ac:dyDescent="0.25">
      <c r="A17598">
        <v>17597</v>
      </c>
      <c r="B17598">
        <v>6862208</v>
      </c>
      <c r="C17598" s="1" t="str">
        <f>HYPERLINK("http://stackoverflow.com/users/6862208", "ming")</f>
        <v>ming</v>
      </c>
      <c r="D17598" t="s">
        <v>546</v>
      </c>
      <c r="E17598">
        <v>1</v>
      </c>
    </row>
    <row r="17599" spans="1:5" x14ac:dyDescent="0.25">
      <c r="A17599">
        <v>17598</v>
      </c>
      <c r="B17599">
        <v>5154473</v>
      </c>
      <c r="C17599" s="1" t="str">
        <f>HYPERLINK("http://stackoverflow.com/users/5154473", "Wells_MuKe")</f>
        <v>Wells_MuKe</v>
      </c>
      <c r="D17599" t="s">
        <v>17</v>
      </c>
      <c r="E17599">
        <v>1</v>
      </c>
    </row>
    <row r="17600" spans="1:5" x14ac:dyDescent="0.25">
      <c r="A17600">
        <v>17599</v>
      </c>
      <c r="B17600">
        <v>3342511</v>
      </c>
      <c r="C17600" s="1" t="str">
        <f>HYPERLINK("http://stackoverflow.com/users/3342511", "Dipper")</f>
        <v>Dipper</v>
      </c>
      <c r="D17600" t="s">
        <v>5</v>
      </c>
      <c r="E17600">
        <v>1</v>
      </c>
    </row>
    <row r="17601" spans="1:5" x14ac:dyDescent="0.25">
      <c r="A17601">
        <v>17600</v>
      </c>
      <c r="B17601">
        <v>5150537</v>
      </c>
      <c r="C17601" s="1" t="str">
        <f>HYPERLINK("http://stackoverflow.com/users/5150537", "zzZ")</f>
        <v>zzZ</v>
      </c>
      <c r="D17601" t="s">
        <v>5</v>
      </c>
      <c r="E17601">
        <v>1</v>
      </c>
    </row>
    <row r="17602" spans="1:5" x14ac:dyDescent="0.25">
      <c r="A17602">
        <v>17601</v>
      </c>
      <c r="B17602">
        <v>1471438</v>
      </c>
      <c r="C17602" s="1" t="str">
        <f>HYPERLINK("http://stackoverflow.com/users/1471438", "ioleon13")</f>
        <v>ioleon13</v>
      </c>
      <c r="D17602" t="s">
        <v>5</v>
      </c>
      <c r="E17602">
        <v>1</v>
      </c>
    </row>
    <row r="17603" spans="1:5" x14ac:dyDescent="0.25">
      <c r="A17603">
        <v>17602</v>
      </c>
      <c r="B17603">
        <v>1472010</v>
      </c>
      <c r="C17603" s="1" t="str">
        <f>HYPERLINK("http://stackoverflow.com/users/1472010", "ChrisKXu")</f>
        <v>ChrisKXu</v>
      </c>
      <c r="D17603" t="s">
        <v>4</v>
      </c>
      <c r="E17603">
        <v>1</v>
      </c>
    </row>
    <row r="17604" spans="1:5" x14ac:dyDescent="0.25">
      <c r="A17604">
        <v>17603</v>
      </c>
      <c r="B17604">
        <v>8717564</v>
      </c>
      <c r="C17604" s="1" t="str">
        <f>HYPERLINK("http://stackoverflow.com/users/8717564", "Fares MEHAOUA")</f>
        <v>Fares MEHAOUA</v>
      </c>
      <c r="D17604" t="s">
        <v>52</v>
      </c>
      <c r="E17604">
        <v>1</v>
      </c>
    </row>
    <row r="17605" spans="1:5" x14ac:dyDescent="0.25">
      <c r="A17605">
        <v>17604</v>
      </c>
      <c r="B17605">
        <v>8717574</v>
      </c>
      <c r="C17605" s="1" t="str">
        <f>HYPERLINK("http://stackoverflow.com/users/8717574", "UTL_1138")</f>
        <v>UTL_1138</v>
      </c>
      <c r="D17605" t="s">
        <v>17</v>
      </c>
      <c r="E17605">
        <v>1</v>
      </c>
    </row>
    <row r="17606" spans="1:5" x14ac:dyDescent="0.25">
      <c r="A17606">
        <v>17605</v>
      </c>
      <c r="B17606">
        <v>6869004</v>
      </c>
      <c r="C17606" s="1" t="str">
        <f>HYPERLINK("http://stackoverflow.com/users/6869004", "John Gu")</f>
        <v>John Gu</v>
      </c>
      <c r="D17606" t="s">
        <v>5</v>
      </c>
      <c r="E17606">
        <v>1</v>
      </c>
    </row>
    <row r="17607" spans="1:5" x14ac:dyDescent="0.25">
      <c r="A17607">
        <v>17606</v>
      </c>
      <c r="B17607">
        <v>6869077</v>
      </c>
      <c r="C17607" s="1" t="str">
        <f>HYPERLINK("http://stackoverflow.com/users/6869077", "zhengdong zhang")</f>
        <v>zhengdong zhang</v>
      </c>
      <c r="D17607" t="s">
        <v>4</v>
      </c>
      <c r="E17607">
        <v>1</v>
      </c>
    </row>
    <row r="17608" spans="1:5" x14ac:dyDescent="0.25">
      <c r="A17608">
        <v>17607</v>
      </c>
      <c r="B17608">
        <v>6869289</v>
      </c>
      <c r="C17608" s="1" t="str">
        <f>HYPERLINK("http://stackoverflow.com/users/6869289", "qyf404")</f>
        <v>qyf404</v>
      </c>
      <c r="D17608" t="s">
        <v>5</v>
      </c>
      <c r="E17608">
        <v>1</v>
      </c>
    </row>
    <row r="17609" spans="1:5" x14ac:dyDescent="0.25">
      <c r="A17609">
        <v>17608</v>
      </c>
      <c r="B17609">
        <v>1455653</v>
      </c>
      <c r="C17609" s="1" t="str">
        <f>HYPERLINK("http://stackoverflow.com/users/1455653", "seankwei")</f>
        <v>seankwei</v>
      </c>
      <c r="D17609" t="s">
        <v>3</v>
      </c>
      <c r="E17609">
        <v>1</v>
      </c>
    </row>
    <row r="17610" spans="1:5" x14ac:dyDescent="0.25">
      <c r="A17610">
        <v>17609</v>
      </c>
      <c r="B17610">
        <v>1456311</v>
      </c>
      <c r="C17610" s="1" t="str">
        <f>HYPERLINK("http://stackoverflow.com/users/1456311", "user1456311")</f>
        <v>user1456311</v>
      </c>
      <c r="D17610" t="s">
        <v>12</v>
      </c>
      <c r="E17610">
        <v>1</v>
      </c>
    </row>
    <row r="17611" spans="1:5" x14ac:dyDescent="0.25">
      <c r="A17611">
        <v>17610</v>
      </c>
      <c r="B17611">
        <v>5129831</v>
      </c>
      <c r="C17611" s="1" t="str">
        <f>HYPERLINK("http://stackoverflow.com/users/5129831", "shicheng")</f>
        <v>shicheng</v>
      </c>
      <c r="D17611" t="s">
        <v>4</v>
      </c>
      <c r="E17611">
        <v>1</v>
      </c>
    </row>
    <row r="17612" spans="1:5" x14ac:dyDescent="0.25">
      <c r="A17612">
        <v>17611</v>
      </c>
      <c r="B17612">
        <v>10507867</v>
      </c>
      <c r="C17612" s="1" t="str">
        <f>HYPERLINK("http://stackoverflow.com/users/10507867", "Bryan Pei")</f>
        <v>Bryan Pei</v>
      </c>
      <c r="D17612" t="s">
        <v>5</v>
      </c>
      <c r="E17612">
        <v>1</v>
      </c>
    </row>
    <row r="17613" spans="1:5" x14ac:dyDescent="0.25">
      <c r="A17613">
        <v>17612</v>
      </c>
      <c r="B17613">
        <v>1455308</v>
      </c>
      <c r="C17613" s="1" t="str">
        <f>HYPERLINK("http://stackoverflow.com/users/1455308", "Joey Huang")</f>
        <v>Joey Huang</v>
      </c>
      <c r="D17613" t="s">
        <v>15</v>
      </c>
      <c r="E17613">
        <v>1</v>
      </c>
    </row>
    <row r="17614" spans="1:5" x14ac:dyDescent="0.25">
      <c r="A17614">
        <v>17613</v>
      </c>
      <c r="B17614">
        <v>3321686</v>
      </c>
      <c r="C17614" s="1" t="str">
        <f>HYPERLINK("http://stackoverflow.com/users/3321686", "user3321686")</f>
        <v>user3321686</v>
      </c>
      <c r="D17614" t="s">
        <v>5</v>
      </c>
      <c r="E17614">
        <v>1</v>
      </c>
    </row>
    <row r="17615" spans="1:5" x14ac:dyDescent="0.25">
      <c r="A17615">
        <v>17614</v>
      </c>
      <c r="B17615">
        <v>3321719</v>
      </c>
      <c r="C17615" s="1" t="str">
        <f>HYPERLINK("http://stackoverflow.com/users/3321719", "Harry W.")</f>
        <v>Harry W.</v>
      </c>
      <c r="D17615" t="s">
        <v>22</v>
      </c>
      <c r="E17615">
        <v>1</v>
      </c>
    </row>
    <row r="17616" spans="1:5" x14ac:dyDescent="0.25">
      <c r="A17616">
        <v>17615</v>
      </c>
      <c r="B17616">
        <v>3321726</v>
      </c>
      <c r="C17616" s="1" t="str">
        <f>HYPERLINK("http://stackoverflow.com/users/3321726", "ZHK")</f>
        <v>ZHK</v>
      </c>
      <c r="D17616" t="s">
        <v>4</v>
      </c>
      <c r="E17616">
        <v>1</v>
      </c>
    </row>
    <row r="17617" spans="1:5" x14ac:dyDescent="0.25">
      <c r="A17617">
        <v>17616</v>
      </c>
      <c r="B17617">
        <v>3322028</v>
      </c>
      <c r="C17617" s="1" t="str">
        <f>HYPERLINK("http://stackoverflow.com/users/3322028", "goose")</f>
        <v>goose</v>
      </c>
      <c r="D17617" t="s">
        <v>4</v>
      </c>
      <c r="E17617">
        <v>1</v>
      </c>
    </row>
    <row r="17618" spans="1:5" x14ac:dyDescent="0.25">
      <c r="A17618">
        <v>17617</v>
      </c>
      <c r="B17618">
        <v>3322145</v>
      </c>
      <c r="C17618" s="1" t="str">
        <f>HYPERLINK("http://stackoverflow.com/users/3322145", "Jeffiy")</f>
        <v>Jeffiy</v>
      </c>
      <c r="D17618" t="s">
        <v>25</v>
      </c>
      <c r="E17618">
        <v>1</v>
      </c>
    </row>
    <row r="17619" spans="1:5" x14ac:dyDescent="0.25">
      <c r="A17619">
        <v>17618</v>
      </c>
      <c r="B17619">
        <v>3322290</v>
      </c>
      <c r="C17619" s="1" t="str">
        <f>HYPERLINK("http://stackoverflow.com/users/3322290", "fitidly")</f>
        <v>fitidly</v>
      </c>
      <c r="D17619" t="s">
        <v>4</v>
      </c>
      <c r="E17619">
        <v>1</v>
      </c>
    </row>
    <row r="17620" spans="1:5" x14ac:dyDescent="0.25">
      <c r="A17620">
        <v>17619</v>
      </c>
      <c r="B17620">
        <v>3322333</v>
      </c>
      <c r="C17620" s="1" t="str">
        <f>HYPERLINK("http://stackoverflow.com/users/3322333", "Yunxuan Tuanmu")</f>
        <v>Yunxuan Tuanmu</v>
      </c>
      <c r="D17620" t="s">
        <v>5</v>
      </c>
      <c r="E17620">
        <v>1</v>
      </c>
    </row>
    <row r="17621" spans="1:5" x14ac:dyDescent="0.25">
      <c r="A17621">
        <v>17620</v>
      </c>
      <c r="B17621">
        <v>3322576</v>
      </c>
      <c r="C17621" s="1" t="str">
        <f>HYPERLINK("http://stackoverflow.com/users/3322576", "aran")</f>
        <v>aran</v>
      </c>
      <c r="D17621" t="s">
        <v>5</v>
      </c>
      <c r="E17621">
        <v>1</v>
      </c>
    </row>
    <row r="17622" spans="1:5" x14ac:dyDescent="0.25">
      <c r="A17622">
        <v>17621</v>
      </c>
      <c r="B17622">
        <v>8703457</v>
      </c>
      <c r="C17622" s="1" t="str">
        <f>HYPERLINK("http://stackoverflow.com/users/8703457", "Tzingtao C")</f>
        <v>Tzingtao C</v>
      </c>
      <c r="D17622" t="s">
        <v>34</v>
      </c>
      <c r="E17622">
        <v>1</v>
      </c>
    </row>
    <row r="17623" spans="1:5" x14ac:dyDescent="0.25">
      <c r="A17623">
        <v>17622</v>
      </c>
      <c r="B17623">
        <v>8703658</v>
      </c>
      <c r="C17623" s="1" t="str">
        <f>HYPERLINK("http://stackoverflow.com/users/8703658", "David Wu")</f>
        <v>David Wu</v>
      </c>
      <c r="D17623" t="s">
        <v>5</v>
      </c>
      <c r="E17623">
        <v>1</v>
      </c>
    </row>
    <row r="17624" spans="1:5" x14ac:dyDescent="0.25">
      <c r="A17624">
        <v>17623</v>
      </c>
      <c r="B17624">
        <v>1460551</v>
      </c>
      <c r="C17624" s="1" t="str">
        <f>HYPERLINK("http://stackoverflow.com/users/1460551", "Joshon Ran")</f>
        <v>Joshon Ran</v>
      </c>
      <c r="D17624" t="s">
        <v>4</v>
      </c>
      <c r="E17624">
        <v>1</v>
      </c>
    </row>
    <row r="17625" spans="1:5" x14ac:dyDescent="0.25">
      <c r="A17625">
        <v>17624</v>
      </c>
      <c r="B17625">
        <v>1461478</v>
      </c>
      <c r="C17625" s="1" t="str">
        <f>HYPERLINK("http://stackoverflow.com/users/1461478", "Rory Ye")</f>
        <v>Rory Ye</v>
      </c>
      <c r="D17625" t="s">
        <v>4</v>
      </c>
      <c r="E17625">
        <v>1</v>
      </c>
    </row>
    <row r="17626" spans="1:5" x14ac:dyDescent="0.25">
      <c r="A17626">
        <v>17625</v>
      </c>
      <c r="B17626">
        <v>10516641</v>
      </c>
      <c r="C17626" s="1" t="str">
        <f>HYPERLINK("http://stackoverflow.com/users/10516641", "X.R. Meng")</f>
        <v>X.R. Meng</v>
      </c>
      <c r="D17626" t="s">
        <v>22</v>
      </c>
      <c r="E17626">
        <v>1</v>
      </c>
    </row>
    <row r="17627" spans="1:5" x14ac:dyDescent="0.25">
      <c r="A17627">
        <v>17626</v>
      </c>
      <c r="B17627">
        <v>10516946</v>
      </c>
      <c r="C17627" s="1" t="str">
        <f>HYPERLINK("http://stackoverflow.com/users/10516946", "stingproduct")</f>
        <v>stingproduct</v>
      </c>
      <c r="D17627" t="s">
        <v>968</v>
      </c>
      <c r="E17627">
        <v>1</v>
      </c>
    </row>
    <row r="17628" spans="1:5" x14ac:dyDescent="0.25">
      <c r="A17628">
        <v>17627</v>
      </c>
      <c r="B17628">
        <v>3326153</v>
      </c>
      <c r="C17628" s="1" t="str">
        <f>HYPERLINK("http://stackoverflow.com/users/3326153", "Samuel")</f>
        <v>Samuel</v>
      </c>
      <c r="D17628" t="s">
        <v>113</v>
      </c>
      <c r="E17628">
        <v>1</v>
      </c>
    </row>
    <row r="17629" spans="1:5" x14ac:dyDescent="0.25">
      <c r="A17629">
        <v>17628</v>
      </c>
      <c r="B17629">
        <v>3326515</v>
      </c>
      <c r="C17629" s="1" t="str">
        <f>HYPERLINK("http://stackoverflow.com/users/3326515", "yuerpb")</f>
        <v>yuerpb</v>
      </c>
      <c r="D17629" t="s">
        <v>35</v>
      </c>
      <c r="E17629">
        <v>1</v>
      </c>
    </row>
    <row r="17630" spans="1:5" x14ac:dyDescent="0.25">
      <c r="A17630">
        <v>17629</v>
      </c>
      <c r="B17630">
        <v>1460788</v>
      </c>
      <c r="C17630" s="1" t="str">
        <f>HYPERLINK("http://stackoverflow.com/users/1460788", "philip_cheng")</f>
        <v>philip_cheng</v>
      </c>
      <c r="D17630" t="s">
        <v>3</v>
      </c>
      <c r="E17630">
        <v>1</v>
      </c>
    </row>
    <row r="17631" spans="1:5" x14ac:dyDescent="0.25">
      <c r="A17631">
        <v>17630</v>
      </c>
      <c r="B17631">
        <v>1460639</v>
      </c>
      <c r="C17631" s="1" t="str">
        <f>HYPERLINK("http://stackoverflow.com/users/1460639", "CuiZinieR")</f>
        <v>CuiZinieR</v>
      </c>
      <c r="D17631" t="s">
        <v>4</v>
      </c>
      <c r="E17631">
        <v>1</v>
      </c>
    </row>
    <row r="17632" spans="1:5" x14ac:dyDescent="0.25">
      <c r="A17632">
        <v>17631</v>
      </c>
      <c r="B17632">
        <v>3321679</v>
      </c>
      <c r="C17632" s="1" t="str">
        <f>HYPERLINK("http://stackoverflow.com/users/3321679", "mml")</f>
        <v>mml</v>
      </c>
      <c r="D17632" t="s">
        <v>21</v>
      </c>
      <c r="E17632">
        <v>1</v>
      </c>
    </row>
    <row r="17633" spans="1:5" x14ac:dyDescent="0.25">
      <c r="A17633">
        <v>17632</v>
      </c>
      <c r="B17633">
        <v>6952670</v>
      </c>
      <c r="C17633" s="1" t="str">
        <f>HYPERLINK("http://stackoverflow.com/users/6952670", "uaison")</f>
        <v>uaison</v>
      </c>
      <c r="D17633" t="s">
        <v>15</v>
      </c>
      <c r="E17633">
        <v>1</v>
      </c>
    </row>
    <row r="17634" spans="1:5" x14ac:dyDescent="0.25">
      <c r="A17634">
        <v>17633</v>
      </c>
      <c r="B17634">
        <v>6952821</v>
      </c>
      <c r="C17634" s="1" t="str">
        <f>HYPERLINK("http://stackoverflow.com/users/6952821", "Jiwei")</f>
        <v>Jiwei</v>
      </c>
      <c r="D17634" t="s">
        <v>12</v>
      </c>
      <c r="E17634">
        <v>1</v>
      </c>
    </row>
    <row r="17635" spans="1:5" x14ac:dyDescent="0.25">
      <c r="A17635">
        <v>17634</v>
      </c>
      <c r="B17635">
        <v>6953040</v>
      </c>
      <c r="C17635" s="1" t="str">
        <f>HYPERLINK("http://stackoverflow.com/users/6953040", "kasy")</f>
        <v>kasy</v>
      </c>
      <c r="D17635" t="s">
        <v>28</v>
      </c>
      <c r="E17635">
        <v>1</v>
      </c>
    </row>
    <row r="17636" spans="1:5" x14ac:dyDescent="0.25">
      <c r="A17636">
        <v>17635</v>
      </c>
      <c r="B17636">
        <v>8817247</v>
      </c>
      <c r="C17636" s="1" t="str">
        <f>HYPERLINK("http://stackoverflow.com/users/8817247", "Ming Su")</f>
        <v>Ming Su</v>
      </c>
      <c r="D17636" t="s">
        <v>4</v>
      </c>
      <c r="E17636">
        <v>1</v>
      </c>
    </row>
    <row r="17637" spans="1:5" x14ac:dyDescent="0.25">
      <c r="A17637">
        <v>17636</v>
      </c>
      <c r="B17637">
        <v>1580903</v>
      </c>
      <c r="C17637" s="1" t="str">
        <f>HYPERLINK("http://stackoverflow.com/users/1580903", "Karminski")</f>
        <v>Karminski</v>
      </c>
      <c r="D17637" t="s">
        <v>5</v>
      </c>
      <c r="E17637">
        <v>1</v>
      </c>
    </row>
    <row r="17638" spans="1:5" x14ac:dyDescent="0.25">
      <c r="A17638">
        <v>17637</v>
      </c>
      <c r="B17638">
        <v>1581087</v>
      </c>
      <c r="C17638" s="1" t="str">
        <f>HYPERLINK("http://stackoverflow.com/users/1581087", "Vincent E")</f>
        <v>Vincent E</v>
      </c>
      <c r="D17638" t="s">
        <v>17</v>
      </c>
      <c r="E17638">
        <v>1</v>
      </c>
    </row>
    <row r="17639" spans="1:5" x14ac:dyDescent="0.25">
      <c r="A17639">
        <v>17638</v>
      </c>
      <c r="B17639">
        <v>10628029</v>
      </c>
      <c r="C17639" s="1" t="str">
        <f>HYPERLINK("http://stackoverflow.com/users/10628029", "Xiaoxiang Zhang")</f>
        <v>Xiaoxiang Zhang</v>
      </c>
      <c r="D17639" t="s">
        <v>25</v>
      </c>
      <c r="E17639">
        <v>1</v>
      </c>
    </row>
    <row r="17640" spans="1:5" x14ac:dyDescent="0.25">
      <c r="A17640">
        <v>17639</v>
      </c>
      <c r="B17640">
        <v>10628071</v>
      </c>
      <c r="C17640" s="1" t="str">
        <f>HYPERLINK("http://stackoverflow.com/users/10628071", "WangXinBoy09")</f>
        <v>WangXinBoy09</v>
      </c>
      <c r="D17640" t="s">
        <v>12</v>
      </c>
      <c r="E17640">
        <v>1</v>
      </c>
    </row>
    <row r="17641" spans="1:5" x14ac:dyDescent="0.25">
      <c r="A17641">
        <v>17640</v>
      </c>
      <c r="B17641">
        <v>10628462</v>
      </c>
      <c r="C17641" s="1" t="str">
        <f>HYPERLINK("http://stackoverflow.com/users/10628462", "邓生金")</f>
        <v>邓生金</v>
      </c>
      <c r="D17641" t="s">
        <v>5</v>
      </c>
      <c r="E17641">
        <v>1</v>
      </c>
    </row>
    <row r="17642" spans="1:5" x14ac:dyDescent="0.25">
      <c r="A17642">
        <v>17641</v>
      </c>
      <c r="B17642">
        <v>8817770</v>
      </c>
      <c r="C17642" s="1" t="str">
        <f>HYPERLINK("http://stackoverflow.com/users/8817770", "lorence")</f>
        <v>lorence</v>
      </c>
      <c r="D17642" t="s">
        <v>28</v>
      </c>
      <c r="E17642">
        <v>1</v>
      </c>
    </row>
    <row r="17643" spans="1:5" x14ac:dyDescent="0.25">
      <c r="A17643">
        <v>17642</v>
      </c>
      <c r="B17643">
        <v>8817771</v>
      </c>
      <c r="C17643" s="1" t="str">
        <f>HYPERLINK("http://stackoverflow.com/users/8817771", "tonyyang1029")</f>
        <v>tonyyang1029</v>
      </c>
      <c r="D17643" t="s">
        <v>3</v>
      </c>
      <c r="E17643">
        <v>1</v>
      </c>
    </row>
    <row r="17644" spans="1:5" x14ac:dyDescent="0.25">
      <c r="A17644">
        <v>17643</v>
      </c>
      <c r="B17644">
        <v>8817804</v>
      </c>
      <c r="C17644" s="1" t="str">
        <f>HYPERLINK("http://stackoverflow.com/users/8817804", "Henry Ge")</f>
        <v>Henry Ge</v>
      </c>
      <c r="D17644" t="s">
        <v>52</v>
      </c>
      <c r="E17644">
        <v>1</v>
      </c>
    </row>
    <row r="17645" spans="1:5" x14ac:dyDescent="0.25">
      <c r="A17645">
        <v>17644</v>
      </c>
      <c r="B17645">
        <v>8818286</v>
      </c>
      <c r="C17645" s="1" t="str">
        <f>HYPERLINK("http://stackoverflow.com/users/8818286", "Anestis Tziamtzis")</f>
        <v>Anestis Tziamtzis</v>
      </c>
      <c r="D17645" t="s">
        <v>4</v>
      </c>
      <c r="E17645">
        <v>1</v>
      </c>
    </row>
    <row r="17646" spans="1:5" x14ac:dyDescent="0.25">
      <c r="A17646">
        <v>17645</v>
      </c>
      <c r="B17646">
        <v>8818291</v>
      </c>
      <c r="C17646" s="1" t="str">
        <f>HYPERLINK("http://stackoverflow.com/users/8818291", "idea")</f>
        <v>idea</v>
      </c>
      <c r="D17646" t="s">
        <v>25</v>
      </c>
      <c r="E17646">
        <v>1</v>
      </c>
    </row>
    <row r="17647" spans="1:5" x14ac:dyDescent="0.25">
      <c r="A17647">
        <v>17646</v>
      </c>
      <c r="B17647">
        <v>8808175</v>
      </c>
      <c r="C17647" s="1" t="str">
        <f>HYPERLINK("http://stackoverflow.com/users/8808175", "Leslie Wong")</f>
        <v>Leslie Wong</v>
      </c>
      <c r="D17647" t="s">
        <v>7</v>
      </c>
      <c r="E17647">
        <v>1</v>
      </c>
    </row>
    <row r="17648" spans="1:5" x14ac:dyDescent="0.25">
      <c r="A17648">
        <v>17647</v>
      </c>
      <c r="B17648">
        <v>3422376</v>
      </c>
      <c r="C17648" s="1" t="str">
        <f>HYPERLINK("http://stackoverflow.com/users/3422376", "Nicky Hu")</f>
        <v>Nicky Hu</v>
      </c>
      <c r="D17648" t="s">
        <v>4</v>
      </c>
      <c r="E17648">
        <v>1</v>
      </c>
    </row>
    <row r="17649" spans="1:5" x14ac:dyDescent="0.25">
      <c r="A17649">
        <v>17648</v>
      </c>
      <c r="B17649">
        <v>3418101</v>
      </c>
      <c r="C17649" s="1" t="str">
        <f>HYPERLINK("http://stackoverflow.com/users/3418101", "mazei")</f>
        <v>mazei</v>
      </c>
      <c r="D17649" t="s">
        <v>12</v>
      </c>
      <c r="E17649">
        <v>1</v>
      </c>
    </row>
    <row r="17650" spans="1:5" x14ac:dyDescent="0.25">
      <c r="A17650">
        <v>17649</v>
      </c>
      <c r="B17650">
        <v>1571716</v>
      </c>
      <c r="C17650" s="1" t="str">
        <f>HYPERLINK("http://stackoverflow.com/users/1571716", "hzlzh")</f>
        <v>hzlzh</v>
      </c>
      <c r="D17650" t="s">
        <v>17</v>
      </c>
      <c r="E17650">
        <v>1</v>
      </c>
    </row>
    <row r="17651" spans="1:5" x14ac:dyDescent="0.25">
      <c r="A17651">
        <v>17650</v>
      </c>
      <c r="B17651">
        <v>10614739</v>
      </c>
      <c r="C17651" s="1" t="str">
        <f>HYPERLINK("http://stackoverflow.com/users/10614739", "Jin Ri")</f>
        <v>Jin Ri</v>
      </c>
      <c r="D17651" t="s">
        <v>101</v>
      </c>
      <c r="E17651">
        <v>1</v>
      </c>
    </row>
    <row r="17652" spans="1:5" x14ac:dyDescent="0.25">
      <c r="A17652">
        <v>17651</v>
      </c>
      <c r="B17652">
        <v>10610825</v>
      </c>
      <c r="C17652" s="1" t="str">
        <f>HYPERLINK("http://stackoverflow.com/users/10610825", "Zhen Tao")</f>
        <v>Zhen Tao</v>
      </c>
      <c r="D17652" t="s">
        <v>47</v>
      </c>
      <c r="E17652">
        <v>1</v>
      </c>
    </row>
    <row r="17653" spans="1:5" x14ac:dyDescent="0.25">
      <c r="A17653">
        <v>17652</v>
      </c>
      <c r="B17653">
        <v>10610943</v>
      </c>
      <c r="C17653" s="1" t="str">
        <f>HYPERLINK("http://stackoverflow.com/users/10610943", "Leo Guo")</f>
        <v>Leo Guo</v>
      </c>
      <c r="D17653" t="s">
        <v>4</v>
      </c>
      <c r="E17653">
        <v>1</v>
      </c>
    </row>
    <row r="17654" spans="1:5" x14ac:dyDescent="0.25">
      <c r="A17654">
        <v>17653</v>
      </c>
      <c r="B17654">
        <v>10610980</v>
      </c>
      <c r="C17654" s="1" t="str">
        <f>HYPERLINK("http://stackoverflow.com/users/10610980", "David")</f>
        <v>David</v>
      </c>
      <c r="D17654" t="s">
        <v>43</v>
      </c>
      <c r="E17654">
        <v>1</v>
      </c>
    </row>
    <row r="17655" spans="1:5" x14ac:dyDescent="0.25">
      <c r="A17655">
        <v>17654</v>
      </c>
      <c r="B17655">
        <v>10611073</v>
      </c>
      <c r="C17655" s="1" t="str">
        <f>HYPERLINK("http://stackoverflow.com/users/10611073", "Han Gao")</f>
        <v>Han Gao</v>
      </c>
      <c r="D17655" t="s">
        <v>4</v>
      </c>
      <c r="E17655">
        <v>1</v>
      </c>
    </row>
    <row r="17656" spans="1:5" x14ac:dyDescent="0.25">
      <c r="A17656">
        <v>17655</v>
      </c>
      <c r="B17656">
        <v>6941194</v>
      </c>
      <c r="C17656" s="1" t="str">
        <f>HYPERLINK("http://stackoverflow.com/users/6941194", "andywu")</f>
        <v>andywu</v>
      </c>
      <c r="D17656" t="s">
        <v>5</v>
      </c>
      <c r="E17656">
        <v>1</v>
      </c>
    </row>
    <row r="17657" spans="1:5" x14ac:dyDescent="0.25">
      <c r="A17657">
        <v>17656</v>
      </c>
      <c r="B17657">
        <v>8804259</v>
      </c>
      <c r="C17657" s="1" t="str">
        <f>HYPERLINK("http://stackoverflow.com/users/8804259", "J.Hz")</f>
        <v>J.Hz</v>
      </c>
      <c r="D17657" t="s">
        <v>16</v>
      </c>
      <c r="E17657">
        <v>1</v>
      </c>
    </row>
    <row r="17658" spans="1:5" x14ac:dyDescent="0.25">
      <c r="A17658">
        <v>17657</v>
      </c>
      <c r="B17658">
        <v>1602426</v>
      </c>
      <c r="C17658" s="1" t="str">
        <f>HYPERLINK("http://stackoverflow.com/users/1602426", "Glen")</f>
        <v>Glen</v>
      </c>
      <c r="D17658" t="s">
        <v>21</v>
      </c>
      <c r="E17658">
        <v>1</v>
      </c>
    </row>
    <row r="17659" spans="1:5" x14ac:dyDescent="0.25">
      <c r="A17659">
        <v>17658</v>
      </c>
      <c r="B17659">
        <v>7011132</v>
      </c>
      <c r="C17659" s="1" t="str">
        <f>HYPERLINK("http://stackoverflow.com/users/7011132", "Apple Eating")</f>
        <v>Apple Eating</v>
      </c>
      <c r="D17659" t="s">
        <v>4</v>
      </c>
      <c r="E17659">
        <v>1</v>
      </c>
    </row>
    <row r="17660" spans="1:5" x14ac:dyDescent="0.25">
      <c r="A17660">
        <v>17659</v>
      </c>
      <c r="B17660">
        <v>7011265</v>
      </c>
      <c r="C17660" s="1" t="str">
        <f>HYPERLINK("http://stackoverflow.com/users/7011265", "Ivy Chen")</f>
        <v>Ivy Chen</v>
      </c>
      <c r="D17660" t="s">
        <v>131</v>
      </c>
      <c r="E17660">
        <v>1</v>
      </c>
    </row>
    <row r="17661" spans="1:5" x14ac:dyDescent="0.25">
      <c r="A17661">
        <v>17660</v>
      </c>
      <c r="B17661">
        <v>1602013</v>
      </c>
      <c r="C17661" s="1" t="str">
        <f>HYPERLINK("http://stackoverflow.com/users/1602013", "Miyagi")</f>
        <v>Miyagi</v>
      </c>
      <c r="D17661" t="s">
        <v>4</v>
      </c>
      <c r="E17661">
        <v>1</v>
      </c>
    </row>
    <row r="17662" spans="1:5" x14ac:dyDescent="0.25">
      <c r="A17662">
        <v>17661</v>
      </c>
      <c r="B17662">
        <v>8831969</v>
      </c>
      <c r="C17662" s="1" t="str">
        <f>HYPERLINK("http://stackoverflow.com/users/8831969", "Victor.Jiang")</f>
        <v>Victor.Jiang</v>
      </c>
      <c r="D17662" t="s">
        <v>266</v>
      </c>
      <c r="E17662">
        <v>1</v>
      </c>
    </row>
    <row r="17663" spans="1:5" x14ac:dyDescent="0.25">
      <c r="A17663">
        <v>17662</v>
      </c>
      <c r="B17663">
        <v>1602849</v>
      </c>
      <c r="C17663" s="1" t="str">
        <f>HYPERLINK("http://stackoverflow.com/users/1602849", "Goddy Zhao")</f>
        <v>Goddy Zhao</v>
      </c>
      <c r="D17663" t="s">
        <v>4</v>
      </c>
      <c r="E17663">
        <v>1</v>
      </c>
    </row>
    <row r="17664" spans="1:5" x14ac:dyDescent="0.25">
      <c r="A17664">
        <v>17663</v>
      </c>
      <c r="B17664">
        <v>8836833</v>
      </c>
      <c r="C17664" s="1" t="str">
        <f>HYPERLINK("http://stackoverflow.com/users/8836833", "Kelton")</f>
        <v>Kelton</v>
      </c>
      <c r="D17664" t="s">
        <v>33</v>
      </c>
      <c r="E17664">
        <v>1</v>
      </c>
    </row>
    <row r="17665" spans="1:5" x14ac:dyDescent="0.25">
      <c r="A17665">
        <v>17664</v>
      </c>
      <c r="B17665">
        <v>8837144</v>
      </c>
      <c r="C17665" s="1" t="str">
        <f>HYPERLINK("http://stackoverflow.com/users/8837144", "Huawei Li")</f>
        <v>Huawei Li</v>
      </c>
      <c r="D17665" t="s">
        <v>5</v>
      </c>
      <c r="E17665">
        <v>1</v>
      </c>
    </row>
    <row r="17666" spans="1:5" x14ac:dyDescent="0.25">
      <c r="A17666">
        <v>17665</v>
      </c>
      <c r="B17666">
        <v>7015034</v>
      </c>
      <c r="C17666" s="1" t="str">
        <f>HYPERLINK("http://stackoverflow.com/users/7015034", "Alvide")</f>
        <v>Alvide</v>
      </c>
      <c r="D17666" t="s">
        <v>55</v>
      </c>
      <c r="E17666">
        <v>1</v>
      </c>
    </row>
    <row r="17667" spans="1:5" x14ac:dyDescent="0.25">
      <c r="A17667">
        <v>17666</v>
      </c>
      <c r="B17667">
        <v>10628845</v>
      </c>
      <c r="C17667" s="1" t="str">
        <f>HYPERLINK("http://stackoverflow.com/users/10628845", "Xingheng Zhu")</f>
        <v>Xingheng Zhu</v>
      </c>
      <c r="D17667" t="s">
        <v>4</v>
      </c>
      <c r="E17667">
        <v>1</v>
      </c>
    </row>
    <row r="17668" spans="1:5" x14ac:dyDescent="0.25">
      <c r="A17668">
        <v>17667</v>
      </c>
      <c r="B17668">
        <v>10633464</v>
      </c>
      <c r="C17668" s="1" t="str">
        <f>HYPERLINK("http://stackoverflow.com/users/10633464", "Bandit Lee")</f>
        <v>Bandit Lee</v>
      </c>
      <c r="D17668" t="s">
        <v>47</v>
      </c>
      <c r="E17668">
        <v>1</v>
      </c>
    </row>
    <row r="17669" spans="1:5" x14ac:dyDescent="0.25">
      <c r="A17669">
        <v>17668</v>
      </c>
      <c r="B17669">
        <v>5243422</v>
      </c>
      <c r="C17669" s="1" t="str">
        <f>HYPERLINK("http://stackoverflow.com/users/5243422", "Rim99")</f>
        <v>Rim99</v>
      </c>
      <c r="D17669" t="s">
        <v>54</v>
      </c>
      <c r="E17669">
        <v>1</v>
      </c>
    </row>
    <row r="17670" spans="1:5" x14ac:dyDescent="0.25">
      <c r="A17670">
        <v>17669</v>
      </c>
      <c r="B17670">
        <v>3435835</v>
      </c>
      <c r="C17670" s="1" t="str">
        <f>HYPERLINK("http://stackoverflow.com/users/3435835", "farseer2014")</f>
        <v>farseer2014</v>
      </c>
      <c r="D17670" t="s">
        <v>31</v>
      </c>
      <c r="E17670">
        <v>1</v>
      </c>
    </row>
    <row r="17671" spans="1:5" x14ac:dyDescent="0.25">
      <c r="A17671">
        <v>17670</v>
      </c>
      <c r="B17671">
        <v>3436195</v>
      </c>
      <c r="C17671" s="1" t="str">
        <f>HYPERLINK("http://stackoverflow.com/users/3436195", "Liu Feng")</f>
        <v>Liu Feng</v>
      </c>
      <c r="D17671" t="s">
        <v>5</v>
      </c>
      <c r="E17671">
        <v>1</v>
      </c>
    </row>
    <row r="17672" spans="1:5" x14ac:dyDescent="0.25">
      <c r="A17672">
        <v>17671</v>
      </c>
      <c r="B17672">
        <v>5246242</v>
      </c>
      <c r="C17672" s="1" t="str">
        <f>HYPERLINK("http://stackoverflow.com/users/5246242", "quankevin")</f>
        <v>quankevin</v>
      </c>
      <c r="D17672" t="s">
        <v>7</v>
      </c>
      <c r="E17672">
        <v>1</v>
      </c>
    </row>
    <row r="17673" spans="1:5" x14ac:dyDescent="0.25">
      <c r="A17673">
        <v>17672</v>
      </c>
      <c r="B17673">
        <v>1597262</v>
      </c>
      <c r="C17673" s="1" t="str">
        <f>HYPERLINK("http://stackoverflow.com/users/1597262", "GeorgeZhang")</f>
        <v>GeorgeZhang</v>
      </c>
      <c r="D17673" t="s">
        <v>5</v>
      </c>
      <c r="E17673">
        <v>1</v>
      </c>
    </row>
    <row r="17674" spans="1:5" x14ac:dyDescent="0.25">
      <c r="A17674">
        <v>17673</v>
      </c>
      <c r="B17674">
        <v>1597602</v>
      </c>
      <c r="C17674" s="1" t="str">
        <f>HYPERLINK("http://stackoverflow.com/users/1597602", "Tinghui Zhang")</f>
        <v>Tinghui Zhang</v>
      </c>
      <c r="D17674" t="s">
        <v>22</v>
      </c>
      <c r="E17674">
        <v>1</v>
      </c>
    </row>
    <row r="17675" spans="1:5" x14ac:dyDescent="0.25">
      <c r="A17675">
        <v>17674</v>
      </c>
      <c r="B17675">
        <v>10637028</v>
      </c>
      <c r="C17675" s="1" t="str">
        <f>HYPERLINK("http://stackoverflow.com/users/10637028", "vanguard")</f>
        <v>vanguard</v>
      </c>
      <c r="D17675" t="s">
        <v>33</v>
      </c>
      <c r="E17675">
        <v>1</v>
      </c>
    </row>
    <row r="17676" spans="1:5" x14ac:dyDescent="0.25">
      <c r="A17676">
        <v>17675</v>
      </c>
      <c r="B17676">
        <v>1597005</v>
      </c>
      <c r="C17676" s="1" t="str">
        <f>HYPERLINK("http://stackoverflow.com/users/1597005", "Nathaniel Zhang")</f>
        <v>Nathaniel Zhang</v>
      </c>
      <c r="D17676" t="s">
        <v>17</v>
      </c>
      <c r="E17676">
        <v>1</v>
      </c>
    </row>
    <row r="17677" spans="1:5" x14ac:dyDescent="0.25">
      <c r="A17677">
        <v>17676</v>
      </c>
      <c r="B17677">
        <v>3435539</v>
      </c>
      <c r="C17677" s="1" t="str">
        <f>HYPERLINK("http://stackoverflow.com/users/3435539", "Reya")</f>
        <v>Reya</v>
      </c>
      <c r="D17677" t="s">
        <v>34</v>
      </c>
      <c r="E17677">
        <v>1</v>
      </c>
    </row>
    <row r="17678" spans="1:5" x14ac:dyDescent="0.25">
      <c r="A17678">
        <v>17677</v>
      </c>
      <c r="B17678">
        <v>10672479</v>
      </c>
      <c r="C17678" s="1" t="str">
        <f>HYPERLINK("http://stackoverflow.com/users/10672479", "mdotw")</f>
        <v>mdotw</v>
      </c>
      <c r="D17678" t="s">
        <v>4</v>
      </c>
      <c r="E17678">
        <v>1</v>
      </c>
    </row>
    <row r="17679" spans="1:5" x14ac:dyDescent="0.25">
      <c r="A17679">
        <v>17678</v>
      </c>
      <c r="B17679">
        <v>10672487</v>
      </c>
      <c r="C17679" s="1" t="str">
        <f>HYPERLINK("http://stackoverflow.com/users/10672487", "Tree Wu")</f>
        <v>Tree Wu</v>
      </c>
      <c r="D17679" t="s">
        <v>8</v>
      </c>
      <c r="E17679">
        <v>1</v>
      </c>
    </row>
    <row r="17680" spans="1:5" x14ac:dyDescent="0.25">
      <c r="A17680">
        <v>17679</v>
      </c>
      <c r="B17680">
        <v>10672544</v>
      </c>
      <c r="C17680" s="1" t="str">
        <f>HYPERLINK("http://stackoverflow.com/users/10672544", "Warner")</f>
        <v>Warner</v>
      </c>
      <c r="D17680" t="s">
        <v>5</v>
      </c>
      <c r="E17680">
        <v>1</v>
      </c>
    </row>
    <row r="17681" spans="1:5" x14ac:dyDescent="0.25">
      <c r="A17681">
        <v>17680</v>
      </c>
      <c r="B17681">
        <v>10672572</v>
      </c>
      <c r="C17681" s="1" t="str">
        <f>HYPERLINK("http://stackoverflow.com/users/10672572", "Cici Cheng")</f>
        <v>Cici Cheng</v>
      </c>
      <c r="D17681" t="s">
        <v>28</v>
      </c>
      <c r="E17681">
        <v>1</v>
      </c>
    </row>
    <row r="17682" spans="1:5" x14ac:dyDescent="0.25">
      <c r="A17682">
        <v>17681</v>
      </c>
      <c r="B17682">
        <v>10672623</v>
      </c>
      <c r="C17682" s="1" t="str">
        <f>HYPERLINK("http://stackoverflow.com/users/10672623", "fxinren")</f>
        <v>fxinren</v>
      </c>
      <c r="D17682" t="s">
        <v>5</v>
      </c>
      <c r="E17682">
        <v>1</v>
      </c>
    </row>
    <row r="17683" spans="1:5" x14ac:dyDescent="0.25">
      <c r="A17683">
        <v>17682</v>
      </c>
      <c r="B17683">
        <v>8862088</v>
      </c>
      <c r="C17683" s="1" t="str">
        <f>HYPERLINK("http://stackoverflow.com/users/8862088", "Jie")</f>
        <v>Jie</v>
      </c>
      <c r="D17683" t="s">
        <v>5</v>
      </c>
      <c r="E17683">
        <v>1</v>
      </c>
    </row>
    <row r="17684" spans="1:5" x14ac:dyDescent="0.25">
      <c r="A17684">
        <v>17683</v>
      </c>
      <c r="B17684">
        <v>8862232</v>
      </c>
      <c r="C17684" s="1" t="str">
        <f>HYPERLINK("http://stackoverflow.com/users/8862232", "Samar Hashmi")</f>
        <v>Samar Hashmi</v>
      </c>
      <c r="D17684" t="s">
        <v>91</v>
      </c>
      <c r="E17684">
        <v>1</v>
      </c>
    </row>
    <row r="17685" spans="1:5" x14ac:dyDescent="0.25">
      <c r="A17685">
        <v>17684</v>
      </c>
      <c r="B17685">
        <v>8862246</v>
      </c>
      <c r="C17685" s="1" t="str">
        <f>HYPERLINK("http://stackoverflow.com/users/8862246", "Joseph Bai")</f>
        <v>Joseph Bai</v>
      </c>
      <c r="D17685" t="s">
        <v>5</v>
      </c>
      <c r="E17685">
        <v>1</v>
      </c>
    </row>
    <row r="17686" spans="1:5" x14ac:dyDescent="0.25">
      <c r="A17686">
        <v>17685</v>
      </c>
      <c r="B17686">
        <v>7036714</v>
      </c>
      <c r="C17686" s="1" t="str">
        <f>HYPERLINK("http://stackoverflow.com/users/7036714", "chhh3")</f>
        <v>chhh3</v>
      </c>
      <c r="D17686" t="s">
        <v>332</v>
      </c>
      <c r="E17686">
        <v>1</v>
      </c>
    </row>
    <row r="17687" spans="1:5" x14ac:dyDescent="0.25">
      <c r="A17687">
        <v>17686</v>
      </c>
      <c r="B17687">
        <v>8866247</v>
      </c>
      <c r="C17687" s="1" t="str">
        <f>HYPERLINK("http://stackoverflow.com/users/8866247", "tomnyn Jay")</f>
        <v>tomnyn Jay</v>
      </c>
      <c r="D17687" t="s">
        <v>4</v>
      </c>
      <c r="E17687">
        <v>1</v>
      </c>
    </row>
    <row r="17688" spans="1:5" x14ac:dyDescent="0.25">
      <c r="A17688">
        <v>17687</v>
      </c>
      <c r="B17688">
        <v>8866308</v>
      </c>
      <c r="C17688" s="1" t="str">
        <f>HYPERLINK("http://stackoverflow.com/users/8866308", "Kerui Zhu")</f>
        <v>Kerui Zhu</v>
      </c>
      <c r="D17688" t="s">
        <v>17</v>
      </c>
      <c r="E17688">
        <v>1</v>
      </c>
    </row>
    <row r="17689" spans="1:5" x14ac:dyDescent="0.25">
      <c r="A17689">
        <v>17688</v>
      </c>
      <c r="B17689">
        <v>1641306</v>
      </c>
      <c r="C17689" s="1" t="str">
        <f>HYPERLINK("http://stackoverflow.com/users/1641306", "uddiluke")</f>
        <v>uddiluke</v>
      </c>
      <c r="D17689" t="s">
        <v>5</v>
      </c>
      <c r="E17689">
        <v>1</v>
      </c>
    </row>
    <row r="17690" spans="1:5" x14ac:dyDescent="0.25">
      <c r="A17690">
        <v>17689</v>
      </c>
      <c r="B17690">
        <v>7040502</v>
      </c>
      <c r="C17690" s="1" t="str">
        <f>HYPERLINK("http://stackoverflow.com/users/7040502", "Stanley Hong")</f>
        <v>Stanley Hong</v>
      </c>
      <c r="D17690" t="s">
        <v>4</v>
      </c>
      <c r="E17690">
        <v>1</v>
      </c>
    </row>
    <row r="17691" spans="1:5" x14ac:dyDescent="0.25">
      <c r="A17691">
        <v>17690</v>
      </c>
      <c r="B17691">
        <v>10665360</v>
      </c>
      <c r="C17691" s="1" t="str">
        <f>HYPERLINK("http://stackoverflow.com/users/10665360", "Dayv Dufour")</f>
        <v>Dayv Dufour</v>
      </c>
      <c r="D17691" t="s">
        <v>7</v>
      </c>
      <c r="E17691">
        <v>1</v>
      </c>
    </row>
    <row r="17692" spans="1:5" x14ac:dyDescent="0.25">
      <c r="A17692">
        <v>17691</v>
      </c>
      <c r="B17692">
        <v>5270842</v>
      </c>
      <c r="C17692" s="1" t="str">
        <f>HYPERLINK("http://stackoverflow.com/users/5270842", "王文东")</f>
        <v>王文东</v>
      </c>
      <c r="D17692" t="s">
        <v>17</v>
      </c>
      <c r="E17692">
        <v>1</v>
      </c>
    </row>
    <row r="17693" spans="1:5" x14ac:dyDescent="0.25">
      <c r="A17693">
        <v>17692</v>
      </c>
      <c r="B17693">
        <v>1644773</v>
      </c>
      <c r="C17693" s="1" t="str">
        <f>HYPERLINK("http://stackoverflow.com/users/1644773", "Michael Chen")</f>
        <v>Michael Chen</v>
      </c>
      <c r="D17693" t="s">
        <v>54</v>
      </c>
      <c r="E17693">
        <v>1</v>
      </c>
    </row>
    <row r="17694" spans="1:5" x14ac:dyDescent="0.25">
      <c r="A17694">
        <v>17693</v>
      </c>
      <c r="B17694">
        <v>1644903</v>
      </c>
      <c r="C17694" s="1" t="str">
        <f>HYPERLINK("http://stackoverflow.com/users/1644903", "SangKuanJi")</f>
        <v>SangKuanJi</v>
      </c>
      <c r="D17694" t="s">
        <v>28</v>
      </c>
      <c r="E17694">
        <v>1</v>
      </c>
    </row>
    <row r="17695" spans="1:5" x14ac:dyDescent="0.25">
      <c r="A17695">
        <v>17694</v>
      </c>
      <c r="B17695">
        <v>1644997</v>
      </c>
      <c r="C17695" s="1" t="str">
        <f>HYPERLINK("http://stackoverflow.com/users/1644997", "Zhongqiang Shen")</f>
        <v>Zhongqiang Shen</v>
      </c>
      <c r="D17695" t="s">
        <v>4</v>
      </c>
      <c r="E17695">
        <v>1</v>
      </c>
    </row>
    <row r="17696" spans="1:5" x14ac:dyDescent="0.25">
      <c r="A17696">
        <v>17695</v>
      </c>
      <c r="B17696">
        <v>8879966</v>
      </c>
      <c r="C17696" s="1" t="str">
        <f>HYPERLINK("http://stackoverflow.com/users/8879966", "Jay")</f>
        <v>Jay</v>
      </c>
      <c r="D17696" t="s">
        <v>4</v>
      </c>
      <c r="E17696">
        <v>1</v>
      </c>
    </row>
    <row r="17697" spans="1:5" x14ac:dyDescent="0.25">
      <c r="A17697">
        <v>17696</v>
      </c>
      <c r="B17697">
        <v>8880179</v>
      </c>
      <c r="C17697" s="1" t="str">
        <f>HYPERLINK("http://stackoverflow.com/users/8880179", "Eric Zhang")</f>
        <v>Eric Zhang</v>
      </c>
      <c r="D17697" t="s">
        <v>28</v>
      </c>
      <c r="E17697">
        <v>1</v>
      </c>
    </row>
    <row r="17698" spans="1:5" x14ac:dyDescent="0.25">
      <c r="A17698">
        <v>17697</v>
      </c>
      <c r="B17698">
        <v>8880315</v>
      </c>
      <c r="C17698" s="1" t="str">
        <f>HYPERLINK("http://stackoverflow.com/users/8880315", "清幽凌空")</f>
        <v>清幽凌空</v>
      </c>
      <c r="D17698" t="s">
        <v>184</v>
      </c>
      <c r="E17698">
        <v>1</v>
      </c>
    </row>
    <row r="17699" spans="1:5" x14ac:dyDescent="0.25">
      <c r="A17699">
        <v>17698</v>
      </c>
      <c r="B17699">
        <v>7056584</v>
      </c>
      <c r="C17699" s="1" t="str">
        <f>HYPERLINK("http://stackoverflow.com/users/7056584", "Liang Cao")</f>
        <v>Liang Cao</v>
      </c>
      <c r="D17699" t="s">
        <v>4</v>
      </c>
      <c r="E17699">
        <v>1</v>
      </c>
    </row>
    <row r="17700" spans="1:5" x14ac:dyDescent="0.25">
      <c r="A17700">
        <v>17699</v>
      </c>
      <c r="B17700">
        <v>7057093</v>
      </c>
      <c r="C17700" s="1" t="str">
        <f>HYPERLINK("http://stackoverflow.com/users/7057093", "Joseph Huxley")</f>
        <v>Joseph Huxley</v>
      </c>
      <c r="D17700" t="s">
        <v>5</v>
      </c>
      <c r="E17700">
        <v>1</v>
      </c>
    </row>
    <row r="17701" spans="1:5" x14ac:dyDescent="0.25">
      <c r="A17701">
        <v>17700</v>
      </c>
      <c r="B17701">
        <v>1657648</v>
      </c>
      <c r="C17701" s="1" t="str">
        <f>HYPERLINK("http://stackoverflow.com/users/1657648", "user1657648")</f>
        <v>user1657648</v>
      </c>
      <c r="D17701" t="s">
        <v>5</v>
      </c>
      <c r="E17701">
        <v>1</v>
      </c>
    </row>
    <row r="17702" spans="1:5" x14ac:dyDescent="0.25">
      <c r="A17702">
        <v>17701</v>
      </c>
      <c r="B17702">
        <v>1657949</v>
      </c>
      <c r="C17702" s="1" t="str">
        <f>HYPERLINK("http://stackoverflow.com/users/1657949", "Derek Quan")</f>
        <v>Derek Quan</v>
      </c>
      <c r="D17702" t="s">
        <v>17</v>
      </c>
      <c r="E17702">
        <v>1</v>
      </c>
    </row>
    <row r="17703" spans="1:5" x14ac:dyDescent="0.25">
      <c r="A17703">
        <v>17702</v>
      </c>
      <c r="B17703">
        <v>1658152</v>
      </c>
      <c r="C17703" s="1" t="str">
        <f>HYPERLINK("http://stackoverflow.com/users/1658152", "sureiron")</f>
        <v>sureiron</v>
      </c>
      <c r="D17703" t="s">
        <v>38</v>
      </c>
      <c r="E17703">
        <v>1</v>
      </c>
    </row>
    <row r="17704" spans="1:5" x14ac:dyDescent="0.25">
      <c r="A17704">
        <v>17703</v>
      </c>
      <c r="B17704">
        <v>5289218</v>
      </c>
      <c r="C17704" s="1" t="str">
        <f>HYPERLINK("http://stackoverflow.com/users/5289218", "Cheng_jx")</f>
        <v>Cheng_jx</v>
      </c>
      <c r="D17704" t="s">
        <v>5</v>
      </c>
      <c r="E17704">
        <v>1</v>
      </c>
    </row>
    <row r="17705" spans="1:5" x14ac:dyDescent="0.25">
      <c r="A17705">
        <v>17704</v>
      </c>
      <c r="B17705">
        <v>1649455</v>
      </c>
      <c r="C17705" s="1" t="str">
        <f>HYPERLINK("http://stackoverflow.com/users/1649455", "forgetbook")</f>
        <v>forgetbook</v>
      </c>
      <c r="D17705" t="s">
        <v>5</v>
      </c>
      <c r="E17705">
        <v>1</v>
      </c>
    </row>
    <row r="17706" spans="1:5" x14ac:dyDescent="0.25">
      <c r="A17706">
        <v>17705</v>
      </c>
      <c r="B17706">
        <v>1643760</v>
      </c>
      <c r="C17706" s="1" t="str">
        <f>HYPERLINK("http://stackoverflow.com/users/1643760", "Xuemin Li")</f>
        <v>Xuemin Li</v>
      </c>
      <c r="D17706" t="s">
        <v>4</v>
      </c>
      <c r="E17706">
        <v>1</v>
      </c>
    </row>
    <row r="17707" spans="1:5" x14ac:dyDescent="0.25">
      <c r="A17707">
        <v>17706</v>
      </c>
      <c r="B17707">
        <v>10687126</v>
      </c>
      <c r="C17707" s="1" t="str">
        <f>HYPERLINK("http://stackoverflow.com/users/10687126", "Xing Yu")</f>
        <v>Xing Yu</v>
      </c>
      <c r="D17707" t="s">
        <v>33</v>
      </c>
      <c r="E17707">
        <v>1</v>
      </c>
    </row>
    <row r="17708" spans="1:5" x14ac:dyDescent="0.25">
      <c r="A17708">
        <v>17707</v>
      </c>
      <c r="B17708">
        <v>8875804</v>
      </c>
      <c r="C17708" s="1" t="str">
        <f>HYPERLINK("http://stackoverflow.com/users/8875804", "Anas SA 阿纳斯")</f>
        <v>Anas SA 阿纳斯</v>
      </c>
      <c r="D17708" t="s">
        <v>231</v>
      </c>
      <c r="E17708">
        <v>1</v>
      </c>
    </row>
    <row r="17709" spans="1:5" x14ac:dyDescent="0.25">
      <c r="A17709">
        <v>17708</v>
      </c>
      <c r="B17709">
        <v>5292972</v>
      </c>
      <c r="C17709" s="1" t="str">
        <f>HYPERLINK("http://stackoverflow.com/users/5292972", "Allen.lv")</f>
        <v>Allen.lv</v>
      </c>
      <c r="D17709" t="s">
        <v>4</v>
      </c>
      <c r="E17709">
        <v>1</v>
      </c>
    </row>
    <row r="17710" spans="1:5" x14ac:dyDescent="0.25">
      <c r="A17710">
        <v>17709</v>
      </c>
      <c r="B17710">
        <v>8879358</v>
      </c>
      <c r="C17710" s="1" t="str">
        <f>HYPERLINK("http://stackoverflow.com/users/8879358", "CRPER")</f>
        <v>CRPER</v>
      </c>
      <c r="D17710" t="s">
        <v>7</v>
      </c>
      <c r="E17710">
        <v>1</v>
      </c>
    </row>
    <row r="17711" spans="1:5" x14ac:dyDescent="0.25">
      <c r="A17711">
        <v>17710</v>
      </c>
      <c r="B17711">
        <v>8879468</v>
      </c>
      <c r="C17711" s="1" t="str">
        <f>HYPERLINK("http://stackoverflow.com/users/8879468", "Pasithea")</f>
        <v>Pasithea</v>
      </c>
      <c r="D17711" t="s">
        <v>4</v>
      </c>
      <c r="E17711">
        <v>1</v>
      </c>
    </row>
    <row r="17712" spans="1:5" x14ac:dyDescent="0.25">
      <c r="A17712">
        <v>17711</v>
      </c>
      <c r="B17712">
        <v>1610844</v>
      </c>
      <c r="C17712" s="1" t="str">
        <f>HYPERLINK("http://stackoverflow.com/users/1610844", "zubinJiang")</f>
        <v>zubinJiang</v>
      </c>
      <c r="D17712" t="s">
        <v>5</v>
      </c>
      <c r="E17712">
        <v>1</v>
      </c>
    </row>
    <row r="17713" spans="1:5" x14ac:dyDescent="0.25">
      <c r="A17713">
        <v>17712</v>
      </c>
      <c r="B17713">
        <v>7018449</v>
      </c>
      <c r="C17713" s="1" t="str">
        <f>HYPERLINK("http://stackoverflow.com/users/7018449", "Yong Chen")</f>
        <v>Yong Chen</v>
      </c>
      <c r="D17713" t="s">
        <v>4</v>
      </c>
      <c r="E17713">
        <v>1</v>
      </c>
    </row>
    <row r="17714" spans="1:5" x14ac:dyDescent="0.25">
      <c r="A17714">
        <v>17713</v>
      </c>
      <c r="B17714">
        <v>10652234</v>
      </c>
      <c r="C17714" s="1" t="str">
        <f>HYPERLINK("http://stackoverflow.com/users/10652234", "ziyao xiao")</f>
        <v>ziyao xiao</v>
      </c>
      <c r="D17714" t="s">
        <v>4</v>
      </c>
      <c r="E17714">
        <v>1</v>
      </c>
    </row>
    <row r="17715" spans="1:5" x14ac:dyDescent="0.25">
      <c r="A17715">
        <v>17714</v>
      </c>
      <c r="B17715">
        <v>8841185</v>
      </c>
      <c r="C17715" s="1" t="str">
        <f>HYPERLINK("http://stackoverflow.com/users/8841185", "刘远见")</f>
        <v>刘远见</v>
      </c>
      <c r="D17715" t="s">
        <v>12</v>
      </c>
      <c r="E17715">
        <v>1</v>
      </c>
    </row>
    <row r="17716" spans="1:5" x14ac:dyDescent="0.25">
      <c r="A17716">
        <v>17715</v>
      </c>
      <c r="B17716">
        <v>8841223</v>
      </c>
      <c r="C17716" s="1" t="str">
        <f>HYPERLINK("http://stackoverflow.com/users/8841223", "user8841223")</f>
        <v>user8841223</v>
      </c>
      <c r="D17716" t="s">
        <v>5</v>
      </c>
      <c r="E17716">
        <v>1</v>
      </c>
    </row>
    <row r="17717" spans="1:5" x14ac:dyDescent="0.25">
      <c r="A17717">
        <v>17716</v>
      </c>
      <c r="B17717">
        <v>8841529</v>
      </c>
      <c r="C17717" s="1" t="str">
        <f>HYPERLINK("http://stackoverflow.com/users/8841529", "Zhihong MA")</f>
        <v>Zhihong MA</v>
      </c>
      <c r="D17717" t="s">
        <v>16</v>
      </c>
      <c r="E17717">
        <v>1</v>
      </c>
    </row>
    <row r="17718" spans="1:5" x14ac:dyDescent="0.25">
      <c r="A17718">
        <v>17717</v>
      </c>
      <c r="B17718">
        <v>8841588</v>
      </c>
      <c r="C17718" s="1" t="str">
        <f>HYPERLINK("http://stackoverflow.com/users/8841588", "UY114514")</f>
        <v>UY114514</v>
      </c>
      <c r="D17718" t="s">
        <v>15</v>
      </c>
      <c r="E17718">
        <v>1</v>
      </c>
    </row>
    <row r="17719" spans="1:5" x14ac:dyDescent="0.25">
      <c r="A17719">
        <v>17718</v>
      </c>
      <c r="B17719">
        <v>8841621</v>
      </c>
      <c r="C17719" s="1" t="str">
        <f>HYPERLINK("http://stackoverflow.com/users/8841621", "Glen")</f>
        <v>Glen</v>
      </c>
      <c r="D17719" t="s">
        <v>5</v>
      </c>
      <c r="E17719">
        <v>1</v>
      </c>
    </row>
    <row r="17720" spans="1:5" x14ac:dyDescent="0.25">
      <c r="A17720">
        <v>17719</v>
      </c>
      <c r="B17720">
        <v>3452195</v>
      </c>
      <c r="C17720" s="1" t="str">
        <f>HYPERLINK("http://stackoverflow.com/users/3452195", "falex")</f>
        <v>falex</v>
      </c>
      <c r="D17720" t="s">
        <v>21</v>
      </c>
      <c r="E17720">
        <v>1</v>
      </c>
    </row>
    <row r="17721" spans="1:5" x14ac:dyDescent="0.25">
      <c r="A17721">
        <v>17720</v>
      </c>
      <c r="B17721">
        <v>3452472</v>
      </c>
      <c r="C17721" s="1" t="str">
        <f>HYPERLINK("http://stackoverflow.com/users/3452472", "cicimm")</f>
        <v>cicimm</v>
      </c>
      <c r="D17721" t="s">
        <v>4</v>
      </c>
      <c r="E17721">
        <v>1</v>
      </c>
    </row>
    <row r="17722" spans="1:5" x14ac:dyDescent="0.25">
      <c r="A17722">
        <v>17721</v>
      </c>
      <c r="B17722">
        <v>7022007</v>
      </c>
      <c r="C17722" s="1" t="str">
        <f>HYPERLINK("http://stackoverflow.com/users/7022007", "Leo")</f>
        <v>Leo</v>
      </c>
      <c r="D17722" t="s">
        <v>22</v>
      </c>
      <c r="E17722">
        <v>1</v>
      </c>
    </row>
    <row r="17723" spans="1:5" x14ac:dyDescent="0.25">
      <c r="A17723">
        <v>17722</v>
      </c>
      <c r="B17723">
        <v>10655200</v>
      </c>
      <c r="C17723" s="1" t="str">
        <f>HYPERLINK("http://stackoverflow.com/users/10655200", "wovenlabels")</f>
        <v>wovenlabels</v>
      </c>
      <c r="D17723" t="s">
        <v>348</v>
      </c>
      <c r="E17723">
        <v>1</v>
      </c>
    </row>
    <row r="17724" spans="1:5" x14ac:dyDescent="0.25">
      <c r="A17724">
        <v>17723</v>
      </c>
      <c r="B17724">
        <v>10655204</v>
      </c>
      <c r="C17724" s="1" t="str">
        <f>HYPERLINK("http://stackoverflow.com/users/10655204", "ouyang_siqi")</f>
        <v>ouyang_siqi</v>
      </c>
      <c r="D17724" t="s">
        <v>96</v>
      </c>
      <c r="E17724">
        <v>1</v>
      </c>
    </row>
    <row r="17725" spans="1:5" x14ac:dyDescent="0.25">
      <c r="A17725">
        <v>17724</v>
      </c>
      <c r="B17725">
        <v>10655279</v>
      </c>
      <c r="C17725" s="1" t="str">
        <f>HYPERLINK("http://stackoverflow.com/users/10655279", "joson")</f>
        <v>joson</v>
      </c>
      <c r="D17725" t="s">
        <v>25</v>
      </c>
      <c r="E17725">
        <v>1</v>
      </c>
    </row>
    <row r="17726" spans="1:5" x14ac:dyDescent="0.25">
      <c r="A17726">
        <v>17725</v>
      </c>
      <c r="B17726">
        <v>10655447</v>
      </c>
      <c r="C17726" s="1" t="str">
        <f>HYPERLINK("http://stackoverflow.com/users/10655447", "Abdul Qudoos")</f>
        <v>Abdul Qudoos</v>
      </c>
      <c r="D17726" t="s">
        <v>546</v>
      </c>
      <c r="E17726">
        <v>1</v>
      </c>
    </row>
    <row r="17727" spans="1:5" x14ac:dyDescent="0.25">
      <c r="A17727">
        <v>17726</v>
      </c>
      <c r="B17727">
        <v>5273547</v>
      </c>
      <c r="C17727" s="1" t="str">
        <f>HYPERLINK("http://stackoverflow.com/users/5273547", "xiaoningwang")</f>
        <v>xiaoningwang</v>
      </c>
      <c r="D17727" t="s">
        <v>5</v>
      </c>
      <c r="E17727">
        <v>1</v>
      </c>
    </row>
    <row r="17728" spans="1:5" x14ac:dyDescent="0.25">
      <c r="A17728">
        <v>17727</v>
      </c>
      <c r="B17728">
        <v>5273622</v>
      </c>
      <c r="C17728" s="1" t="str">
        <f>HYPERLINK("http://stackoverflow.com/users/5273622", "Vanson")</f>
        <v>Vanson</v>
      </c>
      <c r="D17728" t="s">
        <v>8</v>
      </c>
      <c r="E17728">
        <v>1</v>
      </c>
    </row>
    <row r="17729" spans="1:5" x14ac:dyDescent="0.25">
      <c r="A17729">
        <v>17728</v>
      </c>
      <c r="B17729">
        <v>10669559</v>
      </c>
      <c r="C17729" s="1" t="str">
        <f>HYPERLINK("http://stackoverflow.com/users/10669559", "zefan chen")</f>
        <v>zefan chen</v>
      </c>
      <c r="D17729" t="s">
        <v>25</v>
      </c>
      <c r="E17729">
        <v>1</v>
      </c>
    </row>
    <row r="17730" spans="1:5" x14ac:dyDescent="0.25">
      <c r="A17730">
        <v>17729</v>
      </c>
      <c r="B17730">
        <v>10669718</v>
      </c>
      <c r="C17730" s="1" t="str">
        <f>HYPERLINK("http://stackoverflow.com/users/10669718", "Marijn van Cranenburgh")</f>
        <v>Marijn van Cranenburgh</v>
      </c>
      <c r="D17730" t="s">
        <v>4</v>
      </c>
      <c r="E17730">
        <v>1</v>
      </c>
    </row>
    <row r="17731" spans="1:5" x14ac:dyDescent="0.25">
      <c r="A17731">
        <v>17730</v>
      </c>
      <c r="B17731">
        <v>10669747</v>
      </c>
      <c r="C17731" s="1" t="str">
        <f>HYPERLINK("http://stackoverflow.com/users/10669747", "Derek Chen")</f>
        <v>Derek Chen</v>
      </c>
      <c r="D17731" t="s">
        <v>12</v>
      </c>
      <c r="E17731">
        <v>1</v>
      </c>
    </row>
    <row r="17732" spans="1:5" x14ac:dyDescent="0.25">
      <c r="A17732">
        <v>17731</v>
      </c>
      <c r="B17732">
        <v>5266747</v>
      </c>
      <c r="C17732" s="1" t="str">
        <f>HYPERLINK("http://stackoverflow.com/users/5266747", "Zhao Xinzhang")</f>
        <v>Zhao Xinzhang</v>
      </c>
      <c r="D17732" t="s">
        <v>746</v>
      </c>
      <c r="E17732">
        <v>1</v>
      </c>
    </row>
    <row r="17733" spans="1:5" x14ac:dyDescent="0.25">
      <c r="A17733">
        <v>17732</v>
      </c>
      <c r="B17733">
        <v>3463029</v>
      </c>
      <c r="C17733" s="1" t="str">
        <f>HYPERLINK("http://stackoverflow.com/users/3463029", "Perrier.T")</f>
        <v>Perrier.T</v>
      </c>
      <c r="D17733" t="s">
        <v>4</v>
      </c>
      <c r="E17733">
        <v>1</v>
      </c>
    </row>
    <row r="17734" spans="1:5" x14ac:dyDescent="0.25">
      <c r="A17734">
        <v>17733</v>
      </c>
      <c r="B17734">
        <v>1625503</v>
      </c>
      <c r="C17734" s="1" t="str">
        <f>HYPERLINK("http://stackoverflow.com/users/1625503", "ccll")</f>
        <v>ccll</v>
      </c>
      <c r="D17734" t="s">
        <v>5</v>
      </c>
      <c r="E17734">
        <v>1</v>
      </c>
    </row>
    <row r="17735" spans="1:5" x14ac:dyDescent="0.25">
      <c r="A17735">
        <v>17734</v>
      </c>
      <c r="B17735">
        <v>5266523</v>
      </c>
      <c r="C17735" s="1" t="str">
        <f>HYPERLINK("http://stackoverflow.com/users/5266523", "sea7reen")</f>
        <v>sea7reen</v>
      </c>
      <c r="D17735" t="s">
        <v>5</v>
      </c>
      <c r="E17735">
        <v>1</v>
      </c>
    </row>
    <row r="17736" spans="1:5" x14ac:dyDescent="0.25">
      <c r="A17736">
        <v>17735</v>
      </c>
      <c r="B17736">
        <v>3455830</v>
      </c>
      <c r="C17736" s="1" t="str">
        <f>HYPERLINK("http://stackoverflow.com/users/3455830", "berniwar")</f>
        <v>berniwar</v>
      </c>
      <c r="D17736" t="s">
        <v>4</v>
      </c>
      <c r="E17736">
        <v>1</v>
      </c>
    </row>
    <row r="17737" spans="1:5" x14ac:dyDescent="0.25">
      <c r="A17737">
        <v>17736</v>
      </c>
      <c r="B17737">
        <v>10660770</v>
      </c>
      <c r="C17737" s="1" t="str">
        <f>HYPERLINK("http://stackoverflow.com/users/10660770", "Drew")</f>
        <v>Drew</v>
      </c>
      <c r="D17737" t="s">
        <v>28</v>
      </c>
      <c r="E17737">
        <v>1</v>
      </c>
    </row>
    <row r="17738" spans="1:5" x14ac:dyDescent="0.25">
      <c r="A17738">
        <v>17737</v>
      </c>
      <c r="B17738">
        <v>1609750</v>
      </c>
      <c r="C17738" s="1" t="str">
        <f>HYPERLINK("http://stackoverflow.com/users/1609750", "Philip")</f>
        <v>Philip</v>
      </c>
      <c r="D17738" t="s">
        <v>4</v>
      </c>
      <c r="E17738">
        <v>1</v>
      </c>
    </row>
    <row r="17739" spans="1:5" x14ac:dyDescent="0.25">
      <c r="A17739">
        <v>17738</v>
      </c>
      <c r="B17739">
        <v>8841359</v>
      </c>
      <c r="C17739" s="1" t="str">
        <f>HYPERLINK("http://stackoverflow.com/users/8841359", "newnix")</f>
        <v>newnix</v>
      </c>
      <c r="D17739" t="s">
        <v>4</v>
      </c>
      <c r="E17739">
        <v>1</v>
      </c>
    </row>
    <row r="17740" spans="1:5" x14ac:dyDescent="0.25">
      <c r="A17740">
        <v>17739</v>
      </c>
      <c r="B17740">
        <v>3342713</v>
      </c>
      <c r="C17740" s="1" t="str">
        <f>HYPERLINK("http://stackoverflow.com/users/3342713", "yhawaii")</f>
        <v>yhawaii</v>
      </c>
      <c r="D17740" t="s">
        <v>17</v>
      </c>
      <c r="E17740">
        <v>1</v>
      </c>
    </row>
    <row r="17741" spans="1:5" x14ac:dyDescent="0.25">
      <c r="A17741">
        <v>17740</v>
      </c>
      <c r="B17741">
        <v>1485920</v>
      </c>
      <c r="C17741" s="1" t="str">
        <f>HYPERLINK("http://stackoverflow.com/users/1485920", "Le Liu")</f>
        <v>Le Liu</v>
      </c>
      <c r="D17741" t="s">
        <v>5</v>
      </c>
      <c r="E17741">
        <v>1</v>
      </c>
    </row>
    <row r="17742" spans="1:5" x14ac:dyDescent="0.25">
      <c r="A17742">
        <v>17741</v>
      </c>
      <c r="B17742">
        <v>5158783</v>
      </c>
      <c r="C17742" s="1" t="str">
        <f>HYPERLINK("http://stackoverflow.com/users/5158783", "Jacob Zeyu Liu")</f>
        <v>Jacob Zeyu Liu</v>
      </c>
      <c r="D17742" t="s">
        <v>5</v>
      </c>
      <c r="E17742">
        <v>1</v>
      </c>
    </row>
    <row r="17743" spans="1:5" x14ac:dyDescent="0.25">
      <c r="A17743">
        <v>17742</v>
      </c>
      <c r="B17743">
        <v>1490579</v>
      </c>
      <c r="C17743" s="1" t="str">
        <f>HYPERLINK("http://stackoverflow.com/users/1490579", "lewgate")</f>
        <v>lewgate</v>
      </c>
      <c r="D17743" t="s">
        <v>31</v>
      </c>
      <c r="E17743">
        <v>1</v>
      </c>
    </row>
    <row r="17744" spans="1:5" x14ac:dyDescent="0.25">
      <c r="A17744">
        <v>17743</v>
      </c>
      <c r="B17744">
        <v>3350023</v>
      </c>
      <c r="C17744" s="1" t="str">
        <f>HYPERLINK("http://stackoverflow.com/users/3350023", "Jason_TRC")</f>
        <v>Jason_TRC</v>
      </c>
      <c r="D17744" t="s">
        <v>12</v>
      </c>
      <c r="E17744">
        <v>1</v>
      </c>
    </row>
    <row r="17745" spans="1:5" x14ac:dyDescent="0.25">
      <c r="A17745">
        <v>17744</v>
      </c>
      <c r="B17745">
        <v>3350027</v>
      </c>
      <c r="C17745" s="1" t="str">
        <f>HYPERLINK("http://stackoverflow.com/users/3350027", "eli01")</f>
        <v>eli01</v>
      </c>
      <c r="D17745" t="s">
        <v>5</v>
      </c>
      <c r="E17745">
        <v>1</v>
      </c>
    </row>
    <row r="17746" spans="1:5" x14ac:dyDescent="0.25">
      <c r="A17746">
        <v>17745</v>
      </c>
      <c r="B17746">
        <v>8730293</v>
      </c>
      <c r="C17746" s="1" t="str">
        <f>HYPERLINK("http://stackoverflow.com/users/8730293", "wangAlpha")</f>
        <v>wangAlpha</v>
      </c>
      <c r="D17746" t="s">
        <v>969</v>
      </c>
      <c r="E17746">
        <v>1</v>
      </c>
    </row>
    <row r="17747" spans="1:5" x14ac:dyDescent="0.25">
      <c r="A17747">
        <v>17746</v>
      </c>
      <c r="B17747">
        <v>8730575</v>
      </c>
      <c r="C17747" s="1" t="str">
        <f>HYPERLINK("http://stackoverflow.com/users/8730575", "Leonardo Jiang")</f>
        <v>Leonardo Jiang</v>
      </c>
      <c r="D17747" t="s">
        <v>7</v>
      </c>
      <c r="E17747">
        <v>1</v>
      </c>
    </row>
    <row r="17748" spans="1:5" x14ac:dyDescent="0.25">
      <c r="A17748">
        <v>17747</v>
      </c>
      <c r="B17748">
        <v>8730773</v>
      </c>
      <c r="C17748" s="1" t="str">
        <f>HYPERLINK("http://stackoverflow.com/users/8730773", "Kevin xiang")</f>
        <v>Kevin xiang</v>
      </c>
      <c r="D17748" t="s">
        <v>5</v>
      </c>
      <c r="E17748">
        <v>1</v>
      </c>
    </row>
    <row r="17749" spans="1:5" x14ac:dyDescent="0.25">
      <c r="A17749">
        <v>17748</v>
      </c>
      <c r="B17749">
        <v>1490399</v>
      </c>
      <c r="C17749" s="1" t="str">
        <f>HYPERLINK("http://stackoverflow.com/users/1490399", "JunJia Chen")</f>
        <v>JunJia Chen</v>
      </c>
      <c r="D17749" t="s">
        <v>17</v>
      </c>
      <c r="E17749">
        <v>1</v>
      </c>
    </row>
    <row r="17750" spans="1:5" x14ac:dyDescent="0.25">
      <c r="A17750">
        <v>17749</v>
      </c>
      <c r="B17750">
        <v>10546742</v>
      </c>
      <c r="C17750" s="1" t="str">
        <f>HYPERLINK("http://stackoverflow.com/users/10546742", "lamborit.Lee")</f>
        <v>lamborit.Lee</v>
      </c>
      <c r="D17750" t="s">
        <v>33</v>
      </c>
      <c r="E17750">
        <v>1</v>
      </c>
    </row>
    <row r="17751" spans="1:5" x14ac:dyDescent="0.25">
      <c r="A17751">
        <v>17750</v>
      </c>
      <c r="B17751">
        <v>1491164</v>
      </c>
      <c r="C17751" s="1" t="str">
        <f>HYPERLINK("http://stackoverflow.com/users/1491164", "Lucas Liu")</f>
        <v>Lucas Liu</v>
      </c>
      <c r="D17751" t="s">
        <v>17</v>
      </c>
      <c r="E17751">
        <v>1</v>
      </c>
    </row>
    <row r="17752" spans="1:5" x14ac:dyDescent="0.25">
      <c r="A17752">
        <v>17751</v>
      </c>
      <c r="B17752">
        <v>3358784</v>
      </c>
      <c r="C17752" s="1" t="str">
        <f>HYPERLINK("http://stackoverflow.com/users/3358784", "cuizicheng")</f>
        <v>cuizicheng</v>
      </c>
      <c r="D17752" t="s">
        <v>135</v>
      </c>
      <c r="E17752">
        <v>1</v>
      </c>
    </row>
    <row r="17753" spans="1:5" x14ac:dyDescent="0.25">
      <c r="A17753">
        <v>17752</v>
      </c>
      <c r="B17753">
        <v>3358909</v>
      </c>
      <c r="C17753" s="1" t="str">
        <f>HYPERLINK("http://stackoverflow.com/users/3358909", "Brittyu")</f>
        <v>Brittyu</v>
      </c>
      <c r="D17753" t="s">
        <v>21</v>
      </c>
      <c r="E17753">
        <v>1</v>
      </c>
    </row>
    <row r="17754" spans="1:5" x14ac:dyDescent="0.25">
      <c r="A17754">
        <v>17753</v>
      </c>
      <c r="B17754">
        <v>10551442</v>
      </c>
      <c r="C17754" s="1" t="str">
        <f>HYPERLINK("http://stackoverflow.com/users/10551442", "Jacob Lambert")</f>
        <v>Jacob Lambert</v>
      </c>
      <c r="D17754" t="s">
        <v>7</v>
      </c>
      <c r="E17754">
        <v>1</v>
      </c>
    </row>
    <row r="17755" spans="1:5" x14ac:dyDescent="0.25">
      <c r="A17755">
        <v>17754</v>
      </c>
      <c r="B17755">
        <v>8740253</v>
      </c>
      <c r="C17755" s="1" t="str">
        <f>HYPERLINK("http://stackoverflow.com/users/8740253", "li shine")</f>
        <v>li shine</v>
      </c>
      <c r="D17755" t="s">
        <v>25</v>
      </c>
      <c r="E17755">
        <v>1</v>
      </c>
    </row>
    <row r="17756" spans="1:5" x14ac:dyDescent="0.25">
      <c r="A17756">
        <v>17755</v>
      </c>
      <c r="B17756">
        <v>8740673</v>
      </c>
      <c r="C17756" s="1" t="str">
        <f>HYPERLINK("http://stackoverflow.com/users/8740673", "Md Monjurul Karim")</f>
        <v>Md Monjurul Karim</v>
      </c>
      <c r="D17756" t="s">
        <v>5</v>
      </c>
      <c r="E17756">
        <v>1</v>
      </c>
    </row>
    <row r="17757" spans="1:5" x14ac:dyDescent="0.25">
      <c r="A17757">
        <v>17756</v>
      </c>
      <c r="B17757">
        <v>3362941</v>
      </c>
      <c r="C17757" s="1" t="str">
        <f>HYPERLINK("http://stackoverflow.com/users/3362941", "freezing")</f>
        <v>freezing</v>
      </c>
      <c r="D17757" t="s">
        <v>54</v>
      </c>
      <c r="E17757">
        <v>1</v>
      </c>
    </row>
    <row r="17758" spans="1:5" x14ac:dyDescent="0.25">
      <c r="A17758">
        <v>17757</v>
      </c>
      <c r="B17758">
        <v>10555791</v>
      </c>
      <c r="C17758" s="1" t="str">
        <f>HYPERLINK("http://stackoverflow.com/users/10555791", "Jie Liu")</f>
        <v>Jie Liu</v>
      </c>
      <c r="D17758" t="s">
        <v>60</v>
      </c>
      <c r="E17758">
        <v>1</v>
      </c>
    </row>
    <row r="17759" spans="1:5" x14ac:dyDescent="0.25">
      <c r="A17759">
        <v>17758</v>
      </c>
      <c r="B17759">
        <v>8744532</v>
      </c>
      <c r="C17759" s="1" t="str">
        <f>HYPERLINK("http://stackoverflow.com/users/8744532", "mable")</f>
        <v>mable</v>
      </c>
      <c r="D17759" t="s">
        <v>970</v>
      </c>
      <c r="E17759">
        <v>1</v>
      </c>
    </row>
    <row r="17760" spans="1:5" x14ac:dyDescent="0.25">
      <c r="A17760">
        <v>17759</v>
      </c>
      <c r="B17760">
        <v>3363088</v>
      </c>
      <c r="C17760" s="1" t="str">
        <f>HYPERLINK("http://stackoverflow.com/users/3363088", "tomorrowzheart")</f>
        <v>tomorrowzheart</v>
      </c>
      <c r="D17760" t="s">
        <v>5</v>
      </c>
      <c r="E17760">
        <v>1</v>
      </c>
    </row>
    <row r="17761" spans="1:5" x14ac:dyDescent="0.25">
      <c r="A17761">
        <v>17760</v>
      </c>
      <c r="B17761">
        <v>1520587</v>
      </c>
      <c r="C17761" s="1" t="str">
        <f>HYPERLINK("http://stackoverflow.com/users/1520587", "BruceLau")</f>
        <v>BruceLau</v>
      </c>
      <c r="D17761" t="s">
        <v>5</v>
      </c>
      <c r="E17761">
        <v>1</v>
      </c>
    </row>
    <row r="17762" spans="1:5" x14ac:dyDescent="0.25">
      <c r="A17762">
        <v>17761</v>
      </c>
      <c r="B17762">
        <v>1521070</v>
      </c>
      <c r="C17762" s="1" t="str">
        <f>HYPERLINK("http://stackoverflow.com/users/1521070", "Williams Ma")</f>
        <v>Williams Ma</v>
      </c>
      <c r="D17762" t="s">
        <v>5</v>
      </c>
      <c r="E17762">
        <v>1</v>
      </c>
    </row>
    <row r="17763" spans="1:5" x14ac:dyDescent="0.25">
      <c r="A17763">
        <v>17762</v>
      </c>
      <c r="B17763">
        <v>5188532</v>
      </c>
      <c r="C17763" s="1" t="str">
        <f>HYPERLINK("http://stackoverflow.com/users/5188532", "Qi Wang")</f>
        <v>Qi Wang</v>
      </c>
      <c r="D17763" t="s">
        <v>4</v>
      </c>
      <c r="E17763">
        <v>1</v>
      </c>
    </row>
    <row r="17764" spans="1:5" x14ac:dyDescent="0.25">
      <c r="A17764">
        <v>17763</v>
      </c>
      <c r="B17764">
        <v>10563619</v>
      </c>
      <c r="C17764" s="1" t="str">
        <f>HYPERLINK("http://stackoverflow.com/users/10563619", "Baocheng")</f>
        <v>Baocheng</v>
      </c>
      <c r="D17764" t="s">
        <v>4</v>
      </c>
      <c r="E17764">
        <v>1</v>
      </c>
    </row>
    <row r="17765" spans="1:5" x14ac:dyDescent="0.25">
      <c r="A17765">
        <v>17764</v>
      </c>
      <c r="B17765">
        <v>10564028</v>
      </c>
      <c r="C17765" s="1" t="str">
        <f>HYPERLINK("http://stackoverflow.com/users/10564028", "Jacob Chisenga")</f>
        <v>Jacob Chisenga</v>
      </c>
      <c r="D17765" t="s">
        <v>12</v>
      </c>
      <c r="E17765">
        <v>1</v>
      </c>
    </row>
    <row r="17766" spans="1:5" x14ac:dyDescent="0.25">
      <c r="A17766">
        <v>17765</v>
      </c>
      <c r="B17766">
        <v>1516559</v>
      </c>
      <c r="C17766" s="1" t="str">
        <f>HYPERLINK("http://stackoverflow.com/users/1516559", "ThrobbingSoul")</f>
        <v>ThrobbingSoul</v>
      </c>
      <c r="D17766" t="s">
        <v>17</v>
      </c>
      <c r="E17766">
        <v>1</v>
      </c>
    </row>
    <row r="17767" spans="1:5" x14ac:dyDescent="0.25">
      <c r="A17767">
        <v>17766</v>
      </c>
      <c r="B17767">
        <v>8752828</v>
      </c>
      <c r="C17767" s="1" t="str">
        <f>HYPERLINK("http://stackoverflow.com/users/8752828", "Tinsson Dai")</f>
        <v>Tinsson Dai</v>
      </c>
      <c r="D17767" t="s">
        <v>11</v>
      </c>
      <c r="E17767">
        <v>1</v>
      </c>
    </row>
    <row r="17768" spans="1:5" x14ac:dyDescent="0.25">
      <c r="A17768">
        <v>17767</v>
      </c>
      <c r="B17768">
        <v>6899207</v>
      </c>
      <c r="C17768" s="1" t="str">
        <f>HYPERLINK("http://stackoverflow.com/users/6899207", "Manuel Girón")</f>
        <v>Manuel Girón</v>
      </c>
      <c r="D17768" t="s">
        <v>126</v>
      </c>
      <c r="E17768">
        <v>1</v>
      </c>
    </row>
    <row r="17769" spans="1:5" x14ac:dyDescent="0.25">
      <c r="A17769">
        <v>17768</v>
      </c>
      <c r="B17769">
        <v>5184885</v>
      </c>
      <c r="C17769" s="1" t="str">
        <f>HYPERLINK("http://stackoverflow.com/users/5184885", "Ethan Jiang")</f>
        <v>Ethan Jiang</v>
      </c>
      <c r="D17769" t="s">
        <v>4</v>
      </c>
      <c r="E17769">
        <v>1</v>
      </c>
    </row>
    <row r="17770" spans="1:5" x14ac:dyDescent="0.25">
      <c r="A17770">
        <v>17769</v>
      </c>
      <c r="B17770">
        <v>5184998</v>
      </c>
      <c r="C17770" s="1" t="str">
        <f>HYPERLINK("http://stackoverflow.com/users/5184998", "H.Kuai")</f>
        <v>H.Kuai</v>
      </c>
      <c r="D17770" t="s">
        <v>5</v>
      </c>
      <c r="E17770">
        <v>1</v>
      </c>
    </row>
    <row r="17771" spans="1:5" x14ac:dyDescent="0.25">
      <c r="A17771">
        <v>17770</v>
      </c>
      <c r="B17771">
        <v>5185127</v>
      </c>
      <c r="C17771" s="1" t="str">
        <f>HYPERLINK("http://stackoverflow.com/users/5185127", "Hcz")</f>
        <v>Hcz</v>
      </c>
      <c r="D17771" t="s">
        <v>5</v>
      </c>
      <c r="E17771">
        <v>1</v>
      </c>
    </row>
    <row r="17772" spans="1:5" x14ac:dyDescent="0.25">
      <c r="A17772">
        <v>17771</v>
      </c>
      <c r="B17772">
        <v>10560558</v>
      </c>
      <c r="C17772" s="1" t="str">
        <f>HYPERLINK("http://stackoverflow.com/users/10560558", "chen chen")</f>
        <v>chen chen</v>
      </c>
      <c r="D17772" t="s">
        <v>5</v>
      </c>
      <c r="E17772">
        <v>1</v>
      </c>
    </row>
    <row r="17773" spans="1:5" x14ac:dyDescent="0.25">
      <c r="A17773">
        <v>17772</v>
      </c>
      <c r="B17773">
        <v>5167509</v>
      </c>
      <c r="C17773" s="1" t="str">
        <f>HYPERLINK("http://stackoverflow.com/users/5167509", "QiangWu")</f>
        <v>QiangWu</v>
      </c>
      <c r="D17773" t="s">
        <v>4</v>
      </c>
      <c r="E17773">
        <v>1</v>
      </c>
    </row>
    <row r="17774" spans="1:5" x14ac:dyDescent="0.25">
      <c r="A17774">
        <v>17773</v>
      </c>
      <c r="B17774">
        <v>5167515</v>
      </c>
      <c r="C17774" s="1" t="str">
        <f>HYPERLINK("http://stackoverflow.com/users/5167515", "yesco")</f>
        <v>yesco</v>
      </c>
      <c r="D17774" t="s">
        <v>5</v>
      </c>
      <c r="E17774">
        <v>1</v>
      </c>
    </row>
    <row r="17775" spans="1:5" x14ac:dyDescent="0.25">
      <c r="A17775">
        <v>17774</v>
      </c>
      <c r="B17775">
        <v>8739624</v>
      </c>
      <c r="C17775" s="1" t="str">
        <f>HYPERLINK("http://stackoverflow.com/users/8739624", "SnowInForest")</f>
        <v>SnowInForest</v>
      </c>
      <c r="D17775" t="s">
        <v>971</v>
      </c>
      <c r="E17775">
        <v>1</v>
      </c>
    </row>
    <row r="17776" spans="1:5" x14ac:dyDescent="0.25">
      <c r="A17776">
        <v>17775</v>
      </c>
      <c r="B17776">
        <v>3358442</v>
      </c>
      <c r="C17776" s="1" t="str">
        <f>HYPERLINK("http://stackoverflow.com/users/3358442", "cj1024")</f>
        <v>cj1024</v>
      </c>
      <c r="D17776" t="s">
        <v>4</v>
      </c>
      <c r="E17776">
        <v>1</v>
      </c>
    </row>
    <row r="17777" spans="1:5" x14ac:dyDescent="0.25">
      <c r="A17777">
        <v>17776</v>
      </c>
      <c r="B17777">
        <v>3358494</v>
      </c>
      <c r="C17777" s="1" t="str">
        <f>HYPERLINK("http://stackoverflow.com/users/3358494", "user3358494")</f>
        <v>user3358494</v>
      </c>
      <c r="D17777" t="s">
        <v>4</v>
      </c>
      <c r="E17777">
        <v>1</v>
      </c>
    </row>
    <row r="17778" spans="1:5" x14ac:dyDescent="0.25">
      <c r="A17778">
        <v>17777</v>
      </c>
      <c r="B17778">
        <v>3363413</v>
      </c>
      <c r="C17778" s="1" t="str">
        <f>HYPERLINK("http://stackoverflow.com/users/3363413", "S.Z.Lin")</f>
        <v>S.Z.Lin</v>
      </c>
      <c r="D17778" t="s">
        <v>4</v>
      </c>
      <c r="E17778">
        <v>1</v>
      </c>
    </row>
    <row r="17779" spans="1:5" x14ac:dyDescent="0.25">
      <c r="A17779">
        <v>17778</v>
      </c>
      <c r="B17779">
        <v>10556216</v>
      </c>
      <c r="C17779" s="1" t="str">
        <f>HYPERLINK("http://stackoverflow.com/users/10556216", "centrifuga")</f>
        <v>centrifuga</v>
      </c>
      <c r="D17779" t="s">
        <v>972</v>
      </c>
      <c r="E17779">
        <v>1</v>
      </c>
    </row>
    <row r="17780" spans="1:5" x14ac:dyDescent="0.25">
      <c r="A17780">
        <v>17779</v>
      </c>
      <c r="B17780">
        <v>5178507</v>
      </c>
      <c r="C17780" s="1" t="str">
        <f>HYPERLINK("http://stackoverflow.com/users/5178507", "Sol")</f>
        <v>Sol</v>
      </c>
      <c r="D17780" t="s">
        <v>5</v>
      </c>
      <c r="E17780">
        <v>1</v>
      </c>
    </row>
    <row r="17781" spans="1:5" x14ac:dyDescent="0.25">
      <c r="A17781">
        <v>17780</v>
      </c>
      <c r="B17781">
        <v>5213132</v>
      </c>
      <c r="C17781" s="1" t="str">
        <f>HYPERLINK("http://stackoverflow.com/users/5213132", "Xiao Targaryen")</f>
        <v>Xiao Targaryen</v>
      </c>
      <c r="D17781" t="s">
        <v>12</v>
      </c>
      <c r="E17781">
        <v>1</v>
      </c>
    </row>
    <row r="17782" spans="1:5" x14ac:dyDescent="0.25">
      <c r="A17782">
        <v>17781</v>
      </c>
      <c r="B17782">
        <v>5213288</v>
      </c>
      <c r="C17782" s="1" t="str">
        <f>HYPERLINK("http://stackoverflow.com/users/5213288", "刘一飞")</f>
        <v>刘一飞</v>
      </c>
      <c r="D17782" t="s">
        <v>91</v>
      </c>
      <c r="E17782">
        <v>1</v>
      </c>
    </row>
    <row r="17783" spans="1:5" x14ac:dyDescent="0.25">
      <c r="A17783">
        <v>17782</v>
      </c>
      <c r="B17783">
        <v>6929407</v>
      </c>
      <c r="C17783" s="1" t="str">
        <f>HYPERLINK("http://stackoverflow.com/users/6929407", "Ana Kwok")</f>
        <v>Ana Kwok</v>
      </c>
      <c r="D17783" t="s">
        <v>17</v>
      </c>
      <c r="E17783">
        <v>1</v>
      </c>
    </row>
    <row r="17784" spans="1:5" x14ac:dyDescent="0.25">
      <c r="A17784">
        <v>17783</v>
      </c>
      <c r="B17784">
        <v>1550546</v>
      </c>
      <c r="C17784" s="1" t="str">
        <f>HYPERLINK("http://stackoverflow.com/users/1550546", "yoma")</f>
        <v>yoma</v>
      </c>
      <c r="D17784" t="s">
        <v>4</v>
      </c>
      <c r="E17784">
        <v>1</v>
      </c>
    </row>
    <row r="17785" spans="1:5" x14ac:dyDescent="0.25">
      <c r="A17785">
        <v>17784</v>
      </c>
      <c r="B17785">
        <v>8782412</v>
      </c>
      <c r="C17785" s="1" t="str">
        <f>HYPERLINK("http://stackoverflow.com/users/8782412", "Richard Wu")</f>
        <v>Richard Wu</v>
      </c>
      <c r="D17785" t="s">
        <v>5</v>
      </c>
      <c r="E17785">
        <v>1</v>
      </c>
    </row>
    <row r="17786" spans="1:5" x14ac:dyDescent="0.25">
      <c r="A17786">
        <v>17785</v>
      </c>
      <c r="B17786">
        <v>8782482</v>
      </c>
      <c r="C17786" s="1" t="str">
        <f>HYPERLINK("http://stackoverflow.com/users/8782482", "xander1979520")</f>
        <v>xander1979520</v>
      </c>
      <c r="D17786" t="s">
        <v>7</v>
      </c>
      <c r="E17786">
        <v>1</v>
      </c>
    </row>
    <row r="17787" spans="1:5" x14ac:dyDescent="0.25">
      <c r="A17787">
        <v>17786</v>
      </c>
      <c r="B17787">
        <v>3395571</v>
      </c>
      <c r="C17787" s="1" t="str">
        <f>HYPERLINK("http://stackoverflow.com/users/3395571", "yjt001")</f>
        <v>yjt001</v>
      </c>
      <c r="D17787" t="s">
        <v>4</v>
      </c>
      <c r="E17787">
        <v>1</v>
      </c>
    </row>
    <row r="17788" spans="1:5" x14ac:dyDescent="0.25">
      <c r="A17788">
        <v>17787</v>
      </c>
      <c r="B17788">
        <v>10588904</v>
      </c>
      <c r="C17788" s="1" t="str">
        <f>HYPERLINK("http://stackoverflow.com/users/10588904", "dobbin")</f>
        <v>dobbin</v>
      </c>
      <c r="D17788" t="s">
        <v>5</v>
      </c>
      <c r="E17788">
        <v>1</v>
      </c>
    </row>
    <row r="17789" spans="1:5" x14ac:dyDescent="0.25">
      <c r="A17789">
        <v>17788</v>
      </c>
      <c r="B17789">
        <v>1550323</v>
      </c>
      <c r="C17789" s="1" t="str">
        <f>HYPERLINK("http://stackoverflow.com/users/1550323", "Luke Z. Yang")</f>
        <v>Luke Z. Yang</v>
      </c>
      <c r="D17789" t="s">
        <v>5</v>
      </c>
      <c r="E17789">
        <v>1</v>
      </c>
    </row>
    <row r="17790" spans="1:5" x14ac:dyDescent="0.25">
      <c r="A17790">
        <v>17789</v>
      </c>
      <c r="B17790">
        <v>1567369</v>
      </c>
      <c r="C17790" s="1" t="str">
        <f>HYPERLINK("http://stackoverflow.com/users/1567369", "Kevinsj")</f>
        <v>Kevinsj</v>
      </c>
      <c r="D17790" t="s">
        <v>17</v>
      </c>
      <c r="E17790">
        <v>1</v>
      </c>
    </row>
    <row r="17791" spans="1:5" x14ac:dyDescent="0.25">
      <c r="A17791">
        <v>17790</v>
      </c>
      <c r="B17791">
        <v>1567390</v>
      </c>
      <c r="C17791" s="1" t="str">
        <f>HYPERLINK("http://stackoverflow.com/users/1567390", "user1567390")</f>
        <v>user1567390</v>
      </c>
      <c r="D17791" t="s">
        <v>59</v>
      </c>
      <c r="E17791">
        <v>1</v>
      </c>
    </row>
    <row r="17792" spans="1:5" x14ac:dyDescent="0.25">
      <c r="A17792">
        <v>17791</v>
      </c>
      <c r="B17792">
        <v>1567554</v>
      </c>
      <c r="C17792" s="1" t="str">
        <f>HYPERLINK("http://stackoverflow.com/users/1567554", "bfishadow")</f>
        <v>bfishadow</v>
      </c>
      <c r="D17792" t="s">
        <v>5</v>
      </c>
      <c r="E17792">
        <v>1</v>
      </c>
    </row>
    <row r="17793" spans="1:5" x14ac:dyDescent="0.25">
      <c r="A17793">
        <v>17792</v>
      </c>
      <c r="B17793">
        <v>1567577</v>
      </c>
      <c r="C17793" s="1" t="str">
        <f>HYPERLINK("http://stackoverflow.com/users/1567577", "jdu")</f>
        <v>jdu</v>
      </c>
      <c r="D17793" t="s">
        <v>54</v>
      </c>
      <c r="E17793">
        <v>1</v>
      </c>
    </row>
    <row r="17794" spans="1:5" x14ac:dyDescent="0.25">
      <c r="A17794">
        <v>17793</v>
      </c>
      <c r="B17794">
        <v>8799589</v>
      </c>
      <c r="C17794" s="1" t="str">
        <f>HYPERLINK("http://stackoverflow.com/users/8799589", "Elson Wu")</f>
        <v>Elson Wu</v>
      </c>
      <c r="D17794" t="s">
        <v>25</v>
      </c>
      <c r="E17794">
        <v>1</v>
      </c>
    </row>
    <row r="17795" spans="1:5" x14ac:dyDescent="0.25">
      <c r="A17795">
        <v>17794</v>
      </c>
      <c r="B17795">
        <v>8799685</v>
      </c>
      <c r="C17795" s="1" t="str">
        <f>HYPERLINK("http://stackoverflow.com/users/8799685", "Geoff Xu")</f>
        <v>Geoff Xu</v>
      </c>
      <c r="D17795" t="s">
        <v>5</v>
      </c>
      <c r="E17795">
        <v>1</v>
      </c>
    </row>
    <row r="17796" spans="1:5" x14ac:dyDescent="0.25">
      <c r="A17796">
        <v>17795</v>
      </c>
      <c r="B17796">
        <v>1562432</v>
      </c>
      <c r="C17796" s="1" t="str">
        <f>HYPERLINK("http://stackoverflow.com/users/1562432", "y0ukn0w")</f>
        <v>y0ukn0w</v>
      </c>
      <c r="D17796" t="s">
        <v>37</v>
      </c>
      <c r="E17796">
        <v>1</v>
      </c>
    </row>
    <row r="17797" spans="1:5" x14ac:dyDescent="0.25">
      <c r="A17797">
        <v>17796</v>
      </c>
      <c r="B17797">
        <v>1562444</v>
      </c>
      <c r="C17797" s="1" t="str">
        <f>HYPERLINK("http://stackoverflow.com/users/1562444", "francis jiang")</f>
        <v>francis jiang</v>
      </c>
      <c r="D17797" t="s">
        <v>4</v>
      </c>
      <c r="E17797">
        <v>1</v>
      </c>
    </row>
    <row r="17798" spans="1:5" x14ac:dyDescent="0.25">
      <c r="A17798">
        <v>17797</v>
      </c>
      <c r="B17798">
        <v>8787467</v>
      </c>
      <c r="C17798" s="1" t="str">
        <f>HYPERLINK("http://stackoverflow.com/users/8787467", "Arnold.Huang")</f>
        <v>Arnold.Huang</v>
      </c>
      <c r="D17798" t="s">
        <v>120</v>
      </c>
      <c r="E17798">
        <v>1</v>
      </c>
    </row>
    <row r="17799" spans="1:5" x14ac:dyDescent="0.25">
      <c r="A17799">
        <v>17798</v>
      </c>
      <c r="B17799">
        <v>8787648</v>
      </c>
      <c r="C17799" s="1" t="str">
        <f>HYPERLINK("http://stackoverflow.com/users/8787648", "He Wang")</f>
        <v>He Wang</v>
      </c>
      <c r="D17799" t="s">
        <v>4</v>
      </c>
      <c r="E17799">
        <v>1</v>
      </c>
    </row>
    <row r="17800" spans="1:5" x14ac:dyDescent="0.25">
      <c r="A17800">
        <v>17799</v>
      </c>
      <c r="B17800">
        <v>8787728</v>
      </c>
      <c r="C17800" s="1" t="str">
        <f>HYPERLINK("http://stackoverflow.com/users/8787728", "jwentest")</f>
        <v>jwentest</v>
      </c>
      <c r="D17800" t="s">
        <v>25</v>
      </c>
      <c r="E17800">
        <v>1</v>
      </c>
    </row>
    <row r="17801" spans="1:5" x14ac:dyDescent="0.25">
      <c r="A17801">
        <v>17800</v>
      </c>
      <c r="B17801">
        <v>6933186</v>
      </c>
      <c r="C17801" s="1" t="str">
        <f>HYPERLINK("http://stackoverflow.com/users/6933186", "Zhen Hao")</f>
        <v>Zhen Hao</v>
      </c>
      <c r="D17801" t="s">
        <v>214</v>
      </c>
      <c r="E17801">
        <v>1</v>
      </c>
    </row>
    <row r="17802" spans="1:5" x14ac:dyDescent="0.25">
      <c r="A17802">
        <v>17801</v>
      </c>
      <c r="B17802">
        <v>8778160</v>
      </c>
      <c r="C17802" s="1" t="str">
        <f>HYPERLINK("http://stackoverflow.com/users/8778160", "YJ Ding")</f>
        <v>YJ Ding</v>
      </c>
      <c r="D17802" t="s">
        <v>636</v>
      </c>
      <c r="E17802">
        <v>1</v>
      </c>
    </row>
    <row r="17803" spans="1:5" x14ac:dyDescent="0.25">
      <c r="A17803">
        <v>17802</v>
      </c>
      <c r="B17803">
        <v>10589108</v>
      </c>
      <c r="C17803" s="1" t="str">
        <f>HYPERLINK("http://stackoverflow.com/users/10589108", "z12345xx")</f>
        <v>z12345xx</v>
      </c>
      <c r="D17803" t="s">
        <v>7</v>
      </c>
      <c r="E17803">
        <v>1</v>
      </c>
    </row>
    <row r="17804" spans="1:5" x14ac:dyDescent="0.25">
      <c r="A17804">
        <v>17803</v>
      </c>
      <c r="B17804">
        <v>10589268</v>
      </c>
      <c r="C17804" s="1" t="str">
        <f>HYPERLINK("http://stackoverflow.com/users/10589268", "penny")</f>
        <v>penny</v>
      </c>
      <c r="D17804" t="s">
        <v>4</v>
      </c>
      <c r="E17804">
        <v>1</v>
      </c>
    </row>
    <row r="17805" spans="1:5" x14ac:dyDescent="0.25">
      <c r="A17805">
        <v>17804</v>
      </c>
      <c r="B17805">
        <v>10589448</v>
      </c>
      <c r="C17805" s="1" t="str">
        <f>HYPERLINK("http://stackoverflow.com/users/10589448", "Jecsben Yu")</f>
        <v>Jecsben Yu</v>
      </c>
      <c r="D17805" t="s">
        <v>7</v>
      </c>
      <c r="E17805">
        <v>1</v>
      </c>
    </row>
    <row r="17806" spans="1:5" x14ac:dyDescent="0.25">
      <c r="A17806">
        <v>17805</v>
      </c>
      <c r="B17806">
        <v>8781954</v>
      </c>
      <c r="C17806" s="1" t="str">
        <f>HYPERLINK("http://stackoverflow.com/users/8781954", "Z.David")</f>
        <v>Z.David</v>
      </c>
      <c r="D17806" t="s">
        <v>25</v>
      </c>
      <c r="E17806">
        <v>1</v>
      </c>
    </row>
    <row r="17807" spans="1:5" x14ac:dyDescent="0.25">
      <c r="A17807">
        <v>17806</v>
      </c>
      <c r="B17807">
        <v>5200618</v>
      </c>
      <c r="C17807" s="1" t="str">
        <f>HYPERLINK("http://stackoverflow.com/users/5200618", "f22x")</f>
        <v>f22x</v>
      </c>
      <c r="D17807" t="s">
        <v>5</v>
      </c>
      <c r="E17807">
        <v>1</v>
      </c>
    </row>
    <row r="17808" spans="1:5" x14ac:dyDescent="0.25">
      <c r="A17808">
        <v>17807</v>
      </c>
      <c r="B17808">
        <v>8774328</v>
      </c>
      <c r="C17808" s="1" t="str">
        <f>HYPERLINK("http://stackoverflow.com/users/8774328", "quanquan")</f>
        <v>quanquan</v>
      </c>
      <c r="D17808" t="s">
        <v>47</v>
      </c>
      <c r="E17808">
        <v>1</v>
      </c>
    </row>
    <row r="17809" spans="1:5" x14ac:dyDescent="0.25">
      <c r="A17809">
        <v>17808</v>
      </c>
      <c r="B17809">
        <v>8774619</v>
      </c>
      <c r="C17809" s="1" t="str">
        <f>HYPERLINK("http://stackoverflow.com/users/8774619", "Jianxun Gao")</f>
        <v>Jianxun Gao</v>
      </c>
      <c r="D17809" t="s">
        <v>4</v>
      </c>
      <c r="E17809">
        <v>1</v>
      </c>
    </row>
    <row r="17810" spans="1:5" x14ac:dyDescent="0.25">
      <c r="A17810">
        <v>17809</v>
      </c>
      <c r="B17810">
        <v>3388461</v>
      </c>
      <c r="C17810" s="1" t="str">
        <f>HYPERLINK("http://stackoverflow.com/users/3388461", "user3388461")</f>
        <v>user3388461</v>
      </c>
      <c r="D17810" t="s">
        <v>90</v>
      </c>
      <c r="E17810">
        <v>1</v>
      </c>
    </row>
    <row r="17811" spans="1:5" x14ac:dyDescent="0.25">
      <c r="A17811">
        <v>17810</v>
      </c>
      <c r="B17811">
        <v>3391846</v>
      </c>
      <c r="C17811" s="1" t="str">
        <f>HYPERLINK("http://stackoverflow.com/users/3391846", "tiancai")</f>
        <v>tiancai</v>
      </c>
      <c r="D17811" t="s">
        <v>35</v>
      </c>
      <c r="E17811">
        <v>1</v>
      </c>
    </row>
    <row r="17812" spans="1:5" x14ac:dyDescent="0.25">
      <c r="A17812">
        <v>17811</v>
      </c>
      <c r="B17812">
        <v>3391854</v>
      </c>
      <c r="C17812" s="1" t="str">
        <f>HYPERLINK("http://stackoverflow.com/users/3391854", "hsiaochvn")</f>
        <v>hsiaochvn</v>
      </c>
      <c r="D17812" t="s">
        <v>4</v>
      </c>
      <c r="E17812">
        <v>1</v>
      </c>
    </row>
    <row r="17813" spans="1:5" x14ac:dyDescent="0.25">
      <c r="A17813">
        <v>17812</v>
      </c>
      <c r="B17813">
        <v>5200271</v>
      </c>
      <c r="C17813" s="1" t="str">
        <f>HYPERLINK("http://stackoverflow.com/users/5200271", "Kelper")</f>
        <v>Kelper</v>
      </c>
      <c r="D17813" t="s">
        <v>4</v>
      </c>
      <c r="E17813">
        <v>1</v>
      </c>
    </row>
    <row r="17814" spans="1:5" x14ac:dyDescent="0.25">
      <c r="A17814">
        <v>17813</v>
      </c>
      <c r="B17814">
        <v>3383943</v>
      </c>
      <c r="C17814" s="1" t="str">
        <f>HYPERLINK("http://stackoverflow.com/users/3383943", "xiao")</f>
        <v>xiao</v>
      </c>
      <c r="D17814" t="s">
        <v>5</v>
      </c>
      <c r="E17814">
        <v>1</v>
      </c>
    </row>
    <row r="17815" spans="1:5" x14ac:dyDescent="0.25">
      <c r="A17815">
        <v>17814</v>
      </c>
      <c r="B17815">
        <v>3384328</v>
      </c>
      <c r="C17815" s="1" t="str">
        <f>HYPERLINK("http://stackoverflow.com/users/3384328", "conanforever22")</f>
        <v>conanforever22</v>
      </c>
      <c r="D17815" t="s">
        <v>55</v>
      </c>
      <c r="E17815">
        <v>1</v>
      </c>
    </row>
    <row r="17816" spans="1:5" x14ac:dyDescent="0.25">
      <c r="A17816">
        <v>17815</v>
      </c>
      <c r="B17816">
        <v>3384584</v>
      </c>
      <c r="C17816" s="1" t="str">
        <f>HYPERLINK("http://stackoverflow.com/users/3384584", "Dreamychi")</f>
        <v>Dreamychi</v>
      </c>
      <c r="D17816" t="s">
        <v>59</v>
      </c>
      <c r="E17816">
        <v>1</v>
      </c>
    </row>
    <row r="17817" spans="1:5" x14ac:dyDescent="0.25">
      <c r="A17817">
        <v>17816</v>
      </c>
      <c r="B17817">
        <v>1530609</v>
      </c>
      <c r="C17817" s="1" t="str">
        <f>HYPERLINK("http://stackoverflow.com/users/1530609", "menhigkong")</f>
        <v>menhigkong</v>
      </c>
      <c r="D17817" t="s">
        <v>22</v>
      </c>
      <c r="E17817">
        <v>1</v>
      </c>
    </row>
    <row r="17818" spans="1:5" x14ac:dyDescent="0.25">
      <c r="A17818">
        <v>17817</v>
      </c>
      <c r="B17818">
        <v>1530896</v>
      </c>
      <c r="C17818" s="1" t="str">
        <f>HYPERLINK("http://stackoverflow.com/users/1530896", "roy.suds")</f>
        <v>roy.suds</v>
      </c>
      <c r="D17818" t="s">
        <v>4</v>
      </c>
      <c r="E17818">
        <v>1</v>
      </c>
    </row>
    <row r="17819" spans="1:5" x14ac:dyDescent="0.25">
      <c r="A17819">
        <v>17818</v>
      </c>
      <c r="B17819">
        <v>8769726</v>
      </c>
      <c r="C17819" s="1" t="str">
        <f>HYPERLINK("http://stackoverflow.com/users/8769726", "KJen")</f>
        <v>KJen</v>
      </c>
      <c r="D17819" t="s">
        <v>4</v>
      </c>
      <c r="E17819">
        <v>1</v>
      </c>
    </row>
    <row r="17820" spans="1:5" x14ac:dyDescent="0.25">
      <c r="A17820">
        <v>17819</v>
      </c>
      <c r="B17820">
        <v>8769844</v>
      </c>
      <c r="C17820" s="1" t="str">
        <f>HYPERLINK("http://stackoverflow.com/users/8769844", "tonyx")</f>
        <v>tonyx</v>
      </c>
      <c r="D17820" t="s">
        <v>4</v>
      </c>
      <c r="E17820">
        <v>1</v>
      </c>
    </row>
    <row r="17821" spans="1:5" x14ac:dyDescent="0.25">
      <c r="A17821">
        <v>17820</v>
      </c>
      <c r="B17821">
        <v>8770340</v>
      </c>
      <c r="C17821" s="1" t="str">
        <f>HYPERLINK("http://stackoverflow.com/users/8770340", "yxzh614")</f>
        <v>yxzh614</v>
      </c>
      <c r="D17821" t="s">
        <v>33</v>
      </c>
      <c r="E17821">
        <v>1</v>
      </c>
    </row>
    <row r="17822" spans="1:5" x14ac:dyDescent="0.25">
      <c r="A17822">
        <v>17821</v>
      </c>
      <c r="B17822">
        <v>5192541</v>
      </c>
      <c r="C17822" s="1" t="str">
        <f>HYPERLINK("http://stackoverflow.com/users/5192541", "djun100")</f>
        <v>djun100</v>
      </c>
      <c r="D17822" t="s">
        <v>35</v>
      </c>
      <c r="E17822">
        <v>1</v>
      </c>
    </row>
    <row r="17823" spans="1:5" x14ac:dyDescent="0.25">
      <c r="A17823">
        <v>17822</v>
      </c>
      <c r="B17823">
        <v>10572482</v>
      </c>
      <c r="C17823" s="1" t="str">
        <f>HYPERLINK("http://stackoverflow.com/users/10572482", "bigyu king")</f>
        <v>bigyu king</v>
      </c>
      <c r="D17823" t="s">
        <v>97</v>
      </c>
      <c r="E17823">
        <v>1</v>
      </c>
    </row>
    <row r="17824" spans="1:5" x14ac:dyDescent="0.25">
      <c r="A17824">
        <v>17823</v>
      </c>
      <c r="B17824">
        <v>10572610</v>
      </c>
      <c r="C17824" s="1" t="str">
        <f>HYPERLINK("http://stackoverflow.com/users/10572610", "Joanna L")</f>
        <v>Joanna L</v>
      </c>
      <c r="D17824" t="s">
        <v>7</v>
      </c>
      <c r="E17824">
        <v>1</v>
      </c>
    </row>
    <row r="17825" spans="1:5" x14ac:dyDescent="0.25">
      <c r="A17825">
        <v>17824</v>
      </c>
      <c r="B17825">
        <v>5188983</v>
      </c>
      <c r="C17825" s="1" t="str">
        <f>HYPERLINK("http://stackoverflow.com/users/5188983", "light ning")</f>
        <v>light ning</v>
      </c>
      <c r="D17825" t="s">
        <v>5</v>
      </c>
      <c r="E17825">
        <v>1</v>
      </c>
    </row>
    <row r="17826" spans="1:5" x14ac:dyDescent="0.25">
      <c r="A17826">
        <v>17825</v>
      </c>
      <c r="B17826">
        <v>5189015</v>
      </c>
      <c r="C17826" s="1" t="str">
        <f>HYPERLINK("http://stackoverflow.com/users/5189015", "MingWang")</f>
        <v>MingWang</v>
      </c>
      <c r="D17826" t="s">
        <v>28</v>
      </c>
      <c r="E17826">
        <v>1</v>
      </c>
    </row>
    <row r="17827" spans="1:5" x14ac:dyDescent="0.25">
      <c r="A17827">
        <v>17826</v>
      </c>
      <c r="B17827">
        <v>8001805</v>
      </c>
      <c r="C17827" s="1" t="str">
        <f>HYPERLINK("http://stackoverflow.com/users/8001805", "wells")</f>
        <v>wells</v>
      </c>
      <c r="D17827" t="s">
        <v>4</v>
      </c>
      <c r="E17827">
        <v>1</v>
      </c>
    </row>
    <row r="17828" spans="1:5" x14ac:dyDescent="0.25">
      <c r="A17828">
        <v>17827</v>
      </c>
      <c r="B17828">
        <v>8002209</v>
      </c>
      <c r="C17828" s="1" t="str">
        <f>HYPERLINK("http://stackoverflow.com/users/8002209", "Tim Qi")</f>
        <v>Tim Qi</v>
      </c>
      <c r="D17828" t="s">
        <v>11</v>
      </c>
      <c r="E17828">
        <v>1</v>
      </c>
    </row>
    <row r="17829" spans="1:5" x14ac:dyDescent="0.25">
      <c r="A17829">
        <v>17828</v>
      </c>
      <c r="B17829">
        <v>6224905</v>
      </c>
      <c r="C17829" s="1" t="str">
        <f>HYPERLINK("http://stackoverflow.com/users/6224905", "Acre")</f>
        <v>Acre</v>
      </c>
      <c r="D17829" t="s">
        <v>55</v>
      </c>
      <c r="E17829">
        <v>1</v>
      </c>
    </row>
    <row r="17830" spans="1:5" x14ac:dyDescent="0.25">
      <c r="A17830">
        <v>17829</v>
      </c>
      <c r="B17830">
        <v>8001473</v>
      </c>
      <c r="C17830" s="1" t="str">
        <f>HYPERLINK("http://stackoverflow.com/users/8001473", "OOO")</f>
        <v>OOO</v>
      </c>
      <c r="D17830" t="s">
        <v>97</v>
      </c>
      <c r="E17830">
        <v>1</v>
      </c>
    </row>
    <row r="17831" spans="1:5" x14ac:dyDescent="0.25">
      <c r="A17831">
        <v>17830</v>
      </c>
      <c r="B17831">
        <v>4493938</v>
      </c>
      <c r="C17831" s="1" t="str">
        <f>HYPERLINK("http://stackoverflow.com/users/4493938", "Yukin")</f>
        <v>Yukin</v>
      </c>
      <c r="D17831" t="s">
        <v>17</v>
      </c>
      <c r="E17831">
        <v>1</v>
      </c>
    </row>
    <row r="17832" spans="1:5" x14ac:dyDescent="0.25">
      <c r="A17832">
        <v>17831</v>
      </c>
      <c r="B17832">
        <v>8005417</v>
      </c>
      <c r="C17832" s="1" t="str">
        <f>HYPERLINK("http://stackoverflow.com/users/8005417", "ArthurYang")</f>
        <v>ArthurYang</v>
      </c>
      <c r="D17832" t="s">
        <v>7</v>
      </c>
      <c r="E17832">
        <v>1</v>
      </c>
    </row>
    <row r="17833" spans="1:5" x14ac:dyDescent="0.25">
      <c r="A17833">
        <v>17832</v>
      </c>
      <c r="B17833">
        <v>8005463</v>
      </c>
      <c r="C17833" s="1" t="str">
        <f>HYPERLINK("http://stackoverflow.com/users/8005463", "user8005463")</f>
        <v>user8005463</v>
      </c>
      <c r="D17833" t="s">
        <v>5</v>
      </c>
      <c r="E17833">
        <v>1</v>
      </c>
    </row>
    <row r="17834" spans="1:5" x14ac:dyDescent="0.25">
      <c r="A17834">
        <v>17833</v>
      </c>
      <c r="B17834">
        <v>4497969</v>
      </c>
      <c r="C17834" s="1" t="str">
        <f>HYPERLINK("http://stackoverflow.com/users/4497969", "Scout Andy")</f>
        <v>Scout Andy</v>
      </c>
      <c r="D17834" t="s">
        <v>25</v>
      </c>
      <c r="E17834">
        <v>1</v>
      </c>
    </row>
    <row r="17835" spans="1:5" x14ac:dyDescent="0.25">
      <c r="A17835">
        <v>17834</v>
      </c>
      <c r="B17835">
        <v>8008771</v>
      </c>
      <c r="C17835" s="1" t="str">
        <f>HYPERLINK("http://stackoverflow.com/users/8008771", "EL.LE")</f>
        <v>EL.LE</v>
      </c>
      <c r="D17835" t="s">
        <v>7</v>
      </c>
      <c r="E17835">
        <v>1</v>
      </c>
    </row>
    <row r="17836" spans="1:5" x14ac:dyDescent="0.25">
      <c r="A17836">
        <v>17835</v>
      </c>
      <c r="B17836">
        <v>8008929</v>
      </c>
      <c r="C17836" s="1" t="str">
        <f>HYPERLINK("http://stackoverflow.com/users/8008929", "耿聪慧")</f>
        <v>耿聪慧</v>
      </c>
      <c r="D17836" t="s">
        <v>448</v>
      </c>
      <c r="E17836">
        <v>1</v>
      </c>
    </row>
    <row r="17837" spans="1:5" x14ac:dyDescent="0.25">
      <c r="A17837">
        <v>17836</v>
      </c>
      <c r="B17837">
        <v>9821035</v>
      </c>
      <c r="C17837" s="1" t="str">
        <f>HYPERLINK("http://stackoverflow.com/users/9821035", "wenchunl")</f>
        <v>wenchunl</v>
      </c>
      <c r="D17837" t="s">
        <v>28</v>
      </c>
      <c r="E17837">
        <v>1</v>
      </c>
    </row>
    <row r="17838" spans="1:5" x14ac:dyDescent="0.25">
      <c r="A17838">
        <v>17837</v>
      </c>
      <c r="B17838">
        <v>2641474</v>
      </c>
      <c r="C17838" s="1" t="str">
        <f>HYPERLINK("http://stackoverflow.com/users/2641474", "emmet7life")</f>
        <v>emmet7life</v>
      </c>
      <c r="D17838" t="s">
        <v>5</v>
      </c>
      <c r="E17838">
        <v>1</v>
      </c>
    </row>
    <row r="17839" spans="1:5" x14ac:dyDescent="0.25">
      <c r="A17839">
        <v>17838</v>
      </c>
      <c r="B17839">
        <v>9810768</v>
      </c>
      <c r="C17839" s="1" t="str">
        <f>HYPERLINK("http://stackoverflow.com/users/9810768", "Cecilia Wang")</f>
        <v>Cecilia Wang</v>
      </c>
      <c r="D17839" t="s">
        <v>4</v>
      </c>
      <c r="E17839">
        <v>1</v>
      </c>
    </row>
    <row r="17840" spans="1:5" x14ac:dyDescent="0.25">
      <c r="A17840">
        <v>17839</v>
      </c>
      <c r="B17840">
        <v>8001062</v>
      </c>
      <c r="C17840" s="1" t="str">
        <f>HYPERLINK("http://stackoverflow.com/users/8001062", "betterchen")</f>
        <v>betterchen</v>
      </c>
      <c r="D17840" t="s">
        <v>16</v>
      </c>
      <c r="E17840">
        <v>1</v>
      </c>
    </row>
    <row r="17841" spans="1:5" x14ac:dyDescent="0.25">
      <c r="A17841">
        <v>17840</v>
      </c>
      <c r="B17841">
        <v>8001113</v>
      </c>
      <c r="C17841" s="1" t="str">
        <f>HYPERLINK("http://stackoverflow.com/users/8001113", "Xin Xing Chen")</f>
        <v>Xin Xing Chen</v>
      </c>
      <c r="D17841" t="s">
        <v>4</v>
      </c>
      <c r="E17841">
        <v>1</v>
      </c>
    </row>
    <row r="17842" spans="1:5" x14ac:dyDescent="0.25">
      <c r="A17842">
        <v>17841</v>
      </c>
      <c r="B17842">
        <v>9805508</v>
      </c>
      <c r="C17842" s="1" t="str">
        <f>HYPERLINK("http://stackoverflow.com/users/9805508", "empire henry")</f>
        <v>empire henry</v>
      </c>
      <c r="D17842" t="s">
        <v>131</v>
      </c>
      <c r="E17842">
        <v>1</v>
      </c>
    </row>
    <row r="17843" spans="1:5" x14ac:dyDescent="0.25">
      <c r="A17843">
        <v>17842</v>
      </c>
      <c r="B17843">
        <v>2641555</v>
      </c>
      <c r="C17843" s="1" t="str">
        <f>HYPERLINK("http://stackoverflow.com/users/2641555", "YJ Park")</f>
        <v>YJ Park</v>
      </c>
      <c r="D17843" t="s">
        <v>5</v>
      </c>
      <c r="E17843">
        <v>1</v>
      </c>
    </row>
    <row r="17844" spans="1:5" x14ac:dyDescent="0.25">
      <c r="A17844">
        <v>17843</v>
      </c>
      <c r="B17844">
        <v>2642994</v>
      </c>
      <c r="C17844" s="1" t="str">
        <f>HYPERLINK("http://stackoverflow.com/users/2642994", "chunmato")</f>
        <v>chunmato</v>
      </c>
      <c r="D17844" t="s">
        <v>12</v>
      </c>
      <c r="E17844">
        <v>1</v>
      </c>
    </row>
    <row r="17845" spans="1:5" x14ac:dyDescent="0.25">
      <c r="A17845">
        <v>17844</v>
      </c>
      <c r="B17845">
        <v>2646776</v>
      </c>
      <c r="C17845" s="1" t="str">
        <f>HYPERLINK("http://stackoverflow.com/users/2646776", "antony")</f>
        <v>antony</v>
      </c>
      <c r="D17845" t="s">
        <v>5</v>
      </c>
      <c r="E17845">
        <v>1</v>
      </c>
    </row>
    <row r="17846" spans="1:5" x14ac:dyDescent="0.25">
      <c r="A17846">
        <v>17845</v>
      </c>
      <c r="B17846">
        <v>2673396</v>
      </c>
      <c r="C17846" s="1" t="str">
        <f>HYPERLINK("http://stackoverflow.com/users/2673396", "John Leng")</f>
        <v>John Leng</v>
      </c>
      <c r="D17846" t="s">
        <v>22</v>
      </c>
      <c r="E17846">
        <v>1</v>
      </c>
    </row>
    <row r="17847" spans="1:5" x14ac:dyDescent="0.25">
      <c r="A17847">
        <v>17846</v>
      </c>
      <c r="B17847">
        <v>2673442</v>
      </c>
      <c r="C17847" s="1" t="str">
        <f>HYPERLINK("http://stackoverflow.com/users/2673442", "Tim")</f>
        <v>Tim</v>
      </c>
      <c r="D17847" t="s">
        <v>5</v>
      </c>
      <c r="E17847">
        <v>1</v>
      </c>
    </row>
    <row r="17848" spans="1:5" x14ac:dyDescent="0.25">
      <c r="A17848">
        <v>17847</v>
      </c>
      <c r="B17848">
        <v>6229287</v>
      </c>
      <c r="C17848" s="1" t="str">
        <f>HYPERLINK("http://stackoverflow.com/users/6229287", "HAO")</f>
        <v>HAO</v>
      </c>
      <c r="D17848" t="s">
        <v>5</v>
      </c>
      <c r="E17848">
        <v>1</v>
      </c>
    </row>
    <row r="17849" spans="1:5" x14ac:dyDescent="0.25">
      <c r="A17849">
        <v>17848</v>
      </c>
      <c r="B17849">
        <v>2673461</v>
      </c>
      <c r="C17849" s="1" t="str">
        <f>HYPERLINK("http://stackoverflow.com/users/2673461", "Lianxiang")</f>
        <v>Lianxiang</v>
      </c>
      <c r="D17849" t="s">
        <v>4</v>
      </c>
      <c r="E17849">
        <v>1</v>
      </c>
    </row>
    <row r="17850" spans="1:5" x14ac:dyDescent="0.25">
      <c r="A17850">
        <v>17849</v>
      </c>
      <c r="B17850">
        <v>2673892</v>
      </c>
      <c r="C17850" s="1" t="str">
        <f>HYPERLINK("http://stackoverflow.com/users/2673892", "Scott")</f>
        <v>Scott</v>
      </c>
      <c r="D17850" t="s">
        <v>372</v>
      </c>
      <c r="E17850">
        <v>1</v>
      </c>
    </row>
    <row r="17851" spans="1:5" x14ac:dyDescent="0.25">
      <c r="A17851">
        <v>17850</v>
      </c>
      <c r="B17851">
        <v>2674025</v>
      </c>
      <c r="C17851" s="1" t="str">
        <f>HYPERLINK("http://stackoverflow.com/users/2674025", "buludan")</f>
        <v>buludan</v>
      </c>
      <c r="D17851" t="s">
        <v>5</v>
      </c>
      <c r="E17851">
        <v>1</v>
      </c>
    </row>
    <row r="17852" spans="1:5" x14ac:dyDescent="0.25">
      <c r="A17852">
        <v>17851</v>
      </c>
      <c r="B17852">
        <v>8018880</v>
      </c>
      <c r="C17852" s="1" t="str">
        <f>HYPERLINK("http://stackoverflow.com/users/8018880", "笑妄v")</f>
        <v>笑妄v</v>
      </c>
      <c r="D17852" t="s">
        <v>7</v>
      </c>
      <c r="E17852">
        <v>1</v>
      </c>
    </row>
    <row r="17853" spans="1:5" x14ac:dyDescent="0.25">
      <c r="A17853">
        <v>17852</v>
      </c>
      <c r="B17853">
        <v>4510650</v>
      </c>
      <c r="C17853" s="1" t="str">
        <f>HYPERLINK("http://stackoverflow.com/users/4510650", "Peng Feng")</f>
        <v>Peng Feng</v>
      </c>
      <c r="D17853" t="s">
        <v>54</v>
      </c>
      <c r="E17853">
        <v>1</v>
      </c>
    </row>
    <row r="17854" spans="1:5" x14ac:dyDescent="0.25">
      <c r="A17854">
        <v>17853</v>
      </c>
      <c r="B17854">
        <v>4510743</v>
      </c>
      <c r="C17854" s="1" t="str">
        <f>HYPERLINK("http://stackoverflow.com/users/4510743", "Hangyi Xu")</f>
        <v>Hangyi Xu</v>
      </c>
      <c r="D17854" t="s">
        <v>177</v>
      </c>
      <c r="E17854">
        <v>1</v>
      </c>
    </row>
    <row r="17855" spans="1:5" x14ac:dyDescent="0.25">
      <c r="A17855">
        <v>17854</v>
      </c>
      <c r="B17855">
        <v>6238463</v>
      </c>
      <c r="C17855" s="1" t="str">
        <f>HYPERLINK("http://stackoverflow.com/users/6238463", "Nick Xu")</f>
        <v>Nick Xu</v>
      </c>
      <c r="D17855" t="s">
        <v>4</v>
      </c>
      <c r="E17855">
        <v>1</v>
      </c>
    </row>
    <row r="17856" spans="1:5" x14ac:dyDescent="0.25">
      <c r="A17856">
        <v>17855</v>
      </c>
      <c r="B17856">
        <v>6238479</v>
      </c>
      <c r="C17856" s="1" t="str">
        <f>HYPERLINK("http://stackoverflow.com/users/6238479", "ying dai")</f>
        <v>ying dai</v>
      </c>
      <c r="D17856" t="s">
        <v>5</v>
      </c>
      <c r="E17856">
        <v>1</v>
      </c>
    </row>
    <row r="17857" spans="1:5" x14ac:dyDescent="0.25">
      <c r="A17857">
        <v>17856</v>
      </c>
      <c r="B17857">
        <v>6238637</v>
      </c>
      <c r="C17857" s="1" t="str">
        <f>HYPERLINK("http://stackoverflow.com/users/6238637", "Yuening")</f>
        <v>Yuening</v>
      </c>
      <c r="D17857" t="s">
        <v>4</v>
      </c>
      <c r="E17857">
        <v>1</v>
      </c>
    </row>
    <row r="17858" spans="1:5" x14ac:dyDescent="0.25">
      <c r="A17858">
        <v>17857</v>
      </c>
      <c r="B17858">
        <v>9831753</v>
      </c>
      <c r="C17858" s="1" t="str">
        <f>HYPERLINK("http://stackoverflow.com/users/9831753", "Yong Peng")</f>
        <v>Yong Peng</v>
      </c>
      <c r="D17858" t="s">
        <v>28</v>
      </c>
      <c r="E17858">
        <v>1</v>
      </c>
    </row>
    <row r="17859" spans="1:5" x14ac:dyDescent="0.25">
      <c r="A17859">
        <v>17858</v>
      </c>
      <c r="B17859">
        <v>9831884</v>
      </c>
      <c r="C17859" s="1" t="str">
        <f>HYPERLINK("http://stackoverflow.com/users/9831884", "will shi")</f>
        <v>will shi</v>
      </c>
      <c r="D17859" t="s">
        <v>62</v>
      </c>
      <c r="E17859">
        <v>1</v>
      </c>
    </row>
    <row r="17860" spans="1:5" x14ac:dyDescent="0.25">
      <c r="A17860">
        <v>17859</v>
      </c>
      <c r="B17860">
        <v>2669755</v>
      </c>
      <c r="C17860" s="1" t="str">
        <f>HYPERLINK("http://stackoverflow.com/users/2669755", "hunter")</f>
        <v>hunter</v>
      </c>
      <c r="D17860" t="s">
        <v>5</v>
      </c>
      <c r="E17860">
        <v>1</v>
      </c>
    </row>
    <row r="17861" spans="1:5" x14ac:dyDescent="0.25">
      <c r="A17861">
        <v>17860</v>
      </c>
      <c r="B17861">
        <v>2669966</v>
      </c>
      <c r="C17861" s="1" t="str">
        <f>HYPERLINK("http://stackoverflow.com/users/2669966", "Masa Wong")</f>
        <v>Masa Wong</v>
      </c>
      <c r="D17861" t="s">
        <v>5</v>
      </c>
      <c r="E17861">
        <v>1</v>
      </c>
    </row>
    <row r="17862" spans="1:5" x14ac:dyDescent="0.25">
      <c r="A17862">
        <v>17861</v>
      </c>
      <c r="B17862">
        <v>6234457</v>
      </c>
      <c r="C17862" s="1" t="str">
        <f>HYPERLINK("http://stackoverflow.com/users/6234457", "Yantai Gao")</f>
        <v>Yantai Gao</v>
      </c>
      <c r="D17862" t="s">
        <v>5</v>
      </c>
      <c r="E17862">
        <v>1</v>
      </c>
    </row>
    <row r="17863" spans="1:5" x14ac:dyDescent="0.25">
      <c r="A17863">
        <v>17862</v>
      </c>
      <c r="B17863">
        <v>6234738</v>
      </c>
      <c r="C17863" s="1" t="str">
        <f>HYPERLINK("http://stackoverflow.com/users/6234738", "Hua")</f>
        <v>Hua</v>
      </c>
      <c r="D17863" t="s">
        <v>25</v>
      </c>
      <c r="E17863">
        <v>1</v>
      </c>
    </row>
    <row r="17864" spans="1:5" x14ac:dyDescent="0.25">
      <c r="A17864">
        <v>17863</v>
      </c>
      <c r="B17864">
        <v>8015614</v>
      </c>
      <c r="C17864" s="1" t="str">
        <f>HYPERLINK("http://stackoverflow.com/users/8015614", "Raymond Gan")</f>
        <v>Raymond Gan</v>
      </c>
      <c r="D17864" t="s">
        <v>7</v>
      </c>
      <c r="E17864">
        <v>1</v>
      </c>
    </row>
    <row r="17865" spans="1:5" x14ac:dyDescent="0.25">
      <c r="A17865">
        <v>17864</v>
      </c>
      <c r="B17865">
        <v>4507203</v>
      </c>
      <c r="C17865" s="1" t="str">
        <f>HYPERLINK("http://stackoverflow.com/users/4507203", "Kyle Chen")</f>
        <v>Kyle Chen</v>
      </c>
      <c r="D17865" t="s">
        <v>5</v>
      </c>
      <c r="E17865">
        <v>1</v>
      </c>
    </row>
    <row r="17866" spans="1:5" x14ac:dyDescent="0.25">
      <c r="A17866">
        <v>17865</v>
      </c>
      <c r="B17866">
        <v>4501090</v>
      </c>
      <c r="C17866" s="1" t="str">
        <f>HYPERLINK("http://stackoverflow.com/users/4501090", "CainGao")</f>
        <v>CainGao</v>
      </c>
      <c r="D17866" t="s">
        <v>5</v>
      </c>
      <c r="E17866">
        <v>1</v>
      </c>
    </row>
    <row r="17867" spans="1:5" x14ac:dyDescent="0.25">
      <c r="A17867">
        <v>17866</v>
      </c>
      <c r="B17867">
        <v>4501096</v>
      </c>
      <c r="C17867" s="1" t="str">
        <f>HYPERLINK("http://stackoverflow.com/users/4501096", "MinMinWong")</f>
        <v>MinMinWong</v>
      </c>
      <c r="D17867" t="s">
        <v>42</v>
      </c>
      <c r="E17867">
        <v>1</v>
      </c>
    </row>
    <row r="17868" spans="1:5" x14ac:dyDescent="0.25">
      <c r="A17868">
        <v>17867</v>
      </c>
      <c r="B17868">
        <v>8009382</v>
      </c>
      <c r="C17868" s="1" t="str">
        <f>HYPERLINK("http://stackoverflow.com/users/8009382", "Gelito Marcos")</f>
        <v>Gelito Marcos</v>
      </c>
      <c r="D17868" t="s">
        <v>5</v>
      </c>
      <c r="E17868">
        <v>1</v>
      </c>
    </row>
    <row r="17869" spans="1:5" x14ac:dyDescent="0.25">
      <c r="A17869">
        <v>17868</v>
      </c>
      <c r="B17869">
        <v>8009391</v>
      </c>
      <c r="C17869" s="1" t="str">
        <f>HYPERLINK("http://stackoverflow.com/users/8009391", "saxdee")</f>
        <v>saxdee</v>
      </c>
      <c r="D17869" t="s">
        <v>5</v>
      </c>
      <c r="E17869">
        <v>1</v>
      </c>
    </row>
    <row r="17870" spans="1:5" x14ac:dyDescent="0.25">
      <c r="A17870">
        <v>17869</v>
      </c>
      <c r="B17870">
        <v>8012185</v>
      </c>
      <c r="C17870" s="1" t="str">
        <f>HYPERLINK("http://stackoverflow.com/users/8012185", "Frank Qian")</f>
        <v>Frank Qian</v>
      </c>
      <c r="D17870" t="s">
        <v>4</v>
      </c>
      <c r="E17870">
        <v>1</v>
      </c>
    </row>
    <row r="17871" spans="1:5" x14ac:dyDescent="0.25">
      <c r="A17871">
        <v>17870</v>
      </c>
      <c r="B17871">
        <v>8012188</v>
      </c>
      <c r="C17871" s="1" t="str">
        <f>HYPERLINK("http://stackoverflow.com/users/8012188", "GussyBoy")</f>
        <v>GussyBoy</v>
      </c>
      <c r="D17871" t="s">
        <v>4</v>
      </c>
      <c r="E17871">
        <v>1</v>
      </c>
    </row>
    <row r="17872" spans="1:5" x14ac:dyDescent="0.25">
      <c r="A17872">
        <v>17871</v>
      </c>
      <c r="B17872">
        <v>8012372</v>
      </c>
      <c r="C17872" s="1" t="str">
        <f>HYPERLINK("http://stackoverflow.com/users/8012372", "itbeckham7")</f>
        <v>itbeckham7</v>
      </c>
      <c r="D17872" t="s">
        <v>214</v>
      </c>
      <c r="E17872">
        <v>1</v>
      </c>
    </row>
    <row r="17873" spans="1:5" x14ac:dyDescent="0.25">
      <c r="A17873">
        <v>17872</v>
      </c>
      <c r="B17873">
        <v>8012505</v>
      </c>
      <c r="C17873" s="1" t="str">
        <f>HYPERLINK("http://stackoverflow.com/users/8012505", "Q. june")</f>
        <v>Q. june</v>
      </c>
      <c r="D17873" t="s">
        <v>16</v>
      </c>
      <c r="E17873">
        <v>1</v>
      </c>
    </row>
    <row r="17874" spans="1:5" x14ac:dyDescent="0.25">
      <c r="A17874">
        <v>17873</v>
      </c>
      <c r="B17874">
        <v>8012611</v>
      </c>
      <c r="C17874" s="1" t="str">
        <f>HYPERLINK("http://stackoverflow.com/users/8012611", "jiexing")</f>
        <v>jiexing</v>
      </c>
      <c r="D17874" t="s">
        <v>4</v>
      </c>
      <c r="E17874">
        <v>1</v>
      </c>
    </row>
    <row r="17875" spans="1:5" x14ac:dyDescent="0.25">
      <c r="A17875">
        <v>17874</v>
      </c>
      <c r="B17875">
        <v>9826959</v>
      </c>
      <c r="C17875" s="1" t="str">
        <f>HYPERLINK("http://stackoverflow.com/users/9826959", "dbliu")</f>
        <v>dbliu</v>
      </c>
      <c r="D17875" t="s">
        <v>973</v>
      </c>
      <c r="E17875">
        <v>1</v>
      </c>
    </row>
    <row r="17876" spans="1:5" x14ac:dyDescent="0.25">
      <c r="A17876">
        <v>17875</v>
      </c>
      <c r="B17876">
        <v>9827003</v>
      </c>
      <c r="C17876" s="1" t="str">
        <f>HYPERLINK("http://stackoverflow.com/users/9827003", "NutDiom")</f>
        <v>NutDiom</v>
      </c>
      <c r="D17876" t="s">
        <v>97</v>
      </c>
      <c r="E17876">
        <v>1</v>
      </c>
    </row>
    <row r="17877" spans="1:5" x14ac:dyDescent="0.25">
      <c r="A17877">
        <v>17876</v>
      </c>
      <c r="B17877">
        <v>9827282</v>
      </c>
      <c r="C17877" s="1" t="str">
        <f>HYPERLINK("http://stackoverflow.com/users/9827282", "zpceng")</f>
        <v>zpceng</v>
      </c>
      <c r="D17877" t="s">
        <v>13</v>
      </c>
      <c r="E17877">
        <v>1</v>
      </c>
    </row>
    <row r="17878" spans="1:5" x14ac:dyDescent="0.25">
      <c r="A17878">
        <v>17877</v>
      </c>
      <c r="B17878">
        <v>9827422</v>
      </c>
      <c r="C17878" s="1" t="str">
        <f>HYPERLINK("http://stackoverflow.com/users/9827422", "Nicolas")</f>
        <v>Nicolas</v>
      </c>
      <c r="D17878" t="s">
        <v>7</v>
      </c>
      <c r="E17878">
        <v>1</v>
      </c>
    </row>
    <row r="17879" spans="1:5" x14ac:dyDescent="0.25">
      <c r="A17879">
        <v>17878</v>
      </c>
      <c r="B17879">
        <v>6234187</v>
      </c>
      <c r="C17879" s="1" t="str">
        <f>HYPERLINK("http://stackoverflow.com/users/6234187", "rui")</f>
        <v>rui</v>
      </c>
      <c r="D17879" t="s">
        <v>5</v>
      </c>
      <c r="E17879">
        <v>1</v>
      </c>
    </row>
    <row r="17880" spans="1:5" x14ac:dyDescent="0.25">
      <c r="A17880">
        <v>17879</v>
      </c>
      <c r="B17880">
        <v>7978876</v>
      </c>
      <c r="C17880" s="1" t="str">
        <f>HYPERLINK("http://stackoverflow.com/users/7978876", "wei he")</f>
        <v>wei he</v>
      </c>
      <c r="D17880" t="s">
        <v>7</v>
      </c>
      <c r="E17880">
        <v>1</v>
      </c>
    </row>
    <row r="17881" spans="1:5" x14ac:dyDescent="0.25">
      <c r="A17881">
        <v>17880</v>
      </c>
      <c r="B17881">
        <v>7978999</v>
      </c>
      <c r="C17881" s="1" t="str">
        <f>HYPERLINK("http://stackoverflow.com/users/7978999", "Clay.Zhu")</f>
        <v>Clay.Zhu</v>
      </c>
      <c r="D17881" t="s">
        <v>4</v>
      </c>
      <c r="E17881">
        <v>1</v>
      </c>
    </row>
    <row r="17882" spans="1:5" x14ac:dyDescent="0.25">
      <c r="A17882">
        <v>17881</v>
      </c>
      <c r="B17882">
        <v>7979015</v>
      </c>
      <c r="C17882" s="1" t="str">
        <f>HYPERLINK("http://stackoverflow.com/users/7979015", "kohl")</f>
        <v>kohl</v>
      </c>
      <c r="D17882" t="s">
        <v>11</v>
      </c>
      <c r="E17882">
        <v>1</v>
      </c>
    </row>
    <row r="17883" spans="1:5" x14ac:dyDescent="0.25">
      <c r="A17883">
        <v>17882</v>
      </c>
      <c r="B17883">
        <v>358245</v>
      </c>
      <c r="C17883" s="1" t="str">
        <f>HYPERLINK("http://stackoverflow.com/users/358245", "Chaobin")</f>
        <v>Chaobin</v>
      </c>
      <c r="D17883" t="s">
        <v>5</v>
      </c>
      <c r="E17883">
        <v>1</v>
      </c>
    </row>
    <row r="17884" spans="1:5" x14ac:dyDescent="0.25">
      <c r="A17884">
        <v>17883</v>
      </c>
      <c r="B17884">
        <v>358706</v>
      </c>
      <c r="C17884" s="1" t="str">
        <f>HYPERLINK("http://stackoverflow.com/users/358706", "O' y")</f>
        <v>O' y</v>
      </c>
      <c r="D17884" t="s">
        <v>4</v>
      </c>
      <c r="E17884">
        <v>1</v>
      </c>
    </row>
    <row r="17885" spans="1:5" x14ac:dyDescent="0.25">
      <c r="A17885">
        <v>17884</v>
      </c>
      <c r="B17885">
        <v>7978272</v>
      </c>
      <c r="C17885" s="1" t="str">
        <f>HYPERLINK("http://stackoverflow.com/users/7978272", "crystal.wu")</f>
        <v>crystal.wu</v>
      </c>
      <c r="D17885" t="s">
        <v>4</v>
      </c>
      <c r="E17885">
        <v>1</v>
      </c>
    </row>
    <row r="17886" spans="1:5" x14ac:dyDescent="0.25">
      <c r="A17886">
        <v>17885</v>
      </c>
      <c r="B17886">
        <v>7978695</v>
      </c>
      <c r="C17886" s="1" t="str">
        <f>HYPERLINK("http://stackoverflow.com/users/7978695", "kingsire")</f>
        <v>kingsire</v>
      </c>
      <c r="D17886" t="s">
        <v>4</v>
      </c>
      <c r="E17886">
        <v>1</v>
      </c>
    </row>
    <row r="17887" spans="1:5" x14ac:dyDescent="0.25">
      <c r="A17887">
        <v>17886</v>
      </c>
      <c r="B17887">
        <v>9790438</v>
      </c>
      <c r="C17887" s="1" t="str">
        <f>HYPERLINK("http://stackoverflow.com/users/9790438", "Bailang")</f>
        <v>Bailang</v>
      </c>
      <c r="D17887" t="s">
        <v>33</v>
      </c>
      <c r="E17887">
        <v>1</v>
      </c>
    </row>
    <row r="17888" spans="1:5" x14ac:dyDescent="0.25">
      <c r="A17888">
        <v>17887</v>
      </c>
      <c r="B17888">
        <v>7982091</v>
      </c>
      <c r="C17888" s="1" t="str">
        <f>HYPERLINK("http://stackoverflow.com/users/7982091", "schumi")</f>
        <v>schumi</v>
      </c>
      <c r="D17888" t="s">
        <v>7</v>
      </c>
      <c r="E17888">
        <v>1</v>
      </c>
    </row>
    <row r="17889" spans="1:5" x14ac:dyDescent="0.25">
      <c r="A17889">
        <v>17888</v>
      </c>
      <c r="B17889">
        <v>9794540</v>
      </c>
      <c r="C17889" s="1" t="str">
        <f>HYPERLINK("http://stackoverflow.com/users/9794540", "Yuxin Liu")</f>
        <v>Yuxin Liu</v>
      </c>
      <c r="D17889" t="s">
        <v>5</v>
      </c>
      <c r="E17889">
        <v>1</v>
      </c>
    </row>
    <row r="17890" spans="1:5" x14ac:dyDescent="0.25">
      <c r="A17890">
        <v>17889</v>
      </c>
      <c r="B17890">
        <v>9785916</v>
      </c>
      <c r="C17890" s="1" t="str">
        <f>HYPERLINK("http://stackoverflow.com/users/9785916", "Gang Xie")</f>
        <v>Gang Xie</v>
      </c>
      <c r="D17890" t="s">
        <v>5</v>
      </c>
      <c r="E17890">
        <v>1</v>
      </c>
    </row>
    <row r="17891" spans="1:5" x14ac:dyDescent="0.25">
      <c r="A17891">
        <v>17890</v>
      </c>
      <c r="B17891">
        <v>9785981</v>
      </c>
      <c r="C17891" s="1" t="str">
        <f>HYPERLINK("http://stackoverflow.com/users/9785981", "user9785981")</f>
        <v>user9785981</v>
      </c>
      <c r="D17891" t="s">
        <v>5</v>
      </c>
      <c r="E17891">
        <v>1</v>
      </c>
    </row>
    <row r="17892" spans="1:5" x14ac:dyDescent="0.25">
      <c r="A17892">
        <v>17891</v>
      </c>
      <c r="B17892">
        <v>2613153</v>
      </c>
      <c r="C17892" s="1" t="str">
        <f>HYPERLINK("http://stackoverflow.com/users/2613153", "angilin")</f>
        <v>angilin</v>
      </c>
      <c r="D17892" t="s">
        <v>4</v>
      </c>
      <c r="E17892">
        <v>1</v>
      </c>
    </row>
    <row r="17893" spans="1:5" x14ac:dyDescent="0.25">
      <c r="A17893">
        <v>17892</v>
      </c>
      <c r="B17893">
        <v>2613456</v>
      </c>
      <c r="C17893" s="1" t="str">
        <f>HYPERLINK("http://stackoverflow.com/users/2613456", "Haoxia JIN")</f>
        <v>Haoxia JIN</v>
      </c>
      <c r="D17893" t="s">
        <v>16</v>
      </c>
      <c r="E17893">
        <v>1</v>
      </c>
    </row>
    <row r="17894" spans="1:5" x14ac:dyDescent="0.25">
      <c r="A17894">
        <v>17893</v>
      </c>
      <c r="B17894">
        <v>2613702</v>
      </c>
      <c r="C17894" s="1" t="str">
        <f>HYPERLINK("http://stackoverflow.com/users/2613702", "nobodycrackme")</f>
        <v>nobodycrackme</v>
      </c>
      <c r="D17894" t="s">
        <v>4</v>
      </c>
      <c r="E17894">
        <v>1</v>
      </c>
    </row>
    <row r="17895" spans="1:5" x14ac:dyDescent="0.25">
      <c r="A17895">
        <v>17894</v>
      </c>
      <c r="B17895">
        <v>2613777</v>
      </c>
      <c r="C17895" s="1" t="str">
        <f>HYPERLINK("http://stackoverflow.com/users/2613777", "Tiny656")</f>
        <v>Tiny656</v>
      </c>
      <c r="D17895" t="s">
        <v>12</v>
      </c>
      <c r="E17895">
        <v>1</v>
      </c>
    </row>
    <row r="17896" spans="1:5" x14ac:dyDescent="0.25">
      <c r="A17896">
        <v>17895</v>
      </c>
      <c r="B17896">
        <v>9777776</v>
      </c>
      <c r="C17896" s="1" t="str">
        <f>HYPERLINK("http://stackoverflow.com/users/9777776", "zhao feng")</f>
        <v>zhao feng</v>
      </c>
      <c r="D17896" t="s">
        <v>4</v>
      </c>
      <c r="E17896">
        <v>1</v>
      </c>
    </row>
    <row r="17897" spans="1:5" x14ac:dyDescent="0.25">
      <c r="A17897">
        <v>17896</v>
      </c>
      <c r="B17897">
        <v>2612784</v>
      </c>
      <c r="C17897" s="1" t="str">
        <f>HYPERLINK("http://stackoverflow.com/users/2612784", "pretendhello")</f>
        <v>pretendhello</v>
      </c>
      <c r="D17897" t="s">
        <v>4</v>
      </c>
      <c r="E17897">
        <v>1</v>
      </c>
    </row>
    <row r="17898" spans="1:5" x14ac:dyDescent="0.25">
      <c r="A17898">
        <v>17897</v>
      </c>
      <c r="B17898">
        <v>2612790</v>
      </c>
      <c r="C17898" s="1" t="str">
        <f>HYPERLINK("http://stackoverflow.com/users/2612790", "Dong  Ji")</f>
        <v>Dong  Ji</v>
      </c>
      <c r="D17898" t="s">
        <v>5</v>
      </c>
      <c r="E17898">
        <v>1</v>
      </c>
    </row>
    <row r="17899" spans="1:5" x14ac:dyDescent="0.25">
      <c r="A17899">
        <v>17898</v>
      </c>
      <c r="B17899">
        <v>7989464</v>
      </c>
      <c r="C17899" s="1" t="str">
        <f>HYPERLINK("http://stackoverflow.com/users/7989464", "user7989464")</f>
        <v>user7989464</v>
      </c>
      <c r="D17899" t="s">
        <v>36</v>
      </c>
      <c r="E17899">
        <v>1</v>
      </c>
    </row>
    <row r="17900" spans="1:5" x14ac:dyDescent="0.25">
      <c r="A17900">
        <v>17899</v>
      </c>
      <c r="B17900">
        <v>7989531</v>
      </c>
      <c r="C17900" s="1" t="str">
        <f>HYPERLINK("http://stackoverflow.com/users/7989531", "mikezhang")</f>
        <v>mikezhang</v>
      </c>
      <c r="D17900" t="s">
        <v>4</v>
      </c>
      <c r="E17900">
        <v>1</v>
      </c>
    </row>
    <row r="17901" spans="1:5" x14ac:dyDescent="0.25">
      <c r="A17901">
        <v>17900</v>
      </c>
      <c r="B17901">
        <v>7989772</v>
      </c>
      <c r="C17901" s="1" t="str">
        <f>HYPERLINK("http://stackoverflow.com/users/7989772", "LifeSoulC")</f>
        <v>LifeSoulC</v>
      </c>
      <c r="D17901" t="s">
        <v>974</v>
      </c>
      <c r="E17901">
        <v>1</v>
      </c>
    </row>
    <row r="17902" spans="1:5" x14ac:dyDescent="0.25">
      <c r="A17902">
        <v>17901</v>
      </c>
      <c r="B17902">
        <v>7989948</v>
      </c>
      <c r="C17902" s="1" t="str">
        <f>HYPERLINK("http://stackoverflow.com/users/7989948", "Jerry Wong")</f>
        <v>Jerry Wong</v>
      </c>
      <c r="D17902" t="s">
        <v>25</v>
      </c>
      <c r="E17902">
        <v>1</v>
      </c>
    </row>
    <row r="17903" spans="1:5" x14ac:dyDescent="0.25">
      <c r="A17903">
        <v>17902</v>
      </c>
      <c r="B17903">
        <v>6212239</v>
      </c>
      <c r="C17903" s="1" t="str">
        <f>HYPERLINK("http://stackoverflow.com/users/6212239", "ZTao")</f>
        <v>ZTao</v>
      </c>
      <c r="D17903" t="s">
        <v>5</v>
      </c>
      <c r="E17903">
        <v>1</v>
      </c>
    </row>
    <row r="17904" spans="1:5" x14ac:dyDescent="0.25">
      <c r="A17904">
        <v>17903</v>
      </c>
      <c r="B17904">
        <v>7989220</v>
      </c>
      <c r="C17904" s="1" t="str">
        <f>HYPERLINK("http://stackoverflow.com/users/7989220", "user7989220")</f>
        <v>user7989220</v>
      </c>
      <c r="D17904" t="s">
        <v>91</v>
      </c>
      <c r="E17904">
        <v>1</v>
      </c>
    </row>
    <row r="17905" spans="1:5" x14ac:dyDescent="0.25">
      <c r="A17905">
        <v>17904</v>
      </c>
      <c r="B17905">
        <v>7989250</v>
      </c>
      <c r="C17905" s="1" t="str">
        <f>HYPERLINK("http://stackoverflow.com/users/7989250", "shenli7")</f>
        <v>shenli7</v>
      </c>
      <c r="D17905" t="s">
        <v>5</v>
      </c>
      <c r="E17905">
        <v>1</v>
      </c>
    </row>
    <row r="17906" spans="1:5" x14ac:dyDescent="0.25">
      <c r="A17906">
        <v>17905</v>
      </c>
      <c r="B17906">
        <v>386326</v>
      </c>
      <c r="C17906" s="1" t="str">
        <f>HYPERLINK("http://stackoverflow.com/users/386326", "yinwm")</f>
        <v>yinwm</v>
      </c>
      <c r="D17906" t="s">
        <v>5</v>
      </c>
      <c r="E17906">
        <v>1</v>
      </c>
    </row>
    <row r="17907" spans="1:5" x14ac:dyDescent="0.25">
      <c r="A17907">
        <v>17906</v>
      </c>
      <c r="B17907">
        <v>9801338</v>
      </c>
      <c r="C17907" s="1" t="str">
        <f>HYPERLINK("http://stackoverflow.com/users/9801338", "Reggie Lee")</f>
        <v>Reggie Lee</v>
      </c>
      <c r="D17907" t="s">
        <v>7</v>
      </c>
      <c r="E17907">
        <v>1</v>
      </c>
    </row>
    <row r="17908" spans="1:5" x14ac:dyDescent="0.25">
      <c r="A17908">
        <v>17907</v>
      </c>
      <c r="B17908">
        <v>9801468</v>
      </c>
      <c r="C17908" s="1" t="str">
        <f>HYPERLINK("http://stackoverflow.com/users/9801468", "kevin wang")</f>
        <v>kevin wang</v>
      </c>
      <c r="D17908" t="s">
        <v>27</v>
      </c>
      <c r="E17908">
        <v>1</v>
      </c>
    </row>
    <row r="17909" spans="1:5" x14ac:dyDescent="0.25">
      <c r="A17909">
        <v>17908</v>
      </c>
      <c r="B17909">
        <v>9801520</v>
      </c>
      <c r="C17909" s="1" t="str">
        <f>HYPERLINK("http://stackoverflow.com/users/9801520", "Jack.Xu")</f>
        <v>Jack.Xu</v>
      </c>
      <c r="D17909" t="s">
        <v>5</v>
      </c>
      <c r="E17909">
        <v>1</v>
      </c>
    </row>
    <row r="17910" spans="1:5" x14ac:dyDescent="0.25">
      <c r="A17910">
        <v>17909</v>
      </c>
      <c r="B17910">
        <v>2636760</v>
      </c>
      <c r="C17910" s="1" t="str">
        <f>HYPERLINK("http://stackoverflow.com/users/2636760", "lazypeople")</f>
        <v>lazypeople</v>
      </c>
      <c r="D17910" t="s">
        <v>5</v>
      </c>
      <c r="E17910">
        <v>1</v>
      </c>
    </row>
    <row r="17911" spans="1:5" x14ac:dyDescent="0.25">
      <c r="A17911">
        <v>17910</v>
      </c>
      <c r="B17911">
        <v>2632504</v>
      </c>
      <c r="C17911" s="1" t="str">
        <f>HYPERLINK("http://stackoverflow.com/users/2632504", "Kevin Wang In Beijing China")</f>
        <v>Kevin Wang In Beijing China</v>
      </c>
      <c r="D17911" t="s">
        <v>5</v>
      </c>
      <c r="E17911">
        <v>1</v>
      </c>
    </row>
    <row r="17912" spans="1:5" x14ac:dyDescent="0.25">
      <c r="A17912">
        <v>17911</v>
      </c>
      <c r="B17912">
        <v>9797485</v>
      </c>
      <c r="C17912" s="1" t="str">
        <f>HYPERLINK("http://stackoverflow.com/users/9797485", "vanusy")</f>
        <v>vanusy</v>
      </c>
      <c r="D17912" t="s">
        <v>5</v>
      </c>
      <c r="E17912">
        <v>1</v>
      </c>
    </row>
    <row r="17913" spans="1:5" x14ac:dyDescent="0.25">
      <c r="A17913">
        <v>17912</v>
      </c>
      <c r="B17913">
        <v>9797974</v>
      </c>
      <c r="C17913" s="1" t="str">
        <f>HYPERLINK("http://stackoverflow.com/users/9797974", "utileFuzzball")</f>
        <v>utileFuzzball</v>
      </c>
      <c r="D17913" t="s">
        <v>5</v>
      </c>
      <c r="E17913">
        <v>1</v>
      </c>
    </row>
    <row r="17914" spans="1:5" x14ac:dyDescent="0.25">
      <c r="A17914">
        <v>17913</v>
      </c>
      <c r="B17914">
        <v>9798041</v>
      </c>
      <c r="C17914" s="1" t="str">
        <f>HYPERLINK("http://stackoverflow.com/users/9798041", "Xeeyn")</f>
        <v>Xeeyn</v>
      </c>
      <c r="D17914" t="s">
        <v>4</v>
      </c>
      <c r="E17914">
        <v>1</v>
      </c>
    </row>
    <row r="17915" spans="1:5" x14ac:dyDescent="0.25">
      <c r="A17915">
        <v>17914</v>
      </c>
      <c r="B17915">
        <v>7985801</v>
      </c>
      <c r="C17915" s="1" t="str">
        <f>HYPERLINK("http://stackoverflow.com/users/7985801", "Moriaty")</f>
        <v>Moriaty</v>
      </c>
      <c r="D17915" t="s">
        <v>5</v>
      </c>
      <c r="E17915">
        <v>1</v>
      </c>
    </row>
    <row r="17916" spans="1:5" x14ac:dyDescent="0.25">
      <c r="A17916">
        <v>17915</v>
      </c>
      <c r="B17916">
        <v>7985890</v>
      </c>
      <c r="C17916" s="1" t="str">
        <f>HYPERLINK("http://stackoverflow.com/users/7985890", "Tolkhen Arman")</f>
        <v>Tolkhen Arman</v>
      </c>
      <c r="D17916" t="s">
        <v>87</v>
      </c>
      <c r="E17916">
        <v>1</v>
      </c>
    </row>
    <row r="17917" spans="1:5" x14ac:dyDescent="0.25">
      <c r="A17917">
        <v>17916</v>
      </c>
      <c r="B17917">
        <v>6211767</v>
      </c>
      <c r="C17917" s="1" t="str">
        <f>HYPERLINK("http://stackoverflow.com/users/6211767", "xuchen")</f>
        <v>xuchen</v>
      </c>
      <c r="D17917" t="s">
        <v>5</v>
      </c>
      <c r="E17917">
        <v>1</v>
      </c>
    </row>
    <row r="17918" spans="1:5" x14ac:dyDescent="0.25">
      <c r="A17918">
        <v>17917</v>
      </c>
      <c r="B17918">
        <v>6211771</v>
      </c>
      <c r="C17918" s="1" t="str">
        <f>HYPERLINK("http://stackoverflow.com/users/6211771", "Elvis Wang")</f>
        <v>Elvis Wang</v>
      </c>
      <c r="D17918" t="s">
        <v>5</v>
      </c>
      <c r="E17918">
        <v>1</v>
      </c>
    </row>
    <row r="17919" spans="1:5" x14ac:dyDescent="0.25">
      <c r="A17919">
        <v>17918</v>
      </c>
      <c r="B17919">
        <v>6211775</v>
      </c>
      <c r="C17919" s="1" t="str">
        <f>HYPERLINK("http://stackoverflow.com/users/6211775", "Lujun  Zhou")</f>
        <v>Lujun  Zhou</v>
      </c>
      <c r="D17919" t="s">
        <v>7</v>
      </c>
      <c r="E17919">
        <v>1</v>
      </c>
    </row>
    <row r="17920" spans="1:5" x14ac:dyDescent="0.25">
      <c r="A17920">
        <v>17919</v>
      </c>
      <c r="B17920">
        <v>378738</v>
      </c>
      <c r="C17920" s="1" t="str">
        <f>HYPERLINK("http://stackoverflow.com/users/378738", "Wayne Feng")</f>
        <v>Wayne Feng</v>
      </c>
      <c r="D17920" t="s">
        <v>5</v>
      </c>
      <c r="E17920">
        <v>1</v>
      </c>
    </row>
    <row r="17921" spans="1:5" x14ac:dyDescent="0.25">
      <c r="A17921">
        <v>17920</v>
      </c>
      <c r="B17921">
        <v>2563921</v>
      </c>
      <c r="C17921" s="1" t="str">
        <f>HYPERLINK("http://stackoverflow.com/users/2563921", "Jesse Chen")</f>
        <v>Jesse Chen</v>
      </c>
      <c r="D17921" t="s">
        <v>90</v>
      </c>
      <c r="E17921">
        <v>1</v>
      </c>
    </row>
    <row r="17922" spans="1:5" x14ac:dyDescent="0.25">
      <c r="A17922">
        <v>17921</v>
      </c>
      <c r="B17922">
        <v>2563348</v>
      </c>
      <c r="C17922" s="1" t="str">
        <f>HYPERLINK("http://stackoverflow.com/users/2563348", "minotaur")</f>
        <v>minotaur</v>
      </c>
      <c r="D17922" t="s">
        <v>12</v>
      </c>
      <c r="E17922">
        <v>1</v>
      </c>
    </row>
    <row r="17923" spans="1:5" x14ac:dyDescent="0.25">
      <c r="A17923">
        <v>17922</v>
      </c>
      <c r="B17923">
        <v>2563532</v>
      </c>
      <c r="C17923" s="1" t="str">
        <f>HYPERLINK("http://stackoverflow.com/users/2563532", "fy_kenny")</f>
        <v>fy_kenny</v>
      </c>
      <c r="D17923" t="s">
        <v>12</v>
      </c>
      <c r="E17923">
        <v>1</v>
      </c>
    </row>
    <row r="17924" spans="1:5" x14ac:dyDescent="0.25">
      <c r="A17924">
        <v>17923</v>
      </c>
      <c r="B17924">
        <v>2563589</v>
      </c>
      <c r="C17924" s="1" t="str">
        <f>HYPERLINK("http://stackoverflow.com/users/2563589", "Feng")</f>
        <v>Feng</v>
      </c>
      <c r="D17924" t="s">
        <v>37</v>
      </c>
      <c r="E17924">
        <v>1</v>
      </c>
    </row>
    <row r="17925" spans="1:5" x14ac:dyDescent="0.25">
      <c r="A17925">
        <v>17924</v>
      </c>
      <c r="B17925">
        <v>4426199</v>
      </c>
      <c r="C17925" s="1" t="str">
        <f>HYPERLINK("http://stackoverflow.com/users/4426199", "sickworm")</f>
        <v>sickworm</v>
      </c>
      <c r="D17925" t="s">
        <v>7</v>
      </c>
      <c r="E17925">
        <v>1</v>
      </c>
    </row>
    <row r="17926" spans="1:5" x14ac:dyDescent="0.25">
      <c r="A17926">
        <v>17925</v>
      </c>
      <c r="B17926">
        <v>4427659</v>
      </c>
      <c r="C17926" s="1" t="str">
        <f>HYPERLINK("http://stackoverflow.com/users/4427659", "wayne chan")</f>
        <v>wayne chan</v>
      </c>
      <c r="D17926" t="s">
        <v>7</v>
      </c>
      <c r="E17926">
        <v>1</v>
      </c>
    </row>
    <row r="17927" spans="1:5" x14ac:dyDescent="0.25">
      <c r="A17927">
        <v>17926</v>
      </c>
      <c r="B17927">
        <v>7928612</v>
      </c>
      <c r="C17927" s="1" t="str">
        <f>HYPERLINK("http://stackoverflow.com/users/7928612", "Feng Gao")</f>
        <v>Feng Gao</v>
      </c>
      <c r="D17927" t="s">
        <v>7</v>
      </c>
      <c r="E17927">
        <v>1</v>
      </c>
    </row>
    <row r="17928" spans="1:5" x14ac:dyDescent="0.25">
      <c r="A17928">
        <v>17927</v>
      </c>
      <c r="B17928">
        <v>2564012</v>
      </c>
      <c r="C17928" s="1" t="str">
        <f>HYPERLINK("http://stackoverflow.com/users/2564012", "xx.ke")</f>
        <v>xx.ke</v>
      </c>
      <c r="D17928" t="s">
        <v>12</v>
      </c>
      <c r="E17928">
        <v>1</v>
      </c>
    </row>
    <row r="17929" spans="1:5" x14ac:dyDescent="0.25">
      <c r="A17929">
        <v>17928</v>
      </c>
      <c r="B17929">
        <v>2564706</v>
      </c>
      <c r="C17929" s="1" t="str">
        <f>HYPERLINK("http://stackoverflow.com/users/2564706", "helloyou")</f>
        <v>helloyou</v>
      </c>
      <c r="D17929" t="s">
        <v>4</v>
      </c>
      <c r="E17929">
        <v>1</v>
      </c>
    </row>
    <row r="17930" spans="1:5" x14ac:dyDescent="0.25">
      <c r="A17930">
        <v>17929</v>
      </c>
      <c r="B17930">
        <v>2564767</v>
      </c>
      <c r="C17930" s="1" t="str">
        <f>HYPERLINK("http://stackoverflow.com/users/2564767", "caomu")</f>
        <v>caomu</v>
      </c>
      <c r="D17930" t="s">
        <v>4</v>
      </c>
      <c r="E17930">
        <v>1</v>
      </c>
    </row>
    <row r="17931" spans="1:5" x14ac:dyDescent="0.25">
      <c r="A17931">
        <v>17930</v>
      </c>
      <c r="B17931">
        <v>9739082</v>
      </c>
      <c r="C17931" s="1" t="str">
        <f>HYPERLINK("http://stackoverflow.com/users/9739082", "mbinary")</f>
        <v>mbinary</v>
      </c>
      <c r="D17931" t="s">
        <v>118</v>
      </c>
      <c r="E17931">
        <v>1</v>
      </c>
    </row>
    <row r="17932" spans="1:5" x14ac:dyDescent="0.25">
      <c r="A17932">
        <v>17931</v>
      </c>
      <c r="B17932">
        <v>2572264</v>
      </c>
      <c r="C17932" s="1" t="str">
        <f>HYPERLINK("http://stackoverflow.com/users/2572264", "yuxinfeng_anxin")</f>
        <v>yuxinfeng_anxin</v>
      </c>
      <c r="D17932" t="s">
        <v>37</v>
      </c>
      <c r="E17932">
        <v>1</v>
      </c>
    </row>
    <row r="17933" spans="1:5" x14ac:dyDescent="0.25">
      <c r="A17933">
        <v>17932</v>
      </c>
      <c r="B17933">
        <v>2572269</v>
      </c>
      <c r="C17933" s="1" t="str">
        <f>HYPERLINK("http://stackoverflow.com/users/2572269", "yuchuwu")</f>
        <v>yuchuwu</v>
      </c>
      <c r="D17933" t="s">
        <v>12</v>
      </c>
      <c r="E17933">
        <v>1</v>
      </c>
    </row>
    <row r="17934" spans="1:5" x14ac:dyDescent="0.25">
      <c r="A17934">
        <v>17933</v>
      </c>
      <c r="B17934">
        <v>9747511</v>
      </c>
      <c r="C17934" s="1" t="str">
        <f>HYPERLINK("http://stackoverflow.com/users/9747511", "Kingshirly")</f>
        <v>Kingshirly</v>
      </c>
      <c r="D17934" t="s">
        <v>4</v>
      </c>
      <c r="E17934">
        <v>1</v>
      </c>
    </row>
    <row r="17935" spans="1:5" x14ac:dyDescent="0.25">
      <c r="A17935">
        <v>17934</v>
      </c>
      <c r="B17935">
        <v>4419656</v>
      </c>
      <c r="C17935" s="1" t="str">
        <f>HYPERLINK("http://stackoverflow.com/users/4419656", "ReliefZk")</f>
        <v>ReliefZk</v>
      </c>
      <c r="D17935" t="s">
        <v>12</v>
      </c>
      <c r="E17935">
        <v>1</v>
      </c>
    </row>
    <row r="17936" spans="1:5" x14ac:dyDescent="0.25">
      <c r="A17936">
        <v>17935</v>
      </c>
      <c r="B17936">
        <v>7919234</v>
      </c>
      <c r="C17936" s="1" t="str">
        <f>HYPERLINK("http://stackoverflow.com/users/7919234", "Zhechao Ma")</f>
        <v>Zhechao Ma</v>
      </c>
      <c r="D17936" t="s">
        <v>4</v>
      </c>
      <c r="E17936">
        <v>1</v>
      </c>
    </row>
    <row r="17937" spans="1:5" x14ac:dyDescent="0.25">
      <c r="A17937">
        <v>17936</v>
      </c>
      <c r="B17937">
        <v>9731257</v>
      </c>
      <c r="C17937" s="1" t="str">
        <f>HYPERLINK("http://stackoverflow.com/users/9731257", "zouhx")</f>
        <v>zouhx</v>
      </c>
      <c r="D17937" t="s">
        <v>5</v>
      </c>
      <c r="E17937">
        <v>1</v>
      </c>
    </row>
    <row r="17938" spans="1:5" x14ac:dyDescent="0.25">
      <c r="A17938">
        <v>17937</v>
      </c>
      <c r="B17938">
        <v>2557774</v>
      </c>
      <c r="C17938" s="1" t="str">
        <f>HYPERLINK("http://stackoverflow.com/users/2557774", "idouba")</f>
        <v>idouba</v>
      </c>
      <c r="D17938" t="s">
        <v>16</v>
      </c>
      <c r="E17938">
        <v>1</v>
      </c>
    </row>
    <row r="17939" spans="1:5" x14ac:dyDescent="0.25">
      <c r="A17939">
        <v>17938</v>
      </c>
      <c r="B17939">
        <v>6143599</v>
      </c>
      <c r="C17939" s="1" t="str">
        <f>HYPERLINK("http://stackoverflow.com/users/6143599", "暴走的摩的哥")</f>
        <v>暴走的摩的哥</v>
      </c>
      <c r="D17939" t="s">
        <v>28</v>
      </c>
      <c r="E17939">
        <v>1</v>
      </c>
    </row>
    <row r="17940" spans="1:5" x14ac:dyDescent="0.25">
      <c r="A17940">
        <v>17939</v>
      </c>
      <c r="B17940">
        <v>7918182</v>
      </c>
      <c r="C17940" s="1" t="str">
        <f>HYPERLINK("http://stackoverflow.com/users/7918182", "刘海龙")</f>
        <v>刘海龙</v>
      </c>
      <c r="D17940" t="s">
        <v>180</v>
      </c>
      <c r="E17940">
        <v>1</v>
      </c>
    </row>
    <row r="17941" spans="1:5" x14ac:dyDescent="0.25">
      <c r="A17941">
        <v>17940</v>
      </c>
      <c r="B17941">
        <v>7918538</v>
      </c>
      <c r="C17941" s="1" t="str">
        <f>HYPERLINK("http://stackoverflow.com/users/7918538", "ROY")</f>
        <v>ROY</v>
      </c>
      <c r="D17941" t="s">
        <v>183</v>
      </c>
      <c r="E17941">
        <v>1</v>
      </c>
    </row>
    <row r="17942" spans="1:5" x14ac:dyDescent="0.25">
      <c r="A17942">
        <v>17941</v>
      </c>
      <c r="B17942">
        <v>7918651</v>
      </c>
      <c r="C17942" s="1" t="str">
        <f>HYPERLINK("http://stackoverflow.com/users/7918651", "Jeff")</f>
        <v>Jeff</v>
      </c>
      <c r="D17942" t="s">
        <v>5</v>
      </c>
      <c r="E17942">
        <v>1</v>
      </c>
    </row>
    <row r="17943" spans="1:5" x14ac:dyDescent="0.25">
      <c r="A17943">
        <v>17942</v>
      </c>
      <c r="B17943">
        <v>7918659</v>
      </c>
      <c r="C17943" s="1" t="str">
        <f>HYPERLINK("http://stackoverflow.com/users/7918659", "Begabung")</f>
        <v>Begabung</v>
      </c>
      <c r="D17943" t="s">
        <v>27</v>
      </c>
      <c r="E17943">
        <v>1</v>
      </c>
    </row>
    <row r="17944" spans="1:5" x14ac:dyDescent="0.25">
      <c r="A17944">
        <v>17943</v>
      </c>
      <c r="B17944">
        <v>9729196</v>
      </c>
      <c r="C17944" s="1" t="str">
        <f>HYPERLINK("http://stackoverflow.com/users/9729196", "Scar")</f>
        <v>Scar</v>
      </c>
      <c r="D17944" t="s">
        <v>28</v>
      </c>
      <c r="E17944">
        <v>1</v>
      </c>
    </row>
    <row r="17945" spans="1:5" x14ac:dyDescent="0.25">
      <c r="A17945">
        <v>17944</v>
      </c>
      <c r="B17945">
        <v>9724248</v>
      </c>
      <c r="C17945" s="1" t="str">
        <f>HYPERLINK("http://stackoverflow.com/users/9724248", "Victor Kostyukov")</f>
        <v>Victor Kostyukov</v>
      </c>
      <c r="D17945" t="s">
        <v>4</v>
      </c>
      <c r="E17945">
        <v>1</v>
      </c>
    </row>
    <row r="17946" spans="1:5" x14ac:dyDescent="0.25">
      <c r="A17946">
        <v>17945</v>
      </c>
      <c r="B17946">
        <v>2548795</v>
      </c>
      <c r="C17946" s="1" t="str">
        <f>HYPERLINK("http://stackoverflow.com/users/2548795", "Annie Xu")</f>
        <v>Annie Xu</v>
      </c>
      <c r="D17946" t="s">
        <v>17</v>
      </c>
      <c r="E17946">
        <v>1</v>
      </c>
    </row>
    <row r="17947" spans="1:5" x14ac:dyDescent="0.25">
      <c r="A17947">
        <v>17946</v>
      </c>
      <c r="B17947">
        <v>6137564</v>
      </c>
      <c r="C17947" s="1" t="str">
        <f>HYPERLINK("http://stackoverflow.com/users/6137564", "webmote")</f>
        <v>webmote</v>
      </c>
      <c r="D17947" t="s">
        <v>5</v>
      </c>
      <c r="E17947">
        <v>1</v>
      </c>
    </row>
    <row r="17948" spans="1:5" x14ac:dyDescent="0.25">
      <c r="A17948">
        <v>17947</v>
      </c>
      <c r="B17948">
        <v>6137712</v>
      </c>
      <c r="C17948" s="1" t="str">
        <f>HYPERLINK("http://stackoverflow.com/users/6137712", "Zhiying Xiang")</f>
        <v>Zhiying Xiang</v>
      </c>
      <c r="D17948" t="s">
        <v>43</v>
      </c>
      <c r="E17948">
        <v>1</v>
      </c>
    </row>
    <row r="17949" spans="1:5" x14ac:dyDescent="0.25">
      <c r="A17949">
        <v>17948</v>
      </c>
      <c r="B17949">
        <v>6137719</v>
      </c>
      <c r="C17949" s="1" t="str">
        <f>HYPERLINK("http://stackoverflow.com/users/6137719", "Bo Cheng")</f>
        <v>Bo Cheng</v>
      </c>
      <c r="D17949" t="s">
        <v>12</v>
      </c>
      <c r="E17949">
        <v>1</v>
      </c>
    </row>
    <row r="17950" spans="1:5" x14ac:dyDescent="0.25">
      <c r="A17950">
        <v>17949</v>
      </c>
      <c r="B17950">
        <v>6137724</v>
      </c>
      <c r="C17950" s="1" t="str">
        <f>HYPERLINK("http://stackoverflow.com/users/6137724", "Chance")</f>
        <v>Chance</v>
      </c>
      <c r="D17950" t="s">
        <v>5</v>
      </c>
      <c r="E17950">
        <v>1</v>
      </c>
    </row>
    <row r="17951" spans="1:5" x14ac:dyDescent="0.25">
      <c r="A17951">
        <v>17950</v>
      </c>
      <c r="B17951">
        <v>7908336</v>
      </c>
      <c r="C17951" s="1" t="str">
        <f>HYPERLINK("http://stackoverflow.com/users/7908336", "Bijon")</f>
        <v>Bijon</v>
      </c>
      <c r="D17951" t="s">
        <v>5</v>
      </c>
      <c r="E17951">
        <v>1</v>
      </c>
    </row>
    <row r="17952" spans="1:5" x14ac:dyDescent="0.25">
      <c r="A17952">
        <v>17951</v>
      </c>
      <c r="B17952">
        <v>4412058</v>
      </c>
      <c r="C17952" s="1" t="str">
        <f>HYPERLINK("http://stackoverflow.com/users/4412058", "General Thalion")</f>
        <v>General Thalion</v>
      </c>
      <c r="D17952" t="s">
        <v>11</v>
      </c>
      <c r="E17952">
        <v>1</v>
      </c>
    </row>
    <row r="17953" spans="1:5" x14ac:dyDescent="0.25">
      <c r="A17953">
        <v>17952</v>
      </c>
      <c r="B17953">
        <v>7911542</v>
      </c>
      <c r="C17953" s="1" t="str">
        <f>HYPERLINK("http://stackoverflow.com/users/7911542", "whdong")</f>
        <v>whdong</v>
      </c>
      <c r="D17953" t="s">
        <v>4</v>
      </c>
      <c r="E17953">
        <v>1</v>
      </c>
    </row>
    <row r="17954" spans="1:5" x14ac:dyDescent="0.25">
      <c r="A17954">
        <v>17953</v>
      </c>
      <c r="B17954">
        <v>7911838</v>
      </c>
      <c r="C17954" s="1" t="str">
        <f>HYPERLINK("http://stackoverflow.com/users/7911838", "nanzhangren")</f>
        <v>nanzhangren</v>
      </c>
      <c r="D17954" t="s">
        <v>131</v>
      </c>
      <c r="E17954">
        <v>1</v>
      </c>
    </row>
    <row r="17955" spans="1:5" x14ac:dyDescent="0.25">
      <c r="A17955">
        <v>17954</v>
      </c>
      <c r="B17955">
        <v>7912075</v>
      </c>
      <c r="C17955" s="1" t="str">
        <f>HYPERLINK("http://stackoverflow.com/users/7912075", "tutuoo")</f>
        <v>tutuoo</v>
      </c>
      <c r="D17955" t="s">
        <v>16</v>
      </c>
      <c r="E17955">
        <v>1</v>
      </c>
    </row>
    <row r="17956" spans="1:5" x14ac:dyDescent="0.25">
      <c r="A17956">
        <v>17955</v>
      </c>
      <c r="B17956">
        <v>4414134</v>
      </c>
      <c r="C17956" s="1" t="str">
        <f>HYPERLINK("http://stackoverflow.com/users/4414134", "Zhehua Chang")</f>
        <v>Zhehua Chang</v>
      </c>
      <c r="D17956" t="s">
        <v>5</v>
      </c>
      <c r="E17956">
        <v>1</v>
      </c>
    </row>
    <row r="17957" spans="1:5" x14ac:dyDescent="0.25">
      <c r="A17957">
        <v>17956</v>
      </c>
      <c r="B17957">
        <v>4414186</v>
      </c>
      <c r="C17957" s="1" t="str">
        <f>HYPERLINK("http://stackoverflow.com/users/4414186", "Jason Cao")</f>
        <v>Jason Cao</v>
      </c>
      <c r="D17957" t="s">
        <v>4</v>
      </c>
      <c r="E17957">
        <v>1</v>
      </c>
    </row>
    <row r="17958" spans="1:5" x14ac:dyDescent="0.25">
      <c r="A17958">
        <v>17957</v>
      </c>
      <c r="B17958">
        <v>6142990</v>
      </c>
      <c r="C17958" s="1" t="str">
        <f>HYPERLINK("http://stackoverflow.com/users/6142990", "heroming")</f>
        <v>heroming</v>
      </c>
      <c r="D17958" t="s">
        <v>5</v>
      </c>
      <c r="E17958">
        <v>1</v>
      </c>
    </row>
    <row r="17959" spans="1:5" x14ac:dyDescent="0.25">
      <c r="A17959">
        <v>17958</v>
      </c>
      <c r="B17959">
        <v>9723968</v>
      </c>
      <c r="C17959" s="1" t="str">
        <f>HYPERLINK("http://stackoverflow.com/users/9723968", "Yang Hua")</f>
        <v>Yang Hua</v>
      </c>
      <c r="D17959" t="s">
        <v>55</v>
      </c>
      <c r="E17959">
        <v>1</v>
      </c>
    </row>
    <row r="17960" spans="1:5" x14ac:dyDescent="0.25">
      <c r="A17960">
        <v>17959</v>
      </c>
      <c r="B17960">
        <v>2602192</v>
      </c>
      <c r="C17960" s="1" t="str">
        <f>HYPERLINK("http://stackoverflow.com/users/2602192", "user2602192")</f>
        <v>user2602192</v>
      </c>
      <c r="D17960" t="s">
        <v>8</v>
      </c>
      <c r="E17960">
        <v>1</v>
      </c>
    </row>
    <row r="17961" spans="1:5" x14ac:dyDescent="0.25">
      <c r="A17961">
        <v>17960</v>
      </c>
      <c r="B17961">
        <v>335018</v>
      </c>
      <c r="C17961" s="1" t="str">
        <f>HYPERLINK("http://stackoverflow.com/users/335018", "ben")</f>
        <v>ben</v>
      </c>
      <c r="D17961" t="s">
        <v>4</v>
      </c>
      <c r="E17961">
        <v>1</v>
      </c>
    </row>
    <row r="17962" spans="1:5" x14ac:dyDescent="0.25">
      <c r="A17962">
        <v>17961</v>
      </c>
      <c r="B17962">
        <v>6182726</v>
      </c>
      <c r="C17962" s="1" t="str">
        <f>HYPERLINK("http://stackoverflow.com/users/6182726", "BigMaster")</f>
        <v>BigMaster</v>
      </c>
      <c r="D17962" t="s">
        <v>674</v>
      </c>
      <c r="E17962">
        <v>1</v>
      </c>
    </row>
    <row r="17963" spans="1:5" x14ac:dyDescent="0.25">
      <c r="A17963">
        <v>17962</v>
      </c>
      <c r="B17963">
        <v>6183220</v>
      </c>
      <c r="C17963" s="1" t="str">
        <f>HYPERLINK("http://stackoverflow.com/users/6183220", "mambotango")</f>
        <v>mambotango</v>
      </c>
      <c r="D17963" t="s">
        <v>4</v>
      </c>
      <c r="E17963">
        <v>1</v>
      </c>
    </row>
    <row r="17964" spans="1:5" x14ac:dyDescent="0.25">
      <c r="A17964">
        <v>17963</v>
      </c>
      <c r="B17964">
        <v>2598742</v>
      </c>
      <c r="C17964" s="1" t="str">
        <f>HYPERLINK("http://stackoverflow.com/users/2598742", "aurlio")</f>
        <v>aurlio</v>
      </c>
      <c r="D17964" t="s">
        <v>4</v>
      </c>
      <c r="E17964">
        <v>1</v>
      </c>
    </row>
    <row r="17965" spans="1:5" x14ac:dyDescent="0.25">
      <c r="A17965">
        <v>17964</v>
      </c>
      <c r="B17965">
        <v>9770386</v>
      </c>
      <c r="C17965" s="1" t="str">
        <f>HYPERLINK("http://stackoverflow.com/users/9770386", "Neeeeal")</f>
        <v>Neeeeal</v>
      </c>
      <c r="D17965" t="s">
        <v>16</v>
      </c>
      <c r="E17965">
        <v>1</v>
      </c>
    </row>
    <row r="17966" spans="1:5" x14ac:dyDescent="0.25">
      <c r="A17966">
        <v>17965</v>
      </c>
      <c r="B17966">
        <v>344626</v>
      </c>
      <c r="C17966" s="1" t="str">
        <f>HYPERLINK("http://stackoverflow.com/users/344626", "spirit23")</f>
        <v>spirit23</v>
      </c>
      <c r="D17966" t="s">
        <v>22</v>
      </c>
      <c r="E17966">
        <v>1</v>
      </c>
    </row>
    <row r="17967" spans="1:5" x14ac:dyDescent="0.25">
      <c r="A17967">
        <v>17966</v>
      </c>
      <c r="B17967">
        <v>9774141</v>
      </c>
      <c r="C17967" s="1" t="str">
        <f>HYPERLINK("http://stackoverflow.com/users/9774141", "Java Novice")</f>
        <v>Java Novice</v>
      </c>
      <c r="D17967" t="s">
        <v>16</v>
      </c>
      <c r="E17967">
        <v>1</v>
      </c>
    </row>
    <row r="17968" spans="1:5" x14ac:dyDescent="0.25">
      <c r="A17968">
        <v>17967</v>
      </c>
      <c r="B17968">
        <v>9774477</v>
      </c>
      <c r="C17968" s="1" t="str">
        <f>HYPERLINK("http://stackoverflow.com/users/9774477", "hardrockdrills")</f>
        <v>hardrockdrills</v>
      </c>
      <c r="D17968" t="s">
        <v>975</v>
      </c>
      <c r="E17968">
        <v>1</v>
      </c>
    </row>
    <row r="17969" spans="1:5" x14ac:dyDescent="0.25">
      <c r="A17969">
        <v>17968</v>
      </c>
      <c r="B17969">
        <v>6191350</v>
      </c>
      <c r="C17969" s="1" t="str">
        <f>HYPERLINK("http://stackoverflow.com/users/6191350", "zym")</f>
        <v>zym</v>
      </c>
      <c r="D17969" t="s">
        <v>976</v>
      </c>
      <c r="E17969">
        <v>1</v>
      </c>
    </row>
    <row r="17970" spans="1:5" x14ac:dyDescent="0.25">
      <c r="A17970">
        <v>17969</v>
      </c>
      <c r="B17970">
        <v>6191545</v>
      </c>
      <c r="C17970" s="1" t="str">
        <f>HYPERLINK("http://stackoverflow.com/users/6191545", "Kevin")</f>
        <v>Kevin</v>
      </c>
      <c r="D17970" t="s">
        <v>5</v>
      </c>
      <c r="E17970">
        <v>1</v>
      </c>
    </row>
    <row r="17971" spans="1:5" x14ac:dyDescent="0.25">
      <c r="A17971">
        <v>17970</v>
      </c>
      <c r="B17971">
        <v>7953153</v>
      </c>
      <c r="C17971" s="1" t="str">
        <f>HYPERLINK("http://stackoverflow.com/users/7953153", "正东 Nico")</f>
        <v>正东 Nico</v>
      </c>
      <c r="D17971" t="s">
        <v>28</v>
      </c>
      <c r="E17971">
        <v>1</v>
      </c>
    </row>
    <row r="17972" spans="1:5" x14ac:dyDescent="0.25">
      <c r="A17972">
        <v>17971</v>
      </c>
      <c r="B17972">
        <v>7953157</v>
      </c>
      <c r="C17972" s="1" t="str">
        <f>HYPERLINK("http://stackoverflow.com/users/7953157", "user7953157")</f>
        <v>user7953157</v>
      </c>
      <c r="D17972" t="s">
        <v>977</v>
      </c>
      <c r="E17972">
        <v>1</v>
      </c>
    </row>
    <row r="17973" spans="1:5" x14ac:dyDescent="0.25">
      <c r="A17973">
        <v>17972</v>
      </c>
      <c r="B17973">
        <v>6175171</v>
      </c>
      <c r="C17973" s="1" t="str">
        <f>HYPERLINK("http://stackoverflow.com/users/6175171", "Mr.Mitol")</f>
        <v>Mr.Mitol</v>
      </c>
      <c r="D17973" t="s">
        <v>78</v>
      </c>
      <c r="E17973">
        <v>1</v>
      </c>
    </row>
    <row r="17974" spans="1:5" x14ac:dyDescent="0.25">
      <c r="A17974">
        <v>17973</v>
      </c>
      <c r="B17974">
        <v>9764263</v>
      </c>
      <c r="C17974" s="1" t="str">
        <f>HYPERLINK("http://stackoverflow.com/users/9764263", "E.W")</f>
        <v>E.W</v>
      </c>
      <c r="D17974" t="s">
        <v>5</v>
      </c>
      <c r="E17974">
        <v>1</v>
      </c>
    </row>
    <row r="17975" spans="1:5" x14ac:dyDescent="0.25">
      <c r="A17975">
        <v>17974</v>
      </c>
      <c r="B17975">
        <v>7948077</v>
      </c>
      <c r="C17975" s="1" t="str">
        <f>HYPERLINK("http://stackoverflow.com/users/7948077", "daixinye")</f>
        <v>daixinye</v>
      </c>
      <c r="D17975" t="s">
        <v>16</v>
      </c>
      <c r="E17975">
        <v>1</v>
      </c>
    </row>
    <row r="17976" spans="1:5" x14ac:dyDescent="0.25">
      <c r="A17976">
        <v>17975</v>
      </c>
      <c r="B17976">
        <v>7943156</v>
      </c>
      <c r="C17976" s="1" t="str">
        <f>HYPERLINK("http://stackoverflow.com/users/7943156", "ibafly")</f>
        <v>ibafly</v>
      </c>
      <c r="D17976" t="s">
        <v>16</v>
      </c>
      <c r="E17976">
        <v>1</v>
      </c>
    </row>
    <row r="17977" spans="1:5" x14ac:dyDescent="0.25">
      <c r="A17977">
        <v>17976</v>
      </c>
      <c r="B17977">
        <v>7943245</v>
      </c>
      <c r="C17977" s="1" t="str">
        <f>HYPERLINK("http://stackoverflow.com/users/7943245", "qianfanglei")</f>
        <v>qianfanglei</v>
      </c>
      <c r="D17977" t="s">
        <v>16</v>
      </c>
      <c r="E17977">
        <v>1</v>
      </c>
    </row>
    <row r="17978" spans="1:5" x14ac:dyDescent="0.25">
      <c r="A17978">
        <v>17977</v>
      </c>
      <c r="B17978">
        <v>7943582</v>
      </c>
      <c r="C17978" s="1" t="str">
        <f>HYPERLINK("http://stackoverflow.com/users/7943582", "Grant Yang")</f>
        <v>Grant Yang</v>
      </c>
      <c r="D17978" t="s">
        <v>184</v>
      </c>
      <c r="E17978">
        <v>1</v>
      </c>
    </row>
    <row r="17979" spans="1:5" x14ac:dyDescent="0.25">
      <c r="A17979">
        <v>17978</v>
      </c>
      <c r="B17979">
        <v>7943907</v>
      </c>
      <c r="C17979" s="1" t="str">
        <f>HYPERLINK("http://stackoverflow.com/users/7943907", "Jusn")</f>
        <v>Jusn</v>
      </c>
      <c r="D17979" t="s">
        <v>4</v>
      </c>
      <c r="E17979">
        <v>1</v>
      </c>
    </row>
    <row r="17980" spans="1:5" x14ac:dyDescent="0.25">
      <c r="A17980">
        <v>17979</v>
      </c>
      <c r="B17980">
        <v>7943953</v>
      </c>
      <c r="C17980" s="1" t="str">
        <f>HYPERLINK("http://stackoverflow.com/users/7943953", "Hongliang Wang")</f>
        <v>Hongliang Wang</v>
      </c>
      <c r="D17980" t="s">
        <v>5</v>
      </c>
      <c r="E17980">
        <v>1</v>
      </c>
    </row>
    <row r="17981" spans="1:5" x14ac:dyDescent="0.25">
      <c r="A17981">
        <v>17980</v>
      </c>
      <c r="B17981">
        <v>7944068</v>
      </c>
      <c r="C17981" s="1" t="str">
        <f>HYPERLINK("http://stackoverflow.com/users/7944068", "拥抱广阔世界")</f>
        <v>拥抱广阔世界</v>
      </c>
      <c r="D17981" t="s">
        <v>79</v>
      </c>
      <c r="E17981">
        <v>1</v>
      </c>
    </row>
    <row r="17982" spans="1:5" x14ac:dyDescent="0.25">
      <c r="A17982">
        <v>17981</v>
      </c>
      <c r="B17982">
        <v>4443670</v>
      </c>
      <c r="C17982" s="1" t="str">
        <f>HYPERLINK("http://stackoverflow.com/users/4443670", "W.Z.Hai")</f>
        <v>W.Z.Hai</v>
      </c>
      <c r="D17982" t="s">
        <v>4</v>
      </c>
      <c r="E17982">
        <v>1</v>
      </c>
    </row>
    <row r="17983" spans="1:5" x14ac:dyDescent="0.25">
      <c r="A17983">
        <v>17982</v>
      </c>
      <c r="B17983">
        <v>6171512</v>
      </c>
      <c r="C17983" s="1" t="str">
        <f>HYPERLINK("http://stackoverflow.com/users/6171512", "ssssyoki")</f>
        <v>ssssyoki</v>
      </c>
      <c r="D17983" t="s">
        <v>16</v>
      </c>
      <c r="E17983">
        <v>1</v>
      </c>
    </row>
    <row r="17984" spans="1:5" x14ac:dyDescent="0.25">
      <c r="A17984">
        <v>17983</v>
      </c>
      <c r="B17984">
        <v>6171931</v>
      </c>
      <c r="C17984" s="1" t="str">
        <f>HYPERLINK("http://stackoverflow.com/users/6171931", "He Cao")</f>
        <v>He Cao</v>
      </c>
      <c r="D17984" t="s">
        <v>4</v>
      </c>
      <c r="E17984">
        <v>1</v>
      </c>
    </row>
    <row r="17985" spans="1:5" x14ac:dyDescent="0.25">
      <c r="A17985">
        <v>17984</v>
      </c>
      <c r="B17985">
        <v>313429</v>
      </c>
      <c r="C17985" s="1" t="str">
        <f>HYPERLINK("http://stackoverflow.com/users/313429", "Bob Feng")</f>
        <v>Bob Feng</v>
      </c>
      <c r="D17985" t="s">
        <v>5</v>
      </c>
      <c r="E17985">
        <v>1</v>
      </c>
    </row>
    <row r="17986" spans="1:5" x14ac:dyDescent="0.25">
      <c r="A17986">
        <v>17985</v>
      </c>
      <c r="B17986">
        <v>2591046</v>
      </c>
      <c r="C17986" s="1" t="str">
        <f>HYPERLINK("http://stackoverflow.com/users/2591046", "shimonxin")</f>
        <v>shimonxin</v>
      </c>
      <c r="D17986" t="s">
        <v>5</v>
      </c>
      <c r="E17986">
        <v>1</v>
      </c>
    </row>
    <row r="17987" spans="1:5" x14ac:dyDescent="0.25">
      <c r="A17987">
        <v>17986</v>
      </c>
      <c r="B17987">
        <v>6168091</v>
      </c>
      <c r="C17987" s="1" t="str">
        <f>HYPERLINK("http://stackoverflow.com/users/6168091", "Felix Tam")</f>
        <v>Felix Tam</v>
      </c>
      <c r="D17987" t="s">
        <v>7</v>
      </c>
      <c r="E17987">
        <v>1</v>
      </c>
    </row>
    <row r="17988" spans="1:5" x14ac:dyDescent="0.25">
      <c r="A17988">
        <v>17987</v>
      </c>
      <c r="B17988">
        <v>6168463</v>
      </c>
      <c r="C17988" s="1" t="str">
        <f>HYPERLINK("http://stackoverflow.com/users/6168463", "liuwons")</f>
        <v>liuwons</v>
      </c>
      <c r="D17988" t="s">
        <v>4</v>
      </c>
      <c r="E17988">
        <v>1</v>
      </c>
    </row>
    <row r="17989" spans="1:5" x14ac:dyDescent="0.25">
      <c r="A17989">
        <v>17988</v>
      </c>
      <c r="B17989">
        <v>2581011</v>
      </c>
      <c r="C17989" s="1" t="str">
        <f>HYPERLINK("http://stackoverflow.com/users/2581011", "fancy2110")</f>
        <v>fancy2110</v>
      </c>
      <c r="D17989" t="s">
        <v>5</v>
      </c>
      <c r="E17989">
        <v>1</v>
      </c>
    </row>
    <row r="17990" spans="1:5" x14ac:dyDescent="0.25">
      <c r="A17990">
        <v>17989</v>
      </c>
      <c r="B17990">
        <v>6048258</v>
      </c>
      <c r="C17990" s="1" t="str">
        <f>HYPERLINK("http://stackoverflow.com/users/6048258", "任冠宇")</f>
        <v>任冠宇</v>
      </c>
      <c r="D17990" t="s">
        <v>5</v>
      </c>
      <c r="E17990">
        <v>1</v>
      </c>
    </row>
    <row r="17991" spans="1:5" x14ac:dyDescent="0.25">
      <c r="A17991">
        <v>17990</v>
      </c>
      <c r="B17991">
        <v>9618141</v>
      </c>
      <c r="C17991" s="1" t="str">
        <f>HYPERLINK("http://stackoverflow.com/users/9618141", "Nicekiller231")</f>
        <v>Nicekiller231</v>
      </c>
      <c r="D17991" t="s">
        <v>5</v>
      </c>
      <c r="E17991">
        <v>1</v>
      </c>
    </row>
    <row r="17992" spans="1:5" x14ac:dyDescent="0.25">
      <c r="A17992">
        <v>17991</v>
      </c>
      <c r="B17992">
        <v>9618247</v>
      </c>
      <c r="C17992" s="1" t="str">
        <f>HYPERLINK("http://stackoverflow.com/users/9618247", "Wayne Wang")</f>
        <v>Wayne Wang</v>
      </c>
      <c r="D17992" t="s">
        <v>4</v>
      </c>
      <c r="E17992">
        <v>1</v>
      </c>
    </row>
    <row r="17993" spans="1:5" x14ac:dyDescent="0.25">
      <c r="A17993">
        <v>17992</v>
      </c>
      <c r="B17993">
        <v>9618280</v>
      </c>
      <c r="C17993" s="1" t="str">
        <f>HYPERLINK("http://stackoverflow.com/users/9618280", "Justin Liang")</f>
        <v>Justin Liang</v>
      </c>
      <c r="D17993" t="s">
        <v>5</v>
      </c>
      <c r="E17993">
        <v>1</v>
      </c>
    </row>
    <row r="17994" spans="1:5" x14ac:dyDescent="0.25">
      <c r="A17994">
        <v>17993</v>
      </c>
      <c r="B17994">
        <v>9618507</v>
      </c>
      <c r="C17994" s="1" t="str">
        <f>HYPERLINK("http://stackoverflow.com/users/9618507", "Yulong")</f>
        <v>Yulong</v>
      </c>
      <c r="D17994" t="s">
        <v>5</v>
      </c>
      <c r="E17994">
        <v>1</v>
      </c>
    </row>
    <row r="17995" spans="1:5" x14ac:dyDescent="0.25">
      <c r="A17995">
        <v>17994</v>
      </c>
      <c r="B17995">
        <v>9618570</v>
      </c>
      <c r="C17995" s="1" t="str">
        <f>HYPERLINK("http://stackoverflow.com/users/9618570", "竹田伊織")</f>
        <v>竹田伊織</v>
      </c>
      <c r="D17995" t="s">
        <v>5</v>
      </c>
      <c r="E17995">
        <v>1</v>
      </c>
    </row>
    <row r="17996" spans="1:5" x14ac:dyDescent="0.25">
      <c r="A17996">
        <v>17995</v>
      </c>
      <c r="B17996">
        <v>6053841</v>
      </c>
      <c r="C17996" s="1" t="str">
        <f>HYPERLINK("http://stackoverflow.com/users/6053841", "drelang")</f>
        <v>drelang</v>
      </c>
      <c r="D17996" t="s">
        <v>157</v>
      </c>
      <c r="E17996">
        <v>1</v>
      </c>
    </row>
    <row r="17997" spans="1:5" x14ac:dyDescent="0.25">
      <c r="A17997">
        <v>17996</v>
      </c>
      <c r="B17997">
        <v>6056805</v>
      </c>
      <c r="C17997" s="1" t="str">
        <f>HYPERLINK("http://stackoverflow.com/users/6056805", "Chiang")</f>
        <v>Chiang</v>
      </c>
      <c r="D17997" t="s">
        <v>16</v>
      </c>
      <c r="E17997">
        <v>1</v>
      </c>
    </row>
    <row r="17998" spans="1:5" x14ac:dyDescent="0.25">
      <c r="A17998">
        <v>17997</v>
      </c>
      <c r="B17998">
        <v>9625490</v>
      </c>
      <c r="C17998" s="1" t="str">
        <f>HYPERLINK("http://stackoverflow.com/users/9625490", "user9625490")</f>
        <v>user9625490</v>
      </c>
      <c r="D17998" t="s">
        <v>52</v>
      </c>
      <c r="E17998">
        <v>1</v>
      </c>
    </row>
    <row r="17999" spans="1:5" x14ac:dyDescent="0.25">
      <c r="A17999">
        <v>17998</v>
      </c>
      <c r="B17999">
        <v>9628301</v>
      </c>
      <c r="C17999" s="1" t="str">
        <f>HYPERLINK("http://stackoverflow.com/users/9628301", "Peter Xu")</f>
        <v>Peter Xu</v>
      </c>
      <c r="D17999" t="s">
        <v>7</v>
      </c>
      <c r="E17999">
        <v>1</v>
      </c>
    </row>
    <row r="18000" spans="1:5" x14ac:dyDescent="0.25">
      <c r="A18000">
        <v>17999</v>
      </c>
      <c r="B18000">
        <v>9628302</v>
      </c>
      <c r="C18000" s="1" t="str">
        <f>HYPERLINK("http://stackoverflow.com/users/9628302", "Jambo Zhang")</f>
        <v>Jambo Zhang</v>
      </c>
      <c r="D18000" t="s">
        <v>163</v>
      </c>
      <c r="E18000">
        <v>1</v>
      </c>
    </row>
    <row r="18001" spans="1:5" x14ac:dyDescent="0.25">
      <c r="A18001">
        <v>18000</v>
      </c>
      <c r="B18001">
        <v>9628552</v>
      </c>
      <c r="C18001" s="1" t="str">
        <f>HYPERLINK("http://stackoverflow.com/users/9628552", "chaney")</f>
        <v>chaney</v>
      </c>
      <c r="D18001" t="s">
        <v>5</v>
      </c>
      <c r="E18001">
        <v>1</v>
      </c>
    </row>
    <row r="18002" spans="1:5" x14ac:dyDescent="0.25">
      <c r="A18002">
        <v>18001</v>
      </c>
      <c r="B18002">
        <v>9628934</v>
      </c>
      <c r="C18002" s="1" t="str">
        <f>HYPERLINK("http://stackoverflow.com/users/9628934", "Tianyu")</f>
        <v>Tianyu</v>
      </c>
      <c r="D18002" t="s">
        <v>5</v>
      </c>
      <c r="E18002">
        <v>1</v>
      </c>
    </row>
    <row r="18003" spans="1:5" x14ac:dyDescent="0.25">
      <c r="A18003">
        <v>18002</v>
      </c>
      <c r="B18003">
        <v>9617873</v>
      </c>
      <c r="C18003" s="1" t="str">
        <f>HYPERLINK("http://stackoverflow.com/users/9617873", "ouyangjj")</f>
        <v>ouyangjj</v>
      </c>
      <c r="D18003" t="s">
        <v>78</v>
      </c>
      <c r="E18003">
        <v>1</v>
      </c>
    </row>
    <row r="18004" spans="1:5" x14ac:dyDescent="0.25">
      <c r="A18004">
        <v>18003</v>
      </c>
      <c r="B18004">
        <v>6047651</v>
      </c>
      <c r="C18004" s="1" t="str">
        <f>HYPERLINK("http://stackoverflow.com/users/6047651", "JustinChou")</f>
        <v>JustinChou</v>
      </c>
      <c r="D18004" t="s">
        <v>4</v>
      </c>
      <c r="E18004">
        <v>1</v>
      </c>
    </row>
    <row r="18005" spans="1:5" x14ac:dyDescent="0.25">
      <c r="A18005">
        <v>18004</v>
      </c>
      <c r="B18005">
        <v>6047787</v>
      </c>
      <c r="C18005" s="1" t="str">
        <f>HYPERLINK("http://stackoverflow.com/users/6047787", "LeeMoo")</f>
        <v>LeeMoo</v>
      </c>
      <c r="D18005" t="s">
        <v>7</v>
      </c>
      <c r="E18005">
        <v>1</v>
      </c>
    </row>
    <row r="18006" spans="1:5" x14ac:dyDescent="0.25">
      <c r="A18006">
        <v>18005</v>
      </c>
      <c r="B18006">
        <v>6047902</v>
      </c>
      <c r="C18006" s="1" t="str">
        <f>HYPERLINK("http://stackoverflow.com/users/6047902", "Hzw-PHPer")</f>
        <v>Hzw-PHPer</v>
      </c>
      <c r="D18006" t="s">
        <v>25</v>
      </c>
      <c r="E18006">
        <v>1</v>
      </c>
    </row>
    <row r="18007" spans="1:5" x14ac:dyDescent="0.25">
      <c r="A18007">
        <v>18006</v>
      </c>
      <c r="B18007">
        <v>6047909</v>
      </c>
      <c r="C18007" s="1" t="str">
        <f>HYPERLINK("http://stackoverflow.com/users/6047909", "Luyuan Lee")</f>
        <v>Luyuan Lee</v>
      </c>
      <c r="D18007" t="s">
        <v>52</v>
      </c>
      <c r="E18007">
        <v>1</v>
      </c>
    </row>
    <row r="18008" spans="1:5" x14ac:dyDescent="0.25">
      <c r="A18008">
        <v>18007</v>
      </c>
      <c r="B18008">
        <v>6047938</v>
      </c>
      <c r="C18008" s="1" t="str">
        <f>HYPERLINK("http://stackoverflow.com/users/6047938", "zhuhy2010")</f>
        <v>zhuhy2010</v>
      </c>
      <c r="D18008" t="s">
        <v>91</v>
      </c>
      <c r="E18008">
        <v>1</v>
      </c>
    </row>
    <row r="18009" spans="1:5" x14ac:dyDescent="0.25">
      <c r="A18009">
        <v>18008</v>
      </c>
      <c r="B18009">
        <v>6050405</v>
      </c>
      <c r="C18009" s="1" t="str">
        <f>HYPERLINK("http://stackoverflow.com/users/6050405", "mark")</f>
        <v>mark</v>
      </c>
      <c r="D18009" t="s">
        <v>16</v>
      </c>
      <c r="E18009">
        <v>1</v>
      </c>
    </row>
    <row r="18010" spans="1:5" x14ac:dyDescent="0.25">
      <c r="A18010">
        <v>18009</v>
      </c>
      <c r="B18010">
        <v>6051067</v>
      </c>
      <c r="C18010" s="1" t="str">
        <f>HYPERLINK("http://stackoverflow.com/users/6051067", "Wu_Jiangyong")</f>
        <v>Wu_Jiangyong</v>
      </c>
      <c r="D18010" t="s">
        <v>5</v>
      </c>
      <c r="E18010">
        <v>1</v>
      </c>
    </row>
    <row r="18011" spans="1:5" x14ac:dyDescent="0.25">
      <c r="A18011">
        <v>18010</v>
      </c>
      <c r="B18011">
        <v>9621726</v>
      </c>
      <c r="C18011" s="1" t="str">
        <f>HYPERLINK("http://stackoverflow.com/users/9621726", "Kristie")</f>
        <v>Kristie</v>
      </c>
      <c r="D18011" t="s">
        <v>97</v>
      </c>
      <c r="E18011">
        <v>1</v>
      </c>
    </row>
    <row r="18012" spans="1:5" x14ac:dyDescent="0.25">
      <c r="A18012">
        <v>18011</v>
      </c>
      <c r="B18012">
        <v>9621782</v>
      </c>
      <c r="C18012" s="1" t="str">
        <f>HYPERLINK("http://stackoverflow.com/users/9621782", "jorogbat xaja")</f>
        <v>jorogbat xaja</v>
      </c>
      <c r="D18012" t="s">
        <v>315</v>
      </c>
      <c r="E18012">
        <v>1</v>
      </c>
    </row>
    <row r="18013" spans="1:5" x14ac:dyDescent="0.25">
      <c r="A18013">
        <v>18012</v>
      </c>
      <c r="B18013">
        <v>9622259</v>
      </c>
      <c r="C18013" s="1" t="str">
        <f>HYPERLINK("http://stackoverflow.com/users/9622259", "skyli")</f>
        <v>skyli</v>
      </c>
      <c r="D18013" t="s">
        <v>55</v>
      </c>
      <c r="E18013">
        <v>1</v>
      </c>
    </row>
    <row r="18014" spans="1:5" x14ac:dyDescent="0.25">
      <c r="A18014">
        <v>18013</v>
      </c>
      <c r="B18014">
        <v>4322757</v>
      </c>
      <c r="C18014" s="1" t="str">
        <f>HYPERLINK("http://stackoverflow.com/users/4322757", "Jake iOS")</f>
        <v>Jake iOS</v>
      </c>
      <c r="D18014" t="s">
        <v>5</v>
      </c>
      <c r="E18014">
        <v>1</v>
      </c>
    </row>
    <row r="18015" spans="1:5" x14ac:dyDescent="0.25">
      <c r="A18015">
        <v>18014</v>
      </c>
      <c r="B18015">
        <v>4322790</v>
      </c>
      <c r="C18015" s="1" t="str">
        <f>HYPERLINK("http://stackoverflow.com/users/4322790", "Shea Wu")</f>
        <v>Shea Wu</v>
      </c>
      <c r="D18015" t="s">
        <v>37</v>
      </c>
      <c r="E18015">
        <v>1</v>
      </c>
    </row>
    <row r="18016" spans="1:5" x14ac:dyDescent="0.25">
      <c r="A18016">
        <v>18015</v>
      </c>
      <c r="B18016">
        <v>6045471</v>
      </c>
      <c r="C18016" s="1" t="str">
        <f>HYPERLINK("http://stackoverflow.com/users/6045471", "Zhikai Ma")</f>
        <v>Zhikai Ma</v>
      </c>
      <c r="D18016" t="s">
        <v>4</v>
      </c>
      <c r="E18016">
        <v>1</v>
      </c>
    </row>
    <row r="18017" spans="1:5" x14ac:dyDescent="0.25">
      <c r="A18017">
        <v>18016</v>
      </c>
      <c r="B18017">
        <v>7797764</v>
      </c>
      <c r="C18017" s="1" t="str">
        <f>HYPERLINK("http://stackoverflow.com/users/7797764", "vincentgu")</f>
        <v>vincentgu</v>
      </c>
      <c r="D18017" t="s">
        <v>4</v>
      </c>
      <c r="E18017">
        <v>1</v>
      </c>
    </row>
    <row r="18018" spans="1:5" x14ac:dyDescent="0.25">
      <c r="A18018">
        <v>18017</v>
      </c>
      <c r="B18018">
        <v>9613692</v>
      </c>
      <c r="C18018" s="1" t="str">
        <f>HYPERLINK("http://stackoverflow.com/users/9613692", "Bingtan Lu")</f>
        <v>Bingtan Lu</v>
      </c>
      <c r="D18018" t="s">
        <v>4</v>
      </c>
      <c r="E18018">
        <v>1</v>
      </c>
    </row>
    <row r="18019" spans="1:5" x14ac:dyDescent="0.25">
      <c r="A18019">
        <v>18018</v>
      </c>
      <c r="B18019">
        <v>9613726</v>
      </c>
      <c r="C18019" s="1" t="str">
        <f>HYPERLINK("http://stackoverflow.com/users/9613726", "skiworld")</f>
        <v>skiworld</v>
      </c>
      <c r="D18019" t="s">
        <v>28</v>
      </c>
      <c r="E18019">
        <v>1</v>
      </c>
    </row>
    <row r="18020" spans="1:5" x14ac:dyDescent="0.25">
      <c r="A18020">
        <v>18019</v>
      </c>
      <c r="B18020">
        <v>9614113</v>
      </c>
      <c r="C18020" s="1" t="str">
        <f>HYPERLINK("http://stackoverflow.com/users/9614113", "TonyXiao2018")</f>
        <v>TonyXiao2018</v>
      </c>
      <c r="D18020" t="s">
        <v>4</v>
      </c>
      <c r="E18020">
        <v>1</v>
      </c>
    </row>
    <row r="18021" spans="1:5" x14ac:dyDescent="0.25">
      <c r="A18021">
        <v>18020</v>
      </c>
      <c r="B18021">
        <v>9614142</v>
      </c>
      <c r="C18021" s="1" t="str">
        <f>HYPERLINK("http://stackoverflow.com/users/9614142", "漆玉婷")</f>
        <v>漆玉婷</v>
      </c>
      <c r="D18021" t="s">
        <v>12</v>
      </c>
      <c r="E18021">
        <v>1</v>
      </c>
    </row>
    <row r="18022" spans="1:5" x14ac:dyDescent="0.25">
      <c r="A18022">
        <v>18021</v>
      </c>
      <c r="B18022">
        <v>9614335</v>
      </c>
      <c r="C18022" s="1" t="str">
        <f>HYPERLINK("http://stackoverflow.com/users/9614335", "Jing Ding")</f>
        <v>Jing Ding</v>
      </c>
      <c r="D18022" t="s">
        <v>4</v>
      </c>
      <c r="E18022">
        <v>1</v>
      </c>
    </row>
    <row r="18023" spans="1:5" x14ac:dyDescent="0.25">
      <c r="A18023">
        <v>18022</v>
      </c>
      <c r="B18023">
        <v>4310105</v>
      </c>
      <c r="C18023" s="1" t="str">
        <f>HYPERLINK("http://stackoverflow.com/users/4310105", "chobitly")</f>
        <v>chobitly</v>
      </c>
      <c r="D18023" t="s">
        <v>4</v>
      </c>
      <c r="E18023">
        <v>1</v>
      </c>
    </row>
    <row r="18024" spans="1:5" x14ac:dyDescent="0.25">
      <c r="A18024">
        <v>18023</v>
      </c>
      <c r="B18024">
        <v>2428869</v>
      </c>
      <c r="C18024" s="1" t="str">
        <f>HYPERLINK("http://stackoverflow.com/users/2428869", "troyguo")</f>
        <v>troyguo</v>
      </c>
      <c r="D18024" t="s">
        <v>4</v>
      </c>
      <c r="E18024">
        <v>1</v>
      </c>
    </row>
    <row r="18025" spans="1:5" x14ac:dyDescent="0.25">
      <c r="A18025">
        <v>18024</v>
      </c>
      <c r="B18025">
        <v>7800121</v>
      </c>
      <c r="C18025" s="1" t="str">
        <f>HYPERLINK("http://stackoverflow.com/users/7800121", "wuzy")</f>
        <v>wuzy</v>
      </c>
      <c r="D18025" t="s">
        <v>118</v>
      </c>
      <c r="E18025">
        <v>1</v>
      </c>
    </row>
    <row r="18026" spans="1:5" x14ac:dyDescent="0.25">
      <c r="A18026">
        <v>18025</v>
      </c>
      <c r="B18026">
        <v>7800198</v>
      </c>
      <c r="C18026" s="1" t="str">
        <f>HYPERLINK("http://stackoverflow.com/users/7800198", "宋雅楠")</f>
        <v>宋雅楠</v>
      </c>
      <c r="D18026" t="s">
        <v>57</v>
      </c>
      <c r="E18026">
        <v>1</v>
      </c>
    </row>
    <row r="18027" spans="1:5" x14ac:dyDescent="0.25">
      <c r="A18027">
        <v>18026</v>
      </c>
      <c r="B18027">
        <v>7800227</v>
      </c>
      <c r="C18027" s="1" t="str">
        <f>HYPERLINK("http://stackoverflow.com/users/7800227", "Sibel")</f>
        <v>Sibel</v>
      </c>
      <c r="D18027" t="s">
        <v>5</v>
      </c>
      <c r="E18027">
        <v>1</v>
      </c>
    </row>
    <row r="18028" spans="1:5" x14ac:dyDescent="0.25">
      <c r="A18028">
        <v>18027</v>
      </c>
      <c r="B18028">
        <v>7800514</v>
      </c>
      <c r="C18028" s="1" t="str">
        <f>HYPERLINK("http://stackoverflow.com/users/7800514", "Chunxi Wang")</f>
        <v>Chunxi Wang</v>
      </c>
      <c r="D18028" t="s">
        <v>266</v>
      </c>
      <c r="E18028">
        <v>1</v>
      </c>
    </row>
    <row r="18029" spans="1:5" x14ac:dyDescent="0.25">
      <c r="A18029">
        <v>18028</v>
      </c>
      <c r="B18029">
        <v>7800552</v>
      </c>
      <c r="C18029" s="1" t="str">
        <f>HYPERLINK("http://stackoverflow.com/users/7800552", "Jacky Hu")</f>
        <v>Jacky Hu</v>
      </c>
      <c r="D18029" t="s">
        <v>16</v>
      </c>
      <c r="E18029">
        <v>1</v>
      </c>
    </row>
    <row r="18030" spans="1:5" x14ac:dyDescent="0.25">
      <c r="A18030">
        <v>18029</v>
      </c>
      <c r="B18030">
        <v>7800637</v>
      </c>
      <c r="C18030" s="1" t="str">
        <f>HYPERLINK("http://stackoverflow.com/users/7800637", "Jason Wei")</f>
        <v>Jason Wei</v>
      </c>
      <c r="D18030" t="s">
        <v>43</v>
      </c>
      <c r="E18030">
        <v>1</v>
      </c>
    </row>
    <row r="18031" spans="1:5" x14ac:dyDescent="0.25">
      <c r="A18031">
        <v>18030</v>
      </c>
      <c r="B18031">
        <v>7800638</v>
      </c>
      <c r="C18031" s="1" t="str">
        <f>HYPERLINK("http://stackoverflow.com/users/7800638", "Ringo")</f>
        <v>Ringo</v>
      </c>
      <c r="D18031" t="s">
        <v>5</v>
      </c>
      <c r="E18031">
        <v>1</v>
      </c>
    </row>
    <row r="18032" spans="1:5" x14ac:dyDescent="0.25">
      <c r="A18032">
        <v>18031</v>
      </c>
      <c r="B18032">
        <v>7800679</v>
      </c>
      <c r="C18032" s="1" t="str">
        <f>HYPERLINK("http://stackoverflow.com/users/7800679", "Grace Zhang")</f>
        <v>Grace Zhang</v>
      </c>
      <c r="D18032" t="s">
        <v>28</v>
      </c>
      <c r="E18032">
        <v>1</v>
      </c>
    </row>
    <row r="18033" spans="1:5" x14ac:dyDescent="0.25">
      <c r="A18033">
        <v>18032</v>
      </c>
      <c r="B18033">
        <v>6040059</v>
      </c>
      <c r="C18033" s="1" t="str">
        <f>HYPERLINK("http://stackoverflow.com/users/6040059", "michelkern")</f>
        <v>michelkern</v>
      </c>
      <c r="D18033" t="s">
        <v>4</v>
      </c>
      <c r="E18033">
        <v>1</v>
      </c>
    </row>
    <row r="18034" spans="1:5" x14ac:dyDescent="0.25">
      <c r="A18034">
        <v>18033</v>
      </c>
      <c r="B18034">
        <v>6040090</v>
      </c>
      <c r="C18034" s="1" t="str">
        <f>HYPERLINK("http://stackoverflow.com/users/6040090", "Baffin Lee")</f>
        <v>Baffin Lee</v>
      </c>
      <c r="D18034" t="s">
        <v>25</v>
      </c>
      <c r="E18034">
        <v>1</v>
      </c>
    </row>
    <row r="18035" spans="1:5" x14ac:dyDescent="0.25">
      <c r="A18035">
        <v>18034</v>
      </c>
      <c r="B18035">
        <v>6040239</v>
      </c>
      <c r="C18035" s="1" t="str">
        <f>HYPERLINK("http://stackoverflow.com/users/6040239", "Xiaoguang LIU")</f>
        <v>Xiaoguang LIU</v>
      </c>
      <c r="D18035" t="s">
        <v>7</v>
      </c>
      <c r="E18035">
        <v>1</v>
      </c>
    </row>
    <row r="18036" spans="1:5" x14ac:dyDescent="0.25">
      <c r="A18036">
        <v>18035</v>
      </c>
      <c r="B18036">
        <v>4308816</v>
      </c>
      <c r="C18036" s="1" t="str">
        <f>HYPERLINK("http://stackoverflow.com/users/4308816", "Jiahao Li")</f>
        <v>Jiahao Li</v>
      </c>
      <c r="D18036" t="s">
        <v>5</v>
      </c>
      <c r="E18036">
        <v>1</v>
      </c>
    </row>
    <row r="18037" spans="1:5" x14ac:dyDescent="0.25">
      <c r="A18037">
        <v>18036</v>
      </c>
      <c r="B18037">
        <v>6037126</v>
      </c>
      <c r="C18037" s="1" t="str">
        <f>HYPERLINK("http://stackoverflow.com/users/6037126", "ThunderLT")</f>
        <v>ThunderLT</v>
      </c>
      <c r="D18037" t="s">
        <v>5</v>
      </c>
      <c r="E18037">
        <v>1</v>
      </c>
    </row>
    <row r="18038" spans="1:5" x14ac:dyDescent="0.25">
      <c r="A18038">
        <v>18037</v>
      </c>
      <c r="B18038">
        <v>6037633</v>
      </c>
      <c r="C18038" s="1" t="str">
        <f>HYPERLINK("http://stackoverflow.com/users/6037633", "KyLin")</f>
        <v>KyLin</v>
      </c>
      <c r="D18038" t="s">
        <v>5</v>
      </c>
      <c r="E18038">
        <v>1</v>
      </c>
    </row>
    <row r="18039" spans="1:5" x14ac:dyDescent="0.25">
      <c r="A18039">
        <v>18038</v>
      </c>
      <c r="B18039">
        <v>2427773</v>
      </c>
      <c r="C18039" s="1" t="str">
        <f>HYPERLINK("http://stackoverflow.com/users/2427773", "GoldPine")</f>
        <v>GoldPine</v>
      </c>
      <c r="D18039" t="s">
        <v>4</v>
      </c>
      <c r="E18039">
        <v>1</v>
      </c>
    </row>
    <row r="18040" spans="1:5" x14ac:dyDescent="0.25">
      <c r="A18040">
        <v>18039</v>
      </c>
      <c r="B18040">
        <v>2427779</v>
      </c>
      <c r="C18040" s="1" t="str">
        <f>HYPERLINK("http://stackoverflow.com/users/2427779", "wenhuajian")</f>
        <v>wenhuajian</v>
      </c>
      <c r="D18040" t="s">
        <v>5</v>
      </c>
      <c r="E18040">
        <v>1</v>
      </c>
    </row>
    <row r="18041" spans="1:5" x14ac:dyDescent="0.25">
      <c r="A18041">
        <v>18040</v>
      </c>
      <c r="B18041">
        <v>2427792</v>
      </c>
      <c r="C18041" s="1" t="str">
        <f>HYPERLINK("http://stackoverflow.com/users/2427792", "Samson Hu")</f>
        <v>Samson Hu</v>
      </c>
      <c r="D18041" t="s">
        <v>25</v>
      </c>
      <c r="E18041">
        <v>1</v>
      </c>
    </row>
    <row r="18042" spans="1:5" x14ac:dyDescent="0.25">
      <c r="A18042">
        <v>18041</v>
      </c>
      <c r="B18042">
        <v>2427901</v>
      </c>
      <c r="C18042" s="1" t="str">
        <f>HYPERLINK("http://stackoverflow.com/users/2427901", "DavyJones")</f>
        <v>DavyJones</v>
      </c>
      <c r="D18042" t="s">
        <v>4</v>
      </c>
      <c r="E18042">
        <v>1</v>
      </c>
    </row>
    <row r="18043" spans="1:5" x14ac:dyDescent="0.25">
      <c r="A18043">
        <v>18042</v>
      </c>
      <c r="B18043">
        <v>9650809</v>
      </c>
      <c r="C18043" s="1" t="str">
        <f>HYPERLINK("http://stackoverflow.com/users/9650809", "Guo Yunfei")</f>
        <v>Guo Yunfei</v>
      </c>
      <c r="D18043" t="s">
        <v>4</v>
      </c>
      <c r="E18043">
        <v>1</v>
      </c>
    </row>
    <row r="18044" spans="1:5" x14ac:dyDescent="0.25">
      <c r="A18044">
        <v>18043</v>
      </c>
      <c r="B18044">
        <v>9650824</v>
      </c>
      <c r="C18044" s="1" t="str">
        <f>HYPERLINK("http://stackoverflow.com/users/9650824", "galaxy wang")</f>
        <v>galaxy wang</v>
      </c>
      <c r="D18044" t="s">
        <v>978</v>
      </c>
      <c r="E18044">
        <v>1</v>
      </c>
    </row>
    <row r="18045" spans="1:5" x14ac:dyDescent="0.25">
      <c r="A18045">
        <v>18044</v>
      </c>
      <c r="B18045">
        <v>6076477</v>
      </c>
      <c r="C18045" s="1" t="str">
        <f>HYPERLINK("http://stackoverflow.com/users/6076477", "QiuShengGuan")</f>
        <v>QiuShengGuan</v>
      </c>
      <c r="D18045" t="s">
        <v>977</v>
      </c>
      <c r="E18045">
        <v>1</v>
      </c>
    </row>
    <row r="18046" spans="1:5" x14ac:dyDescent="0.25">
      <c r="A18046">
        <v>18045</v>
      </c>
      <c r="B18046">
        <v>2468795</v>
      </c>
      <c r="C18046" s="1" t="str">
        <f>HYPERLINK("http://stackoverflow.com/users/2468795", "aaron67")</f>
        <v>aaron67</v>
      </c>
      <c r="D18046" t="s">
        <v>5</v>
      </c>
      <c r="E18046">
        <v>1</v>
      </c>
    </row>
    <row r="18047" spans="1:5" x14ac:dyDescent="0.25">
      <c r="A18047">
        <v>18046</v>
      </c>
      <c r="B18047">
        <v>7838083</v>
      </c>
      <c r="C18047" s="1" t="str">
        <f>HYPERLINK("http://stackoverflow.com/users/7838083", "郭裕隆")</f>
        <v>郭裕隆</v>
      </c>
      <c r="D18047" t="s">
        <v>25</v>
      </c>
      <c r="E18047">
        <v>1</v>
      </c>
    </row>
    <row r="18048" spans="1:5" x14ac:dyDescent="0.25">
      <c r="A18048">
        <v>18047</v>
      </c>
      <c r="B18048">
        <v>2465371</v>
      </c>
      <c r="C18048" s="1" t="str">
        <f>HYPERLINK("http://stackoverflow.com/users/2465371", "ReSpider")</f>
        <v>ReSpider</v>
      </c>
      <c r="D18048" t="s">
        <v>5</v>
      </c>
      <c r="E18048">
        <v>1</v>
      </c>
    </row>
    <row r="18049" spans="1:5" x14ac:dyDescent="0.25">
      <c r="A18049">
        <v>18048</v>
      </c>
      <c r="B18049">
        <v>2465499</v>
      </c>
      <c r="C18049" s="1" t="str">
        <f>HYPERLINK("http://stackoverflow.com/users/2465499", "haseshao")</f>
        <v>haseshao</v>
      </c>
      <c r="D18049" t="s">
        <v>193</v>
      </c>
      <c r="E18049">
        <v>1</v>
      </c>
    </row>
    <row r="18050" spans="1:5" x14ac:dyDescent="0.25">
      <c r="A18050">
        <v>18049</v>
      </c>
      <c r="B18050">
        <v>2465707</v>
      </c>
      <c r="C18050" s="1" t="str">
        <f>HYPERLINK("http://stackoverflow.com/users/2465707", "aikko")</f>
        <v>aikko</v>
      </c>
      <c r="D18050" t="s">
        <v>21</v>
      </c>
      <c r="E18050">
        <v>1</v>
      </c>
    </row>
    <row r="18051" spans="1:5" x14ac:dyDescent="0.25">
      <c r="A18051">
        <v>18050</v>
      </c>
      <c r="B18051">
        <v>2465712</v>
      </c>
      <c r="C18051" s="1" t="str">
        <f>HYPERLINK("http://stackoverflow.com/users/2465712", "firs003")</f>
        <v>firs003</v>
      </c>
      <c r="D18051" t="s">
        <v>4</v>
      </c>
      <c r="E18051">
        <v>1</v>
      </c>
    </row>
    <row r="18052" spans="1:5" x14ac:dyDescent="0.25">
      <c r="A18052">
        <v>18051</v>
      </c>
      <c r="B18052">
        <v>6086168</v>
      </c>
      <c r="C18052" s="1" t="str">
        <f>HYPERLINK("http://stackoverflow.com/users/6086168", "fRidge")</f>
        <v>fRidge</v>
      </c>
      <c r="D18052" t="s">
        <v>979</v>
      </c>
      <c r="E18052">
        <v>1</v>
      </c>
    </row>
    <row r="18053" spans="1:5" x14ac:dyDescent="0.25">
      <c r="A18053">
        <v>18052</v>
      </c>
      <c r="B18053">
        <v>6085867</v>
      </c>
      <c r="C18053" s="1" t="str">
        <f>HYPERLINK("http://stackoverflow.com/users/6085867", "levi")</f>
        <v>levi</v>
      </c>
      <c r="D18053" t="s">
        <v>301</v>
      </c>
      <c r="E18053">
        <v>1</v>
      </c>
    </row>
    <row r="18054" spans="1:5" x14ac:dyDescent="0.25">
      <c r="A18054">
        <v>18053</v>
      </c>
      <c r="B18054">
        <v>9660729</v>
      </c>
      <c r="C18054" s="1" t="str">
        <f>HYPERLINK("http://stackoverflow.com/users/9660729", "Morn Wu")</f>
        <v>Morn Wu</v>
      </c>
      <c r="D18054" t="s">
        <v>54</v>
      </c>
      <c r="E18054">
        <v>1</v>
      </c>
    </row>
    <row r="18055" spans="1:5" x14ac:dyDescent="0.25">
      <c r="A18055">
        <v>18054</v>
      </c>
      <c r="B18055">
        <v>6085761</v>
      </c>
      <c r="C18055" s="1" t="str">
        <f>HYPERLINK("http://stackoverflow.com/users/6085761", "michaelzheng")</f>
        <v>michaelzheng</v>
      </c>
      <c r="D18055" t="s">
        <v>16</v>
      </c>
      <c r="E18055">
        <v>1</v>
      </c>
    </row>
    <row r="18056" spans="1:5" x14ac:dyDescent="0.25">
      <c r="A18056">
        <v>18055</v>
      </c>
      <c r="B18056">
        <v>7844986</v>
      </c>
      <c r="C18056" s="1" t="str">
        <f>HYPERLINK("http://stackoverflow.com/users/7844986", "HLK_1135")</f>
        <v>HLK_1135</v>
      </c>
      <c r="D18056" t="s">
        <v>735</v>
      </c>
      <c r="E18056">
        <v>1</v>
      </c>
    </row>
    <row r="18057" spans="1:5" x14ac:dyDescent="0.25">
      <c r="A18057">
        <v>18056</v>
      </c>
      <c r="B18057">
        <v>9653694</v>
      </c>
      <c r="C18057" s="1" t="str">
        <f>HYPERLINK("http://stackoverflow.com/users/9653694", "JordanChong")</f>
        <v>JordanChong</v>
      </c>
      <c r="D18057" t="s">
        <v>7</v>
      </c>
      <c r="E18057">
        <v>1</v>
      </c>
    </row>
    <row r="18058" spans="1:5" x14ac:dyDescent="0.25">
      <c r="A18058">
        <v>18057</v>
      </c>
      <c r="B18058">
        <v>7848920</v>
      </c>
      <c r="C18058" s="1" t="str">
        <f>HYPERLINK("http://stackoverflow.com/users/7848920", "Longfei Song")</f>
        <v>Longfei Song</v>
      </c>
      <c r="D18058" t="s">
        <v>120</v>
      </c>
      <c r="E18058">
        <v>1</v>
      </c>
    </row>
    <row r="18059" spans="1:5" x14ac:dyDescent="0.25">
      <c r="A18059">
        <v>18058</v>
      </c>
      <c r="B18059">
        <v>7849055</v>
      </c>
      <c r="C18059" s="1" t="str">
        <f>HYPERLINK("http://stackoverflow.com/users/7849055", "zhengxiang wen")</f>
        <v>zhengxiang wen</v>
      </c>
      <c r="D18059" t="s">
        <v>5</v>
      </c>
      <c r="E18059">
        <v>1</v>
      </c>
    </row>
    <row r="18060" spans="1:5" x14ac:dyDescent="0.25">
      <c r="A18060">
        <v>18059</v>
      </c>
      <c r="B18060">
        <v>7849202</v>
      </c>
      <c r="C18060" s="1" t="str">
        <f>HYPERLINK("http://stackoverflow.com/users/7849202", "Xian Cheng Yin")</f>
        <v>Xian Cheng Yin</v>
      </c>
      <c r="D18060" t="s">
        <v>980</v>
      </c>
      <c r="E18060">
        <v>1</v>
      </c>
    </row>
    <row r="18061" spans="1:5" x14ac:dyDescent="0.25">
      <c r="A18061">
        <v>18060</v>
      </c>
      <c r="B18061">
        <v>7851517</v>
      </c>
      <c r="C18061" s="1" t="str">
        <f>HYPERLINK("http://stackoverflow.com/users/7851517", "virtualknight")</f>
        <v>virtualknight</v>
      </c>
      <c r="D18061" t="s">
        <v>11</v>
      </c>
      <c r="E18061">
        <v>1</v>
      </c>
    </row>
    <row r="18062" spans="1:5" x14ac:dyDescent="0.25">
      <c r="A18062">
        <v>18061</v>
      </c>
      <c r="B18062">
        <v>7851710</v>
      </c>
      <c r="C18062" s="1" t="str">
        <f>HYPERLINK("http://stackoverflow.com/users/7851710", "ReveeWu")</f>
        <v>ReveeWu</v>
      </c>
      <c r="D18062" t="s">
        <v>981</v>
      </c>
      <c r="E18062">
        <v>1</v>
      </c>
    </row>
    <row r="18063" spans="1:5" x14ac:dyDescent="0.25">
      <c r="A18063">
        <v>18062</v>
      </c>
      <c r="B18063">
        <v>9657657</v>
      </c>
      <c r="C18063" s="1" t="str">
        <f>HYPERLINK("http://stackoverflow.com/users/9657657", "Zhi Cheng")</f>
        <v>Zhi Cheng</v>
      </c>
      <c r="D18063" t="s">
        <v>4</v>
      </c>
      <c r="E18063">
        <v>1</v>
      </c>
    </row>
    <row r="18064" spans="1:5" x14ac:dyDescent="0.25">
      <c r="A18064">
        <v>18063</v>
      </c>
      <c r="B18064">
        <v>7848474</v>
      </c>
      <c r="C18064" s="1" t="str">
        <f>HYPERLINK("http://stackoverflow.com/users/7848474", "Jacy")</f>
        <v>Jacy</v>
      </c>
      <c r="D18064" t="s">
        <v>5</v>
      </c>
      <c r="E18064">
        <v>1</v>
      </c>
    </row>
    <row r="18065" spans="1:5" x14ac:dyDescent="0.25">
      <c r="A18065">
        <v>18064</v>
      </c>
      <c r="B18065">
        <v>7848545</v>
      </c>
      <c r="C18065" s="1" t="str">
        <f>HYPERLINK("http://stackoverflow.com/users/7848545", "Yasir")</f>
        <v>Yasir</v>
      </c>
      <c r="D18065" t="s">
        <v>5</v>
      </c>
      <c r="E18065">
        <v>1</v>
      </c>
    </row>
    <row r="18066" spans="1:5" x14ac:dyDescent="0.25">
      <c r="A18066">
        <v>18065</v>
      </c>
      <c r="B18066">
        <v>7848619</v>
      </c>
      <c r="C18066" s="1" t="str">
        <f>HYPERLINK("http://stackoverflow.com/users/7848619", "Hayden")</f>
        <v>Hayden</v>
      </c>
      <c r="D18066" t="s">
        <v>16</v>
      </c>
      <c r="E18066">
        <v>1</v>
      </c>
    </row>
    <row r="18067" spans="1:5" x14ac:dyDescent="0.25">
      <c r="A18067">
        <v>18066</v>
      </c>
      <c r="B18067">
        <v>7827203</v>
      </c>
      <c r="C18067" s="1" t="str">
        <f>HYPERLINK("http://stackoverflow.com/users/7827203", "Ahdai")</f>
        <v>Ahdai</v>
      </c>
      <c r="D18067" t="s">
        <v>16</v>
      </c>
      <c r="E18067">
        <v>1</v>
      </c>
    </row>
    <row r="18068" spans="1:5" x14ac:dyDescent="0.25">
      <c r="A18068">
        <v>18067</v>
      </c>
      <c r="B18068">
        <v>7827285</v>
      </c>
      <c r="C18068" s="1" t="str">
        <f>HYPERLINK("http://stackoverflow.com/users/7827285", "aluminumtrim")</f>
        <v>aluminumtrim</v>
      </c>
      <c r="D18068" t="s">
        <v>293</v>
      </c>
      <c r="E18068">
        <v>1</v>
      </c>
    </row>
    <row r="18069" spans="1:5" x14ac:dyDescent="0.25">
      <c r="A18069">
        <v>18068</v>
      </c>
      <c r="B18069">
        <v>9639170</v>
      </c>
      <c r="C18069" s="1" t="str">
        <f>HYPERLINK("http://stackoverflow.com/users/9639170", "liyangxiyangyang")</f>
        <v>liyangxiyangyang</v>
      </c>
      <c r="D18069" t="s">
        <v>74</v>
      </c>
      <c r="E18069">
        <v>1</v>
      </c>
    </row>
    <row r="18070" spans="1:5" x14ac:dyDescent="0.25">
      <c r="A18070">
        <v>18069</v>
      </c>
      <c r="B18070">
        <v>9639253</v>
      </c>
      <c r="C18070" s="1" t="str">
        <f>HYPERLINK("http://stackoverflow.com/users/9639253", "DuJiang")</f>
        <v>DuJiang</v>
      </c>
      <c r="D18070" t="s">
        <v>55</v>
      </c>
      <c r="E18070">
        <v>1</v>
      </c>
    </row>
    <row r="18071" spans="1:5" x14ac:dyDescent="0.25">
      <c r="A18071">
        <v>18070</v>
      </c>
      <c r="B18071">
        <v>9639439</v>
      </c>
      <c r="C18071" s="1" t="str">
        <f>HYPERLINK("http://stackoverflow.com/users/9639439", "Neil Zhang")</f>
        <v>Neil Zhang</v>
      </c>
      <c r="D18071" t="s">
        <v>7</v>
      </c>
      <c r="E18071">
        <v>1</v>
      </c>
    </row>
    <row r="18072" spans="1:5" x14ac:dyDescent="0.25">
      <c r="A18072">
        <v>18071</v>
      </c>
      <c r="B18072">
        <v>7826813</v>
      </c>
      <c r="C18072" s="1" t="str">
        <f>HYPERLINK("http://stackoverflow.com/users/7826813", "jonhutch")</f>
        <v>jonhutch</v>
      </c>
      <c r="D18072" t="s">
        <v>43</v>
      </c>
      <c r="E18072">
        <v>1</v>
      </c>
    </row>
    <row r="18073" spans="1:5" x14ac:dyDescent="0.25">
      <c r="A18073">
        <v>18072</v>
      </c>
      <c r="B18073">
        <v>2458055</v>
      </c>
      <c r="C18073" s="1" t="str">
        <f>HYPERLINK("http://stackoverflow.com/users/2458055", "6bing")</f>
        <v>6bing</v>
      </c>
      <c r="D18073" t="s">
        <v>5</v>
      </c>
      <c r="E18073">
        <v>1</v>
      </c>
    </row>
    <row r="18074" spans="1:5" x14ac:dyDescent="0.25">
      <c r="A18074">
        <v>18073</v>
      </c>
      <c r="B18074">
        <v>6066421</v>
      </c>
      <c r="C18074" s="1" t="str">
        <f>HYPERLINK("http://stackoverflow.com/users/6066421", "TooAndy")</f>
        <v>TooAndy</v>
      </c>
      <c r="D18074" t="s">
        <v>22</v>
      </c>
      <c r="E18074">
        <v>1</v>
      </c>
    </row>
    <row r="18075" spans="1:5" x14ac:dyDescent="0.25">
      <c r="A18075">
        <v>18074</v>
      </c>
      <c r="B18075">
        <v>6066423</v>
      </c>
      <c r="C18075" s="1" t="str">
        <f>HYPERLINK("http://stackoverflow.com/users/6066423", "nysanier")</f>
        <v>nysanier</v>
      </c>
      <c r="D18075" t="s">
        <v>16</v>
      </c>
      <c r="E18075">
        <v>1</v>
      </c>
    </row>
    <row r="18076" spans="1:5" x14ac:dyDescent="0.25">
      <c r="A18076">
        <v>18075</v>
      </c>
      <c r="B18076">
        <v>4336517</v>
      </c>
      <c r="C18076" s="1" t="str">
        <f>HYPERLINK("http://stackoverflow.com/users/4336517", "Ethan Green")</f>
        <v>Ethan Green</v>
      </c>
      <c r="D18076" t="s">
        <v>54</v>
      </c>
      <c r="E18076">
        <v>1</v>
      </c>
    </row>
    <row r="18077" spans="1:5" x14ac:dyDescent="0.25">
      <c r="A18077">
        <v>18076</v>
      </c>
      <c r="B18077">
        <v>4336527</v>
      </c>
      <c r="C18077" s="1" t="str">
        <f>HYPERLINK("http://stackoverflow.com/users/4336527", "jasperhuang")</f>
        <v>jasperhuang</v>
      </c>
      <c r="D18077" t="s">
        <v>7</v>
      </c>
      <c r="E18077">
        <v>1</v>
      </c>
    </row>
    <row r="18078" spans="1:5" x14ac:dyDescent="0.25">
      <c r="A18078">
        <v>18077</v>
      </c>
      <c r="B18078">
        <v>4336547</v>
      </c>
      <c r="C18078" s="1" t="str">
        <f>HYPERLINK("http://stackoverflow.com/users/4336547", "liumx10")</f>
        <v>liumx10</v>
      </c>
      <c r="D18078" t="s">
        <v>746</v>
      </c>
      <c r="E18078">
        <v>1</v>
      </c>
    </row>
    <row r="18079" spans="1:5" x14ac:dyDescent="0.25">
      <c r="A18079">
        <v>18078</v>
      </c>
      <c r="B18079">
        <v>9642533</v>
      </c>
      <c r="C18079" s="1" t="str">
        <f>HYPERLINK("http://stackoverflow.com/users/9642533", "waveBridge")</f>
        <v>waveBridge</v>
      </c>
      <c r="D18079" t="s">
        <v>55</v>
      </c>
      <c r="E18079">
        <v>1</v>
      </c>
    </row>
    <row r="18080" spans="1:5" x14ac:dyDescent="0.25">
      <c r="A18080">
        <v>18079</v>
      </c>
      <c r="B18080">
        <v>2456466</v>
      </c>
      <c r="C18080" s="1" t="str">
        <f>HYPERLINK("http://stackoverflow.com/users/2456466", "people2456466")</f>
        <v>people2456466</v>
      </c>
      <c r="D18080" t="s">
        <v>5</v>
      </c>
      <c r="E18080">
        <v>1</v>
      </c>
    </row>
    <row r="18081" spans="1:5" x14ac:dyDescent="0.25">
      <c r="A18081">
        <v>18080</v>
      </c>
      <c r="B18081">
        <v>2457877</v>
      </c>
      <c r="C18081" s="1" t="str">
        <f>HYPERLINK("http://stackoverflow.com/users/2457877", "anrcc")</f>
        <v>anrcc</v>
      </c>
      <c r="D18081" t="s">
        <v>21</v>
      </c>
      <c r="E18081">
        <v>1</v>
      </c>
    </row>
    <row r="18082" spans="1:5" x14ac:dyDescent="0.25">
      <c r="A18082">
        <v>18081</v>
      </c>
      <c r="B18082">
        <v>6059607</v>
      </c>
      <c r="C18082" s="1" t="str">
        <f>HYPERLINK("http://stackoverflow.com/users/6059607", "George")</f>
        <v>George</v>
      </c>
      <c r="D18082" t="s">
        <v>5</v>
      </c>
      <c r="E18082">
        <v>1</v>
      </c>
    </row>
    <row r="18083" spans="1:5" x14ac:dyDescent="0.25">
      <c r="A18083">
        <v>18082</v>
      </c>
      <c r="B18083">
        <v>6059928</v>
      </c>
      <c r="C18083" s="1" t="str">
        <f>HYPERLINK("http://stackoverflow.com/users/6059928", "Steven")</f>
        <v>Steven</v>
      </c>
      <c r="D18083" t="s">
        <v>25</v>
      </c>
      <c r="E18083">
        <v>1</v>
      </c>
    </row>
    <row r="18084" spans="1:5" x14ac:dyDescent="0.25">
      <c r="A18084">
        <v>18083</v>
      </c>
      <c r="B18084">
        <v>6059935</v>
      </c>
      <c r="C18084" s="1" t="str">
        <f>HYPERLINK("http://stackoverflow.com/users/6059935", "Julia Ge")</f>
        <v>Julia Ge</v>
      </c>
      <c r="D18084" t="s">
        <v>982</v>
      </c>
      <c r="E18084">
        <v>1</v>
      </c>
    </row>
    <row r="18085" spans="1:5" x14ac:dyDescent="0.25">
      <c r="A18085">
        <v>18084</v>
      </c>
      <c r="B18085">
        <v>9635802</v>
      </c>
      <c r="C18085" s="1" t="str">
        <f>HYPERLINK("http://stackoverflow.com/users/9635802", "yewei Hu")</f>
        <v>yewei Hu</v>
      </c>
      <c r="D18085" t="s">
        <v>43</v>
      </c>
      <c r="E18085">
        <v>1</v>
      </c>
    </row>
    <row r="18086" spans="1:5" x14ac:dyDescent="0.25">
      <c r="A18086">
        <v>18085</v>
      </c>
      <c r="B18086">
        <v>9635808</v>
      </c>
      <c r="C18086" s="1" t="str">
        <f>HYPERLINK("http://stackoverflow.com/users/9635808", "Jang.J")</f>
        <v>Jang.J</v>
      </c>
      <c r="D18086" t="s">
        <v>74</v>
      </c>
      <c r="E18086">
        <v>1</v>
      </c>
    </row>
    <row r="18087" spans="1:5" x14ac:dyDescent="0.25">
      <c r="A18087">
        <v>18086</v>
      </c>
      <c r="B18087">
        <v>2450061</v>
      </c>
      <c r="C18087" s="1" t="str">
        <f>HYPERLINK("http://stackoverflow.com/users/2450061", "iYu")</f>
        <v>iYu</v>
      </c>
      <c r="D18087" t="s">
        <v>38</v>
      </c>
      <c r="E18087">
        <v>1</v>
      </c>
    </row>
    <row r="18088" spans="1:5" x14ac:dyDescent="0.25">
      <c r="A18088">
        <v>18087</v>
      </c>
      <c r="B18088">
        <v>2450419</v>
      </c>
      <c r="C18088" s="1" t="str">
        <f>HYPERLINK("http://stackoverflow.com/users/2450419", "Felix Ding")</f>
        <v>Felix Ding</v>
      </c>
      <c r="D18088" t="s">
        <v>37</v>
      </c>
      <c r="E18088">
        <v>1</v>
      </c>
    </row>
    <row r="18089" spans="1:5" x14ac:dyDescent="0.25">
      <c r="A18089">
        <v>18088</v>
      </c>
      <c r="B18089">
        <v>7823727</v>
      </c>
      <c r="C18089" s="1" t="str">
        <f>HYPERLINK("http://stackoverflow.com/users/7823727", "Gerry Li")</f>
        <v>Gerry Li</v>
      </c>
      <c r="D18089" t="s">
        <v>4</v>
      </c>
      <c r="E18089">
        <v>1</v>
      </c>
    </row>
    <row r="18090" spans="1:5" x14ac:dyDescent="0.25">
      <c r="A18090">
        <v>18089</v>
      </c>
      <c r="B18090">
        <v>7823845</v>
      </c>
      <c r="C18090" s="1" t="str">
        <f>HYPERLINK("http://stackoverflow.com/users/7823845", "Y.zu")</f>
        <v>Y.zu</v>
      </c>
      <c r="D18090" t="s">
        <v>29</v>
      </c>
      <c r="E18090">
        <v>1</v>
      </c>
    </row>
    <row r="18091" spans="1:5" x14ac:dyDescent="0.25">
      <c r="A18091">
        <v>18090</v>
      </c>
      <c r="B18091">
        <v>2452868</v>
      </c>
      <c r="C18091" s="1" t="str">
        <f>HYPERLINK("http://stackoverflow.com/users/2452868", "amorphobia")</f>
        <v>amorphobia</v>
      </c>
      <c r="D18091" t="s">
        <v>4</v>
      </c>
      <c r="E18091">
        <v>1</v>
      </c>
    </row>
    <row r="18092" spans="1:5" x14ac:dyDescent="0.25">
      <c r="A18092">
        <v>18091</v>
      </c>
      <c r="B18092">
        <v>2454383</v>
      </c>
      <c r="C18092" s="1" t="str">
        <f>HYPERLINK("http://stackoverflow.com/users/2454383", "jieqing")</f>
        <v>jieqing</v>
      </c>
      <c r="D18092" t="s">
        <v>21</v>
      </c>
      <c r="E18092">
        <v>1</v>
      </c>
    </row>
    <row r="18093" spans="1:5" x14ac:dyDescent="0.25">
      <c r="A18093">
        <v>18092</v>
      </c>
      <c r="B18093">
        <v>2454708</v>
      </c>
      <c r="C18093" s="1" t="str">
        <f>HYPERLINK("http://stackoverflow.com/users/2454708", "steven")</f>
        <v>steven</v>
      </c>
      <c r="D18093" t="s">
        <v>4</v>
      </c>
      <c r="E18093">
        <v>1</v>
      </c>
    </row>
    <row r="18094" spans="1:5" x14ac:dyDescent="0.25">
      <c r="A18094">
        <v>18093</v>
      </c>
      <c r="B18094">
        <v>6059394</v>
      </c>
      <c r="C18094" s="1" t="str">
        <f>HYPERLINK("http://stackoverflow.com/users/6059394", "Jimmy Chou")</f>
        <v>Jimmy Chou</v>
      </c>
      <c r="D18094" t="s">
        <v>7</v>
      </c>
      <c r="E18094">
        <v>1</v>
      </c>
    </row>
    <row r="18095" spans="1:5" x14ac:dyDescent="0.25">
      <c r="A18095">
        <v>18094</v>
      </c>
      <c r="B18095">
        <v>6059442</v>
      </c>
      <c r="C18095" s="1" t="str">
        <f>HYPERLINK("http://stackoverflow.com/users/6059442", "yang")</f>
        <v>yang</v>
      </c>
      <c r="D18095" t="s">
        <v>55</v>
      </c>
      <c r="E18095">
        <v>1</v>
      </c>
    </row>
    <row r="18096" spans="1:5" x14ac:dyDescent="0.25">
      <c r="A18096">
        <v>18095</v>
      </c>
      <c r="B18096">
        <v>7868262</v>
      </c>
      <c r="C18096" s="1" t="str">
        <f>HYPERLINK("http://stackoverflow.com/users/7868262", "Jason Lee")</f>
        <v>Jason Lee</v>
      </c>
      <c r="D18096" t="s">
        <v>16</v>
      </c>
      <c r="E18096">
        <v>1</v>
      </c>
    </row>
    <row r="18097" spans="1:5" x14ac:dyDescent="0.25">
      <c r="A18097">
        <v>18096</v>
      </c>
      <c r="B18097">
        <v>7868442</v>
      </c>
      <c r="C18097" s="1" t="str">
        <f>HYPERLINK("http://stackoverflow.com/users/7868442", "Zezhou  He")</f>
        <v>Zezhou  He</v>
      </c>
      <c r="D18097" t="s">
        <v>131</v>
      </c>
      <c r="E18097">
        <v>1</v>
      </c>
    </row>
    <row r="18098" spans="1:5" x14ac:dyDescent="0.25">
      <c r="A18098">
        <v>18097</v>
      </c>
      <c r="B18098">
        <v>7868486</v>
      </c>
      <c r="C18098" s="1" t="str">
        <f>HYPERLINK("http://stackoverflow.com/users/7868486", "Ghoct")</f>
        <v>Ghoct</v>
      </c>
      <c r="D18098" t="s">
        <v>5</v>
      </c>
      <c r="E18098">
        <v>1</v>
      </c>
    </row>
    <row r="18099" spans="1:5" x14ac:dyDescent="0.25">
      <c r="A18099">
        <v>18098</v>
      </c>
      <c r="B18099">
        <v>9678465</v>
      </c>
      <c r="C18099" s="1" t="str">
        <f>HYPERLINK("http://stackoverflow.com/users/9678465", "user9678465")</f>
        <v>user9678465</v>
      </c>
      <c r="D18099" t="s">
        <v>57</v>
      </c>
      <c r="E18099">
        <v>1</v>
      </c>
    </row>
    <row r="18100" spans="1:5" x14ac:dyDescent="0.25">
      <c r="A18100">
        <v>18099</v>
      </c>
      <c r="B18100">
        <v>4372868</v>
      </c>
      <c r="C18100" s="1" t="str">
        <f>HYPERLINK("http://stackoverflow.com/users/4372868", "Todd LT")</f>
        <v>Todd LT</v>
      </c>
      <c r="D18100" t="s">
        <v>57</v>
      </c>
      <c r="E18100">
        <v>1</v>
      </c>
    </row>
    <row r="18101" spans="1:5" x14ac:dyDescent="0.25">
      <c r="A18101">
        <v>18100</v>
      </c>
      <c r="B18101">
        <v>6108124</v>
      </c>
      <c r="C18101" s="1" t="str">
        <f>HYPERLINK("http://stackoverflow.com/users/6108124", "leonard")</f>
        <v>leonard</v>
      </c>
      <c r="D18101" t="s">
        <v>427</v>
      </c>
      <c r="E18101">
        <v>1</v>
      </c>
    </row>
    <row r="18102" spans="1:5" x14ac:dyDescent="0.25">
      <c r="A18102">
        <v>18101</v>
      </c>
      <c r="B18102">
        <v>6108190</v>
      </c>
      <c r="C18102" s="1" t="str">
        <f>HYPERLINK("http://stackoverflow.com/users/6108190", "Ablert")</f>
        <v>Ablert</v>
      </c>
      <c r="D18102" t="s">
        <v>5</v>
      </c>
      <c r="E18102">
        <v>1</v>
      </c>
    </row>
    <row r="18103" spans="1:5" x14ac:dyDescent="0.25">
      <c r="A18103">
        <v>18102</v>
      </c>
      <c r="B18103">
        <v>6108335</v>
      </c>
      <c r="C18103" s="1" t="str">
        <f>HYPERLINK("http://stackoverflow.com/users/6108335", "gloomyboy01")</f>
        <v>gloomyboy01</v>
      </c>
      <c r="D18103" t="s">
        <v>5</v>
      </c>
      <c r="E18103">
        <v>1</v>
      </c>
    </row>
    <row r="18104" spans="1:5" x14ac:dyDescent="0.25">
      <c r="A18104">
        <v>18103</v>
      </c>
      <c r="B18104">
        <v>7876673</v>
      </c>
      <c r="C18104" s="1" t="str">
        <f>HYPERLINK("http://stackoverflow.com/users/7876673", "G.Hades")</f>
        <v>G.Hades</v>
      </c>
      <c r="D18104" t="s">
        <v>25</v>
      </c>
      <c r="E18104">
        <v>1</v>
      </c>
    </row>
    <row r="18105" spans="1:5" x14ac:dyDescent="0.25">
      <c r="A18105">
        <v>18104</v>
      </c>
      <c r="B18105">
        <v>7877120</v>
      </c>
      <c r="C18105" s="1" t="str">
        <f>HYPERLINK("http://stackoverflow.com/users/7877120", "JackDan9")</f>
        <v>JackDan9</v>
      </c>
      <c r="D18105" t="s">
        <v>983</v>
      </c>
      <c r="E18105">
        <v>1</v>
      </c>
    </row>
    <row r="18106" spans="1:5" x14ac:dyDescent="0.25">
      <c r="A18106">
        <v>18105</v>
      </c>
      <c r="B18106">
        <v>7877214</v>
      </c>
      <c r="C18106" s="1" t="str">
        <f>HYPERLINK("http://stackoverflow.com/users/7877214", "SallyChen")</f>
        <v>SallyChen</v>
      </c>
      <c r="D18106" t="s">
        <v>27</v>
      </c>
      <c r="E18106">
        <v>1</v>
      </c>
    </row>
    <row r="18107" spans="1:5" x14ac:dyDescent="0.25">
      <c r="A18107">
        <v>18106</v>
      </c>
      <c r="B18107">
        <v>6104078</v>
      </c>
      <c r="C18107" s="1" t="str">
        <f>HYPERLINK("http://stackoverflow.com/users/6104078", "Ivy.Lee")</f>
        <v>Ivy.Lee</v>
      </c>
      <c r="D18107" t="s">
        <v>43</v>
      </c>
      <c r="E18107">
        <v>1</v>
      </c>
    </row>
    <row r="18108" spans="1:5" x14ac:dyDescent="0.25">
      <c r="A18108">
        <v>18107</v>
      </c>
      <c r="B18108">
        <v>6103639</v>
      </c>
      <c r="C18108" s="1" t="str">
        <f>HYPERLINK("http://stackoverflow.com/users/6103639", "Zhao Kai")</f>
        <v>Zhao Kai</v>
      </c>
      <c r="D18108" t="s">
        <v>4</v>
      </c>
      <c r="E18108">
        <v>1</v>
      </c>
    </row>
    <row r="18109" spans="1:5" x14ac:dyDescent="0.25">
      <c r="A18109">
        <v>18108</v>
      </c>
      <c r="B18109">
        <v>2504869</v>
      </c>
      <c r="C18109" s="1" t="str">
        <f>HYPERLINK("http://stackoverflow.com/users/2504869", "nina001")</f>
        <v>nina001</v>
      </c>
      <c r="D18109" t="s">
        <v>4</v>
      </c>
      <c r="E18109">
        <v>1</v>
      </c>
    </row>
    <row r="18110" spans="1:5" x14ac:dyDescent="0.25">
      <c r="A18110">
        <v>18109</v>
      </c>
      <c r="B18110">
        <v>9680490</v>
      </c>
      <c r="C18110" s="1" t="str">
        <f>HYPERLINK("http://stackoverflow.com/users/9680490", "zhi yang")</f>
        <v>zhi yang</v>
      </c>
      <c r="D18110" t="s">
        <v>16</v>
      </c>
      <c r="E18110">
        <v>1</v>
      </c>
    </row>
    <row r="18111" spans="1:5" x14ac:dyDescent="0.25">
      <c r="A18111">
        <v>18110</v>
      </c>
      <c r="B18111">
        <v>6103338</v>
      </c>
      <c r="C18111" s="1" t="str">
        <f>HYPERLINK("http://stackoverflow.com/users/6103338", "LangZhai")</f>
        <v>LangZhai</v>
      </c>
      <c r="D18111" t="s">
        <v>22</v>
      </c>
      <c r="E18111">
        <v>1</v>
      </c>
    </row>
    <row r="18112" spans="1:5" x14ac:dyDescent="0.25">
      <c r="A18112">
        <v>18111</v>
      </c>
      <c r="B18112">
        <v>6103493</v>
      </c>
      <c r="C18112" s="1" t="str">
        <f>HYPERLINK("http://stackoverflow.com/users/6103493", "Leo Jiang")</f>
        <v>Leo Jiang</v>
      </c>
      <c r="D18112" t="s">
        <v>28</v>
      </c>
      <c r="E18112">
        <v>1</v>
      </c>
    </row>
    <row r="18113" spans="1:5" x14ac:dyDescent="0.25">
      <c r="A18113">
        <v>18112</v>
      </c>
      <c r="B18113">
        <v>9663252</v>
      </c>
      <c r="C18113" s="1" t="str">
        <f>HYPERLINK("http://stackoverflow.com/users/9663252", "Miko")</f>
        <v>Miko</v>
      </c>
      <c r="D18113" t="s">
        <v>16</v>
      </c>
      <c r="E18113">
        <v>1</v>
      </c>
    </row>
    <row r="18114" spans="1:5" x14ac:dyDescent="0.25">
      <c r="A18114">
        <v>18113</v>
      </c>
      <c r="B18114">
        <v>9663458</v>
      </c>
      <c r="C18114" s="1" t="str">
        <f>HYPERLINK("http://stackoverflow.com/users/9663458", "Kun Wu")</f>
        <v>Kun Wu</v>
      </c>
      <c r="D18114" t="s">
        <v>4</v>
      </c>
      <c r="E18114">
        <v>1</v>
      </c>
    </row>
    <row r="18115" spans="1:5" x14ac:dyDescent="0.25">
      <c r="A18115">
        <v>18114</v>
      </c>
      <c r="B18115">
        <v>4358745</v>
      </c>
      <c r="C18115" s="1" t="str">
        <f>HYPERLINK("http://stackoverflow.com/users/4358745", "Yuhui Dong")</f>
        <v>Yuhui Dong</v>
      </c>
      <c r="D18115" t="s">
        <v>16</v>
      </c>
      <c r="E18115">
        <v>1</v>
      </c>
    </row>
    <row r="18116" spans="1:5" x14ac:dyDescent="0.25">
      <c r="A18116">
        <v>18115</v>
      </c>
      <c r="B18116">
        <v>7854588</v>
      </c>
      <c r="C18116" s="1" t="str">
        <f>HYPERLINK("http://stackoverflow.com/users/7854588", "anshul tiwari")</f>
        <v>anshul tiwari</v>
      </c>
      <c r="D18116" t="s">
        <v>4</v>
      </c>
      <c r="E18116">
        <v>1</v>
      </c>
    </row>
    <row r="18117" spans="1:5" x14ac:dyDescent="0.25">
      <c r="A18117">
        <v>18116</v>
      </c>
      <c r="B18117">
        <v>7854649</v>
      </c>
      <c r="C18117" s="1" t="str">
        <f>HYPERLINK("http://stackoverflow.com/users/7854649", "zhen wang")</f>
        <v>zhen wang</v>
      </c>
      <c r="D18117" t="s">
        <v>5</v>
      </c>
      <c r="E18117">
        <v>1</v>
      </c>
    </row>
    <row r="18118" spans="1:5" x14ac:dyDescent="0.25">
      <c r="A18118">
        <v>18117</v>
      </c>
      <c r="B18118">
        <v>7854928</v>
      </c>
      <c r="C18118" s="1" t="str">
        <f>HYPERLINK("http://stackoverflow.com/users/7854928", "Huan555")</f>
        <v>Huan555</v>
      </c>
      <c r="D18118" t="s">
        <v>25</v>
      </c>
      <c r="E18118">
        <v>1</v>
      </c>
    </row>
    <row r="18119" spans="1:5" x14ac:dyDescent="0.25">
      <c r="A18119">
        <v>18118</v>
      </c>
      <c r="B18119">
        <v>6091476</v>
      </c>
      <c r="C18119" s="1" t="str">
        <f>HYPERLINK("http://stackoverflow.com/users/6091476", "AllenYang")</f>
        <v>AllenYang</v>
      </c>
      <c r="D18119" t="s">
        <v>184</v>
      </c>
      <c r="E18119">
        <v>1</v>
      </c>
    </row>
    <row r="18120" spans="1:5" x14ac:dyDescent="0.25">
      <c r="A18120">
        <v>18119</v>
      </c>
      <c r="B18120">
        <v>6091512</v>
      </c>
      <c r="C18120" s="1" t="str">
        <f>HYPERLINK("http://stackoverflow.com/users/6091512", "Dantepy")</f>
        <v>Dantepy</v>
      </c>
      <c r="D18120" t="s">
        <v>5</v>
      </c>
      <c r="E18120">
        <v>1</v>
      </c>
    </row>
    <row r="18121" spans="1:5" x14ac:dyDescent="0.25">
      <c r="A18121">
        <v>18120</v>
      </c>
      <c r="B18121">
        <v>6091683</v>
      </c>
      <c r="C18121" s="1" t="str">
        <f>HYPERLINK("http://stackoverflow.com/users/6091683", "Jinguang He")</f>
        <v>Jinguang He</v>
      </c>
      <c r="D18121" t="s">
        <v>4</v>
      </c>
      <c r="E18121">
        <v>1</v>
      </c>
    </row>
    <row r="18122" spans="1:5" x14ac:dyDescent="0.25">
      <c r="A18122">
        <v>18121</v>
      </c>
      <c r="B18122">
        <v>6088818</v>
      </c>
      <c r="C18122" s="1" t="str">
        <f>HYPERLINK("http://stackoverflow.com/users/6088818", "Gavin")</f>
        <v>Gavin</v>
      </c>
      <c r="D18122" t="s">
        <v>120</v>
      </c>
      <c r="E18122">
        <v>1</v>
      </c>
    </row>
    <row r="18123" spans="1:5" x14ac:dyDescent="0.25">
      <c r="A18123">
        <v>18122</v>
      </c>
      <c r="B18123">
        <v>2488462</v>
      </c>
      <c r="C18123" s="1" t="str">
        <f>HYPERLINK("http://stackoverflow.com/users/2488462", "nl.martian")</f>
        <v>nl.martian</v>
      </c>
      <c r="D18123" t="s">
        <v>4</v>
      </c>
      <c r="E18123">
        <v>1</v>
      </c>
    </row>
    <row r="18124" spans="1:5" x14ac:dyDescent="0.25">
      <c r="A18124">
        <v>18123</v>
      </c>
      <c r="B18124">
        <v>6092089</v>
      </c>
      <c r="C18124" s="1" t="str">
        <f>HYPERLINK("http://stackoverflow.com/users/6092089", "王建凯")</f>
        <v>王建凯</v>
      </c>
      <c r="D18124" t="s">
        <v>4</v>
      </c>
      <c r="E18124">
        <v>1</v>
      </c>
    </row>
    <row r="18125" spans="1:5" x14ac:dyDescent="0.25">
      <c r="A18125">
        <v>18124</v>
      </c>
      <c r="B18125">
        <v>9669848</v>
      </c>
      <c r="C18125" s="1" t="str">
        <f>HYPERLINK("http://stackoverflow.com/users/9669848", "ZC L")</f>
        <v>ZC L</v>
      </c>
      <c r="D18125" t="s">
        <v>25</v>
      </c>
      <c r="E18125">
        <v>1</v>
      </c>
    </row>
    <row r="18126" spans="1:5" x14ac:dyDescent="0.25">
      <c r="A18126">
        <v>18125</v>
      </c>
      <c r="B18126">
        <v>4366090</v>
      </c>
      <c r="C18126" s="1" t="str">
        <f>HYPERLINK("http://stackoverflow.com/users/4366090", "Xifeng Ren")</f>
        <v>Xifeng Ren</v>
      </c>
      <c r="D18126" t="s">
        <v>35</v>
      </c>
      <c r="E18126">
        <v>1</v>
      </c>
    </row>
    <row r="18127" spans="1:5" x14ac:dyDescent="0.25">
      <c r="A18127">
        <v>18126</v>
      </c>
      <c r="B18127">
        <v>4366348</v>
      </c>
      <c r="C18127" s="1" t="str">
        <f>HYPERLINK("http://stackoverflow.com/users/4366348", "Wangzhe")</f>
        <v>Wangzhe</v>
      </c>
      <c r="D18127" t="s">
        <v>5</v>
      </c>
      <c r="E18127">
        <v>1</v>
      </c>
    </row>
    <row r="18128" spans="1:5" x14ac:dyDescent="0.25">
      <c r="A18128">
        <v>18127</v>
      </c>
      <c r="B18128">
        <v>7861707</v>
      </c>
      <c r="C18128" s="1" t="str">
        <f>HYPERLINK("http://stackoverflow.com/users/7861707", "Dong")</f>
        <v>Dong</v>
      </c>
      <c r="D18128" t="s">
        <v>4</v>
      </c>
      <c r="E18128">
        <v>1</v>
      </c>
    </row>
    <row r="18129" spans="1:5" x14ac:dyDescent="0.25">
      <c r="A18129">
        <v>18128</v>
      </c>
      <c r="B18129">
        <v>7862029</v>
      </c>
      <c r="C18129" s="1" t="str">
        <f>HYPERLINK("http://stackoverflow.com/users/7862029", "V_for_Vendetta")</f>
        <v>V_for_Vendetta</v>
      </c>
      <c r="D18129" t="s">
        <v>4</v>
      </c>
      <c r="E18129">
        <v>1</v>
      </c>
    </row>
    <row r="18130" spans="1:5" x14ac:dyDescent="0.25">
      <c r="A18130">
        <v>18129</v>
      </c>
      <c r="B18130">
        <v>7862041</v>
      </c>
      <c r="C18130" s="1" t="str">
        <f>HYPERLINK("http://stackoverflow.com/users/7862041", "Jack Hui")</f>
        <v>Jack Hui</v>
      </c>
      <c r="D18130" t="s">
        <v>5</v>
      </c>
      <c r="E18130">
        <v>1</v>
      </c>
    </row>
    <row r="18131" spans="1:5" x14ac:dyDescent="0.25">
      <c r="A18131">
        <v>18130</v>
      </c>
      <c r="B18131">
        <v>7862249</v>
      </c>
      <c r="C18131" s="1" t="str">
        <f>HYPERLINK("http://stackoverflow.com/users/7862249", "Morgan")</f>
        <v>Morgan</v>
      </c>
      <c r="D18131" t="s">
        <v>5</v>
      </c>
      <c r="E18131">
        <v>1</v>
      </c>
    </row>
    <row r="18132" spans="1:5" x14ac:dyDescent="0.25">
      <c r="A18132">
        <v>18131</v>
      </c>
      <c r="B18132">
        <v>7862415</v>
      </c>
      <c r="C18132" s="1" t="str">
        <f>HYPERLINK("http://stackoverflow.com/users/7862415", "user7862415")</f>
        <v>user7862415</v>
      </c>
      <c r="D18132" t="s">
        <v>5</v>
      </c>
      <c r="E18132">
        <v>1</v>
      </c>
    </row>
    <row r="18133" spans="1:5" x14ac:dyDescent="0.25">
      <c r="A18133">
        <v>18132</v>
      </c>
      <c r="B18133">
        <v>2496241</v>
      </c>
      <c r="C18133" s="1" t="str">
        <f>HYPERLINK("http://stackoverflow.com/users/2496241", "Harrison Eu")</f>
        <v>Harrison Eu</v>
      </c>
      <c r="D18133" t="s">
        <v>4</v>
      </c>
      <c r="E18133">
        <v>1</v>
      </c>
    </row>
    <row r="18134" spans="1:5" x14ac:dyDescent="0.25">
      <c r="A18134">
        <v>18133</v>
      </c>
      <c r="B18134">
        <v>9673377</v>
      </c>
      <c r="C18134" s="1" t="str">
        <f>HYPERLINK("http://stackoverflow.com/users/9673377", "Gary")</f>
        <v>Gary</v>
      </c>
      <c r="D18134" t="s">
        <v>4</v>
      </c>
      <c r="E18134">
        <v>1</v>
      </c>
    </row>
    <row r="18135" spans="1:5" x14ac:dyDescent="0.25">
      <c r="A18135">
        <v>18134</v>
      </c>
      <c r="B18135">
        <v>9673811</v>
      </c>
      <c r="C18135" s="1" t="str">
        <f>HYPERLINK("http://stackoverflow.com/users/9673811", "stive sun")</f>
        <v>stive sun</v>
      </c>
      <c r="D18135" t="s">
        <v>5</v>
      </c>
      <c r="E18135">
        <v>1</v>
      </c>
    </row>
    <row r="18136" spans="1:5" x14ac:dyDescent="0.25">
      <c r="A18136">
        <v>18135</v>
      </c>
      <c r="B18136">
        <v>4368584</v>
      </c>
      <c r="C18136" s="1" t="str">
        <f>HYPERLINK("http://stackoverflow.com/users/4368584", "Aldaron")</f>
        <v>Aldaron</v>
      </c>
      <c r="D18136" t="s">
        <v>5</v>
      </c>
      <c r="E18136">
        <v>1</v>
      </c>
    </row>
    <row r="18137" spans="1:5" x14ac:dyDescent="0.25">
      <c r="A18137">
        <v>18136</v>
      </c>
      <c r="B18137">
        <v>2512621</v>
      </c>
      <c r="C18137" s="1" t="str">
        <f>HYPERLINK("http://stackoverflow.com/users/2512621", "HeraclesHX")</f>
        <v>HeraclesHX</v>
      </c>
      <c r="D18137" t="s">
        <v>5</v>
      </c>
      <c r="E18137">
        <v>1</v>
      </c>
    </row>
    <row r="18138" spans="1:5" x14ac:dyDescent="0.25">
      <c r="A18138">
        <v>18137</v>
      </c>
      <c r="B18138">
        <v>2512834</v>
      </c>
      <c r="C18138" s="1" t="str">
        <f>HYPERLINK("http://stackoverflow.com/users/2512834", "Yitian")</f>
        <v>Yitian</v>
      </c>
      <c r="D18138" t="s">
        <v>5</v>
      </c>
      <c r="E18138">
        <v>1</v>
      </c>
    </row>
    <row r="18139" spans="1:5" x14ac:dyDescent="0.25">
      <c r="A18139">
        <v>18138</v>
      </c>
      <c r="B18139">
        <v>205993</v>
      </c>
      <c r="C18139" s="1" t="str">
        <f>HYPERLINK("http://stackoverflow.com/users/205993", "user205993")</f>
        <v>user205993</v>
      </c>
      <c r="D18139" t="s">
        <v>984</v>
      </c>
      <c r="E18139">
        <v>1</v>
      </c>
    </row>
    <row r="18140" spans="1:5" x14ac:dyDescent="0.25">
      <c r="A18140">
        <v>18139</v>
      </c>
      <c r="B18140">
        <v>2510801</v>
      </c>
      <c r="C18140" s="1" t="str">
        <f>HYPERLINK("http://stackoverflow.com/users/2510801", "Joy Zh")</f>
        <v>Joy Zh</v>
      </c>
      <c r="D18140" t="s">
        <v>31</v>
      </c>
      <c r="E18140">
        <v>1</v>
      </c>
    </row>
    <row r="18141" spans="1:5" x14ac:dyDescent="0.25">
      <c r="A18141">
        <v>18140</v>
      </c>
      <c r="B18141">
        <v>2511224</v>
      </c>
      <c r="C18141" s="1" t="str">
        <f>HYPERLINK("http://stackoverflow.com/users/2511224", "yecaome")</f>
        <v>yecaome</v>
      </c>
      <c r="D18141" t="s">
        <v>4</v>
      </c>
      <c r="E18141">
        <v>1</v>
      </c>
    </row>
    <row r="18142" spans="1:5" x14ac:dyDescent="0.25">
      <c r="A18142">
        <v>18141</v>
      </c>
      <c r="B18142">
        <v>2511326</v>
      </c>
      <c r="C18142" s="1" t="str">
        <f>HYPERLINK("http://stackoverflow.com/users/2511326", "Anxuyong")</f>
        <v>Anxuyong</v>
      </c>
      <c r="D18142" t="s">
        <v>5</v>
      </c>
      <c r="E18142">
        <v>1</v>
      </c>
    </row>
    <row r="18143" spans="1:5" x14ac:dyDescent="0.25">
      <c r="A18143">
        <v>18142</v>
      </c>
      <c r="B18143">
        <v>4382222</v>
      </c>
      <c r="C18143" s="1" t="str">
        <f>HYPERLINK("http://stackoverflow.com/users/4382222", "ghbore")</f>
        <v>ghbore</v>
      </c>
      <c r="D18143" t="s">
        <v>5</v>
      </c>
      <c r="E18143">
        <v>1</v>
      </c>
    </row>
    <row r="18144" spans="1:5" x14ac:dyDescent="0.25">
      <c r="A18144">
        <v>18143</v>
      </c>
      <c r="B18144">
        <v>194570</v>
      </c>
      <c r="C18144" s="1" t="str">
        <f>HYPERLINK("http://stackoverflow.com/users/194570", "Sébastien Ferry")</f>
        <v>Sébastien Ferry</v>
      </c>
      <c r="D18144" t="s">
        <v>4</v>
      </c>
      <c r="E18144">
        <v>1</v>
      </c>
    </row>
    <row r="18145" spans="1:5" x14ac:dyDescent="0.25">
      <c r="A18145">
        <v>18144</v>
      </c>
      <c r="B18145">
        <v>7887770</v>
      </c>
      <c r="C18145" s="1" t="str">
        <f>HYPERLINK("http://stackoverflow.com/users/7887770", "iVerywang")</f>
        <v>iVerywang</v>
      </c>
      <c r="D18145" t="s">
        <v>16</v>
      </c>
      <c r="E18145">
        <v>1</v>
      </c>
    </row>
    <row r="18146" spans="1:5" x14ac:dyDescent="0.25">
      <c r="A18146">
        <v>18145</v>
      </c>
      <c r="B18146">
        <v>7888065</v>
      </c>
      <c r="C18146" s="1" t="str">
        <f>HYPERLINK("http://stackoverflow.com/users/7888065", "Paul Micaelli")</f>
        <v>Paul Micaelli</v>
      </c>
      <c r="D18146" t="s">
        <v>4</v>
      </c>
      <c r="E18146">
        <v>1</v>
      </c>
    </row>
    <row r="18147" spans="1:5" x14ac:dyDescent="0.25">
      <c r="A18147">
        <v>18146</v>
      </c>
      <c r="B18147">
        <v>7888129</v>
      </c>
      <c r="C18147" s="1" t="str">
        <f>HYPERLINK("http://stackoverflow.com/users/7888129", "Changcui Wan")</f>
        <v>Changcui Wan</v>
      </c>
      <c r="D18147" t="s">
        <v>115</v>
      </c>
      <c r="E18147">
        <v>1</v>
      </c>
    </row>
    <row r="18148" spans="1:5" x14ac:dyDescent="0.25">
      <c r="A18148">
        <v>18147</v>
      </c>
      <c r="B18148">
        <v>9698143</v>
      </c>
      <c r="C18148" s="1" t="str">
        <f>HYPERLINK("http://stackoverflow.com/users/9698143", "yuliangmu")</f>
        <v>yuliangmu</v>
      </c>
      <c r="D18148" t="s">
        <v>28</v>
      </c>
      <c r="E18148">
        <v>1</v>
      </c>
    </row>
    <row r="18149" spans="1:5" x14ac:dyDescent="0.25">
      <c r="A18149">
        <v>18148</v>
      </c>
      <c r="B18149">
        <v>4392733</v>
      </c>
      <c r="C18149" s="1" t="str">
        <f>HYPERLINK("http://stackoverflow.com/users/4392733", "gcbeen")</f>
        <v>gcbeen</v>
      </c>
      <c r="D18149" t="s">
        <v>115</v>
      </c>
      <c r="E18149">
        <v>1</v>
      </c>
    </row>
    <row r="18150" spans="1:5" x14ac:dyDescent="0.25">
      <c r="A18150">
        <v>18149</v>
      </c>
      <c r="B18150">
        <v>4392854</v>
      </c>
      <c r="C18150" s="1" t="str">
        <f>HYPERLINK("http://stackoverflow.com/users/4392854", "Wesley.Chen")</f>
        <v>Wesley.Chen</v>
      </c>
      <c r="D18150" t="s">
        <v>4</v>
      </c>
      <c r="E18150">
        <v>1</v>
      </c>
    </row>
    <row r="18151" spans="1:5" x14ac:dyDescent="0.25">
      <c r="A18151">
        <v>18150</v>
      </c>
      <c r="B18151">
        <v>9701603</v>
      </c>
      <c r="C18151" s="1" t="str">
        <f>HYPERLINK("http://stackoverflow.com/users/9701603", "xuexiangjys")</f>
        <v>xuexiangjys</v>
      </c>
      <c r="D18151" t="s">
        <v>55</v>
      </c>
      <c r="E18151">
        <v>1</v>
      </c>
    </row>
    <row r="18152" spans="1:5" x14ac:dyDescent="0.25">
      <c r="A18152">
        <v>18151</v>
      </c>
      <c r="B18152">
        <v>9701664</v>
      </c>
      <c r="C18152" s="1" t="str">
        <f>HYPERLINK("http://stackoverflow.com/users/9701664", "daoyou")</f>
        <v>daoyou</v>
      </c>
      <c r="D18152" t="s">
        <v>4</v>
      </c>
      <c r="E18152">
        <v>1</v>
      </c>
    </row>
    <row r="18153" spans="1:5" x14ac:dyDescent="0.25">
      <c r="A18153">
        <v>18152</v>
      </c>
      <c r="B18153">
        <v>9701691</v>
      </c>
      <c r="C18153" s="1" t="str">
        <f>HYPERLINK("http://stackoverflow.com/users/9701691", "Ren Peng")</f>
        <v>Ren Peng</v>
      </c>
      <c r="D18153" t="s">
        <v>5</v>
      </c>
      <c r="E18153">
        <v>1</v>
      </c>
    </row>
    <row r="18154" spans="1:5" x14ac:dyDescent="0.25">
      <c r="A18154">
        <v>18153</v>
      </c>
      <c r="B18154">
        <v>2519565</v>
      </c>
      <c r="C18154" s="1" t="str">
        <f>HYPERLINK("http://stackoverflow.com/users/2519565", "Snake Liu")</f>
        <v>Snake Liu</v>
      </c>
      <c r="D18154" t="s">
        <v>985</v>
      </c>
      <c r="E18154">
        <v>1</v>
      </c>
    </row>
    <row r="18155" spans="1:5" x14ac:dyDescent="0.25">
      <c r="A18155">
        <v>18154</v>
      </c>
      <c r="B18155">
        <v>215176</v>
      </c>
      <c r="C18155" s="1" t="str">
        <f>HYPERLINK("http://stackoverflow.com/users/215176", "broom9")</f>
        <v>broom9</v>
      </c>
      <c r="D18155" t="s">
        <v>5</v>
      </c>
      <c r="E18155">
        <v>1</v>
      </c>
    </row>
    <row r="18156" spans="1:5" x14ac:dyDescent="0.25">
      <c r="A18156">
        <v>18155</v>
      </c>
      <c r="B18156">
        <v>9697609</v>
      </c>
      <c r="C18156" s="1" t="str">
        <f>HYPERLINK("http://stackoverflow.com/users/9697609", "Xiao-Xiao Li")</f>
        <v>Xiao-Xiao Li</v>
      </c>
      <c r="D18156" t="s">
        <v>4</v>
      </c>
      <c r="E18156">
        <v>1</v>
      </c>
    </row>
    <row r="18157" spans="1:5" x14ac:dyDescent="0.25">
      <c r="A18157">
        <v>18156</v>
      </c>
      <c r="B18157">
        <v>6122266</v>
      </c>
      <c r="C18157" s="1" t="str">
        <f>HYPERLINK("http://stackoverflow.com/users/6122266", "hap")</f>
        <v>hap</v>
      </c>
      <c r="D18157" t="s">
        <v>7</v>
      </c>
      <c r="E18157">
        <v>1</v>
      </c>
    </row>
    <row r="18158" spans="1:5" x14ac:dyDescent="0.25">
      <c r="A18158">
        <v>18157</v>
      </c>
      <c r="B18158">
        <v>6122272</v>
      </c>
      <c r="C18158" s="1" t="str">
        <f>HYPERLINK("http://stackoverflow.com/users/6122272", "ideoj")</f>
        <v>ideoj</v>
      </c>
      <c r="D18158" t="s">
        <v>4</v>
      </c>
      <c r="E18158">
        <v>1</v>
      </c>
    </row>
    <row r="18159" spans="1:5" x14ac:dyDescent="0.25">
      <c r="A18159">
        <v>18158</v>
      </c>
      <c r="B18159">
        <v>6122318</v>
      </c>
      <c r="C18159" s="1" t="str">
        <f>HYPERLINK("http://stackoverflow.com/users/6122318", "coder.HQLee")</f>
        <v>coder.HQLee</v>
      </c>
      <c r="D18159" t="s">
        <v>28</v>
      </c>
      <c r="E18159">
        <v>1</v>
      </c>
    </row>
    <row r="18160" spans="1:5" x14ac:dyDescent="0.25">
      <c r="A18160">
        <v>18159</v>
      </c>
      <c r="B18160">
        <v>7894527</v>
      </c>
      <c r="C18160" s="1" t="str">
        <f>HYPERLINK("http://stackoverflow.com/users/7894527", "G.hui")</f>
        <v>G.hui</v>
      </c>
      <c r="D18160" t="s">
        <v>986</v>
      </c>
      <c r="E18160">
        <v>1</v>
      </c>
    </row>
    <row r="18161" spans="1:5" x14ac:dyDescent="0.25">
      <c r="A18161">
        <v>18160</v>
      </c>
      <c r="B18161">
        <v>7894551</v>
      </c>
      <c r="C18161" s="1" t="str">
        <f>HYPERLINK("http://stackoverflow.com/users/7894551", "TongjieYang")</f>
        <v>TongjieYang</v>
      </c>
      <c r="D18161" t="s">
        <v>27</v>
      </c>
      <c r="E18161">
        <v>1</v>
      </c>
    </row>
    <row r="18162" spans="1:5" x14ac:dyDescent="0.25">
      <c r="A18162">
        <v>18161</v>
      </c>
      <c r="B18162">
        <v>7894863</v>
      </c>
      <c r="C18162" s="1" t="str">
        <f>HYPERLINK("http://stackoverflow.com/users/7894863", "冀永光")</f>
        <v>冀永光</v>
      </c>
      <c r="D18162" t="s">
        <v>546</v>
      </c>
      <c r="E18162">
        <v>1</v>
      </c>
    </row>
    <row r="18163" spans="1:5" x14ac:dyDescent="0.25">
      <c r="A18163">
        <v>18162</v>
      </c>
      <c r="B18163">
        <v>7894959</v>
      </c>
      <c r="C18163" s="1" t="str">
        <f>HYPERLINK("http://stackoverflow.com/users/7894959", "李聪颖")</f>
        <v>李聪颖</v>
      </c>
      <c r="D18163" t="s">
        <v>987</v>
      </c>
      <c r="E18163">
        <v>1</v>
      </c>
    </row>
    <row r="18164" spans="1:5" x14ac:dyDescent="0.25">
      <c r="A18164">
        <v>18163</v>
      </c>
      <c r="B18164">
        <v>9705697</v>
      </c>
      <c r="C18164" s="1" t="str">
        <f>HYPERLINK("http://stackoverflow.com/users/9705697", "zjkiki")</f>
        <v>zjkiki</v>
      </c>
      <c r="D18164" t="s">
        <v>4</v>
      </c>
      <c r="E18164">
        <v>1</v>
      </c>
    </row>
    <row r="18165" spans="1:5" x14ac:dyDescent="0.25">
      <c r="A18165">
        <v>18164</v>
      </c>
      <c r="B18165">
        <v>4401752</v>
      </c>
      <c r="C18165" s="1" t="str">
        <f>HYPERLINK("http://stackoverflow.com/users/4401752", "He JC")</f>
        <v>He JC</v>
      </c>
      <c r="D18165" t="s">
        <v>12</v>
      </c>
      <c r="E18165">
        <v>1</v>
      </c>
    </row>
    <row r="18166" spans="1:5" x14ac:dyDescent="0.25">
      <c r="A18166">
        <v>18165</v>
      </c>
      <c r="B18166">
        <v>4401793</v>
      </c>
      <c r="C18166" s="1" t="str">
        <f>HYPERLINK("http://stackoverflow.com/users/4401793", "shavekevin")</f>
        <v>shavekevin</v>
      </c>
      <c r="D18166" t="s">
        <v>5</v>
      </c>
      <c r="E18166">
        <v>1</v>
      </c>
    </row>
    <row r="18167" spans="1:5" x14ac:dyDescent="0.25">
      <c r="A18167">
        <v>18166</v>
      </c>
      <c r="B18167">
        <v>239034</v>
      </c>
      <c r="C18167" s="1" t="str">
        <f>HYPERLINK("http://stackoverflow.com/users/239034", "NingboWeather")</f>
        <v>NingboWeather</v>
      </c>
      <c r="D18167" t="s">
        <v>48</v>
      </c>
      <c r="E18167">
        <v>1</v>
      </c>
    </row>
    <row r="18168" spans="1:5" x14ac:dyDescent="0.25">
      <c r="A18168">
        <v>18167</v>
      </c>
      <c r="B18168">
        <v>6130365</v>
      </c>
      <c r="C18168" s="1" t="str">
        <f>HYPERLINK("http://stackoverflow.com/users/6130365", "Kevin_Curry")</f>
        <v>Kevin_Curry</v>
      </c>
      <c r="D18168" t="s">
        <v>5</v>
      </c>
      <c r="E18168">
        <v>1</v>
      </c>
    </row>
    <row r="18169" spans="1:5" x14ac:dyDescent="0.25">
      <c r="A18169">
        <v>18168</v>
      </c>
      <c r="B18169">
        <v>2534516</v>
      </c>
      <c r="C18169" s="1" t="str">
        <f>HYPERLINK("http://stackoverflow.com/users/2534516", "Sean")</f>
        <v>Sean</v>
      </c>
      <c r="D18169" t="s">
        <v>12</v>
      </c>
      <c r="E18169">
        <v>1</v>
      </c>
    </row>
    <row r="18170" spans="1:5" x14ac:dyDescent="0.25">
      <c r="A18170">
        <v>18169</v>
      </c>
      <c r="B18170">
        <v>2534953</v>
      </c>
      <c r="C18170" s="1" t="str">
        <f>HYPERLINK("http://stackoverflow.com/users/2534953", "hotiii")</f>
        <v>hotiii</v>
      </c>
      <c r="D18170" t="s">
        <v>5</v>
      </c>
      <c r="E18170">
        <v>1</v>
      </c>
    </row>
    <row r="18171" spans="1:5" x14ac:dyDescent="0.25">
      <c r="A18171">
        <v>18170</v>
      </c>
      <c r="B18171">
        <v>2535755</v>
      </c>
      <c r="C18171" s="1" t="str">
        <f>HYPERLINK("http://stackoverflow.com/users/2535755", "James Zhu")</f>
        <v>James Zhu</v>
      </c>
      <c r="D18171" t="s">
        <v>4</v>
      </c>
      <c r="E18171">
        <v>1</v>
      </c>
    </row>
    <row r="18172" spans="1:5" x14ac:dyDescent="0.25">
      <c r="A18172">
        <v>18171</v>
      </c>
      <c r="B18172">
        <v>9710017</v>
      </c>
      <c r="C18172" s="1" t="str">
        <f>HYPERLINK("http://stackoverflow.com/users/9710017", "John12341234")</f>
        <v>John12341234</v>
      </c>
      <c r="D18172" t="s">
        <v>57</v>
      </c>
      <c r="E18172">
        <v>1</v>
      </c>
    </row>
    <row r="18173" spans="1:5" x14ac:dyDescent="0.25">
      <c r="A18173">
        <v>18172</v>
      </c>
      <c r="B18173">
        <v>2545051</v>
      </c>
      <c r="C18173" s="1" t="str">
        <f>HYPERLINK("http://stackoverflow.com/users/2545051", "Chen Hua")</f>
        <v>Chen Hua</v>
      </c>
      <c r="D18173" t="s">
        <v>38</v>
      </c>
      <c r="E18173">
        <v>1</v>
      </c>
    </row>
    <row r="18174" spans="1:5" x14ac:dyDescent="0.25">
      <c r="A18174">
        <v>18173</v>
      </c>
      <c r="B18174">
        <v>6133888</v>
      </c>
      <c r="C18174" s="1" t="str">
        <f>HYPERLINK("http://stackoverflow.com/users/6133888", "Zhendong")</f>
        <v>Zhendong</v>
      </c>
      <c r="D18174" t="s">
        <v>988</v>
      </c>
      <c r="E18174">
        <v>1</v>
      </c>
    </row>
    <row r="18175" spans="1:5" x14ac:dyDescent="0.25">
      <c r="A18175">
        <v>18174</v>
      </c>
      <c r="B18175">
        <v>6134184</v>
      </c>
      <c r="C18175" s="1" t="str">
        <f>HYPERLINK("http://stackoverflow.com/users/6134184", "tobby")</f>
        <v>tobby</v>
      </c>
      <c r="D18175" t="s">
        <v>5</v>
      </c>
      <c r="E18175">
        <v>1</v>
      </c>
    </row>
    <row r="18176" spans="1:5" x14ac:dyDescent="0.25">
      <c r="A18176">
        <v>18175</v>
      </c>
      <c r="B18176">
        <v>4405334</v>
      </c>
      <c r="C18176" s="1" t="str">
        <f>HYPERLINK("http://stackoverflow.com/users/4405334", "hello didi")</f>
        <v>hello didi</v>
      </c>
      <c r="D18176" t="s">
        <v>5</v>
      </c>
      <c r="E18176">
        <v>1</v>
      </c>
    </row>
    <row r="18177" spans="1:5" x14ac:dyDescent="0.25">
      <c r="A18177">
        <v>18176</v>
      </c>
      <c r="B18177">
        <v>7905288</v>
      </c>
      <c r="C18177" s="1" t="str">
        <f>HYPERLINK("http://stackoverflow.com/users/7905288", "domi-fa")</f>
        <v>domi-fa</v>
      </c>
      <c r="D18177" t="s">
        <v>29</v>
      </c>
      <c r="E18177">
        <v>1</v>
      </c>
    </row>
    <row r="18178" spans="1:5" x14ac:dyDescent="0.25">
      <c r="A18178">
        <v>18177</v>
      </c>
      <c r="B18178">
        <v>2862229</v>
      </c>
      <c r="C18178" s="1" t="str">
        <f>HYPERLINK("http://stackoverflow.com/users/2862229", "Alan Stone")</f>
        <v>Alan Stone</v>
      </c>
      <c r="D18178" t="s">
        <v>38</v>
      </c>
      <c r="E18178">
        <v>1</v>
      </c>
    </row>
    <row r="18179" spans="1:5" x14ac:dyDescent="0.25">
      <c r="A18179">
        <v>18178</v>
      </c>
      <c r="B18179">
        <v>6422142</v>
      </c>
      <c r="C18179" s="1" t="str">
        <f>HYPERLINK("http://stackoverflow.com/users/6422142", "Hong Xiyang")</f>
        <v>Hong Xiyang</v>
      </c>
      <c r="D18179" t="s">
        <v>989</v>
      </c>
      <c r="E18179">
        <v>1</v>
      </c>
    </row>
    <row r="18180" spans="1:5" x14ac:dyDescent="0.25">
      <c r="A18180">
        <v>18179</v>
      </c>
      <c r="B18180">
        <v>744454</v>
      </c>
      <c r="C18180" s="1" t="str">
        <f>HYPERLINK("http://stackoverflow.com/users/744454", "treblih")</f>
        <v>treblih</v>
      </c>
      <c r="D18180" t="s">
        <v>37</v>
      </c>
      <c r="E18180">
        <v>1</v>
      </c>
    </row>
    <row r="18181" spans="1:5" x14ac:dyDescent="0.25">
      <c r="A18181">
        <v>18180</v>
      </c>
      <c r="B18181">
        <v>6418053</v>
      </c>
      <c r="C18181" s="1" t="str">
        <f>HYPERLINK("http://stackoverflow.com/users/6418053", "Mingning Shao")</f>
        <v>Mingning Shao</v>
      </c>
      <c r="D18181" t="s">
        <v>16</v>
      </c>
      <c r="E18181">
        <v>1</v>
      </c>
    </row>
    <row r="18182" spans="1:5" x14ac:dyDescent="0.25">
      <c r="A18182">
        <v>18181</v>
      </c>
      <c r="B18182">
        <v>8203049</v>
      </c>
      <c r="C18182" s="1" t="str">
        <f>HYPERLINK("http://stackoverflow.com/users/8203049", "GaoXiaoHong")</f>
        <v>GaoXiaoHong</v>
      </c>
      <c r="D18182" t="s">
        <v>16</v>
      </c>
      <c r="E18182">
        <v>1</v>
      </c>
    </row>
    <row r="18183" spans="1:5" x14ac:dyDescent="0.25">
      <c r="A18183">
        <v>18182</v>
      </c>
      <c r="B18183">
        <v>10040772</v>
      </c>
      <c r="C18183" s="1" t="str">
        <f>HYPERLINK("http://stackoverflow.com/users/10040772", "Bamboo")</f>
        <v>Bamboo</v>
      </c>
      <c r="D18183" t="s">
        <v>5</v>
      </c>
      <c r="E18183">
        <v>1</v>
      </c>
    </row>
    <row r="18184" spans="1:5" x14ac:dyDescent="0.25">
      <c r="A18184">
        <v>18183</v>
      </c>
      <c r="B18184">
        <v>752025</v>
      </c>
      <c r="C18184" s="1" t="str">
        <f>HYPERLINK("http://stackoverflow.com/users/752025", "Taicy")</f>
        <v>Taicy</v>
      </c>
      <c r="D18184" t="s">
        <v>5</v>
      </c>
      <c r="E18184">
        <v>1</v>
      </c>
    </row>
    <row r="18185" spans="1:5" x14ac:dyDescent="0.25">
      <c r="A18185">
        <v>18184</v>
      </c>
      <c r="B18185">
        <v>10032577</v>
      </c>
      <c r="C18185" s="1" t="str">
        <f>HYPERLINK("http://stackoverflow.com/users/10032577", "ylin")</f>
        <v>ylin</v>
      </c>
      <c r="D18185" t="s">
        <v>4</v>
      </c>
      <c r="E18185">
        <v>1</v>
      </c>
    </row>
    <row r="18186" spans="1:5" x14ac:dyDescent="0.25">
      <c r="A18186">
        <v>18185</v>
      </c>
      <c r="B18186">
        <v>4702560</v>
      </c>
      <c r="C18186" s="1" t="str">
        <f>HYPERLINK("http://stackoverflow.com/users/4702560", "Adbibo")</f>
        <v>Adbibo</v>
      </c>
      <c r="D18186" t="s">
        <v>5</v>
      </c>
      <c r="E18186">
        <v>1</v>
      </c>
    </row>
    <row r="18187" spans="1:5" x14ac:dyDescent="0.25">
      <c r="A18187">
        <v>18186</v>
      </c>
      <c r="B18187">
        <v>4702596</v>
      </c>
      <c r="C18187" s="1" t="str">
        <f>HYPERLINK("http://stackoverflow.com/users/4702596", "ShirleyX1an")</f>
        <v>ShirleyX1an</v>
      </c>
      <c r="D18187" t="s">
        <v>5</v>
      </c>
      <c r="E18187">
        <v>1</v>
      </c>
    </row>
    <row r="18188" spans="1:5" x14ac:dyDescent="0.25">
      <c r="A18188">
        <v>18187</v>
      </c>
      <c r="B18188">
        <v>8222001</v>
      </c>
      <c r="C18188" s="1" t="str">
        <f>HYPERLINK("http://stackoverflow.com/users/8222001", "Pople")</f>
        <v>Pople</v>
      </c>
      <c r="D18188" t="s">
        <v>33</v>
      </c>
      <c r="E18188">
        <v>1</v>
      </c>
    </row>
    <row r="18189" spans="1:5" x14ac:dyDescent="0.25">
      <c r="A18189">
        <v>18188</v>
      </c>
      <c r="B18189">
        <v>8222557</v>
      </c>
      <c r="C18189" s="1" t="str">
        <f>HYPERLINK("http://stackoverflow.com/users/8222557", "Kay Saith")</f>
        <v>Kay Saith</v>
      </c>
      <c r="D18189" t="s">
        <v>5</v>
      </c>
      <c r="E18189">
        <v>1</v>
      </c>
    </row>
    <row r="18190" spans="1:5" x14ac:dyDescent="0.25">
      <c r="A18190">
        <v>18189</v>
      </c>
      <c r="B18190">
        <v>10037033</v>
      </c>
      <c r="C18190" s="1" t="str">
        <f>HYPERLINK("http://stackoverflow.com/users/10037033", "jerrypicasso")</f>
        <v>jerrypicasso</v>
      </c>
      <c r="D18190" t="s">
        <v>55</v>
      </c>
      <c r="E18190">
        <v>1</v>
      </c>
    </row>
    <row r="18191" spans="1:5" x14ac:dyDescent="0.25">
      <c r="A18191">
        <v>18190</v>
      </c>
      <c r="B18191">
        <v>10040325</v>
      </c>
      <c r="C18191" s="1" t="str">
        <f>HYPERLINK("http://stackoverflow.com/users/10040325", "Xudong Zou")</f>
        <v>Xudong Zou</v>
      </c>
      <c r="D18191" t="s">
        <v>17</v>
      </c>
      <c r="E18191">
        <v>1</v>
      </c>
    </row>
    <row r="18192" spans="1:5" x14ac:dyDescent="0.25">
      <c r="A18192">
        <v>18191</v>
      </c>
      <c r="B18192">
        <v>792435</v>
      </c>
      <c r="C18192" s="1" t="str">
        <f>HYPERLINK("http://stackoverflow.com/users/792435", "Aaron Ding")</f>
        <v>Aaron Ding</v>
      </c>
      <c r="D18192" t="s">
        <v>4</v>
      </c>
      <c r="E18192">
        <v>1</v>
      </c>
    </row>
    <row r="18193" spans="1:5" x14ac:dyDescent="0.25">
      <c r="A18193">
        <v>18192</v>
      </c>
      <c r="B18193">
        <v>772647</v>
      </c>
      <c r="C18193" s="1" t="str">
        <f>HYPERLINK("http://stackoverflow.com/users/772647", "Bing")</f>
        <v>Bing</v>
      </c>
      <c r="D18193" t="s">
        <v>5</v>
      </c>
      <c r="E18193">
        <v>1</v>
      </c>
    </row>
    <row r="18194" spans="1:5" x14ac:dyDescent="0.25">
      <c r="A18194">
        <v>18193</v>
      </c>
      <c r="B18194">
        <v>791925</v>
      </c>
      <c r="C18194" s="1" t="str">
        <f>HYPERLINK("http://stackoverflow.com/users/791925", "lixuanxia")</f>
        <v>lixuanxia</v>
      </c>
      <c r="D18194" t="s">
        <v>74</v>
      </c>
      <c r="E18194">
        <v>1</v>
      </c>
    </row>
    <row r="18195" spans="1:5" x14ac:dyDescent="0.25">
      <c r="A18195">
        <v>18194</v>
      </c>
      <c r="B18195">
        <v>780602</v>
      </c>
      <c r="C18195" s="1" t="str">
        <f>HYPERLINK("http://stackoverflow.com/users/780602", "shellehs")</f>
        <v>shellehs</v>
      </c>
      <c r="D18195" t="s">
        <v>5</v>
      </c>
      <c r="E18195">
        <v>1</v>
      </c>
    </row>
    <row r="18196" spans="1:5" x14ac:dyDescent="0.25">
      <c r="A18196">
        <v>18195</v>
      </c>
      <c r="B18196">
        <v>6439079</v>
      </c>
      <c r="C18196" s="1" t="str">
        <f>HYPERLINK("http://stackoverflow.com/users/6439079", "Jerry3062")</f>
        <v>Jerry3062</v>
      </c>
      <c r="D18196" t="s">
        <v>305</v>
      </c>
      <c r="E18196">
        <v>1</v>
      </c>
    </row>
    <row r="18197" spans="1:5" x14ac:dyDescent="0.25">
      <c r="A18197">
        <v>18196</v>
      </c>
      <c r="B18197">
        <v>10053693</v>
      </c>
      <c r="C18197" s="1" t="str">
        <f>HYPERLINK("http://stackoverflow.com/users/10053693", "Dxigui")</f>
        <v>Dxigui</v>
      </c>
      <c r="D18197" t="s">
        <v>16</v>
      </c>
      <c r="E18197">
        <v>1</v>
      </c>
    </row>
    <row r="18198" spans="1:5" x14ac:dyDescent="0.25">
      <c r="A18198">
        <v>18197</v>
      </c>
      <c r="B18198">
        <v>791057</v>
      </c>
      <c r="C18198" s="1" t="str">
        <f>HYPERLINK("http://stackoverflow.com/users/791057", "ipondering")</f>
        <v>ipondering</v>
      </c>
      <c r="D18198" t="s">
        <v>5</v>
      </c>
      <c r="E18198">
        <v>1</v>
      </c>
    </row>
    <row r="18199" spans="1:5" x14ac:dyDescent="0.25">
      <c r="A18199">
        <v>18198</v>
      </c>
      <c r="B18199">
        <v>791203</v>
      </c>
      <c r="C18199" s="1" t="str">
        <f>HYPERLINK("http://stackoverflow.com/users/791203", "yiplee")</f>
        <v>yiplee</v>
      </c>
      <c r="D18199" t="s">
        <v>5</v>
      </c>
      <c r="E18199">
        <v>1</v>
      </c>
    </row>
    <row r="18200" spans="1:5" x14ac:dyDescent="0.25">
      <c r="A18200">
        <v>18199</v>
      </c>
      <c r="B18200">
        <v>791354</v>
      </c>
      <c r="C18200" s="1" t="str">
        <f>HYPERLINK("http://stackoverflow.com/users/791354", "Jack River")</f>
        <v>Jack River</v>
      </c>
      <c r="D18200" t="s">
        <v>4</v>
      </c>
      <c r="E18200">
        <v>1</v>
      </c>
    </row>
    <row r="18201" spans="1:5" x14ac:dyDescent="0.25">
      <c r="A18201">
        <v>18200</v>
      </c>
      <c r="B18201">
        <v>2875255</v>
      </c>
      <c r="C18201" s="1" t="str">
        <f>HYPERLINK("http://stackoverflow.com/users/2875255", "freedom_sky")</f>
        <v>freedom_sky</v>
      </c>
      <c r="D18201" t="s">
        <v>4</v>
      </c>
      <c r="E18201">
        <v>1</v>
      </c>
    </row>
    <row r="18202" spans="1:5" x14ac:dyDescent="0.25">
      <c r="A18202">
        <v>18201</v>
      </c>
      <c r="B18202">
        <v>2875304</v>
      </c>
      <c r="C18202" s="1" t="str">
        <f>HYPERLINK("http://stackoverflow.com/users/2875304", "mengyang")</f>
        <v>mengyang</v>
      </c>
      <c r="D18202" t="s">
        <v>22</v>
      </c>
      <c r="E18202">
        <v>1</v>
      </c>
    </row>
    <row r="18203" spans="1:5" x14ac:dyDescent="0.25">
      <c r="A18203">
        <v>18202</v>
      </c>
      <c r="B18203">
        <v>2875339</v>
      </c>
      <c r="C18203" s="1" t="str">
        <f>HYPERLINK("http://stackoverflow.com/users/2875339", "Zhaowei Hou")</f>
        <v>Zhaowei Hou</v>
      </c>
      <c r="D18203" t="s">
        <v>5</v>
      </c>
      <c r="E18203">
        <v>1</v>
      </c>
    </row>
    <row r="18204" spans="1:5" x14ac:dyDescent="0.25">
      <c r="A18204">
        <v>18203</v>
      </c>
      <c r="B18204">
        <v>765752</v>
      </c>
      <c r="C18204" s="1" t="str">
        <f>HYPERLINK("http://stackoverflow.com/users/765752", "lainuo")</f>
        <v>lainuo</v>
      </c>
      <c r="D18204" t="s">
        <v>12</v>
      </c>
      <c r="E18204">
        <v>1</v>
      </c>
    </row>
    <row r="18205" spans="1:5" x14ac:dyDescent="0.25">
      <c r="A18205">
        <v>18204</v>
      </c>
      <c r="B18205">
        <v>765775</v>
      </c>
      <c r="C18205" s="1" t="str">
        <f>HYPERLINK("http://stackoverflow.com/users/765775", "Hanley Tang")</f>
        <v>Hanley Tang</v>
      </c>
      <c r="D18205" t="s">
        <v>38</v>
      </c>
      <c r="E18205">
        <v>1</v>
      </c>
    </row>
    <row r="18206" spans="1:5" x14ac:dyDescent="0.25">
      <c r="A18206">
        <v>18205</v>
      </c>
      <c r="B18206">
        <v>8229372</v>
      </c>
      <c r="C18206" s="1" t="str">
        <f>HYPERLINK("http://stackoverflow.com/users/8229372", "SteveWins")</f>
        <v>SteveWins</v>
      </c>
      <c r="D18206" t="s">
        <v>5</v>
      </c>
      <c r="E18206">
        <v>1</v>
      </c>
    </row>
    <row r="18207" spans="1:5" x14ac:dyDescent="0.25">
      <c r="A18207">
        <v>18206</v>
      </c>
      <c r="B18207">
        <v>8229391</v>
      </c>
      <c r="C18207" s="1" t="str">
        <f>HYPERLINK("http://stackoverflow.com/users/8229391", "long sun")</f>
        <v>long sun</v>
      </c>
      <c r="D18207" t="s">
        <v>131</v>
      </c>
      <c r="E18207">
        <v>1</v>
      </c>
    </row>
    <row r="18208" spans="1:5" x14ac:dyDescent="0.25">
      <c r="A18208">
        <v>18207</v>
      </c>
      <c r="B18208">
        <v>6431071</v>
      </c>
      <c r="C18208" s="1" t="str">
        <f>HYPERLINK("http://stackoverflow.com/users/6431071", "J.Fang")</f>
        <v>J.Fang</v>
      </c>
      <c r="D18208" t="s">
        <v>47</v>
      </c>
      <c r="E18208">
        <v>1</v>
      </c>
    </row>
    <row r="18209" spans="1:5" x14ac:dyDescent="0.25">
      <c r="A18209">
        <v>18208</v>
      </c>
      <c r="B18209">
        <v>8225602</v>
      </c>
      <c r="C18209" s="1" t="str">
        <f>HYPERLINK("http://stackoverflow.com/users/8225602", "邹思宇")</f>
        <v>邹思宇</v>
      </c>
      <c r="D18209" t="s">
        <v>990</v>
      </c>
      <c r="E18209">
        <v>1</v>
      </c>
    </row>
    <row r="18210" spans="1:5" x14ac:dyDescent="0.25">
      <c r="A18210">
        <v>18209</v>
      </c>
      <c r="B18210">
        <v>6434302</v>
      </c>
      <c r="C18210" s="1" t="str">
        <f>HYPERLINK("http://stackoverflow.com/users/6434302", "Nero Lee")</f>
        <v>Nero Lee</v>
      </c>
      <c r="D18210" t="s">
        <v>52</v>
      </c>
      <c r="E18210">
        <v>1</v>
      </c>
    </row>
    <row r="18211" spans="1:5" x14ac:dyDescent="0.25">
      <c r="A18211">
        <v>18210</v>
      </c>
      <c r="B18211">
        <v>6434774</v>
      </c>
      <c r="C18211" s="1" t="str">
        <f>HYPERLINK("http://stackoverflow.com/users/6434774", "RemiliaForever")</f>
        <v>RemiliaForever</v>
      </c>
      <c r="D18211" t="s">
        <v>55</v>
      </c>
      <c r="E18211">
        <v>1</v>
      </c>
    </row>
    <row r="18212" spans="1:5" x14ac:dyDescent="0.25">
      <c r="A18212">
        <v>18211</v>
      </c>
      <c r="B18212">
        <v>6434913</v>
      </c>
      <c r="C18212" s="1" t="str">
        <f>HYPERLINK("http://stackoverflow.com/users/6434913", "Hu Kai")</f>
        <v>Hu Kai</v>
      </c>
      <c r="D18212" t="s">
        <v>28</v>
      </c>
      <c r="E18212">
        <v>1</v>
      </c>
    </row>
    <row r="18213" spans="1:5" x14ac:dyDescent="0.25">
      <c r="A18213">
        <v>18212</v>
      </c>
      <c r="B18213">
        <v>8229019</v>
      </c>
      <c r="C18213" s="1" t="str">
        <f>HYPERLINK("http://stackoverflow.com/users/8229019", "ruijie")</f>
        <v>ruijie</v>
      </c>
      <c r="D18213" t="s">
        <v>5</v>
      </c>
      <c r="E18213">
        <v>1</v>
      </c>
    </row>
    <row r="18214" spans="1:5" x14ac:dyDescent="0.25">
      <c r="A18214">
        <v>18213</v>
      </c>
      <c r="B18214">
        <v>8229124</v>
      </c>
      <c r="C18214" s="1" t="str">
        <f>HYPERLINK("http://stackoverflow.com/users/8229124", "xiangchao")</f>
        <v>xiangchao</v>
      </c>
      <c r="D18214" t="s">
        <v>991</v>
      </c>
      <c r="E18214">
        <v>1</v>
      </c>
    </row>
    <row r="18215" spans="1:5" x14ac:dyDescent="0.25">
      <c r="A18215">
        <v>18214</v>
      </c>
      <c r="B18215">
        <v>8229128</v>
      </c>
      <c r="C18215" s="1" t="str">
        <f>HYPERLINK("http://stackoverflow.com/users/8229128", "Samuel.Tao")</f>
        <v>Samuel.Tao</v>
      </c>
      <c r="D18215" t="s">
        <v>16</v>
      </c>
      <c r="E18215">
        <v>1</v>
      </c>
    </row>
    <row r="18216" spans="1:5" x14ac:dyDescent="0.25">
      <c r="A18216">
        <v>18215</v>
      </c>
      <c r="B18216">
        <v>6376069</v>
      </c>
      <c r="C18216" s="1" t="str">
        <f>HYPERLINK("http://stackoverflow.com/users/6376069", "ya.di")</f>
        <v>ya.di</v>
      </c>
      <c r="D18216" t="s">
        <v>16</v>
      </c>
      <c r="E18216">
        <v>1</v>
      </c>
    </row>
    <row r="18217" spans="1:5" x14ac:dyDescent="0.25">
      <c r="A18217">
        <v>18216</v>
      </c>
      <c r="B18217">
        <v>6379150</v>
      </c>
      <c r="C18217" s="1" t="str">
        <f>HYPERLINK("http://stackoverflow.com/users/6379150", "zhihui Qiu")</f>
        <v>zhihui Qiu</v>
      </c>
      <c r="D18217" t="s">
        <v>4</v>
      </c>
      <c r="E18217">
        <v>1</v>
      </c>
    </row>
    <row r="18218" spans="1:5" x14ac:dyDescent="0.25">
      <c r="A18218">
        <v>18217</v>
      </c>
      <c r="B18218">
        <v>6379255</v>
      </c>
      <c r="C18218" s="1" t="str">
        <f>HYPERLINK("http://stackoverflow.com/users/6379255", "YeungKC")</f>
        <v>YeungKC</v>
      </c>
      <c r="D18218" t="s">
        <v>7</v>
      </c>
      <c r="E18218">
        <v>1</v>
      </c>
    </row>
    <row r="18219" spans="1:5" x14ac:dyDescent="0.25">
      <c r="A18219">
        <v>18218</v>
      </c>
      <c r="B18219">
        <v>6379731</v>
      </c>
      <c r="C18219" s="1" t="str">
        <f>HYPERLINK("http://stackoverflow.com/users/6379731", "swift")</f>
        <v>swift</v>
      </c>
      <c r="D18219" t="s">
        <v>4</v>
      </c>
      <c r="E18219">
        <v>1</v>
      </c>
    </row>
    <row r="18220" spans="1:5" x14ac:dyDescent="0.25">
      <c r="A18220">
        <v>18219</v>
      </c>
      <c r="B18220">
        <v>9986830</v>
      </c>
      <c r="C18220" s="1" t="str">
        <f>HYPERLINK("http://stackoverflow.com/users/9986830", "Tai JinYuan")</f>
        <v>Tai JinYuan</v>
      </c>
      <c r="D18220" t="s">
        <v>33</v>
      </c>
      <c r="E18220">
        <v>1</v>
      </c>
    </row>
    <row r="18221" spans="1:5" x14ac:dyDescent="0.25">
      <c r="A18221">
        <v>18220</v>
      </c>
      <c r="B18221">
        <v>9986931</v>
      </c>
      <c r="C18221" s="1" t="str">
        <f>HYPERLINK("http://stackoverflow.com/users/9986931", "ChenSanRen")</f>
        <v>ChenSanRen</v>
      </c>
      <c r="D18221" t="s">
        <v>28</v>
      </c>
      <c r="E18221">
        <v>1</v>
      </c>
    </row>
    <row r="18222" spans="1:5" x14ac:dyDescent="0.25">
      <c r="A18222">
        <v>18221</v>
      </c>
      <c r="B18222">
        <v>9987386</v>
      </c>
      <c r="C18222" s="1" t="str">
        <f>HYPERLINK("http://stackoverflow.com/users/9987386", "yua")</f>
        <v>yua</v>
      </c>
      <c r="D18222" t="s">
        <v>55</v>
      </c>
      <c r="E18222">
        <v>1</v>
      </c>
    </row>
    <row r="18223" spans="1:5" x14ac:dyDescent="0.25">
      <c r="A18223">
        <v>18222</v>
      </c>
      <c r="B18223">
        <v>8172742</v>
      </c>
      <c r="C18223" s="1" t="str">
        <f>HYPERLINK("http://stackoverflow.com/users/8172742", "siyue")</f>
        <v>siyue</v>
      </c>
      <c r="D18223" t="s">
        <v>5</v>
      </c>
      <c r="E18223">
        <v>1</v>
      </c>
    </row>
    <row r="18224" spans="1:5" x14ac:dyDescent="0.25">
      <c r="A18224">
        <v>18223</v>
      </c>
      <c r="B18224">
        <v>2819889</v>
      </c>
      <c r="C18224" s="1" t="str">
        <f>HYPERLINK("http://stackoverflow.com/users/2819889", "freeyiyi1993")</f>
        <v>freeyiyi1993</v>
      </c>
      <c r="D18224" t="s">
        <v>5</v>
      </c>
      <c r="E18224">
        <v>1</v>
      </c>
    </row>
    <row r="18225" spans="1:5" x14ac:dyDescent="0.25">
      <c r="A18225">
        <v>18224</v>
      </c>
      <c r="B18225">
        <v>2823392</v>
      </c>
      <c r="C18225" s="1" t="str">
        <f>HYPERLINK("http://stackoverflow.com/users/2823392", "percent5")</f>
        <v>percent5</v>
      </c>
      <c r="D18225" t="s">
        <v>5</v>
      </c>
      <c r="E18225">
        <v>1</v>
      </c>
    </row>
    <row r="18226" spans="1:5" x14ac:dyDescent="0.25">
      <c r="A18226">
        <v>18225</v>
      </c>
      <c r="B18226">
        <v>2823881</v>
      </c>
      <c r="C18226" s="1" t="str">
        <f>HYPERLINK("http://stackoverflow.com/users/2823881", "tjjswh")</f>
        <v>tjjswh</v>
      </c>
      <c r="D18226" t="s">
        <v>61</v>
      </c>
      <c r="E18226">
        <v>1</v>
      </c>
    </row>
    <row r="18227" spans="1:5" x14ac:dyDescent="0.25">
      <c r="A18227">
        <v>18226</v>
      </c>
      <c r="B18227">
        <v>9995843</v>
      </c>
      <c r="C18227" s="1" t="str">
        <f>HYPERLINK("http://stackoverflow.com/users/9995843", "Revector")</f>
        <v>Revector</v>
      </c>
      <c r="D18227" t="s">
        <v>4</v>
      </c>
      <c r="E18227">
        <v>1</v>
      </c>
    </row>
    <row r="18228" spans="1:5" x14ac:dyDescent="0.25">
      <c r="A18228">
        <v>18227</v>
      </c>
      <c r="B18228">
        <v>2831458</v>
      </c>
      <c r="C18228" s="1" t="str">
        <f>HYPERLINK("http://stackoverflow.com/users/2831458", "InkWestSource")</f>
        <v>InkWestSource</v>
      </c>
      <c r="D18228" t="s">
        <v>5</v>
      </c>
      <c r="E18228">
        <v>1</v>
      </c>
    </row>
    <row r="18229" spans="1:5" x14ac:dyDescent="0.25">
      <c r="A18229">
        <v>18228</v>
      </c>
      <c r="B18229">
        <v>8181263</v>
      </c>
      <c r="C18229" s="1" t="str">
        <f>HYPERLINK("http://stackoverflow.com/users/8181263", "Interkey")</f>
        <v>Interkey</v>
      </c>
      <c r="D18229" t="s">
        <v>4</v>
      </c>
      <c r="E18229">
        <v>1</v>
      </c>
    </row>
    <row r="18230" spans="1:5" x14ac:dyDescent="0.25">
      <c r="A18230">
        <v>18229</v>
      </c>
      <c r="B18230">
        <v>8181368</v>
      </c>
      <c r="C18230" s="1" t="str">
        <f>HYPERLINK("http://stackoverflow.com/users/8181368", "胡梦宇")</f>
        <v>胡梦宇</v>
      </c>
      <c r="D18230" t="s">
        <v>131</v>
      </c>
      <c r="E18230">
        <v>1</v>
      </c>
    </row>
    <row r="18231" spans="1:5" x14ac:dyDescent="0.25">
      <c r="A18231">
        <v>18230</v>
      </c>
      <c r="B18231">
        <v>8181556</v>
      </c>
      <c r="C18231" s="1" t="str">
        <f>HYPERLINK("http://stackoverflow.com/users/8181556", "Spike")</f>
        <v>Spike</v>
      </c>
      <c r="D18231" t="s">
        <v>5</v>
      </c>
      <c r="E18231">
        <v>1</v>
      </c>
    </row>
    <row r="18232" spans="1:5" x14ac:dyDescent="0.25">
      <c r="A18232">
        <v>18231</v>
      </c>
      <c r="B18232">
        <v>9995469</v>
      </c>
      <c r="C18232" s="1" t="str">
        <f>HYPERLINK("http://stackoverflow.com/users/9995469", "Akatsuki")</f>
        <v>Akatsuki</v>
      </c>
      <c r="D18232" t="s">
        <v>5</v>
      </c>
      <c r="E18232">
        <v>1</v>
      </c>
    </row>
    <row r="18233" spans="1:5" x14ac:dyDescent="0.25">
      <c r="A18233">
        <v>18232</v>
      </c>
      <c r="B18233">
        <v>686038</v>
      </c>
      <c r="C18233" s="1" t="str">
        <f>HYPERLINK("http://stackoverflow.com/users/686038", "laiwei")</f>
        <v>laiwei</v>
      </c>
      <c r="D18233" t="s">
        <v>5</v>
      </c>
      <c r="E18233">
        <v>1</v>
      </c>
    </row>
    <row r="18234" spans="1:5" x14ac:dyDescent="0.25">
      <c r="A18234">
        <v>18233</v>
      </c>
      <c r="B18234">
        <v>686543</v>
      </c>
      <c r="C18234" s="1" t="str">
        <f>HYPERLINK("http://stackoverflow.com/users/686543", "Shens")</f>
        <v>Shens</v>
      </c>
      <c r="D18234" t="s">
        <v>21</v>
      </c>
      <c r="E18234">
        <v>1</v>
      </c>
    </row>
    <row r="18235" spans="1:5" x14ac:dyDescent="0.25">
      <c r="A18235">
        <v>18234</v>
      </c>
      <c r="B18235">
        <v>686854</v>
      </c>
      <c r="C18235" s="1" t="str">
        <f>HYPERLINK("http://stackoverflow.com/users/686854", "wangshijun")</f>
        <v>wangshijun</v>
      </c>
      <c r="D18235" t="s">
        <v>5</v>
      </c>
      <c r="E18235">
        <v>1</v>
      </c>
    </row>
    <row r="18236" spans="1:5" x14ac:dyDescent="0.25">
      <c r="A18236">
        <v>18235</v>
      </c>
      <c r="B18236">
        <v>9990997</v>
      </c>
      <c r="C18236" s="1" t="str">
        <f>HYPERLINK("http://stackoverflow.com/users/9990997", "piaozhuwon")</f>
        <v>piaozhuwon</v>
      </c>
      <c r="D18236" t="s">
        <v>5</v>
      </c>
      <c r="E18236">
        <v>1</v>
      </c>
    </row>
    <row r="18237" spans="1:5" x14ac:dyDescent="0.25">
      <c r="A18237">
        <v>18236</v>
      </c>
      <c r="B18237">
        <v>4663430</v>
      </c>
      <c r="C18237" s="1" t="str">
        <f>HYPERLINK("http://stackoverflow.com/users/4663430", "VicenteZ")</f>
        <v>VicenteZ</v>
      </c>
      <c r="D18237" t="s">
        <v>5</v>
      </c>
      <c r="E18237">
        <v>1</v>
      </c>
    </row>
    <row r="18238" spans="1:5" x14ac:dyDescent="0.25">
      <c r="A18238">
        <v>18237</v>
      </c>
      <c r="B18238">
        <v>8180858</v>
      </c>
      <c r="C18238" s="1" t="str">
        <f>HYPERLINK("http://stackoverflow.com/users/8180858", "dmdondon")</f>
        <v>dmdondon</v>
      </c>
      <c r="D18238" t="s">
        <v>7</v>
      </c>
      <c r="E18238">
        <v>1</v>
      </c>
    </row>
    <row r="18239" spans="1:5" x14ac:dyDescent="0.25">
      <c r="A18239">
        <v>18238</v>
      </c>
      <c r="B18239">
        <v>8180899</v>
      </c>
      <c r="C18239" s="1" t="str">
        <f>HYPERLINK("http://stackoverflow.com/users/8180899", "Vincent Chan")</f>
        <v>Vincent Chan</v>
      </c>
      <c r="D18239" t="s">
        <v>25</v>
      </c>
      <c r="E18239">
        <v>1</v>
      </c>
    </row>
    <row r="18240" spans="1:5" x14ac:dyDescent="0.25">
      <c r="A18240">
        <v>18239</v>
      </c>
      <c r="B18240">
        <v>8185719</v>
      </c>
      <c r="C18240" s="1" t="str">
        <f>HYPERLINK("http://stackoverflow.com/users/8185719", "oyeLionel2017")</f>
        <v>oyeLionel2017</v>
      </c>
      <c r="D18240" t="s">
        <v>7</v>
      </c>
      <c r="E18240">
        <v>1</v>
      </c>
    </row>
    <row r="18241" spans="1:5" x14ac:dyDescent="0.25">
      <c r="A18241">
        <v>18240</v>
      </c>
      <c r="B18241">
        <v>8185821</v>
      </c>
      <c r="C18241" s="1" t="str">
        <f>HYPERLINK("http://stackoverflow.com/users/8185821", "Steven.Dong")</f>
        <v>Steven.Dong</v>
      </c>
      <c r="D18241" t="s">
        <v>4</v>
      </c>
      <c r="E18241">
        <v>1</v>
      </c>
    </row>
    <row r="18242" spans="1:5" x14ac:dyDescent="0.25">
      <c r="A18242">
        <v>18241</v>
      </c>
      <c r="B18242">
        <v>8185975</v>
      </c>
      <c r="C18242" s="1" t="str">
        <f>HYPERLINK("http://stackoverflow.com/users/8185975", "Mizuhashi")</f>
        <v>Mizuhashi</v>
      </c>
      <c r="D18242" t="s">
        <v>52</v>
      </c>
      <c r="E18242">
        <v>1</v>
      </c>
    </row>
    <row r="18243" spans="1:5" x14ac:dyDescent="0.25">
      <c r="A18243">
        <v>18242</v>
      </c>
      <c r="B18243">
        <v>6395863</v>
      </c>
      <c r="C18243" s="1" t="str">
        <f>HYPERLINK("http://stackoverflow.com/users/6395863", "Ming Zhanghui")</f>
        <v>Ming Zhanghui</v>
      </c>
      <c r="D18243" t="s">
        <v>5</v>
      </c>
      <c r="E18243">
        <v>1</v>
      </c>
    </row>
    <row r="18244" spans="1:5" x14ac:dyDescent="0.25">
      <c r="A18244">
        <v>18243</v>
      </c>
      <c r="B18244">
        <v>10004324</v>
      </c>
      <c r="C18244" s="1" t="str">
        <f>HYPERLINK("http://stackoverflow.com/users/10004324", "Allen Chan")</f>
        <v>Allen Chan</v>
      </c>
      <c r="D18244" t="s">
        <v>5</v>
      </c>
      <c r="E18244">
        <v>1</v>
      </c>
    </row>
    <row r="18245" spans="1:5" x14ac:dyDescent="0.25">
      <c r="A18245">
        <v>18244</v>
      </c>
      <c r="B18245">
        <v>10004536</v>
      </c>
      <c r="C18245" s="1" t="str">
        <f>HYPERLINK("http://stackoverflow.com/users/10004536", "李志远")</f>
        <v>李志远</v>
      </c>
      <c r="D18245" t="s">
        <v>5</v>
      </c>
      <c r="E18245">
        <v>1</v>
      </c>
    </row>
    <row r="18246" spans="1:5" x14ac:dyDescent="0.25">
      <c r="A18246">
        <v>18245</v>
      </c>
      <c r="B18246">
        <v>10004720</v>
      </c>
      <c r="C18246" s="1" t="str">
        <f>HYPERLINK("http://stackoverflow.com/users/10004720", "Aoyue International Limited")</f>
        <v>Aoyue International Limited</v>
      </c>
      <c r="D18246" t="s">
        <v>338</v>
      </c>
      <c r="E18246">
        <v>1</v>
      </c>
    </row>
    <row r="18247" spans="1:5" x14ac:dyDescent="0.25">
      <c r="A18247">
        <v>18246</v>
      </c>
      <c r="B18247">
        <v>10004745</v>
      </c>
      <c r="C18247" s="1" t="str">
        <f>HYPERLINK("http://stackoverflow.com/users/10004745", "Young")</f>
        <v>Young</v>
      </c>
      <c r="D18247" t="s">
        <v>5</v>
      </c>
      <c r="E18247">
        <v>1</v>
      </c>
    </row>
    <row r="18248" spans="1:5" x14ac:dyDescent="0.25">
      <c r="A18248">
        <v>18247</v>
      </c>
      <c r="B18248">
        <v>6396659</v>
      </c>
      <c r="C18248" s="1" t="str">
        <f>HYPERLINK("http://stackoverflow.com/users/6396659", "jily.jiang")</f>
        <v>jily.jiang</v>
      </c>
      <c r="D18248" t="s">
        <v>7</v>
      </c>
      <c r="E18248">
        <v>1</v>
      </c>
    </row>
    <row r="18249" spans="1:5" x14ac:dyDescent="0.25">
      <c r="A18249">
        <v>18248</v>
      </c>
      <c r="B18249">
        <v>6396934</v>
      </c>
      <c r="C18249" s="1" t="str">
        <f>HYPERLINK("http://stackoverflow.com/users/6396934", "Brian Xue")</f>
        <v>Brian Xue</v>
      </c>
      <c r="D18249" t="s">
        <v>4</v>
      </c>
      <c r="E18249">
        <v>1</v>
      </c>
    </row>
    <row r="18250" spans="1:5" x14ac:dyDescent="0.25">
      <c r="A18250">
        <v>18249</v>
      </c>
      <c r="B18250">
        <v>4675125</v>
      </c>
      <c r="C18250" s="1" t="str">
        <f>HYPERLINK("http://stackoverflow.com/users/4675125", "Json Lee")</f>
        <v>Json Lee</v>
      </c>
      <c r="D18250" t="s">
        <v>21</v>
      </c>
      <c r="E18250">
        <v>1</v>
      </c>
    </row>
    <row r="18251" spans="1:5" x14ac:dyDescent="0.25">
      <c r="A18251">
        <v>18250</v>
      </c>
      <c r="B18251">
        <v>6399086</v>
      </c>
      <c r="C18251" s="1" t="str">
        <f>HYPERLINK("http://stackoverflow.com/users/6399086", "Johnny")</f>
        <v>Johnny</v>
      </c>
      <c r="D18251" t="s">
        <v>992</v>
      </c>
      <c r="E18251">
        <v>1</v>
      </c>
    </row>
    <row r="18252" spans="1:5" x14ac:dyDescent="0.25">
      <c r="A18252">
        <v>18251</v>
      </c>
      <c r="B18252">
        <v>10010582</v>
      </c>
      <c r="C18252" s="1" t="str">
        <f>HYPERLINK("http://stackoverflow.com/users/10010582", "Seveir Roy")</f>
        <v>Seveir Roy</v>
      </c>
      <c r="D18252" t="s">
        <v>52</v>
      </c>
      <c r="E18252">
        <v>1</v>
      </c>
    </row>
    <row r="18253" spans="1:5" x14ac:dyDescent="0.25">
      <c r="A18253">
        <v>18252</v>
      </c>
      <c r="B18253">
        <v>6402763</v>
      </c>
      <c r="C18253" s="1" t="str">
        <f>HYPERLINK("http://stackoverflow.com/users/6402763", "Binaryoak")</f>
        <v>Binaryoak</v>
      </c>
      <c r="D18253" t="s">
        <v>4</v>
      </c>
      <c r="E18253">
        <v>1</v>
      </c>
    </row>
    <row r="18254" spans="1:5" x14ac:dyDescent="0.25">
      <c r="A18254">
        <v>18253</v>
      </c>
      <c r="B18254">
        <v>2842295</v>
      </c>
      <c r="C18254" s="1" t="str">
        <f>HYPERLINK("http://stackoverflow.com/users/2842295", "alex123bobo")</f>
        <v>alex123bobo</v>
      </c>
      <c r="D18254" t="s">
        <v>4</v>
      </c>
      <c r="E18254">
        <v>1</v>
      </c>
    </row>
    <row r="18255" spans="1:5" x14ac:dyDescent="0.25">
      <c r="A18255">
        <v>18254</v>
      </c>
      <c r="B18255">
        <v>8199211</v>
      </c>
      <c r="C18255" s="1" t="str">
        <f>HYPERLINK("http://stackoverflow.com/users/8199211", "Jie YANG")</f>
        <v>Jie YANG</v>
      </c>
      <c r="D18255" t="s">
        <v>4</v>
      </c>
      <c r="E18255">
        <v>1</v>
      </c>
    </row>
    <row r="18256" spans="1:5" x14ac:dyDescent="0.25">
      <c r="A18256">
        <v>18255</v>
      </c>
      <c r="B18256">
        <v>8199228</v>
      </c>
      <c r="C18256" s="1" t="str">
        <f>HYPERLINK("http://stackoverflow.com/users/8199228", "叶子华")</f>
        <v>叶子华</v>
      </c>
      <c r="D18256" t="s">
        <v>25</v>
      </c>
      <c r="E18256">
        <v>1</v>
      </c>
    </row>
    <row r="18257" spans="1:5" x14ac:dyDescent="0.25">
      <c r="A18257">
        <v>18256</v>
      </c>
      <c r="B18257">
        <v>8199251</v>
      </c>
      <c r="C18257" s="1" t="str">
        <f>HYPERLINK("http://stackoverflow.com/users/8199251", "MistMidst")</f>
        <v>MistMidst</v>
      </c>
      <c r="D18257" t="s">
        <v>4</v>
      </c>
      <c r="E18257">
        <v>1</v>
      </c>
    </row>
    <row r="18258" spans="1:5" x14ac:dyDescent="0.25">
      <c r="A18258">
        <v>18257</v>
      </c>
      <c r="B18258">
        <v>8199365</v>
      </c>
      <c r="C18258" s="1" t="str">
        <f>HYPERLINK("http://stackoverflow.com/users/8199365", "LeonJin")</f>
        <v>LeonJin</v>
      </c>
      <c r="D18258" t="s">
        <v>25</v>
      </c>
      <c r="E18258">
        <v>1</v>
      </c>
    </row>
    <row r="18259" spans="1:5" x14ac:dyDescent="0.25">
      <c r="A18259">
        <v>18258</v>
      </c>
      <c r="B18259">
        <v>8199750</v>
      </c>
      <c r="C18259" s="1" t="str">
        <f>HYPERLINK("http://stackoverflow.com/users/8199750", "qinhan")</f>
        <v>qinhan</v>
      </c>
      <c r="D18259" t="s">
        <v>55</v>
      </c>
      <c r="E18259">
        <v>1</v>
      </c>
    </row>
    <row r="18260" spans="1:5" x14ac:dyDescent="0.25">
      <c r="A18260">
        <v>18259</v>
      </c>
      <c r="B18260">
        <v>2845498</v>
      </c>
      <c r="C18260" s="1" t="str">
        <f>HYPERLINK("http://stackoverflow.com/users/2845498", "Asan")</f>
        <v>Asan</v>
      </c>
      <c r="D18260" t="s">
        <v>12</v>
      </c>
      <c r="E18260">
        <v>1</v>
      </c>
    </row>
    <row r="18261" spans="1:5" x14ac:dyDescent="0.25">
      <c r="A18261">
        <v>18260</v>
      </c>
      <c r="B18261">
        <v>8203353</v>
      </c>
      <c r="C18261" s="1" t="str">
        <f>HYPERLINK("http://stackoverflow.com/users/8203353", "user8203353")</f>
        <v>user8203353</v>
      </c>
      <c r="D18261" t="s">
        <v>13</v>
      </c>
      <c r="E18261">
        <v>1</v>
      </c>
    </row>
    <row r="18262" spans="1:5" x14ac:dyDescent="0.25">
      <c r="A18262">
        <v>18261</v>
      </c>
      <c r="B18262">
        <v>8203958</v>
      </c>
      <c r="C18262" s="1" t="str">
        <f>HYPERLINK("http://stackoverflow.com/users/8203958", "silverwave")</f>
        <v>silverwave</v>
      </c>
      <c r="D18262" t="s">
        <v>308</v>
      </c>
      <c r="E18262">
        <v>1</v>
      </c>
    </row>
    <row r="18263" spans="1:5" x14ac:dyDescent="0.25">
      <c r="A18263">
        <v>18262</v>
      </c>
      <c r="B18263">
        <v>8203988</v>
      </c>
      <c r="C18263" s="1" t="str">
        <f>HYPERLINK("http://stackoverflow.com/users/8203988", "Gwyneth143")</f>
        <v>Gwyneth143</v>
      </c>
      <c r="D18263" t="s">
        <v>4</v>
      </c>
      <c r="E18263">
        <v>1</v>
      </c>
    </row>
    <row r="18264" spans="1:5" x14ac:dyDescent="0.25">
      <c r="A18264">
        <v>18263</v>
      </c>
      <c r="B18264">
        <v>8204293</v>
      </c>
      <c r="C18264" s="1" t="str">
        <f>HYPERLINK("http://stackoverflow.com/users/8204293", "Chuck")</f>
        <v>Chuck</v>
      </c>
      <c r="D18264" t="s">
        <v>52</v>
      </c>
      <c r="E18264">
        <v>1</v>
      </c>
    </row>
    <row r="18265" spans="1:5" x14ac:dyDescent="0.25">
      <c r="A18265">
        <v>18264</v>
      </c>
      <c r="B18265">
        <v>2849704</v>
      </c>
      <c r="C18265" s="1" t="str">
        <f>HYPERLINK("http://stackoverflow.com/users/2849704", "Frank")</f>
        <v>Frank</v>
      </c>
      <c r="D18265" t="s">
        <v>17</v>
      </c>
      <c r="E18265">
        <v>1</v>
      </c>
    </row>
    <row r="18266" spans="1:5" x14ac:dyDescent="0.25">
      <c r="A18266">
        <v>18265</v>
      </c>
      <c r="B18266">
        <v>8208556</v>
      </c>
      <c r="C18266" s="1" t="str">
        <f>HYPERLINK("http://stackoverflow.com/users/8208556", "sjyang")</f>
        <v>sjyang</v>
      </c>
      <c r="D18266" t="s">
        <v>266</v>
      </c>
      <c r="E18266">
        <v>1</v>
      </c>
    </row>
    <row r="18267" spans="1:5" x14ac:dyDescent="0.25">
      <c r="A18267">
        <v>18266</v>
      </c>
      <c r="B18267">
        <v>8208767</v>
      </c>
      <c r="C18267" s="1" t="str">
        <f>HYPERLINK("http://stackoverflow.com/users/8208767", "S.Steward")</f>
        <v>S.Steward</v>
      </c>
      <c r="D18267" t="s">
        <v>5</v>
      </c>
      <c r="E18267">
        <v>1</v>
      </c>
    </row>
    <row r="18268" spans="1:5" x14ac:dyDescent="0.25">
      <c r="A18268">
        <v>18267</v>
      </c>
      <c r="B18268">
        <v>8208812</v>
      </c>
      <c r="C18268" s="1" t="str">
        <f>HYPERLINK("http://stackoverflow.com/users/8208812", "Yiyang Gu")</f>
        <v>Yiyang Gu</v>
      </c>
      <c r="D18268" t="s">
        <v>4</v>
      </c>
      <c r="E18268">
        <v>1</v>
      </c>
    </row>
    <row r="18269" spans="1:5" x14ac:dyDescent="0.25">
      <c r="A18269">
        <v>18268</v>
      </c>
      <c r="B18269">
        <v>8208946</v>
      </c>
      <c r="C18269" s="1" t="str">
        <f>HYPERLINK("http://stackoverflow.com/users/8208946", "Sgzy")</f>
        <v>Sgzy</v>
      </c>
      <c r="D18269" t="s">
        <v>993</v>
      </c>
      <c r="E18269">
        <v>1</v>
      </c>
    </row>
    <row r="18270" spans="1:5" x14ac:dyDescent="0.25">
      <c r="A18270">
        <v>18269</v>
      </c>
      <c r="B18270">
        <v>10069215</v>
      </c>
      <c r="C18270" s="1" t="str">
        <f>HYPERLINK("http://stackoverflow.com/users/10069215", "Ahmad T Musa")</f>
        <v>Ahmad T Musa</v>
      </c>
      <c r="D18270" t="s">
        <v>33</v>
      </c>
      <c r="E18270">
        <v>1</v>
      </c>
    </row>
    <row r="18271" spans="1:5" x14ac:dyDescent="0.25">
      <c r="A18271">
        <v>18270</v>
      </c>
      <c r="B18271">
        <v>8242611</v>
      </c>
      <c r="C18271" s="1" t="str">
        <f>HYPERLINK("http://stackoverflow.com/users/8242611", "Jing")</f>
        <v>Jing</v>
      </c>
      <c r="D18271" t="s">
        <v>16</v>
      </c>
      <c r="E18271">
        <v>1</v>
      </c>
    </row>
    <row r="18272" spans="1:5" x14ac:dyDescent="0.25">
      <c r="A18272">
        <v>18271</v>
      </c>
      <c r="B18272">
        <v>6457826</v>
      </c>
      <c r="C18272" s="1" t="str">
        <f>HYPERLINK("http://stackoverflow.com/users/6457826", "JINKE")</f>
        <v>JINKE</v>
      </c>
      <c r="D18272" t="s">
        <v>5</v>
      </c>
      <c r="E18272">
        <v>1</v>
      </c>
    </row>
    <row r="18273" spans="1:5" x14ac:dyDescent="0.25">
      <c r="A18273">
        <v>18272</v>
      </c>
      <c r="B18273">
        <v>6457845</v>
      </c>
      <c r="C18273" s="1" t="str">
        <f>HYPERLINK("http://stackoverflow.com/users/6457845", "Kaijie Qin")</f>
        <v>Kaijie Qin</v>
      </c>
      <c r="D18273" t="s">
        <v>5</v>
      </c>
      <c r="E18273">
        <v>1</v>
      </c>
    </row>
    <row r="18274" spans="1:5" x14ac:dyDescent="0.25">
      <c r="A18274">
        <v>18273</v>
      </c>
      <c r="B18274">
        <v>8242797</v>
      </c>
      <c r="C18274" s="1" t="str">
        <f>HYPERLINK("http://stackoverflow.com/users/8242797", "Simon Wang")</f>
        <v>Simon Wang</v>
      </c>
      <c r="D18274" t="s">
        <v>682</v>
      </c>
      <c r="E18274">
        <v>1</v>
      </c>
    </row>
    <row r="18275" spans="1:5" x14ac:dyDescent="0.25">
      <c r="A18275">
        <v>18274</v>
      </c>
      <c r="B18275">
        <v>4726047</v>
      </c>
      <c r="C18275" s="1" t="str">
        <f>HYPERLINK("http://stackoverflow.com/users/4726047", "Yongjun Li")</f>
        <v>Yongjun Li</v>
      </c>
      <c r="D18275" t="s">
        <v>7</v>
      </c>
      <c r="E18275">
        <v>1</v>
      </c>
    </row>
    <row r="18276" spans="1:5" x14ac:dyDescent="0.25">
      <c r="A18276">
        <v>18275</v>
      </c>
      <c r="B18276">
        <v>8246655</v>
      </c>
      <c r="C18276" s="1" t="str">
        <f>HYPERLINK("http://stackoverflow.com/users/8246655", "Coley Shi")</f>
        <v>Coley Shi</v>
      </c>
      <c r="D18276" t="s">
        <v>55</v>
      </c>
      <c r="E18276">
        <v>1</v>
      </c>
    </row>
    <row r="18277" spans="1:5" x14ac:dyDescent="0.25">
      <c r="A18277">
        <v>18276</v>
      </c>
      <c r="B18277">
        <v>8246693</v>
      </c>
      <c r="C18277" s="1" t="str">
        <f>HYPERLINK("http://stackoverflow.com/users/8246693", "AqrAir Signs")</f>
        <v>AqrAir Signs</v>
      </c>
      <c r="D18277" t="s">
        <v>16</v>
      </c>
      <c r="E18277">
        <v>1</v>
      </c>
    </row>
    <row r="18278" spans="1:5" x14ac:dyDescent="0.25">
      <c r="A18278">
        <v>18277</v>
      </c>
      <c r="B18278">
        <v>8246801</v>
      </c>
      <c r="C18278" s="1" t="str">
        <f>HYPERLINK("http://stackoverflow.com/users/8246801", "Edwin")</f>
        <v>Edwin</v>
      </c>
      <c r="D18278" t="s">
        <v>374</v>
      </c>
      <c r="E18278">
        <v>1</v>
      </c>
    </row>
    <row r="18279" spans="1:5" x14ac:dyDescent="0.25">
      <c r="A18279">
        <v>18278</v>
      </c>
      <c r="B18279">
        <v>8246848</v>
      </c>
      <c r="C18279" s="1" t="str">
        <f>HYPERLINK("http://stackoverflow.com/users/8246848", "AdrianTao")</f>
        <v>AdrianTao</v>
      </c>
      <c r="D18279" t="s">
        <v>4</v>
      </c>
      <c r="E18279">
        <v>1</v>
      </c>
    </row>
    <row r="18280" spans="1:5" x14ac:dyDescent="0.25">
      <c r="A18280">
        <v>18279</v>
      </c>
      <c r="B18280">
        <v>8246954</v>
      </c>
      <c r="C18280" s="1" t="str">
        <f>HYPERLINK("http://stackoverflow.com/users/8246954", "orktree")</f>
        <v>orktree</v>
      </c>
      <c r="D18280" t="s">
        <v>5</v>
      </c>
      <c r="E18280">
        <v>1</v>
      </c>
    </row>
    <row r="18281" spans="1:5" x14ac:dyDescent="0.25">
      <c r="A18281">
        <v>18280</v>
      </c>
      <c r="B18281">
        <v>8247123</v>
      </c>
      <c r="C18281" s="1" t="str">
        <f>HYPERLINK("http://stackoverflow.com/users/8247123", "ChenZiDie")</f>
        <v>ChenZiDie</v>
      </c>
      <c r="D18281" t="s">
        <v>21</v>
      </c>
      <c r="E18281">
        <v>1</v>
      </c>
    </row>
    <row r="18282" spans="1:5" x14ac:dyDescent="0.25">
      <c r="A18282">
        <v>18281</v>
      </c>
      <c r="B18282">
        <v>4728393</v>
      </c>
      <c r="C18282" s="1" t="str">
        <f>HYPERLINK("http://stackoverflow.com/users/4728393", "alvince")</f>
        <v>alvince</v>
      </c>
      <c r="D18282" t="s">
        <v>4</v>
      </c>
      <c r="E18282">
        <v>1</v>
      </c>
    </row>
    <row r="18283" spans="1:5" x14ac:dyDescent="0.25">
      <c r="A18283">
        <v>18282</v>
      </c>
      <c r="B18283">
        <v>8262968</v>
      </c>
      <c r="C18283" s="1" t="str">
        <f>HYPERLINK("http://stackoverflow.com/users/8262968", "Raouf Amrani")</f>
        <v>Raouf Amrani</v>
      </c>
      <c r="D18283" t="s">
        <v>4</v>
      </c>
      <c r="E18283">
        <v>1</v>
      </c>
    </row>
    <row r="18284" spans="1:5" x14ac:dyDescent="0.25">
      <c r="A18284">
        <v>18283</v>
      </c>
      <c r="B18284">
        <v>10082820</v>
      </c>
      <c r="C18284" s="1" t="str">
        <f>HYPERLINK("http://stackoverflow.com/users/10082820", "Yanpeng Chen")</f>
        <v>Yanpeng Chen</v>
      </c>
      <c r="D18284" t="s">
        <v>7</v>
      </c>
      <c r="E18284">
        <v>1</v>
      </c>
    </row>
    <row r="18285" spans="1:5" x14ac:dyDescent="0.25">
      <c r="A18285">
        <v>18284</v>
      </c>
      <c r="B18285">
        <v>8262302</v>
      </c>
      <c r="C18285" s="1" t="str">
        <f>HYPERLINK("http://stackoverflow.com/users/8262302", "ghpjc")</f>
        <v>ghpjc</v>
      </c>
      <c r="D18285" t="s">
        <v>101</v>
      </c>
      <c r="E18285">
        <v>1</v>
      </c>
    </row>
    <row r="18286" spans="1:5" x14ac:dyDescent="0.25">
      <c r="A18286">
        <v>18285</v>
      </c>
      <c r="B18286">
        <v>8262439</v>
      </c>
      <c r="C18286" s="1" t="str">
        <f>HYPERLINK("http://stackoverflow.com/users/8262439", "Ricky")</f>
        <v>Ricky</v>
      </c>
      <c r="D18286" t="s">
        <v>16</v>
      </c>
      <c r="E18286">
        <v>1</v>
      </c>
    </row>
    <row r="18287" spans="1:5" x14ac:dyDescent="0.25">
      <c r="A18287">
        <v>18286</v>
      </c>
      <c r="B18287">
        <v>8262573</v>
      </c>
      <c r="C18287" s="1" t="str">
        <f>HYPERLINK("http://stackoverflow.com/users/8262573", "siege")</f>
        <v>siege</v>
      </c>
      <c r="D18287" t="s">
        <v>4</v>
      </c>
      <c r="E18287">
        <v>1</v>
      </c>
    </row>
    <row r="18288" spans="1:5" x14ac:dyDescent="0.25">
      <c r="A18288">
        <v>18287</v>
      </c>
      <c r="B18288">
        <v>10070122</v>
      </c>
      <c r="C18288" s="1" t="str">
        <f>HYPERLINK("http://stackoverflow.com/users/10070122", "Simon")</f>
        <v>Simon</v>
      </c>
      <c r="D18288" t="s">
        <v>16</v>
      </c>
      <c r="E18288">
        <v>1</v>
      </c>
    </row>
    <row r="18289" spans="1:5" x14ac:dyDescent="0.25">
      <c r="A18289">
        <v>18288</v>
      </c>
      <c r="B18289">
        <v>10073413</v>
      </c>
      <c r="C18289" s="1" t="str">
        <f>HYPERLINK("http://stackoverflow.com/users/10073413", "Yuan Jacky")</f>
        <v>Yuan Jacky</v>
      </c>
      <c r="D18289" t="s">
        <v>4</v>
      </c>
      <c r="E18289">
        <v>1</v>
      </c>
    </row>
    <row r="18290" spans="1:5" x14ac:dyDescent="0.25">
      <c r="A18290">
        <v>18289</v>
      </c>
      <c r="B18290">
        <v>10073666</v>
      </c>
      <c r="C18290" s="1" t="str">
        <f>HYPERLINK("http://stackoverflow.com/users/10073666", "韩佳孝")</f>
        <v>韩佳孝</v>
      </c>
      <c r="D18290" t="s">
        <v>57</v>
      </c>
      <c r="E18290">
        <v>1</v>
      </c>
    </row>
    <row r="18291" spans="1:5" x14ac:dyDescent="0.25">
      <c r="A18291">
        <v>18290</v>
      </c>
      <c r="B18291">
        <v>10073704</v>
      </c>
      <c r="C18291" s="1" t="str">
        <f>HYPERLINK("http://stackoverflow.com/users/10073704", "Larkin")</f>
        <v>Larkin</v>
      </c>
      <c r="D18291" t="s">
        <v>27</v>
      </c>
      <c r="E18291">
        <v>1</v>
      </c>
    </row>
    <row r="18292" spans="1:5" x14ac:dyDescent="0.25">
      <c r="A18292">
        <v>18291</v>
      </c>
      <c r="B18292">
        <v>8258688</v>
      </c>
      <c r="C18292" s="1" t="str">
        <f>HYPERLINK("http://stackoverflow.com/users/8258688", "bigbin")</f>
        <v>bigbin</v>
      </c>
      <c r="D18292" t="s">
        <v>25</v>
      </c>
      <c r="E18292">
        <v>1</v>
      </c>
    </row>
    <row r="18293" spans="1:5" x14ac:dyDescent="0.25">
      <c r="A18293">
        <v>18292</v>
      </c>
      <c r="B18293">
        <v>2902941</v>
      </c>
      <c r="C18293" s="1" t="str">
        <f>HYPERLINK("http://stackoverflow.com/users/2902941", "cai yuanfeng")</f>
        <v>cai yuanfeng</v>
      </c>
      <c r="D18293" t="s">
        <v>4</v>
      </c>
      <c r="E18293">
        <v>1</v>
      </c>
    </row>
    <row r="18294" spans="1:5" x14ac:dyDescent="0.25">
      <c r="A18294">
        <v>18293</v>
      </c>
      <c r="B18294">
        <v>10085973</v>
      </c>
      <c r="C18294" s="1" t="str">
        <f>HYPERLINK("http://stackoverflow.com/users/10085973", "Darcy")</f>
        <v>Darcy</v>
      </c>
      <c r="D18294" t="s">
        <v>57</v>
      </c>
      <c r="E18294">
        <v>1</v>
      </c>
    </row>
    <row r="18295" spans="1:5" x14ac:dyDescent="0.25">
      <c r="A18295">
        <v>18294</v>
      </c>
      <c r="B18295">
        <v>8269625</v>
      </c>
      <c r="C18295" s="1" t="str">
        <f>HYPERLINK("http://stackoverflow.com/users/8269625", "Howard")</f>
        <v>Howard</v>
      </c>
      <c r="D18295" t="s">
        <v>5</v>
      </c>
      <c r="E18295">
        <v>1</v>
      </c>
    </row>
    <row r="18296" spans="1:5" x14ac:dyDescent="0.25">
      <c r="A18296">
        <v>18295</v>
      </c>
      <c r="B18296">
        <v>2914011</v>
      </c>
      <c r="C18296" s="1" t="str">
        <f>HYPERLINK("http://stackoverflow.com/users/2914011", "KrystalJake")</f>
        <v>KrystalJake</v>
      </c>
      <c r="D18296" t="s">
        <v>5</v>
      </c>
      <c r="E18296">
        <v>1</v>
      </c>
    </row>
    <row r="18297" spans="1:5" x14ac:dyDescent="0.25">
      <c r="A18297">
        <v>18296</v>
      </c>
      <c r="B18297">
        <v>2914552</v>
      </c>
      <c r="C18297" s="1" t="str">
        <f>HYPERLINK("http://stackoverflow.com/users/2914552", "Hongtengyin")</f>
        <v>Hongtengyin</v>
      </c>
      <c r="D18297" t="s">
        <v>21</v>
      </c>
      <c r="E18297">
        <v>1</v>
      </c>
    </row>
    <row r="18298" spans="1:5" x14ac:dyDescent="0.25">
      <c r="A18298">
        <v>18297</v>
      </c>
      <c r="B18298">
        <v>6474697</v>
      </c>
      <c r="C18298" s="1" t="str">
        <f>HYPERLINK("http://stackoverflow.com/users/6474697", "Ares. Liu")</f>
        <v>Ares. Liu</v>
      </c>
      <c r="D18298" t="s">
        <v>4</v>
      </c>
      <c r="E18298">
        <v>1</v>
      </c>
    </row>
    <row r="18299" spans="1:5" x14ac:dyDescent="0.25">
      <c r="A18299">
        <v>18298</v>
      </c>
      <c r="B18299">
        <v>10091040</v>
      </c>
      <c r="C18299" s="1" t="str">
        <f>HYPERLINK("http://stackoverflow.com/users/10091040", "user10091040")</f>
        <v>user10091040</v>
      </c>
      <c r="D18299" t="s">
        <v>16</v>
      </c>
      <c r="E18299">
        <v>1</v>
      </c>
    </row>
    <row r="18300" spans="1:5" x14ac:dyDescent="0.25">
      <c r="A18300">
        <v>18299</v>
      </c>
      <c r="B18300">
        <v>10091220</v>
      </c>
      <c r="C18300" s="1" t="str">
        <f>HYPERLINK("http://stackoverflow.com/users/10091220", "RTuniq")</f>
        <v>RTuniq</v>
      </c>
      <c r="D18300" t="s">
        <v>4</v>
      </c>
      <c r="E18300">
        <v>1</v>
      </c>
    </row>
    <row r="18301" spans="1:5" x14ac:dyDescent="0.25">
      <c r="A18301">
        <v>18300</v>
      </c>
      <c r="B18301">
        <v>8273694</v>
      </c>
      <c r="C18301" s="1" t="str">
        <f>HYPERLINK("http://stackoverflow.com/users/8273694", "Jingjia Cao")</f>
        <v>Jingjia Cao</v>
      </c>
      <c r="D18301" t="s">
        <v>5</v>
      </c>
      <c r="E18301">
        <v>1</v>
      </c>
    </row>
    <row r="18302" spans="1:5" x14ac:dyDescent="0.25">
      <c r="A18302">
        <v>18301</v>
      </c>
      <c r="B18302">
        <v>8273819</v>
      </c>
      <c r="C18302" s="1" t="str">
        <f>HYPERLINK("http://stackoverflow.com/users/8273819", "user8273819")</f>
        <v>user8273819</v>
      </c>
      <c r="D18302" t="s">
        <v>266</v>
      </c>
      <c r="E18302">
        <v>1</v>
      </c>
    </row>
    <row r="18303" spans="1:5" x14ac:dyDescent="0.25">
      <c r="A18303">
        <v>18302</v>
      </c>
      <c r="B18303">
        <v>8273834</v>
      </c>
      <c r="C18303" s="1" t="str">
        <f>HYPERLINK("http://stackoverflow.com/users/8273834", "yasing shi")</f>
        <v>yasing shi</v>
      </c>
      <c r="D18303" t="s">
        <v>62</v>
      </c>
      <c r="E18303">
        <v>1</v>
      </c>
    </row>
    <row r="18304" spans="1:5" x14ac:dyDescent="0.25">
      <c r="A18304">
        <v>18303</v>
      </c>
      <c r="B18304">
        <v>8274150</v>
      </c>
      <c r="C18304" s="1" t="str">
        <f>HYPERLINK("http://stackoverflow.com/users/8274150", "lenny")</f>
        <v>lenny</v>
      </c>
      <c r="D18304" t="s">
        <v>5</v>
      </c>
      <c r="E18304">
        <v>1</v>
      </c>
    </row>
    <row r="18305" spans="1:5" x14ac:dyDescent="0.25">
      <c r="A18305">
        <v>18304</v>
      </c>
      <c r="B18305">
        <v>8274314</v>
      </c>
      <c r="C18305" s="1" t="str">
        <f>HYPERLINK("http://stackoverflow.com/users/8274314", "Liang Zhibang")</f>
        <v>Liang Zhibang</v>
      </c>
      <c r="D18305" t="s">
        <v>5</v>
      </c>
      <c r="E18305">
        <v>1</v>
      </c>
    </row>
    <row r="18306" spans="1:5" x14ac:dyDescent="0.25">
      <c r="A18306">
        <v>18305</v>
      </c>
      <c r="B18306">
        <v>8274390</v>
      </c>
      <c r="C18306" s="1" t="str">
        <f>HYPERLINK("http://stackoverflow.com/users/8274390", "JC Zhong")</f>
        <v>JC Zhong</v>
      </c>
      <c r="D18306" t="s">
        <v>4</v>
      </c>
      <c r="E18306">
        <v>1</v>
      </c>
    </row>
    <row r="18307" spans="1:5" x14ac:dyDescent="0.25">
      <c r="A18307">
        <v>18306</v>
      </c>
      <c r="B18307">
        <v>8274480</v>
      </c>
      <c r="C18307" s="1" t="str">
        <f>HYPERLINK("http://stackoverflow.com/users/8274480", "Bai Yu")</f>
        <v>Bai Yu</v>
      </c>
      <c r="D18307" t="s">
        <v>5</v>
      </c>
      <c r="E18307">
        <v>1</v>
      </c>
    </row>
    <row r="18308" spans="1:5" x14ac:dyDescent="0.25">
      <c r="A18308">
        <v>18307</v>
      </c>
      <c r="B18308">
        <v>8277800</v>
      </c>
      <c r="C18308" s="1" t="str">
        <f>HYPERLINK("http://stackoverflow.com/users/8277800", "Kevin Zhào")</f>
        <v>Kevin Zhào</v>
      </c>
      <c r="D18308" t="s">
        <v>7</v>
      </c>
      <c r="E18308">
        <v>1</v>
      </c>
    </row>
    <row r="18309" spans="1:5" x14ac:dyDescent="0.25">
      <c r="A18309">
        <v>18308</v>
      </c>
      <c r="B18309">
        <v>8277848</v>
      </c>
      <c r="C18309" s="1" t="str">
        <f>HYPERLINK("http://stackoverflow.com/users/8277848", "Shirley Young")</f>
        <v>Shirley Young</v>
      </c>
      <c r="D18309" t="s">
        <v>4</v>
      </c>
      <c r="E18309">
        <v>1</v>
      </c>
    </row>
    <row r="18310" spans="1:5" x14ac:dyDescent="0.25">
      <c r="A18310">
        <v>18309</v>
      </c>
      <c r="B18310">
        <v>8278021</v>
      </c>
      <c r="C18310" s="1" t="str">
        <f>HYPERLINK("http://stackoverflow.com/users/8278021", "Tongze Wang")</f>
        <v>Tongze Wang</v>
      </c>
      <c r="D18310" t="s">
        <v>5</v>
      </c>
      <c r="E18310">
        <v>1</v>
      </c>
    </row>
    <row r="18311" spans="1:5" x14ac:dyDescent="0.25">
      <c r="A18311">
        <v>18310</v>
      </c>
      <c r="B18311">
        <v>8278076</v>
      </c>
      <c r="C18311" s="1" t="str">
        <f>HYPERLINK("http://stackoverflow.com/users/8278076", "SZ Creative Campus")</f>
        <v>SZ Creative Campus</v>
      </c>
      <c r="D18311" t="s">
        <v>7</v>
      </c>
      <c r="E18311">
        <v>1</v>
      </c>
    </row>
    <row r="18312" spans="1:5" x14ac:dyDescent="0.25">
      <c r="A18312">
        <v>18311</v>
      </c>
      <c r="B18312">
        <v>6478303</v>
      </c>
      <c r="C18312" s="1" t="str">
        <f>HYPERLINK("http://stackoverflow.com/users/6478303", "Hello word")</f>
        <v>Hello word</v>
      </c>
      <c r="D18312" t="s">
        <v>513</v>
      </c>
      <c r="E18312">
        <v>1</v>
      </c>
    </row>
    <row r="18313" spans="1:5" x14ac:dyDescent="0.25">
      <c r="A18313">
        <v>18312</v>
      </c>
      <c r="B18313">
        <v>2926541</v>
      </c>
      <c r="C18313" s="1" t="str">
        <f>HYPERLINK("http://stackoverflow.com/users/2926541", "Ralken")</f>
        <v>Ralken</v>
      </c>
      <c r="D18313" t="s">
        <v>4</v>
      </c>
      <c r="E18313">
        <v>1</v>
      </c>
    </row>
    <row r="18314" spans="1:5" x14ac:dyDescent="0.25">
      <c r="A18314">
        <v>18313</v>
      </c>
      <c r="B18314">
        <v>10099241</v>
      </c>
      <c r="C18314" s="1" t="str">
        <f>HYPERLINK("http://stackoverflow.com/users/10099241", "LiarOnce")</f>
        <v>LiarOnce</v>
      </c>
      <c r="D18314" t="s">
        <v>994</v>
      </c>
      <c r="E18314">
        <v>1</v>
      </c>
    </row>
    <row r="18315" spans="1:5" x14ac:dyDescent="0.25">
      <c r="A18315">
        <v>18314</v>
      </c>
      <c r="B18315">
        <v>10099327</v>
      </c>
      <c r="C18315" s="1" t="str">
        <f>HYPERLINK("http://stackoverflow.com/users/10099327", "Junpeng He")</f>
        <v>Junpeng He</v>
      </c>
      <c r="D18315" t="s">
        <v>4</v>
      </c>
      <c r="E18315">
        <v>1</v>
      </c>
    </row>
    <row r="18316" spans="1:5" x14ac:dyDescent="0.25">
      <c r="A18316">
        <v>18315</v>
      </c>
      <c r="B18316">
        <v>8278531</v>
      </c>
      <c r="C18316" s="1" t="str">
        <f>HYPERLINK("http://stackoverflow.com/users/8278531", "Bashir")</f>
        <v>Bashir</v>
      </c>
      <c r="D18316" t="s">
        <v>5</v>
      </c>
      <c r="E18316">
        <v>1</v>
      </c>
    </row>
    <row r="18317" spans="1:5" x14ac:dyDescent="0.25">
      <c r="A18317">
        <v>18316</v>
      </c>
      <c r="B18317">
        <v>8278896</v>
      </c>
      <c r="C18317" s="1" t="str">
        <f>HYPERLINK("http://stackoverflow.com/users/8278896", "Djehuty")</f>
        <v>Djehuty</v>
      </c>
      <c r="D18317" t="s">
        <v>522</v>
      </c>
      <c r="E18317">
        <v>1</v>
      </c>
    </row>
    <row r="18318" spans="1:5" x14ac:dyDescent="0.25">
      <c r="A18318">
        <v>18317</v>
      </c>
      <c r="B18318">
        <v>8279104</v>
      </c>
      <c r="C18318" s="1" t="str">
        <f>HYPERLINK("http://stackoverflow.com/users/8279104", "qlsusu")</f>
        <v>qlsusu</v>
      </c>
      <c r="D18318" t="s">
        <v>55</v>
      </c>
      <c r="E18318">
        <v>1</v>
      </c>
    </row>
    <row r="18319" spans="1:5" x14ac:dyDescent="0.25">
      <c r="A18319">
        <v>18318</v>
      </c>
      <c r="B18319">
        <v>2934416</v>
      </c>
      <c r="C18319" s="1" t="str">
        <f>HYPERLINK("http://stackoverflow.com/users/2934416", "ZhaoTiexiong")</f>
        <v>ZhaoTiexiong</v>
      </c>
      <c r="D18319" t="s">
        <v>5</v>
      </c>
      <c r="E18319">
        <v>1</v>
      </c>
    </row>
    <row r="18320" spans="1:5" x14ac:dyDescent="0.25">
      <c r="A18320">
        <v>18319</v>
      </c>
      <c r="B18320">
        <v>2934566</v>
      </c>
      <c r="C18320" s="1" t="str">
        <f>HYPERLINK("http://stackoverflow.com/users/2934566", "Yang Ruiguo")</f>
        <v>Yang Ruiguo</v>
      </c>
      <c r="D18320" t="s">
        <v>4</v>
      </c>
      <c r="E18320">
        <v>1</v>
      </c>
    </row>
    <row r="18321" spans="1:5" x14ac:dyDescent="0.25">
      <c r="A18321">
        <v>18320</v>
      </c>
      <c r="B18321">
        <v>4766767</v>
      </c>
      <c r="C18321" s="1" t="str">
        <f>HYPERLINK("http://stackoverflow.com/users/4766767", "Nelson Jiao")</f>
        <v>Nelson Jiao</v>
      </c>
      <c r="D18321" t="s">
        <v>5</v>
      </c>
      <c r="E18321">
        <v>1</v>
      </c>
    </row>
    <row r="18322" spans="1:5" x14ac:dyDescent="0.25">
      <c r="A18322">
        <v>18321</v>
      </c>
      <c r="B18322">
        <v>8287311</v>
      </c>
      <c r="C18322" s="1" t="str">
        <f>HYPERLINK("http://stackoverflow.com/users/8287311", "Yen")</f>
        <v>Yen</v>
      </c>
      <c r="D18322" t="s">
        <v>15</v>
      </c>
      <c r="E18322">
        <v>1</v>
      </c>
    </row>
    <row r="18323" spans="1:5" x14ac:dyDescent="0.25">
      <c r="A18323">
        <v>18322</v>
      </c>
      <c r="B18323">
        <v>8287320</v>
      </c>
      <c r="C18323" s="1" t="str">
        <f>HYPERLINK("http://stackoverflow.com/users/8287320", "spd")</f>
        <v>spd</v>
      </c>
      <c r="D18323" t="s">
        <v>5</v>
      </c>
      <c r="E18323">
        <v>1</v>
      </c>
    </row>
    <row r="18324" spans="1:5" x14ac:dyDescent="0.25">
      <c r="A18324">
        <v>18323</v>
      </c>
      <c r="B18324">
        <v>10103743</v>
      </c>
      <c r="C18324" s="1" t="str">
        <f>HYPERLINK("http://stackoverflow.com/users/10103743", "nick yang")</f>
        <v>nick yang</v>
      </c>
      <c r="D18324" t="s">
        <v>4</v>
      </c>
      <c r="E18324">
        <v>1</v>
      </c>
    </row>
    <row r="18325" spans="1:5" x14ac:dyDescent="0.25">
      <c r="A18325">
        <v>18324</v>
      </c>
      <c r="B18325">
        <v>2954873</v>
      </c>
      <c r="C18325" s="1" t="str">
        <f>HYPERLINK("http://stackoverflow.com/users/2954873", "user of stackoverflow")</f>
        <v>user of stackoverflow</v>
      </c>
      <c r="D18325" t="s">
        <v>5</v>
      </c>
      <c r="E18325">
        <v>1</v>
      </c>
    </row>
    <row r="18326" spans="1:5" x14ac:dyDescent="0.25">
      <c r="A18326">
        <v>18325</v>
      </c>
      <c r="B18326">
        <v>891303</v>
      </c>
      <c r="C18326" s="1" t="str">
        <f>HYPERLINK("http://stackoverflow.com/users/891303", "Li Dian")</f>
        <v>Li Dian</v>
      </c>
      <c r="D18326" t="s">
        <v>24</v>
      </c>
      <c r="E18326">
        <v>1</v>
      </c>
    </row>
    <row r="18327" spans="1:5" x14ac:dyDescent="0.25">
      <c r="A18327">
        <v>18326</v>
      </c>
      <c r="B18327">
        <v>2955067</v>
      </c>
      <c r="C18327" s="1" t="str">
        <f>HYPERLINK("http://stackoverflow.com/users/2955067", "moyo")</f>
        <v>moyo</v>
      </c>
      <c r="D18327" t="s">
        <v>16</v>
      </c>
      <c r="E18327">
        <v>1</v>
      </c>
    </row>
    <row r="18328" spans="1:5" x14ac:dyDescent="0.25">
      <c r="A18328">
        <v>18327</v>
      </c>
      <c r="B18328">
        <v>2955149</v>
      </c>
      <c r="C18328" s="1" t="str">
        <f>HYPERLINK("http://stackoverflow.com/users/2955149", "iZax")</f>
        <v>iZax</v>
      </c>
      <c r="D18328" t="s">
        <v>5</v>
      </c>
      <c r="E18328">
        <v>1</v>
      </c>
    </row>
    <row r="18329" spans="1:5" x14ac:dyDescent="0.25">
      <c r="A18329">
        <v>18328</v>
      </c>
      <c r="B18329">
        <v>8312581</v>
      </c>
      <c r="C18329" s="1" t="str">
        <f>HYPERLINK("http://stackoverflow.com/users/8312581", "于印霄")</f>
        <v>于印霄</v>
      </c>
      <c r="D18329" t="s">
        <v>995</v>
      </c>
      <c r="E18329">
        <v>1</v>
      </c>
    </row>
    <row r="18330" spans="1:5" x14ac:dyDescent="0.25">
      <c r="A18330">
        <v>18329</v>
      </c>
      <c r="B18330">
        <v>2968496</v>
      </c>
      <c r="C18330" s="1" t="str">
        <f>HYPERLINK("http://stackoverflow.com/users/2968496", "vonglo")</f>
        <v>vonglo</v>
      </c>
      <c r="D18330" t="s">
        <v>8</v>
      </c>
      <c r="E18330">
        <v>1</v>
      </c>
    </row>
    <row r="18331" spans="1:5" x14ac:dyDescent="0.25">
      <c r="A18331">
        <v>18330</v>
      </c>
      <c r="B18331">
        <v>4796757</v>
      </c>
      <c r="C18331" s="1" t="str">
        <f>HYPERLINK("http://stackoverflow.com/users/4796757", "Hikon")</f>
        <v>Hikon</v>
      </c>
      <c r="D18331" t="s">
        <v>21</v>
      </c>
      <c r="E18331">
        <v>1</v>
      </c>
    </row>
    <row r="18332" spans="1:5" x14ac:dyDescent="0.25">
      <c r="A18332">
        <v>18331</v>
      </c>
      <c r="B18332">
        <v>8320786</v>
      </c>
      <c r="C18332" s="1" t="str">
        <f>HYPERLINK("http://stackoverflow.com/users/8320786", "chao chen")</f>
        <v>chao chen</v>
      </c>
      <c r="D18332" t="s">
        <v>10</v>
      </c>
      <c r="E18332">
        <v>1</v>
      </c>
    </row>
    <row r="18333" spans="1:5" x14ac:dyDescent="0.25">
      <c r="A18333">
        <v>18332</v>
      </c>
      <c r="B18333">
        <v>2967516</v>
      </c>
      <c r="C18333" s="1" t="str">
        <f>HYPERLINK("http://stackoverflow.com/users/2967516", "user2967516")</f>
        <v>user2967516</v>
      </c>
      <c r="D18333" t="s">
        <v>4</v>
      </c>
      <c r="E18333">
        <v>1</v>
      </c>
    </row>
    <row r="18334" spans="1:5" x14ac:dyDescent="0.25">
      <c r="A18334">
        <v>18333</v>
      </c>
      <c r="B18334">
        <v>2967976</v>
      </c>
      <c r="C18334" s="1" t="str">
        <f>HYPERLINK("http://stackoverflow.com/users/2967976", "njiang1987")</f>
        <v>njiang1987</v>
      </c>
      <c r="D18334" t="s">
        <v>12</v>
      </c>
      <c r="E18334">
        <v>1</v>
      </c>
    </row>
    <row r="18335" spans="1:5" x14ac:dyDescent="0.25">
      <c r="A18335">
        <v>18334</v>
      </c>
      <c r="B18335">
        <v>10136397</v>
      </c>
      <c r="C18335" s="1" t="str">
        <f>HYPERLINK("http://stackoverflow.com/users/10136397", "TI cao")</f>
        <v>TI cao</v>
      </c>
      <c r="D18335" t="s">
        <v>4</v>
      </c>
      <c r="E18335">
        <v>1</v>
      </c>
    </row>
    <row r="18336" spans="1:5" x14ac:dyDescent="0.25">
      <c r="A18336">
        <v>18335</v>
      </c>
      <c r="B18336">
        <v>10136413</v>
      </c>
      <c r="C18336" s="1" t="str">
        <f>HYPERLINK("http://stackoverflow.com/users/10136413", "Yuefei W")</f>
        <v>Yuefei W</v>
      </c>
      <c r="D18336" t="s">
        <v>17</v>
      </c>
      <c r="E18336">
        <v>1</v>
      </c>
    </row>
    <row r="18337" spans="1:5" x14ac:dyDescent="0.25">
      <c r="A18337">
        <v>18336</v>
      </c>
      <c r="B18337">
        <v>10136441</v>
      </c>
      <c r="C18337" s="1" t="str">
        <f>HYPERLINK("http://stackoverflow.com/users/10136441", "Ekansrm W")</f>
        <v>Ekansrm W</v>
      </c>
      <c r="D18337" t="s">
        <v>25</v>
      </c>
      <c r="E18337">
        <v>1</v>
      </c>
    </row>
    <row r="18338" spans="1:5" x14ac:dyDescent="0.25">
      <c r="A18338">
        <v>18337</v>
      </c>
      <c r="B18338">
        <v>10136536</v>
      </c>
      <c r="C18338" s="1" t="str">
        <f>HYPERLINK("http://stackoverflow.com/users/10136536", "Shujie Han")</f>
        <v>Shujie Han</v>
      </c>
      <c r="D18338" t="s">
        <v>996</v>
      </c>
      <c r="E18338">
        <v>1</v>
      </c>
    </row>
    <row r="18339" spans="1:5" x14ac:dyDescent="0.25">
      <c r="A18339">
        <v>18338</v>
      </c>
      <c r="B18339">
        <v>6515130</v>
      </c>
      <c r="C18339" s="1" t="str">
        <f>HYPERLINK("http://stackoverflow.com/users/6515130", "Peipei Guo")</f>
        <v>Peipei Guo</v>
      </c>
      <c r="D18339" t="s">
        <v>37</v>
      </c>
      <c r="E18339">
        <v>1</v>
      </c>
    </row>
    <row r="18340" spans="1:5" x14ac:dyDescent="0.25">
      <c r="A18340">
        <v>18339</v>
      </c>
      <c r="B18340">
        <v>8315743</v>
      </c>
      <c r="C18340" s="1" t="str">
        <f>HYPERLINK("http://stackoverflow.com/users/8315743", "ksptetris")</f>
        <v>ksptetris</v>
      </c>
      <c r="D18340" t="s">
        <v>133</v>
      </c>
      <c r="E18340">
        <v>1</v>
      </c>
    </row>
    <row r="18341" spans="1:5" x14ac:dyDescent="0.25">
      <c r="A18341">
        <v>18340</v>
      </c>
      <c r="B18341">
        <v>891546</v>
      </c>
      <c r="C18341" s="1" t="str">
        <f>HYPERLINK("http://stackoverflow.com/users/891546", "Darrel.Hsu")</f>
        <v>Darrel.Hsu</v>
      </c>
      <c r="D18341" t="s">
        <v>5</v>
      </c>
      <c r="E18341">
        <v>1</v>
      </c>
    </row>
    <row r="18342" spans="1:5" x14ac:dyDescent="0.25">
      <c r="A18342">
        <v>18341</v>
      </c>
      <c r="B18342">
        <v>891560</v>
      </c>
      <c r="C18342" s="1" t="str">
        <f>HYPERLINK("http://stackoverflow.com/users/891560", "monkeyluck")</f>
        <v>monkeyluck</v>
      </c>
      <c r="D18342" t="s">
        <v>54</v>
      </c>
      <c r="E18342">
        <v>1</v>
      </c>
    </row>
    <row r="18343" spans="1:5" x14ac:dyDescent="0.25">
      <c r="A18343">
        <v>18342</v>
      </c>
      <c r="B18343">
        <v>2926652</v>
      </c>
      <c r="C18343" s="1" t="str">
        <f>HYPERLINK("http://stackoverflow.com/users/2926652", "Wizard")</f>
        <v>Wizard</v>
      </c>
      <c r="D18343" t="s">
        <v>7</v>
      </c>
      <c r="E18343">
        <v>1</v>
      </c>
    </row>
    <row r="18344" spans="1:5" x14ac:dyDescent="0.25">
      <c r="A18344">
        <v>18343</v>
      </c>
      <c r="B18344">
        <v>6494143</v>
      </c>
      <c r="C18344" s="1" t="str">
        <f>HYPERLINK("http://stackoverflow.com/users/6494143", "pphsolomon")</f>
        <v>pphsolomon</v>
      </c>
      <c r="D18344" t="s">
        <v>266</v>
      </c>
      <c r="E18344">
        <v>1</v>
      </c>
    </row>
    <row r="18345" spans="1:5" x14ac:dyDescent="0.25">
      <c r="A18345">
        <v>18344</v>
      </c>
      <c r="B18345">
        <v>2949781</v>
      </c>
      <c r="C18345" s="1" t="str">
        <f>HYPERLINK("http://stackoverflow.com/users/2949781", "wqqdzy")</f>
        <v>wqqdzy</v>
      </c>
      <c r="D18345" t="s">
        <v>5</v>
      </c>
      <c r="E18345">
        <v>1</v>
      </c>
    </row>
    <row r="18346" spans="1:5" x14ac:dyDescent="0.25">
      <c r="A18346">
        <v>18345</v>
      </c>
      <c r="B18346">
        <v>873610</v>
      </c>
      <c r="C18346" s="1" t="str">
        <f>HYPERLINK("http://stackoverflow.com/users/873610", "gs412")</f>
        <v>gs412</v>
      </c>
      <c r="D18346" t="s">
        <v>13</v>
      </c>
      <c r="E18346">
        <v>1</v>
      </c>
    </row>
    <row r="18347" spans="1:5" x14ac:dyDescent="0.25">
      <c r="A18347">
        <v>18346</v>
      </c>
      <c r="B18347">
        <v>873823</v>
      </c>
      <c r="C18347" s="1" t="str">
        <f>HYPERLINK("http://stackoverflow.com/users/873823", "云游四方")</f>
        <v>云游四方</v>
      </c>
      <c r="D18347" t="s">
        <v>5</v>
      </c>
      <c r="E18347">
        <v>1</v>
      </c>
    </row>
    <row r="18348" spans="1:5" x14ac:dyDescent="0.25">
      <c r="A18348">
        <v>18347</v>
      </c>
      <c r="B18348">
        <v>873884</v>
      </c>
      <c r="C18348" s="1" t="str">
        <f>HYPERLINK("http://stackoverflow.com/users/873884", "xytang")</f>
        <v>xytang</v>
      </c>
      <c r="D18348" t="s">
        <v>21</v>
      </c>
      <c r="E18348">
        <v>1</v>
      </c>
    </row>
    <row r="18349" spans="1:5" x14ac:dyDescent="0.25">
      <c r="A18349">
        <v>18348</v>
      </c>
      <c r="B18349">
        <v>874372</v>
      </c>
      <c r="C18349" s="1" t="str">
        <f>HYPERLINK("http://stackoverflow.com/users/874372", "lantaozi")</f>
        <v>lantaozi</v>
      </c>
      <c r="D18349" t="s">
        <v>4</v>
      </c>
      <c r="E18349">
        <v>1</v>
      </c>
    </row>
    <row r="18350" spans="1:5" x14ac:dyDescent="0.25">
      <c r="A18350">
        <v>18349</v>
      </c>
      <c r="B18350">
        <v>8296163</v>
      </c>
      <c r="C18350" s="1" t="str">
        <f>HYPERLINK("http://stackoverflow.com/users/8296163", "冯理强")</f>
        <v>冯理强</v>
      </c>
      <c r="D18350" t="s">
        <v>28</v>
      </c>
      <c r="E18350">
        <v>1</v>
      </c>
    </row>
    <row r="18351" spans="1:5" x14ac:dyDescent="0.25">
      <c r="A18351">
        <v>18350</v>
      </c>
      <c r="B18351">
        <v>4774322</v>
      </c>
      <c r="C18351" s="1" t="str">
        <f>HYPERLINK("http://stackoverflow.com/users/4774322", "Salon.sai")</f>
        <v>Salon.sai</v>
      </c>
      <c r="D18351" t="s">
        <v>21</v>
      </c>
      <c r="E18351">
        <v>1</v>
      </c>
    </row>
    <row r="18352" spans="1:5" x14ac:dyDescent="0.25">
      <c r="A18352">
        <v>18351</v>
      </c>
      <c r="B18352">
        <v>4774644</v>
      </c>
      <c r="C18352" s="1" t="str">
        <f>HYPERLINK("http://stackoverflow.com/users/4774644", "ChenYvehtung")</f>
        <v>ChenYvehtung</v>
      </c>
      <c r="D18352" t="s">
        <v>41</v>
      </c>
      <c r="E18352">
        <v>1</v>
      </c>
    </row>
    <row r="18353" spans="1:5" x14ac:dyDescent="0.25">
      <c r="A18353">
        <v>18352</v>
      </c>
      <c r="B18353">
        <v>8300055</v>
      </c>
      <c r="C18353" s="1" t="str">
        <f>HYPERLINK("http://stackoverflow.com/users/8300055", "Xiaogang Zhong")</f>
        <v>Xiaogang Zhong</v>
      </c>
      <c r="D18353" t="s">
        <v>5</v>
      </c>
      <c r="E18353">
        <v>1</v>
      </c>
    </row>
    <row r="18354" spans="1:5" x14ac:dyDescent="0.25">
      <c r="A18354">
        <v>18353</v>
      </c>
      <c r="B18354">
        <v>8300292</v>
      </c>
      <c r="C18354" s="1" t="str">
        <f>HYPERLINK("http://stackoverflow.com/users/8300292", "Kim Young")</f>
        <v>Kim Young</v>
      </c>
      <c r="D18354" t="s">
        <v>7</v>
      </c>
      <c r="E18354">
        <v>1</v>
      </c>
    </row>
    <row r="18355" spans="1:5" x14ac:dyDescent="0.25">
      <c r="A18355">
        <v>18354</v>
      </c>
      <c r="B18355">
        <v>10116613</v>
      </c>
      <c r="C18355" s="1" t="str">
        <f>HYPERLINK("http://stackoverflow.com/users/10116613", "jacc.alex")</f>
        <v>jacc.alex</v>
      </c>
      <c r="D18355" t="s">
        <v>78</v>
      </c>
      <c r="E18355">
        <v>1</v>
      </c>
    </row>
    <row r="18356" spans="1:5" x14ac:dyDescent="0.25">
      <c r="A18356">
        <v>18355</v>
      </c>
      <c r="B18356">
        <v>10117059</v>
      </c>
      <c r="C18356" s="1" t="str">
        <f>HYPERLINK("http://stackoverflow.com/users/10117059", "Mier")</f>
        <v>Mier</v>
      </c>
      <c r="D18356" t="s">
        <v>4</v>
      </c>
      <c r="E18356">
        <v>1</v>
      </c>
    </row>
    <row r="18357" spans="1:5" x14ac:dyDescent="0.25">
      <c r="A18357">
        <v>18356</v>
      </c>
      <c r="B18357">
        <v>4778604</v>
      </c>
      <c r="C18357" s="1" t="str">
        <f>HYPERLINK("http://stackoverflow.com/users/4778604", "Cheney")</f>
        <v>Cheney</v>
      </c>
      <c r="D18357" t="s">
        <v>22</v>
      </c>
      <c r="E18357">
        <v>1</v>
      </c>
    </row>
    <row r="18358" spans="1:5" x14ac:dyDescent="0.25">
      <c r="A18358">
        <v>18357</v>
      </c>
      <c r="B18358">
        <v>10119953</v>
      </c>
      <c r="C18358" s="1" t="str">
        <f>HYPERLINK("http://stackoverflow.com/users/10119953", "Gary")</f>
        <v>Gary</v>
      </c>
      <c r="D18358" t="s">
        <v>33</v>
      </c>
      <c r="E18358">
        <v>1</v>
      </c>
    </row>
    <row r="18359" spans="1:5" x14ac:dyDescent="0.25">
      <c r="A18359">
        <v>18358</v>
      </c>
      <c r="B18359">
        <v>10120345</v>
      </c>
      <c r="C18359" s="1" t="str">
        <f>HYPERLINK("http://stackoverflow.com/users/10120345", "Satoshi Jek")</f>
        <v>Satoshi Jek</v>
      </c>
      <c r="D18359" t="s">
        <v>682</v>
      </c>
      <c r="E18359">
        <v>1</v>
      </c>
    </row>
    <row r="18360" spans="1:5" x14ac:dyDescent="0.25">
      <c r="A18360">
        <v>18359</v>
      </c>
      <c r="B18360">
        <v>10120527</v>
      </c>
      <c r="C18360" s="1" t="str">
        <f>HYPERLINK("http://stackoverflow.com/users/10120527", "penn xu")</f>
        <v>penn xu</v>
      </c>
      <c r="D18360" t="s">
        <v>62</v>
      </c>
      <c r="E18360">
        <v>1</v>
      </c>
    </row>
    <row r="18361" spans="1:5" x14ac:dyDescent="0.25">
      <c r="A18361">
        <v>18360</v>
      </c>
      <c r="B18361">
        <v>6501889</v>
      </c>
      <c r="C18361" s="1" t="str">
        <f>HYPERLINK("http://stackoverflow.com/users/6501889", "double0ne")</f>
        <v>double0ne</v>
      </c>
      <c r="D18361" t="s">
        <v>415</v>
      </c>
      <c r="E18361">
        <v>1</v>
      </c>
    </row>
    <row r="18362" spans="1:5" x14ac:dyDescent="0.25">
      <c r="A18362">
        <v>18361</v>
      </c>
      <c r="B18362">
        <v>8022639</v>
      </c>
      <c r="C18362" s="1" t="str">
        <f>HYPERLINK("http://stackoverflow.com/users/8022639", "ihsusta")</f>
        <v>ihsusta</v>
      </c>
      <c r="D18362" t="s">
        <v>353</v>
      </c>
      <c r="E18362">
        <v>1</v>
      </c>
    </row>
    <row r="18363" spans="1:5" x14ac:dyDescent="0.25">
      <c r="A18363">
        <v>18362</v>
      </c>
      <c r="B18363">
        <v>8022754</v>
      </c>
      <c r="C18363" s="1" t="str">
        <f>HYPERLINK("http://stackoverflow.com/users/8022754", "SvenAugustus")</f>
        <v>SvenAugustus</v>
      </c>
      <c r="D18363" t="s">
        <v>25</v>
      </c>
      <c r="E18363">
        <v>1</v>
      </c>
    </row>
    <row r="18364" spans="1:5" x14ac:dyDescent="0.25">
      <c r="A18364">
        <v>18363</v>
      </c>
      <c r="B18364">
        <v>8022774</v>
      </c>
      <c r="C18364" s="1" t="str">
        <f>HYPERLINK("http://stackoverflow.com/users/8022774", "Qson Xu")</f>
        <v>Qson Xu</v>
      </c>
      <c r="D18364" t="s">
        <v>25</v>
      </c>
      <c r="E18364">
        <v>1</v>
      </c>
    </row>
    <row r="18365" spans="1:5" x14ac:dyDescent="0.25">
      <c r="A18365">
        <v>18364</v>
      </c>
      <c r="B18365">
        <v>8022828</v>
      </c>
      <c r="C18365" s="1" t="str">
        <f>HYPERLINK("http://stackoverflow.com/users/8022828", "J.Liu")</f>
        <v>J.Liu</v>
      </c>
      <c r="D18365" t="s">
        <v>997</v>
      </c>
      <c r="E18365">
        <v>1</v>
      </c>
    </row>
    <row r="18366" spans="1:5" x14ac:dyDescent="0.25">
      <c r="A18366">
        <v>18365</v>
      </c>
      <c r="B18366">
        <v>2677603</v>
      </c>
      <c r="C18366" s="1" t="str">
        <f>HYPERLINK("http://stackoverflow.com/users/2677603", "Humingwei")</f>
        <v>Humingwei</v>
      </c>
      <c r="D18366" t="s">
        <v>5</v>
      </c>
      <c r="E18366">
        <v>1</v>
      </c>
    </row>
    <row r="18367" spans="1:5" x14ac:dyDescent="0.25">
      <c r="A18367">
        <v>18366</v>
      </c>
      <c r="B18367">
        <v>2677634</v>
      </c>
      <c r="C18367" s="1" t="str">
        <f>HYPERLINK("http://stackoverflow.com/users/2677634", "gumphui")</f>
        <v>gumphui</v>
      </c>
      <c r="D18367" t="s">
        <v>4</v>
      </c>
      <c r="E18367">
        <v>1</v>
      </c>
    </row>
    <row r="18368" spans="1:5" x14ac:dyDescent="0.25">
      <c r="A18368">
        <v>18367</v>
      </c>
      <c r="B18368">
        <v>9838965</v>
      </c>
      <c r="C18368" s="1" t="str">
        <f>HYPERLINK("http://stackoverflow.com/users/9838965", "JollyJoker")</f>
        <v>JollyJoker</v>
      </c>
      <c r="D18368" t="s">
        <v>4</v>
      </c>
      <c r="E18368">
        <v>1</v>
      </c>
    </row>
    <row r="18369" spans="1:5" x14ac:dyDescent="0.25">
      <c r="A18369">
        <v>18368</v>
      </c>
      <c r="B18369">
        <v>9839106</v>
      </c>
      <c r="C18369" s="1" t="str">
        <f>HYPERLINK("http://stackoverflow.com/users/9839106", "please dont call me programmer")</f>
        <v>please dont call me programmer</v>
      </c>
      <c r="D18369" t="s">
        <v>5</v>
      </c>
      <c r="E18369">
        <v>1</v>
      </c>
    </row>
    <row r="18370" spans="1:5" x14ac:dyDescent="0.25">
      <c r="A18370">
        <v>18369</v>
      </c>
      <c r="B18370">
        <v>9839431</v>
      </c>
      <c r="C18370" s="1" t="str">
        <f>HYPERLINK("http://stackoverflow.com/users/9839431", "jinxiafiber")</f>
        <v>jinxiafiber</v>
      </c>
      <c r="D18370" t="s">
        <v>998</v>
      </c>
      <c r="E18370">
        <v>1</v>
      </c>
    </row>
    <row r="18371" spans="1:5" x14ac:dyDescent="0.25">
      <c r="A18371">
        <v>18370</v>
      </c>
      <c r="B18371">
        <v>6246291</v>
      </c>
      <c r="C18371" s="1" t="str">
        <f>HYPERLINK("http://stackoverflow.com/users/6246291", "Utaher")</f>
        <v>Utaher</v>
      </c>
      <c r="D18371" t="s">
        <v>4</v>
      </c>
      <c r="E18371">
        <v>1</v>
      </c>
    </row>
    <row r="18372" spans="1:5" x14ac:dyDescent="0.25">
      <c r="A18372">
        <v>18371</v>
      </c>
      <c r="B18372">
        <v>4521222</v>
      </c>
      <c r="C18372" s="1" t="str">
        <f>HYPERLINK("http://stackoverflow.com/users/4521222", "xinxiaoyu")</f>
        <v>xinxiaoyu</v>
      </c>
      <c r="D18372" t="s">
        <v>4</v>
      </c>
      <c r="E18372">
        <v>1</v>
      </c>
    </row>
    <row r="18373" spans="1:5" x14ac:dyDescent="0.25">
      <c r="A18373">
        <v>18372</v>
      </c>
      <c r="B18373">
        <v>450799</v>
      </c>
      <c r="C18373" s="1" t="str">
        <f>HYPERLINK("http://stackoverflow.com/users/450799", "iTony")</f>
        <v>iTony</v>
      </c>
      <c r="D18373" t="s">
        <v>135</v>
      </c>
      <c r="E18373">
        <v>1</v>
      </c>
    </row>
    <row r="18374" spans="1:5" x14ac:dyDescent="0.25">
      <c r="A18374">
        <v>18373</v>
      </c>
      <c r="B18374">
        <v>8030946</v>
      </c>
      <c r="C18374" s="1" t="str">
        <f>HYPERLINK("http://stackoverflow.com/users/8030946", "tab")</f>
        <v>tab</v>
      </c>
      <c r="D18374" t="s">
        <v>154</v>
      </c>
      <c r="E18374">
        <v>1</v>
      </c>
    </row>
    <row r="18375" spans="1:5" x14ac:dyDescent="0.25">
      <c r="A18375">
        <v>18374</v>
      </c>
      <c r="B18375">
        <v>439703</v>
      </c>
      <c r="C18375" s="1" t="str">
        <f>HYPERLINK("http://stackoverflow.com/users/439703", "Yi Ling")</f>
        <v>Yi Ling</v>
      </c>
      <c r="D18375" t="s">
        <v>5</v>
      </c>
      <c r="E18375">
        <v>1</v>
      </c>
    </row>
    <row r="18376" spans="1:5" x14ac:dyDescent="0.25">
      <c r="A18376">
        <v>18375</v>
      </c>
      <c r="B18376">
        <v>440016</v>
      </c>
      <c r="C18376" s="1" t="str">
        <f>HYPERLINK("http://stackoverflow.com/users/440016", "yangjunyong")</f>
        <v>yangjunyong</v>
      </c>
      <c r="D18376" t="s">
        <v>22</v>
      </c>
      <c r="E18376">
        <v>1</v>
      </c>
    </row>
    <row r="18377" spans="1:5" x14ac:dyDescent="0.25">
      <c r="A18377">
        <v>18376</v>
      </c>
      <c r="B18377">
        <v>6249377</v>
      </c>
      <c r="C18377" s="1" t="str">
        <f>HYPERLINK("http://stackoverflow.com/users/6249377", "Aresn")</f>
        <v>Aresn</v>
      </c>
      <c r="D18377" t="s">
        <v>5</v>
      </c>
      <c r="E18377">
        <v>1</v>
      </c>
    </row>
    <row r="18378" spans="1:5" x14ac:dyDescent="0.25">
      <c r="A18378">
        <v>18377</v>
      </c>
      <c r="B18378">
        <v>6249696</v>
      </c>
      <c r="C18378" s="1" t="str">
        <f>HYPERLINK("http://stackoverflow.com/users/6249696", "Lilin")</f>
        <v>Lilin</v>
      </c>
      <c r="D18378" t="s">
        <v>4</v>
      </c>
      <c r="E18378">
        <v>1</v>
      </c>
    </row>
    <row r="18379" spans="1:5" x14ac:dyDescent="0.25">
      <c r="A18379">
        <v>18378</v>
      </c>
      <c r="B18379">
        <v>2681005</v>
      </c>
      <c r="C18379" s="1" t="str">
        <f>HYPERLINK("http://stackoverflow.com/users/2681005", "yanhaijing")</f>
        <v>yanhaijing</v>
      </c>
      <c r="D18379" t="s">
        <v>5</v>
      </c>
      <c r="E18379">
        <v>1</v>
      </c>
    </row>
    <row r="18380" spans="1:5" x14ac:dyDescent="0.25">
      <c r="A18380">
        <v>18379</v>
      </c>
      <c r="B18380">
        <v>2684556</v>
      </c>
      <c r="C18380" s="1" t="str">
        <f>HYPERLINK("http://stackoverflow.com/users/2684556", "ZFenng")</f>
        <v>ZFenng</v>
      </c>
      <c r="D18380" t="s">
        <v>4</v>
      </c>
      <c r="E18380">
        <v>1</v>
      </c>
    </row>
    <row r="18381" spans="1:5" x14ac:dyDescent="0.25">
      <c r="A18381">
        <v>18380</v>
      </c>
      <c r="B18381">
        <v>2684636</v>
      </c>
      <c r="C18381" s="1" t="str">
        <f>HYPERLINK("http://stackoverflow.com/users/2684636", "greyhawk")</f>
        <v>greyhawk</v>
      </c>
      <c r="D18381" t="s">
        <v>22</v>
      </c>
      <c r="E18381">
        <v>1</v>
      </c>
    </row>
    <row r="18382" spans="1:5" x14ac:dyDescent="0.25">
      <c r="A18382">
        <v>18381</v>
      </c>
      <c r="B18382">
        <v>8034210</v>
      </c>
      <c r="C18382" s="1" t="str">
        <f>HYPERLINK("http://stackoverflow.com/users/8034210", "Moriarty")</f>
        <v>Moriarty</v>
      </c>
      <c r="D18382" t="s">
        <v>16</v>
      </c>
      <c r="E18382">
        <v>1</v>
      </c>
    </row>
    <row r="18383" spans="1:5" x14ac:dyDescent="0.25">
      <c r="A18383">
        <v>18382</v>
      </c>
      <c r="B18383">
        <v>8034670</v>
      </c>
      <c r="C18383" s="1" t="str">
        <f>HYPERLINK("http://stackoverflow.com/users/8034670", "runcheng")</f>
        <v>runcheng</v>
      </c>
      <c r="D18383" t="s">
        <v>131</v>
      </c>
      <c r="E18383">
        <v>1</v>
      </c>
    </row>
    <row r="18384" spans="1:5" x14ac:dyDescent="0.25">
      <c r="A18384">
        <v>18383</v>
      </c>
      <c r="B18384">
        <v>9847363</v>
      </c>
      <c r="C18384" s="1" t="str">
        <f>HYPERLINK("http://stackoverflow.com/users/9847363", "Zhang Yuanlong")</f>
        <v>Zhang Yuanlong</v>
      </c>
      <c r="D18384" t="s">
        <v>5</v>
      </c>
      <c r="E18384">
        <v>1</v>
      </c>
    </row>
    <row r="18385" spans="1:5" x14ac:dyDescent="0.25">
      <c r="A18385">
        <v>18384</v>
      </c>
      <c r="B18385">
        <v>486339</v>
      </c>
      <c r="C18385" s="1" t="str">
        <f>HYPERLINK("http://stackoverflow.com/users/486339", "Emma")</f>
        <v>Emma</v>
      </c>
      <c r="D18385" t="s">
        <v>12</v>
      </c>
      <c r="E18385">
        <v>1</v>
      </c>
    </row>
    <row r="18386" spans="1:5" x14ac:dyDescent="0.25">
      <c r="A18386">
        <v>18385</v>
      </c>
      <c r="B18386">
        <v>473530</v>
      </c>
      <c r="C18386" s="1" t="str">
        <f>HYPERLINK("http://stackoverflow.com/users/473530", "tianwen0815")</f>
        <v>tianwen0815</v>
      </c>
      <c r="D18386" t="s">
        <v>5</v>
      </c>
      <c r="E18386">
        <v>1</v>
      </c>
    </row>
    <row r="18387" spans="1:5" x14ac:dyDescent="0.25">
      <c r="A18387">
        <v>18386</v>
      </c>
      <c r="B18387">
        <v>2699251</v>
      </c>
      <c r="C18387" s="1" t="str">
        <f>HYPERLINK("http://stackoverflow.com/users/2699251", "bwang")</f>
        <v>bwang</v>
      </c>
      <c r="D18387" t="s">
        <v>12</v>
      </c>
      <c r="E18387">
        <v>1</v>
      </c>
    </row>
    <row r="18388" spans="1:5" x14ac:dyDescent="0.25">
      <c r="A18388">
        <v>18387</v>
      </c>
      <c r="B18388">
        <v>2699327</v>
      </c>
      <c r="C18388" s="1" t="str">
        <f>HYPERLINK("http://stackoverflow.com/users/2699327", "keldon")</f>
        <v>keldon</v>
      </c>
      <c r="D18388" t="s">
        <v>5</v>
      </c>
      <c r="E18388">
        <v>1</v>
      </c>
    </row>
    <row r="18389" spans="1:5" x14ac:dyDescent="0.25">
      <c r="A18389">
        <v>18388</v>
      </c>
      <c r="B18389">
        <v>2699348</v>
      </c>
      <c r="C18389" s="1" t="str">
        <f>HYPERLINK("http://stackoverflow.com/users/2699348", "sundayun")</f>
        <v>sundayun</v>
      </c>
      <c r="D18389" t="s">
        <v>5</v>
      </c>
      <c r="E18389">
        <v>1</v>
      </c>
    </row>
    <row r="18390" spans="1:5" x14ac:dyDescent="0.25">
      <c r="A18390">
        <v>18389</v>
      </c>
      <c r="B18390">
        <v>2699659</v>
      </c>
      <c r="C18390" s="1" t="str">
        <f>HYPERLINK("http://stackoverflow.com/users/2699659", "kpwqm")</f>
        <v>kpwqm</v>
      </c>
      <c r="D18390" t="s">
        <v>25</v>
      </c>
      <c r="E18390">
        <v>1</v>
      </c>
    </row>
    <row r="18391" spans="1:5" x14ac:dyDescent="0.25">
      <c r="A18391">
        <v>18390</v>
      </c>
      <c r="B18391">
        <v>9862640</v>
      </c>
      <c r="C18391" s="1" t="str">
        <f>HYPERLINK("http://stackoverflow.com/users/9862640", "ly1997th")</f>
        <v>ly1997th</v>
      </c>
      <c r="D18391" t="s">
        <v>4</v>
      </c>
      <c r="E18391">
        <v>1</v>
      </c>
    </row>
    <row r="18392" spans="1:5" x14ac:dyDescent="0.25">
      <c r="A18392">
        <v>18391</v>
      </c>
      <c r="B18392">
        <v>9863374</v>
      </c>
      <c r="C18392" s="1" t="str">
        <f>HYPERLINK("http://stackoverflow.com/users/9863374", "Ross Yang")</f>
        <v>Ross Yang</v>
      </c>
      <c r="D18392" t="s">
        <v>5</v>
      </c>
      <c r="E18392">
        <v>1</v>
      </c>
    </row>
    <row r="18393" spans="1:5" x14ac:dyDescent="0.25">
      <c r="A18393">
        <v>18392</v>
      </c>
      <c r="B18393">
        <v>4532202</v>
      </c>
      <c r="C18393" s="1" t="str">
        <f>HYPERLINK("http://stackoverflow.com/users/4532202", "Larry Huang")</f>
        <v>Larry Huang</v>
      </c>
      <c r="D18393" t="s">
        <v>5</v>
      </c>
      <c r="E18393">
        <v>1</v>
      </c>
    </row>
    <row r="18394" spans="1:5" x14ac:dyDescent="0.25">
      <c r="A18394">
        <v>18393</v>
      </c>
      <c r="B18394">
        <v>9855002</v>
      </c>
      <c r="C18394" s="1" t="str">
        <f>HYPERLINK("http://stackoverflow.com/users/9855002", "Amanda.P.N")</f>
        <v>Amanda.P.N</v>
      </c>
      <c r="D18394" t="s">
        <v>52</v>
      </c>
      <c r="E18394">
        <v>1</v>
      </c>
    </row>
    <row r="18395" spans="1:5" x14ac:dyDescent="0.25">
      <c r="A18395">
        <v>18394</v>
      </c>
      <c r="B18395">
        <v>6259948</v>
      </c>
      <c r="C18395" s="1" t="str">
        <f>HYPERLINK("http://stackoverflow.com/users/6259948", "Dukune")</f>
        <v>Dukune</v>
      </c>
      <c r="D18395" t="s">
        <v>55</v>
      </c>
      <c r="E18395">
        <v>1</v>
      </c>
    </row>
    <row r="18396" spans="1:5" x14ac:dyDescent="0.25">
      <c r="A18396">
        <v>18395</v>
      </c>
      <c r="B18396">
        <v>9850462</v>
      </c>
      <c r="C18396" s="1" t="str">
        <f>HYPERLINK("http://stackoverflow.com/users/9850462", "xinhui xu")</f>
        <v>xinhui xu</v>
      </c>
      <c r="D18396" t="s">
        <v>86</v>
      </c>
      <c r="E18396">
        <v>1</v>
      </c>
    </row>
    <row r="18397" spans="1:5" x14ac:dyDescent="0.25">
      <c r="A18397">
        <v>18396</v>
      </c>
      <c r="B18397">
        <v>9850817</v>
      </c>
      <c r="C18397" s="1" t="str">
        <f>HYPERLINK("http://stackoverflow.com/users/9850817", "刘雄伟")</f>
        <v>刘雄伟</v>
      </c>
      <c r="D18397" t="s">
        <v>91</v>
      </c>
      <c r="E18397">
        <v>1</v>
      </c>
    </row>
    <row r="18398" spans="1:5" x14ac:dyDescent="0.25">
      <c r="A18398">
        <v>18397</v>
      </c>
      <c r="B18398">
        <v>9850870</v>
      </c>
      <c r="C18398" s="1" t="str">
        <f>HYPERLINK("http://stackoverflow.com/users/9850870", "xiaolong xing")</f>
        <v>xiaolong xing</v>
      </c>
      <c r="D18398" t="s">
        <v>5</v>
      </c>
      <c r="E18398">
        <v>1</v>
      </c>
    </row>
    <row r="18399" spans="1:5" x14ac:dyDescent="0.25">
      <c r="A18399">
        <v>18398</v>
      </c>
      <c r="B18399">
        <v>8042357</v>
      </c>
      <c r="C18399" s="1" t="str">
        <f>HYPERLINK("http://stackoverflow.com/users/8042357", "Alan")</f>
        <v>Alan</v>
      </c>
      <c r="D18399" t="s">
        <v>999</v>
      </c>
      <c r="E18399">
        <v>1</v>
      </c>
    </row>
    <row r="18400" spans="1:5" x14ac:dyDescent="0.25">
      <c r="A18400">
        <v>18399</v>
      </c>
      <c r="B18400">
        <v>8042462</v>
      </c>
      <c r="C18400" s="1" t="str">
        <f>HYPERLINK("http://stackoverflow.com/users/8042462", "Suvan Cheng")</f>
        <v>Suvan Cheng</v>
      </c>
      <c r="D18400" t="s">
        <v>57</v>
      </c>
      <c r="E18400">
        <v>1</v>
      </c>
    </row>
    <row r="18401" spans="1:5" x14ac:dyDescent="0.25">
      <c r="A18401">
        <v>18400</v>
      </c>
      <c r="B18401">
        <v>8042590</v>
      </c>
      <c r="C18401" s="1" t="str">
        <f>HYPERLINK("http://stackoverflow.com/users/8042590", "Lykyk")</f>
        <v>Lykyk</v>
      </c>
      <c r="D18401" t="s">
        <v>36</v>
      </c>
      <c r="E18401">
        <v>1</v>
      </c>
    </row>
    <row r="18402" spans="1:5" x14ac:dyDescent="0.25">
      <c r="A18402">
        <v>18401</v>
      </c>
      <c r="B18402">
        <v>2694981</v>
      </c>
      <c r="C18402" s="1" t="str">
        <f>HYPERLINK("http://stackoverflow.com/users/2694981", "liweihua")</f>
        <v>liweihua</v>
      </c>
      <c r="D18402" t="s">
        <v>31</v>
      </c>
      <c r="E18402">
        <v>1</v>
      </c>
    </row>
    <row r="18403" spans="1:5" x14ac:dyDescent="0.25">
      <c r="A18403">
        <v>18402</v>
      </c>
      <c r="B18403">
        <v>2695018</v>
      </c>
      <c r="C18403" s="1" t="str">
        <f>HYPERLINK("http://stackoverflow.com/users/2695018", "yuanyuan")</f>
        <v>yuanyuan</v>
      </c>
      <c r="D18403" t="s">
        <v>34</v>
      </c>
      <c r="E18403">
        <v>1</v>
      </c>
    </row>
    <row r="18404" spans="1:5" x14ac:dyDescent="0.25">
      <c r="A18404">
        <v>18403</v>
      </c>
      <c r="B18404">
        <v>8045723</v>
      </c>
      <c r="C18404" s="1" t="str">
        <f>HYPERLINK("http://stackoverflow.com/users/8045723", "Ray Shaw")</f>
        <v>Ray Shaw</v>
      </c>
      <c r="D18404" t="s">
        <v>4</v>
      </c>
      <c r="E18404">
        <v>1</v>
      </c>
    </row>
    <row r="18405" spans="1:5" x14ac:dyDescent="0.25">
      <c r="A18405">
        <v>18404</v>
      </c>
      <c r="B18405">
        <v>8045824</v>
      </c>
      <c r="C18405" s="1" t="str">
        <f>HYPERLINK("http://stackoverflow.com/users/8045824", "user8045824")</f>
        <v>user8045824</v>
      </c>
      <c r="D18405" t="s">
        <v>5</v>
      </c>
      <c r="E18405">
        <v>1</v>
      </c>
    </row>
    <row r="18406" spans="1:5" x14ac:dyDescent="0.25">
      <c r="A18406">
        <v>18405</v>
      </c>
      <c r="B18406">
        <v>8045895</v>
      </c>
      <c r="C18406" s="1" t="str">
        <f>HYPERLINK("http://stackoverflow.com/users/8045895", "Lin Wish")</f>
        <v>Lin Wish</v>
      </c>
      <c r="D18406" t="s">
        <v>4</v>
      </c>
      <c r="E18406">
        <v>1</v>
      </c>
    </row>
    <row r="18407" spans="1:5" x14ac:dyDescent="0.25">
      <c r="A18407">
        <v>18406</v>
      </c>
      <c r="B18407">
        <v>8045976</v>
      </c>
      <c r="C18407" s="1" t="str">
        <f>HYPERLINK("http://stackoverflow.com/users/8045976", "user8045976")</f>
        <v>user8045976</v>
      </c>
      <c r="D18407" t="s">
        <v>5</v>
      </c>
      <c r="E18407">
        <v>1</v>
      </c>
    </row>
    <row r="18408" spans="1:5" x14ac:dyDescent="0.25">
      <c r="A18408">
        <v>18407</v>
      </c>
      <c r="B18408">
        <v>8046072</v>
      </c>
      <c r="C18408" s="1" t="str">
        <f>HYPERLINK("http://stackoverflow.com/users/8046072", "M. khalil")</f>
        <v>M. khalil</v>
      </c>
      <c r="D18408" t="s">
        <v>5</v>
      </c>
      <c r="E18408">
        <v>1</v>
      </c>
    </row>
    <row r="18409" spans="1:5" x14ac:dyDescent="0.25">
      <c r="A18409">
        <v>18408</v>
      </c>
      <c r="B18409">
        <v>8046281</v>
      </c>
      <c r="C18409" s="1" t="str">
        <f>HYPERLINK("http://stackoverflow.com/users/8046281", "Cazaea")</f>
        <v>Cazaea</v>
      </c>
      <c r="D18409" t="s">
        <v>5</v>
      </c>
      <c r="E18409">
        <v>1</v>
      </c>
    </row>
    <row r="18410" spans="1:5" x14ac:dyDescent="0.25">
      <c r="A18410">
        <v>18409</v>
      </c>
      <c r="B18410">
        <v>9888429</v>
      </c>
      <c r="C18410" s="1" t="str">
        <f>HYPERLINK("http://stackoverflow.com/users/9888429", "minstrel_hcl")</f>
        <v>minstrel_hcl</v>
      </c>
      <c r="D18410" t="s">
        <v>5</v>
      </c>
      <c r="E18410">
        <v>1</v>
      </c>
    </row>
    <row r="18411" spans="1:5" x14ac:dyDescent="0.25">
      <c r="A18411">
        <v>18410</v>
      </c>
      <c r="B18411">
        <v>2716449</v>
      </c>
      <c r="C18411" s="1" t="str">
        <f>HYPERLINK("http://stackoverflow.com/users/2716449", "zhuanyetaozhai")</f>
        <v>zhuanyetaozhai</v>
      </c>
      <c r="D18411" t="s">
        <v>17</v>
      </c>
      <c r="E18411">
        <v>1</v>
      </c>
    </row>
    <row r="18412" spans="1:5" x14ac:dyDescent="0.25">
      <c r="A18412">
        <v>18411</v>
      </c>
      <c r="B18412">
        <v>9880591</v>
      </c>
      <c r="C18412" s="1" t="str">
        <f>HYPERLINK("http://stackoverflow.com/users/9880591", "robin wang")</f>
        <v>robin wang</v>
      </c>
      <c r="D18412" t="s">
        <v>25</v>
      </c>
      <c r="E18412">
        <v>1</v>
      </c>
    </row>
    <row r="18413" spans="1:5" x14ac:dyDescent="0.25">
      <c r="A18413">
        <v>18412</v>
      </c>
      <c r="B18413">
        <v>9880968</v>
      </c>
      <c r="C18413" s="1" t="str">
        <f>HYPERLINK("http://stackoverflow.com/users/9880968", "bing wu")</f>
        <v>bing wu</v>
      </c>
      <c r="D18413" t="s">
        <v>25</v>
      </c>
      <c r="E18413">
        <v>1</v>
      </c>
    </row>
    <row r="18414" spans="1:5" x14ac:dyDescent="0.25">
      <c r="A18414">
        <v>18413</v>
      </c>
      <c r="B18414">
        <v>514213</v>
      </c>
      <c r="C18414" s="1" t="str">
        <f>HYPERLINK("http://stackoverflow.com/users/514213", "NineHills")</f>
        <v>NineHills</v>
      </c>
      <c r="D18414" t="s">
        <v>57</v>
      </c>
      <c r="E18414">
        <v>1</v>
      </c>
    </row>
    <row r="18415" spans="1:5" x14ac:dyDescent="0.25">
      <c r="A18415">
        <v>18414</v>
      </c>
      <c r="B18415">
        <v>6289391</v>
      </c>
      <c r="C18415" s="1" t="str">
        <f>HYPERLINK("http://stackoverflow.com/users/6289391", "Jinchao Wen")</f>
        <v>Jinchao Wen</v>
      </c>
      <c r="D18415" t="s">
        <v>5</v>
      </c>
      <c r="E18415">
        <v>1</v>
      </c>
    </row>
    <row r="18416" spans="1:5" x14ac:dyDescent="0.25">
      <c r="A18416">
        <v>18415</v>
      </c>
      <c r="B18416">
        <v>2724421</v>
      </c>
      <c r="C18416" s="1" t="str">
        <f>HYPERLINK("http://stackoverflow.com/users/2724421", "jimmysong")</f>
        <v>jimmysong</v>
      </c>
      <c r="D18416" t="s">
        <v>5</v>
      </c>
      <c r="E18416">
        <v>1</v>
      </c>
    </row>
    <row r="18417" spans="1:5" x14ac:dyDescent="0.25">
      <c r="A18417">
        <v>18416</v>
      </c>
      <c r="B18417">
        <v>6289646</v>
      </c>
      <c r="C18417" s="1" t="str">
        <f>HYPERLINK("http://stackoverflow.com/users/6289646", "hizkia")</f>
        <v>hizkia</v>
      </c>
      <c r="D18417" t="s">
        <v>5</v>
      </c>
      <c r="E18417">
        <v>1</v>
      </c>
    </row>
    <row r="18418" spans="1:5" x14ac:dyDescent="0.25">
      <c r="A18418">
        <v>18417</v>
      </c>
      <c r="B18418">
        <v>6290043</v>
      </c>
      <c r="C18418" s="1" t="str">
        <f>HYPERLINK("http://stackoverflow.com/users/6290043", "shenAlexy")</f>
        <v>shenAlexy</v>
      </c>
      <c r="D18418" t="s">
        <v>5</v>
      </c>
      <c r="E18418">
        <v>1</v>
      </c>
    </row>
    <row r="18419" spans="1:5" x14ac:dyDescent="0.25">
      <c r="A18419">
        <v>18418</v>
      </c>
      <c r="B18419">
        <v>8079179</v>
      </c>
      <c r="C18419" s="1" t="str">
        <f>HYPERLINK("http://stackoverflow.com/users/8079179", "bytez")</f>
        <v>bytez</v>
      </c>
      <c r="D18419" t="s">
        <v>1000</v>
      </c>
      <c r="E18419">
        <v>1</v>
      </c>
    </row>
    <row r="18420" spans="1:5" x14ac:dyDescent="0.25">
      <c r="A18420">
        <v>18419</v>
      </c>
      <c r="B18420">
        <v>4566578</v>
      </c>
      <c r="C18420" s="1" t="str">
        <f>HYPERLINK("http://stackoverflow.com/users/4566578", "unsafebus")</f>
        <v>unsafebus</v>
      </c>
      <c r="D18420" t="s">
        <v>131</v>
      </c>
      <c r="E18420">
        <v>1</v>
      </c>
    </row>
    <row r="18421" spans="1:5" x14ac:dyDescent="0.25">
      <c r="A18421">
        <v>18420</v>
      </c>
      <c r="B18421">
        <v>2728478</v>
      </c>
      <c r="C18421" s="1" t="str">
        <f>HYPERLINK("http://stackoverflow.com/users/2728478", "Trulyzhu")</f>
        <v>Trulyzhu</v>
      </c>
      <c r="D18421" t="s">
        <v>21</v>
      </c>
      <c r="E18421">
        <v>1</v>
      </c>
    </row>
    <row r="18422" spans="1:5" x14ac:dyDescent="0.25">
      <c r="A18422">
        <v>18421</v>
      </c>
      <c r="B18422">
        <v>9892564</v>
      </c>
      <c r="C18422" s="1" t="str">
        <f>HYPERLINK("http://stackoverflow.com/users/9892564", "mobi59")</f>
        <v>mobi59</v>
      </c>
      <c r="D18422" t="s">
        <v>320</v>
      </c>
      <c r="E18422">
        <v>1</v>
      </c>
    </row>
    <row r="18423" spans="1:5" x14ac:dyDescent="0.25">
      <c r="A18423">
        <v>18422</v>
      </c>
      <c r="B18423">
        <v>9893070</v>
      </c>
      <c r="C18423" s="1" t="str">
        <f>HYPERLINK("http://stackoverflow.com/users/9893070", "Amitabh Ranjan")</f>
        <v>Amitabh Ranjan</v>
      </c>
      <c r="D18423" t="s">
        <v>4</v>
      </c>
      <c r="E18423">
        <v>1</v>
      </c>
    </row>
    <row r="18424" spans="1:5" x14ac:dyDescent="0.25">
      <c r="A18424">
        <v>18423</v>
      </c>
      <c r="B18424">
        <v>8079243</v>
      </c>
      <c r="C18424" s="1" t="str">
        <f>HYPERLINK("http://stackoverflow.com/users/8079243", "KOH MENG YIT")</f>
        <v>KOH MENG YIT</v>
      </c>
      <c r="D18424" t="s">
        <v>1001</v>
      </c>
      <c r="E18424">
        <v>1</v>
      </c>
    </row>
    <row r="18425" spans="1:5" x14ac:dyDescent="0.25">
      <c r="A18425">
        <v>18424</v>
      </c>
      <c r="B18425">
        <v>8058774</v>
      </c>
      <c r="C18425" s="1" t="str">
        <f>HYPERLINK("http://stackoverflow.com/users/8058774", "邓顺中")</f>
        <v>邓顺中</v>
      </c>
      <c r="D18425" t="s">
        <v>7</v>
      </c>
      <c r="E18425">
        <v>1</v>
      </c>
    </row>
    <row r="18426" spans="1:5" x14ac:dyDescent="0.25">
      <c r="A18426">
        <v>18425</v>
      </c>
      <c r="B18426">
        <v>8058279</v>
      </c>
      <c r="C18426" s="1" t="str">
        <f>HYPERLINK("http://stackoverflow.com/users/8058279", "relife")</f>
        <v>relife</v>
      </c>
      <c r="D18426" t="s">
        <v>1002</v>
      </c>
      <c r="E18426">
        <v>1</v>
      </c>
    </row>
    <row r="18427" spans="1:5" x14ac:dyDescent="0.25">
      <c r="A18427">
        <v>18426</v>
      </c>
      <c r="B18427">
        <v>8058317</v>
      </c>
      <c r="C18427" s="1" t="str">
        <f>HYPERLINK("http://stackoverflow.com/users/8058317", "Frank Wei")</f>
        <v>Frank Wei</v>
      </c>
      <c r="D18427" t="s">
        <v>374</v>
      </c>
      <c r="E18427">
        <v>1</v>
      </c>
    </row>
    <row r="18428" spans="1:5" x14ac:dyDescent="0.25">
      <c r="A18428">
        <v>18427</v>
      </c>
      <c r="B18428">
        <v>8058121</v>
      </c>
      <c r="C18428" s="1" t="str">
        <f>HYPERLINK("http://stackoverflow.com/users/8058121", "Karen Huang")</f>
        <v>Karen Huang</v>
      </c>
      <c r="D18428" t="s">
        <v>131</v>
      </c>
      <c r="E18428">
        <v>1</v>
      </c>
    </row>
    <row r="18429" spans="1:5" x14ac:dyDescent="0.25">
      <c r="A18429">
        <v>18428</v>
      </c>
      <c r="B18429">
        <v>2702410</v>
      </c>
      <c r="C18429" s="1" t="str">
        <f>HYPERLINK("http://stackoverflow.com/users/2702410", "二郎神")</f>
        <v>二郎神</v>
      </c>
      <c r="D18429" t="s">
        <v>34</v>
      </c>
      <c r="E18429">
        <v>1</v>
      </c>
    </row>
    <row r="18430" spans="1:5" x14ac:dyDescent="0.25">
      <c r="A18430">
        <v>18429</v>
      </c>
      <c r="B18430">
        <v>2702579</v>
      </c>
      <c r="C18430" s="1" t="str">
        <f>HYPERLINK("http://stackoverflow.com/users/2702579", "user2702579")</f>
        <v>user2702579</v>
      </c>
      <c r="D18430" t="s">
        <v>4</v>
      </c>
      <c r="E18430">
        <v>1</v>
      </c>
    </row>
    <row r="18431" spans="1:5" x14ac:dyDescent="0.25">
      <c r="A18431">
        <v>18430</v>
      </c>
      <c r="B18431">
        <v>2702829</v>
      </c>
      <c r="C18431" s="1" t="str">
        <f>HYPERLINK("http://stackoverflow.com/users/2702829", "codeb2cc")</f>
        <v>codeb2cc</v>
      </c>
      <c r="D18431" t="s">
        <v>5</v>
      </c>
      <c r="E18431">
        <v>1</v>
      </c>
    </row>
    <row r="18432" spans="1:5" x14ac:dyDescent="0.25">
      <c r="A18432">
        <v>18431</v>
      </c>
      <c r="B18432">
        <v>6270546</v>
      </c>
      <c r="C18432" s="1" t="str">
        <f>HYPERLINK("http://stackoverflow.com/users/6270546", "Chris")</f>
        <v>Chris</v>
      </c>
      <c r="D18432" t="s">
        <v>4</v>
      </c>
      <c r="E18432">
        <v>1</v>
      </c>
    </row>
    <row r="18433" spans="1:5" x14ac:dyDescent="0.25">
      <c r="A18433">
        <v>18432</v>
      </c>
      <c r="B18433">
        <v>6270737</v>
      </c>
      <c r="C18433" s="1" t="str">
        <f>HYPERLINK("http://stackoverflow.com/users/6270737", "Eric Zhang")</f>
        <v>Eric Zhang</v>
      </c>
      <c r="D18433" t="s">
        <v>4</v>
      </c>
      <c r="E18433">
        <v>1</v>
      </c>
    </row>
    <row r="18434" spans="1:5" x14ac:dyDescent="0.25">
      <c r="A18434">
        <v>18433</v>
      </c>
      <c r="B18434">
        <v>2715762</v>
      </c>
      <c r="C18434" s="1" t="str">
        <f>HYPERLINK("http://stackoverflow.com/users/2715762", "feng rong")</f>
        <v>feng rong</v>
      </c>
      <c r="D18434" t="s">
        <v>5</v>
      </c>
      <c r="E18434">
        <v>1</v>
      </c>
    </row>
    <row r="18435" spans="1:5" x14ac:dyDescent="0.25">
      <c r="A18435">
        <v>18434</v>
      </c>
      <c r="B18435">
        <v>8062677</v>
      </c>
      <c r="C18435" s="1" t="str">
        <f>HYPERLINK("http://stackoverflow.com/users/8062677", "Bruce")</f>
        <v>Bruce</v>
      </c>
      <c r="D18435" t="s">
        <v>4</v>
      </c>
      <c r="E18435">
        <v>1</v>
      </c>
    </row>
    <row r="18436" spans="1:5" x14ac:dyDescent="0.25">
      <c r="A18436">
        <v>18435</v>
      </c>
      <c r="B18436">
        <v>8062703</v>
      </c>
      <c r="C18436" s="1" t="str">
        <f>HYPERLINK("http://stackoverflow.com/users/8062703", "朱寅杰")</f>
        <v>朱寅杰</v>
      </c>
      <c r="D18436" t="s">
        <v>95</v>
      </c>
      <c r="E18436">
        <v>1</v>
      </c>
    </row>
    <row r="18437" spans="1:5" x14ac:dyDescent="0.25">
      <c r="A18437">
        <v>18436</v>
      </c>
      <c r="B18437">
        <v>8062753</v>
      </c>
      <c r="C18437" s="1" t="str">
        <f>HYPERLINK("http://stackoverflow.com/users/8062753", "C Forsett")</f>
        <v>C Forsett</v>
      </c>
      <c r="D18437" t="s">
        <v>266</v>
      </c>
      <c r="E18437">
        <v>1</v>
      </c>
    </row>
    <row r="18438" spans="1:5" x14ac:dyDescent="0.25">
      <c r="A18438">
        <v>18437</v>
      </c>
      <c r="B18438">
        <v>8062756</v>
      </c>
      <c r="C18438" s="1" t="str">
        <f>HYPERLINK("http://stackoverflow.com/users/8062756", "chao")</f>
        <v>chao</v>
      </c>
      <c r="D18438" t="s">
        <v>57</v>
      </c>
      <c r="E18438">
        <v>1</v>
      </c>
    </row>
    <row r="18439" spans="1:5" x14ac:dyDescent="0.25">
      <c r="A18439">
        <v>18438</v>
      </c>
      <c r="B18439">
        <v>8063071</v>
      </c>
      <c r="C18439" s="1" t="str">
        <f>HYPERLINK("http://stackoverflow.com/users/8063071", "Guo Rui")</f>
        <v>Guo Rui</v>
      </c>
      <c r="D18439" t="s">
        <v>131</v>
      </c>
      <c r="E18439">
        <v>1</v>
      </c>
    </row>
    <row r="18440" spans="1:5" x14ac:dyDescent="0.25">
      <c r="A18440">
        <v>18439</v>
      </c>
      <c r="B18440">
        <v>8063123</v>
      </c>
      <c r="C18440" s="1" t="str">
        <f>HYPERLINK("http://stackoverflow.com/users/8063123", "Wansheng")</f>
        <v>Wansheng</v>
      </c>
      <c r="D18440" t="s">
        <v>4</v>
      </c>
      <c r="E18440">
        <v>1</v>
      </c>
    </row>
    <row r="18441" spans="1:5" x14ac:dyDescent="0.25">
      <c r="A18441">
        <v>18440</v>
      </c>
      <c r="B18441">
        <v>6286084</v>
      </c>
      <c r="C18441" s="1" t="str">
        <f>HYPERLINK("http://stackoverflow.com/users/6286084", "lencha")</f>
        <v>lencha</v>
      </c>
      <c r="D18441" t="s">
        <v>28</v>
      </c>
      <c r="E18441">
        <v>1</v>
      </c>
    </row>
    <row r="18442" spans="1:5" x14ac:dyDescent="0.25">
      <c r="A18442">
        <v>18441</v>
      </c>
      <c r="B18442">
        <v>8070419</v>
      </c>
      <c r="C18442" s="1" t="str">
        <f>HYPERLINK("http://stackoverflow.com/users/8070419", "xikafe")</f>
        <v>xikafe</v>
      </c>
      <c r="D18442" t="s">
        <v>131</v>
      </c>
      <c r="E18442">
        <v>1</v>
      </c>
    </row>
    <row r="18443" spans="1:5" x14ac:dyDescent="0.25">
      <c r="A18443">
        <v>18442</v>
      </c>
      <c r="B18443">
        <v>2719868</v>
      </c>
      <c r="C18443" s="1" t="str">
        <f>HYPERLINK("http://stackoverflow.com/users/2719868", "fanfeilong")</f>
        <v>fanfeilong</v>
      </c>
      <c r="D18443" t="s">
        <v>17</v>
      </c>
      <c r="E18443">
        <v>1</v>
      </c>
    </row>
    <row r="18444" spans="1:5" x14ac:dyDescent="0.25">
      <c r="A18444">
        <v>18443</v>
      </c>
      <c r="B18444">
        <v>2719920</v>
      </c>
      <c r="C18444" s="1" t="str">
        <f>HYPERLINK("http://stackoverflow.com/users/2719920", "DàWéi")</f>
        <v>DàWéi</v>
      </c>
      <c r="D18444" t="s">
        <v>5</v>
      </c>
      <c r="E18444">
        <v>1</v>
      </c>
    </row>
    <row r="18445" spans="1:5" x14ac:dyDescent="0.25">
      <c r="A18445">
        <v>18444</v>
      </c>
      <c r="B18445">
        <v>2720091</v>
      </c>
      <c r="C18445" s="1" t="str">
        <f>HYPERLINK("http://stackoverflow.com/users/2720091", "zhaojinhan")</f>
        <v>zhaojinhan</v>
      </c>
      <c r="D18445" t="s">
        <v>5</v>
      </c>
      <c r="E18445">
        <v>1</v>
      </c>
    </row>
    <row r="18446" spans="1:5" x14ac:dyDescent="0.25">
      <c r="A18446">
        <v>18445</v>
      </c>
      <c r="B18446">
        <v>2720290</v>
      </c>
      <c r="C18446" s="1" t="str">
        <f>HYPERLINK("http://stackoverflow.com/users/2720290", "Chenxu  Wang")</f>
        <v>Chenxu  Wang</v>
      </c>
      <c r="D18446" t="s">
        <v>5</v>
      </c>
      <c r="E18446">
        <v>1</v>
      </c>
    </row>
    <row r="18447" spans="1:5" x14ac:dyDescent="0.25">
      <c r="A18447">
        <v>18446</v>
      </c>
      <c r="B18447">
        <v>2720339</v>
      </c>
      <c r="C18447" s="1" t="str">
        <f>HYPERLINK("http://stackoverflow.com/users/2720339", "Uliyas")</f>
        <v>Uliyas</v>
      </c>
      <c r="D18447" t="s">
        <v>37</v>
      </c>
      <c r="E18447">
        <v>1</v>
      </c>
    </row>
    <row r="18448" spans="1:5" x14ac:dyDescent="0.25">
      <c r="A18448">
        <v>18447</v>
      </c>
      <c r="B18448">
        <v>2720558</v>
      </c>
      <c r="C18448" s="1" t="str">
        <f>HYPERLINK("http://stackoverflow.com/users/2720558", "cryst216")</f>
        <v>cryst216</v>
      </c>
      <c r="D18448" t="s">
        <v>5</v>
      </c>
      <c r="E18448">
        <v>1</v>
      </c>
    </row>
    <row r="18449" spans="1:5" x14ac:dyDescent="0.25">
      <c r="A18449">
        <v>18448</v>
      </c>
      <c r="B18449">
        <v>9978409</v>
      </c>
      <c r="C18449" s="1" t="str">
        <f>HYPERLINK("http://stackoverflow.com/users/9978409", "Chas Yuan")</f>
        <v>Chas Yuan</v>
      </c>
      <c r="D18449" t="s">
        <v>5</v>
      </c>
      <c r="E18449">
        <v>1</v>
      </c>
    </row>
    <row r="18450" spans="1:5" x14ac:dyDescent="0.25">
      <c r="A18450">
        <v>18449</v>
      </c>
      <c r="B18450">
        <v>6371331</v>
      </c>
      <c r="C18450" s="1" t="str">
        <f>HYPERLINK("http://stackoverflow.com/users/6371331", "Chenguang Song")</f>
        <v>Chenguang Song</v>
      </c>
      <c r="D18450" t="s">
        <v>5</v>
      </c>
      <c r="E18450">
        <v>1</v>
      </c>
    </row>
    <row r="18451" spans="1:5" x14ac:dyDescent="0.25">
      <c r="A18451">
        <v>18450</v>
      </c>
      <c r="B18451">
        <v>6371865</v>
      </c>
      <c r="C18451" s="1" t="str">
        <f>HYPERLINK("http://stackoverflow.com/users/6371865", "wqtitan")</f>
        <v>wqtitan</v>
      </c>
      <c r="D18451" t="s">
        <v>5</v>
      </c>
      <c r="E18451">
        <v>1</v>
      </c>
    </row>
    <row r="18452" spans="1:5" x14ac:dyDescent="0.25">
      <c r="A18452">
        <v>18451</v>
      </c>
      <c r="B18452">
        <v>8164237</v>
      </c>
      <c r="C18452" s="1" t="str">
        <f>HYPERLINK("http://stackoverflow.com/users/8164237", "YUZHENG JIN")</f>
        <v>YUZHENG JIN</v>
      </c>
      <c r="D18452" t="s">
        <v>4</v>
      </c>
      <c r="E18452">
        <v>1</v>
      </c>
    </row>
    <row r="18453" spans="1:5" x14ac:dyDescent="0.25">
      <c r="A18453">
        <v>18452</v>
      </c>
      <c r="B18453">
        <v>8164265</v>
      </c>
      <c r="C18453" s="1" t="str">
        <f>HYPERLINK("http://stackoverflow.com/users/8164265", "yanzhansheng")</f>
        <v>yanzhansheng</v>
      </c>
      <c r="D18453" t="s">
        <v>5</v>
      </c>
      <c r="E18453">
        <v>1</v>
      </c>
    </row>
    <row r="18454" spans="1:5" x14ac:dyDescent="0.25">
      <c r="A18454">
        <v>18453</v>
      </c>
      <c r="B18454">
        <v>8164771</v>
      </c>
      <c r="C18454" s="1" t="str">
        <f>HYPERLINK("http://stackoverflow.com/users/8164771", "Kai Sun")</f>
        <v>Kai Sun</v>
      </c>
      <c r="D18454" t="s">
        <v>5</v>
      </c>
      <c r="E18454">
        <v>1</v>
      </c>
    </row>
    <row r="18455" spans="1:5" x14ac:dyDescent="0.25">
      <c r="A18455">
        <v>18454</v>
      </c>
      <c r="B18455">
        <v>4646489</v>
      </c>
      <c r="C18455" s="1" t="str">
        <f>HYPERLINK("http://stackoverflow.com/users/4646489", "Shengru Lee")</f>
        <v>Shengru Lee</v>
      </c>
      <c r="D18455" t="s">
        <v>118</v>
      </c>
      <c r="E18455">
        <v>1</v>
      </c>
    </row>
    <row r="18456" spans="1:5" x14ac:dyDescent="0.25">
      <c r="A18456">
        <v>18455</v>
      </c>
      <c r="B18456">
        <v>661662</v>
      </c>
      <c r="C18456" s="1" t="str">
        <f>HYPERLINK("http://stackoverflow.com/users/661662", "Peng Gao")</f>
        <v>Peng Gao</v>
      </c>
      <c r="D18456" t="s">
        <v>4</v>
      </c>
      <c r="E18456">
        <v>1</v>
      </c>
    </row>
    <row r="18457" spans="1:5" x14ac:dyDescent="0.25">
      <c r="A18457">
        <v>18456</v>
      </c>
      <c r="B18457">
        <v>661839</v>
      </c>
      <c r="C18457" s="1" t="str">
        <f>HYPERLINK("http://stackoverflow.com/users/661839", "单车纵横石头城")</f>
        <v>单车纵横石头城</v>
      </c>
      <c r="D18457" t="s">
        <v>37</v>
      </c>
      <c r="E18457">
        <v>1</v>
      </c>
    </row>
    <row r="18458" spans="1:5" x14ac:dyDescent="0.25">
      <c r="A18458">
        <v>18457</v>
      </c>
      <c r="B18458">
        <v>661924</v>
      </c>
      <c r="C18458" s="1" t="str">
        <f>HYPERLINK("http://stackoverflow.com/users/661924", "Aaron Chen")</f>
        <v>Aaron Chen</v>
      </c>
      <c r="D18458" t="s">
        <v>4</v>
      </c>
      <c r="E18458">
        <v>1</v>
      </c>
    </row>
    <row r="18459" spans="1:5" x14ac:dyDescent="0.25">
      <c r="A18459">
        <v>18458</v>
      </c>
      <c r="B18459">
        <v>2809289</v>
      </c>
      <c r="C18459" s="1" t="str">
        <f>HYPERLINK("http://stackoverflow.com/users/2809289", "netwrom")</f>
        <v>netwrom</v>
      </c>
      <c r="D18459" t="s">
        <v>5</v>
      </c>
      <c r="E18459">
        <v>1</v>
      </c>
    </row>
    <row r="18460" spans="1:5" x14ac:dyDescent="0.25">
      <c r="A18460">
        <v>18459</v>
      </c>
      <c r="B18460">
        <v>2804766</v>
      </c>
      <c r="C18460" s="1" t="str">
        <f>HYPERLINK("http://stackoverflow.com/users/2804766", "baddog")</f>
        <v>baddog</v>
      </c>
      <c r="D18460" t="s">
        <v>5</v>
      </c>
      <c r="E18460">
        <v>1</v>
      </c>
    </row>
    <row r="18461" spans="1:5" x14ac:dyDescent="0.25">
      <c r="A18461">
        <v>18460</v>
      </c>
      <c r="B18461">
        <v>8159768</v>
      </c>
      <c r="C18461" s="1" t="str">
        <f>HYPERLINK("http://stackoverflow.com/users/8159768", "xuyin")</f>
        <v>xuyin</v>
      </c>
      <c r="D18461" t="s">
        <v>4</v>
      </c>
      <c r="E18461">
        <v>1</v>
      </c>
    </row>
    <row r="18462" spans="1:5" x14ac:dyDescent="0.25">
      <c r="A18462">
        <v>18461</v>
      </c>
      <c r="B18462">
        <v>8147562</v>
      </c>
      <c r="C18462" s="1" t="str">
        <f>HYPERLINK("http://stackoverflow.com/users/8147562", "xiehaodiao")</f>
        <v>xiehaodiao</v>
      </c>
      <c r="D18462" t="s">
        <v>29</v>
      </c>
      <c r="E18462">
        <v>1</v>
      </c>
    </row>
    <row r="18463" spans="1:5" x14ac:dyDescent="0.25">
      <c r="A18463">
        <v>18462</v>
      </c>
      <c r="B18463">
        <v>9962023</v>
      </c>
      <c r="C18463" s="1" t="str">
        <f>HYPERLINK("http://stackoverflow.com/users/9962023", "Tianjing Jin")</f>
        <v>Tianjing Jin</v>
      </c>
      <c r="D18463" t="s">
        <v>1003</v>
      </c>
      <c r="E18463">
        <v>1</v>
      </c>
    </row>
    <row r="18464" spans="1:5" x14ac:dyDescent="0.25">
      <c r="A18464">
        <v>18463</v>
      </c>
      <c r="B18464">
        <v>2796106</v>
      </c>
      <c r="C18464" s="1" t="str">
        <f>HYPERLINK("http://stackoverflow.com/users/2796106", "xiuc001")</f>
        <v>xiuc001</v>
      </c>
      <c r="D18464" t="s">
        <v>16</v>
      </c>
      <c r="E18464">
        <v>1</v>
      </c>
    </row>
    <row r="18465" spans="1:5" x14ac:dyDescent="0.25">
      <c r="A18465">
        <v>18464</v>
      </c>
      <c r="B18465">
        <v>6361606</v>
      </c>
      <c r="C18465" s="1" t="str">
        <f>HYPERLINK("http://stackoverflow.com/users/6361606", "Keke")</f>
        <v>Keke</v>
      </c>
      <c r="D18465" t="s">
        <v>4</v>
      </c>
      <c r="E18465">
        <v>1</v>
      </c>
    </row>
    <row r="18466" spans="1:5" x14ac:dyDescent="0.25">
      <c r="A18466">
        <v>18465</v>
      </c>
      <c r="B18466">
        <v>4634812</v>
      </c>
      <c r="C18466" s="1" t="str">
        <f>HYPERLINK("http://stackoverflow.com/users/4634812", "Ge Xiaoxiong")</f>
        <v>Ge Xiaoxiong</v>
      </c>
      <c r="D18466" t="s">
        <v>54</v>
      </c>
      <c r="E18466">
        <v>1</v>
      </c>
    </row>
    <row r="18467" spans="1:5" x14ac:dyDescent="0.25">
      <c r="A18467">
        <v>18466</v>
      </c>
      <c r="B18467">
        <v>4634928</v>
      </c>
      <c r="C18467" s="1" t="str">
        <f>HYPERLINK("http://stackoverflow.com/users/4634928", "Ted Wang")</f>
        <v>Ted Wang</v>
      </c>
      <c r="D18467" t="s">
        <v>4</v>
      </c>
      <c r="E18467">
        <v>1</v>
      </c>
    </row>
    <row r="18468" spans="1:5" x14ac:dyDescent="0.25">
      <c r="A18468">
        <v>18467</v>
      </c>
      <c r="B18468">
        <v>8155716</v>
      </c>
      <c r="C18468" s="1" t="str">
        <f>HYPERLINK("http://stackoverflow.com/users/8155716", "杨正云")</f>
        <v>杨正云</v>
      </c>
      <c r="D18468" t="s">
        <v>4</v>
      </c>
      <c r="E18468">
        <v>1</v>
      </c>
    </row>
    <row r="18469" spans="1:5" x14ac:dyDescent="0.25">
      <c r="A18469">
        <v>18468</v>
      </c>
      <c r="B18469">
        <v>8151746</v>
      </c>
      <c r="C18469" s="1" t="str">
        <f>HYPERLINK("http://stackoverflow.com/users/8151746", "EA7ME")</f>
        <v>EA7ME</v>
      </c>
      <c r="D18469" t="s">
        <v>4</v>
      </c>
      <c r="E18469">
        <v>1</v>
      </c>
    </row>
    <row r="18470" spans="1:5" x14ac:dyDescent="0.25">
      <c r="A18470">
        <v>18469</v>
      </c>
      <c r="B18470">
        <v>8151977</v>
      </c>
      <c r="C18470" s="1" t="str">
        <f>HYPERLINK("http://stackoverflow.com/users/8151977", "li li")</f>
        <v>li li</v>
      </c>
      <c r="D18470" t="s">
        <v>5</v>
      </c>
      <c r="E18470">
        <v>1</v>
      </c>
    </row>
    <row r="18471" spans="1:5" x14ac:dyDescent="0.25">
      <c r="A18471">
        <v>18470</v>
      </c>
      <c r="B18471">
        <v>8151990</v>
      </c>
      <c r="C18471" s="1" t="str">
        <f>HYPERLINK("http://stackoverflow.com/users/8151990", "Ricky_Lee")</f>
        <v>Ricky_Lee</v>
      </c>
      <c r="D18471" t="s">
        <v>16</v>
      </c>
      <c r="E18471">
        <v>1</v>
      </c>
    </row>
    <row r="18472" spans="1:5" x14ac:dyDescent="0.25">
      <c r="A18472">
        <v>18471</v>
      </c>
      <c r="B18472">
        <v>8152081</v>
      </c>
      <c r="C18472" s="1" t="str">
        <f>HYPERLINK("http://stackoverflow.com/users/8152081", "Steven Zhang")</f>
        <v>Steven Zhang</v>
      </c>
      <c r="D18472" t="s">
        <v>5</v>
      </c>
      <c r="E18472">
        <v>1</v>
      </c>
    </row>
    <row r="18473" spans="1:5" x14ac:dyDescent="0.25">
      <c r="A18473">
        <v>18472</v>
      </c>
      <c r="B18473">
        <v>8152176</v>
      </c>
      <c r="C18473" s="1" t="str">
        <f>HYPERLINK("http://stackoverflow.com/users/8152176", "Edison Chen")</f>
        <v>Edison Chen</v>
      </c>
      <c r="D18473" t="s">
        <v>10</v>
      </c>
      <c r="E18473">
        <v>1</v>
      </c>
    </row>
    <row r="18474" spans="1:5" x14ac:dyDescent="0.25">
      <c r="A18474">
        <v>18473</v>
      </c>
      <c r="B18474">
        <v>6350663</v>
      </c>
      <c r="C18474" s="1" t="str">
        <f>HYPERLINK("http://stackoverflow.com/users/6350663", "PuiMan Cheui")</f>
        <v>PuiMan Cheui</v>
      </c>
      <c r="D18474" t="s">
        <v>239</v>
      </c>
      <c r="E18474">
        <v>1</v>
      </c>
    </row>
    <row r="18475" spans="1:5" x14ac:dyDescent="0.25">
      <c r="A18475">
        <v>18474</v>
      </c>
      <c r="B18475">
        <v>8139809</v>
      </c>
      <c r="C18475" s="1" t="str">
        <f>HYPERLINK("http://stackoverflow.com/users/8139809", "Houping")</f>
        <v>Houping</v>
      </c>
      <c r="D18475" t="s">
        <v>52</v>
      </c>
      <c r="E18475">
        <v>1</v>
      </c>
    </row>
    <row r="18476" spans="1:5" x14ac:dyDescent="0.25">
      <c r="A18476">
        <v>18475</v>
      </c>
      <c r="B18476">
        <v>8140002</v>
      </c>
      <c r="C18476" s="1" t="str">
        <f>HYPERLINK("http://stackoverflow.com/users/8140002", "Lusan")</f>
        <v>Lusan</v>
      </c>
      <c r="D18476" t="s">
        <v>180</v>
      </c>
      <c r="E18476">
        <v>1</v>
      </c>
    </row>
    <row r="18477" spans="1:5" x14ac:dyDescent="0.25">
      <c r="A18477">
        <v>18476</v>
      </c>
      <c r="B18477">
        <v>8140058</v>
      </c>
      <c r="C18477" s="1" t="str">
        <f>HYPERLINK("http://stackoverflow.com/users/8140058", "zxll")</f>
        <v>zxll</v>
      </c>
      <c r="D18477" t="s">
        <v>131</v>
      </c>
      <c r="E18477">
        <v>1</v>
      </c>
    </row>
    <row r="18478" spans="1:5" x14ac:dyDescent="0.25">
      <c r="A18478">
        <v>18477</v>
      </c>
      <c r="B18478">
        <v>6354500</v>
      </c>
      <c r="C18478" s="1" t="str">
        <f>HYPERLINK("http://stackoverflow.com/users/6354500", "wwens")</f>
        <v>wwens</v>
      </c>
      <c r="D18478" t="s">
        <v>5</v>
      </c>
      <c r="E18478">
        <v>1</v>
      </c>
    </row>
    <row r="18479" spans="1:5" x14ac:dyDescent="0.25">
      <c r="A18479">
        <v>18478</v>
      </c>
      <c r="B18479">
        <v>6354528</v>
      </c>
      <c r="C18479" s="1" t="str">
        <f>HYPERLINK("http://stackoverflow.com/users/6354528", "smith wh")</f>
        <v>smith wh</v>
      </c>
      <c r="D18479" t="s">
        <v>43</v>
      </c>
      <c r="E18479">
        <v>1</v>
      </c>
    </row>
    <row r="18480" spans="1:5" x14ac:dyDescent="0.25">
      <c r="A18480">
        <v>18479</v>
      </c>
      <c r="B18480">
        <v>6354217</v>
      </c>
      <c r="C18480" s="1" t="str">
        <f>HYPERLINK("http://stackoverflow.com/users/6354217", "achquch")</f>
        <v>achquch</v>
      </c>
      <c r="D18480" t="s">
        <v>87</v>
      </c>
      <c r="E18480">
        <v>1</v>
      </c>
    </row>
    <row r="18481" spans="1:5" x14ac:dyDescent="0.25">
      <c r="A18481">
        <v>18480</v>
      </c>
      <c r="B18481">
        <v>6354650</v>
      </c>
      <c r="C18481" s="1" t="str">
        <f>HYPERLINK("http://stackoverflow.com/users/6354650", "abator zh")</f>
        <v>abator zh</v>
      </c>
      <c r="D18481" t="s">
        <v>118</v>
      </c>
      <c r="E18481">
        <v>1</v>
      </c>
    </row>
    <row r="18482" spans="1:5" x14ac:dyDescent="0.25">
      <c r="A18482">
        <v>18481</v>
      </c>
      <c r="B18482">
        <v>8144476</v>
      </c>
      <c r="C18482" s="1" t="str">
        <f>HYPERLINK("http://stackoverflow.com/users/8144476", "Ran Duan")</f>
        <v>Ran Duan</v>
      </c>
      <c r="D18482" t="s">
        <v>7</v>
      </c>
      <c r="E18482">
        <v>1</v>
      </c>
    </row>
    <row r="18483" spans="1:5" x14ac:dyDescent="0.25">
      <c r="A18483">
        <v>18482</v>
      </c>
      <c r="B18483">
        <v>8144619</v>
      </c>
      <c r="C18483" s="1" t="str">
        <f>HYPERLINK("http://stackoverflow.com/users/8144619", "JK.Lu")</f>
        <v>JK.Lu</v>
      </c>
      <c r="D18483" t="s">
        <v>55</v>
      </c>
      <c r="E18483">
        <v>1</v>
      </c>
    </row>
    <row r="18484" spans="1:5" x14ac:dyDescent="0.25">
      <c r="A18484">
        <v>18483</v>
      </c>
      <c r="B18484">
        <v>8144730</v>
      </c>
      <c r="C18484" s="1" t="str">
        <f>HYPERLINK("http://stackoverflow.com/users/8144730", "Blealtan")</f>
        <v>Blealtan</v>
      </c>
      <c r="D18484" t="s">
        <v>118</v>
      </c>
      <c r="E18484">
        <v>1</v>
      </c>
    </row>
    <row r="18485" spans="1:5" x14ac:dyDescent="0.25">
      <c r="A18485">
        <v>18484</v>
      </c>
      <c r="B18485">
        <v>6339019</v>
      </c>
      <c r="C18485" s="1" t="str">
        <f>HYPERLINK("http://stackoverflow.com/users/6339019", "coder-pig")</f>
        <v>coder-pig</v>
      </c>
      <c r="D18485" t="s">
        <v>42</v>
      </c>
      <c r="E18485">
        <v>1</v>
      </c>
    </row>
    <row r="18486" spans="1:5" x14ac:dyDescent="0.25">
      <c r="A18486">
        <v>18485</v>
      </c>
      <c r="B18486">
        <v>6339230</v>
      </c>
      <c r="C18486" s="1" t="str">
        <f>HYPERLINK("http://stackoverflow.com/users/6339230", "wangranxin")</f>
        <v>wangranxin</v>
      </c>
      <c r="D18486" t="s">
        <v>5</v>
      </c>
      <c r="E18486">
        <v>1</v>
      </c>
    </row>
    <row r="18487" spans="1:5" x14ac:dyDescent="0.25">
      <c r="A18487">
        <v>18486</v>
      </c>
      <c r="B18487">
        <v>6339352</v>
      </c>
      <c r="C18487" s="1" t="str">
        <f>HYPERLINK("http://stackoverflow.com/users/6339352", "coreyzh")</f>
        <v>coreyzh</v>
      </c>
      <c r="D18487" t="s">
        <v>28</v>
      </c>
      <c r="E18487">
        <v>1</v>
      </c>
    </row>
    <row r="18488" spans="1:5" x14ac:dyDescent="0.25">
      <c r="A18488">
        <v>18487</v>
      </c>
      <c r="B18488">
        <v>8131669</v>
      </c>
      <c r="C18488" s="1" t="str">
        <f>HYPERLINK("http://stackoverflow.com/users/8131669", "Fudong Wang")</f>
        <v>Fudong Wang</v>
      </c>
      <c r="D18488" t="s">
        <v>266</v>
      </c>
      <c r="E18488">
        <v>1</v>
      </c>
    </row>
    <row r="18489" spans="1:5" x14ac:dyDescent="0.25">
      <c r="A18489">
        <v>18488</v>
      </c>
      <c r="B18489">
        <v>9946020</v>
      </c>
      <c r="C18489" s="1" t="str">
        <f>HYPERLINK("http://stackoverflow.com/users/9946020", "Tao.Dong")</f>
        <v>Tao.Dong</v>
      </c>
      <c r="D18489" t="s">
        <v>16</v>
      </c>
      <c r="E18489">
        <v>1</v>
      </c>
    </row>
    <row r="18490" spans="1:5" x14ac:dyDescent="0.25">
      <c r="A18490">
        <v>18489</v>
      </c>
      <c r="B18490">
        <v>9946279</v>
      </c>
      <c r="C18490" s="1" t="str">
        <f>HYPERLINK("http://stackoverflow.com/users/9946279", "Susan")</f>
        <v>Susan</v>
      </c>
      <c r="D18490" t="s">
        <v>5</v>
      </c>
      <c r="E18490">
        <v>1</v>
      </c>
    </row>
    <row r="18491" spans="1:5" x14ac:dyDescent="0.25">
      <c r="A18491">
        <v>18490</v>
      </c>
      <c r="B18491">
        <v>9946724</v>
      </c>
      <c r="C18491" s="1" t="str">
        <f>HYPERLINK("http://stackoverflow.com/users/9946724", "Armani Tg")</f>
        <v>Armani Tg</v>
      </c>
      <c r="D18491" t="s">
        <v>4</v>
      </c>
      <c r="E18491">
        <v>1</v>
      </c>
    </row>
    <row r="18492" spans="1:5" x14ac:dyDescent="0.25">
      <c r="A18492">
        <v>18491</v>
      </c>
      <c r="B18492">
        <v>615608</v>
      </c>
      <c r="C18492" s="1" t="str">
        <f>HYPERLINK("http://stackoverflow.com/users/615608", "fanfuns")</f>
        <v>fanfuns</v>
      </c>
      <c r="D18492" t="s">
        <v>12</v>
      </c>
      <c r="E18492">
        <v>1</v>
      </c>
    </row>
    <row r="18493" spans="1:5" x14ac:dyDescent="0.25">
      <c r="A18493">
        <v>18492</v>
      </c>
      <c r="B18493">
        <v>9949798</v>
      </c>
      <c r="C18493" s="1" t="str">
        <f>HYPERLINK("http://stackoverflow.com/users/9949798", "zhaojun")</f>
        <v>zhaojun</v>
      </c>
      <c r="D18493" t="s">
        <v>63</v>
      </c>
      <c r="E18493">
        <v>1</v>
      </c>
    </row>
    <row r="18494" spans="1:5" x14ac:dyDescent="0.25">
      <c r="A18494">
        <v>18493</v>
      </c>
      <c r="B18494">
        <v>9950154</v>
      </c>
      <c r="C18494" s="1" t="str">
        <f>HYPERLINK("http://stackoverflow.com/users/9950154", "pixie")</f>
        <v>pixie</v>
      </c>
      <c r="D18494" t="s">
        <v>434</v>
      </c>
      <c r="E18494">
        <v>1</v>
      </c>
    </row>
    <row r="18495" spans="1:5" x14ac:dyDescent="0.25">
      <c r="A18495">
        <v>18494</v>
      </c>
      <c r="B18495">
        <v>9950329</v>
      </c>
      <c r="C18495" s="1" t="str">
        <f>HYPERLINK("http://stackoverflow.com/users/9950329", "carriage lee")</f>
        <v>carriage lee</v>
      </c>
      <c r="D18495" t="s">
        <v>10</v>
      </c>
      <c r="E18495">
        <v>1</v>
      </c>
    </row>
    <row r="18496" spans="1:5" x14ac:dyDescent="0.25">
      <c r="A18496">
        <v>18495</v>
      </c>
      <c r="B18496">
        <v>2785790</v>
      </c>
      <c r="C18496" s="1" t="str">
        <f>HYPERLINK("http://stackoverflow.com/users/2785790", "Kuo Zhang")</f>
        <v>Kuo Zhang</v>
      </c>
      <c r="D18496" t="s">
        <v>35</v>
      </c>
      <c r="E18496">
        <v>1</v>
      </c>
    </row>
    <row r="18497" spans="1:5" x14ac:dyDescent="0.25">
      <c r="A18497">
        <v>18496</v>
      </c>
      <c r="B18497">
        <v>8135656</v>
      </c>
      <c r="C18497" s="1" t="str">
        <f>HYPERLINK("http://stackoverflow.com/users/8135656", "MoBanche")</f>
        <v>MoBanche</v>
      </c>
      <c r="D18497" t="s">
        <v>25</v>
      </c>
      <c r="E18497">
        <v>1</v>
      </c>
    </row>
    <row r="18498" spans="1:5" x14ac:dyDescent="0.25">
      <c r="A18498">
        <v>18497</v>
      </c>
      <c r="B18498">
        <v>8135732</v>
      </c>
      <c r="C18498" s="1" t="str">
        <f>HYPERLINK("http://stackoverflow.com/users/8135732", "Alex.Xing")</f>
        <v>Alex.Xing</v>
      </c>
      <c r="D18498" t="s">
        <v>4</v>
      </c>
      <c r="E18498">
        <v>1</v>
      </c>
    </row>
    <row r="18499" spans="1:5" x14ac:dyDescent="0.25">
      <c r="A18499">
        <v>18498</v>
      </c>
      <c r="B18499">
        <v>8135776</v>
      </c>
      <c r="C18499" s="1" t="str">
        <f>HYPERLINK("http://stackoverflow.com/users/8135776", "Wu William")</f>
        <v>Wu William</v>
      </c>
      <c r="D18499" t="s">
        <v>4</v>
      </c>
      <c r="E18499">
        <v>1</v>
      </c>
    </row>
    <row r="18500" spans="1:5" x14ac:dyDescent="0.25">
      <c r="A18500">
        <v>18499</v>
      </c>
      <c r="B18500">
        <v>8136067</v>
      </c>
      <c r="C18500" s="1" t="str">
        <f>HYPERLINK("http://stackoverflow.com/users/8136067", "Xiaoyan")</f>
        <v>Xiaoyan</v>
      </c>
      <c r="D18500" t="s">
        <v>5</v>
      </c>
      <c r="E18500">
        <v>1</v>
      </c>
    </row>
    <row r="18501" spans="1:5" x14ac:dyDescent="0.25">
      <c r="A18501">
        <v>18500</v>
      </c>
      <c r="B18501">
        <v>8136181</v>
      </c>
      <c r="C18501" s="1" t="str">
        <f>HYPERLINK("http://stackoverflow.com/users/8136181", "Yi YAN")</f>
        <v>Yi YAN</v>
      </c>
      <c r="D18501" t="s">
        <v>5</v>
      </c>
      <c r="E18501">
        <v>1</v>
      </c>
    </row>
    <row r="18502" spans="1:5" x14ac:dyDescent="0.25">
      <c r="A18502">
        <v>18501</v>
      </c>
      <c r="B18502">
        <v>537675</v>
      </c>
      <c r="C18502" s="1" t="str">
        <f>HYPERLINK("http://stackoverflow.com/users/537675", "Fan Shao")</f>
        <v>Fan Shao</v>
      </c>
      <c r="D18502" t="s">
        <v>4</v>
      </c>
      <c r="E18502">
        <v>1</v>
      </c>
    </row>
    <row r="18503" spans="1:5" x14ac:dyDescent="0.25">
      <c r="A18503">
        <v>18502</v>
      </c>
      <c r="B18503">
        <v>2731946</v>
      </c>
      <c r="C18503" s="1" t="str">
        <f>HYPERLINK("http://stackoverflow.com/users/2731946", "yunxiyinzhe")</f>
        <v>yunxiyinzhe</v>
      </c>
      <c r="D18503" t="s">
        <v>4</v>
      </c>
      <c r="E18503">
        <v>1</v>
      </c>
    </row>
    <row r="18504" spans="1:5" x14ac:dyDescent="0.25">
      <c r="A18504">
        <v>18503</v>
      </c>
      <c r="B18504">
        <v>2732213</v>
      </c>
      <c r="C18504" s="1" t="str">
        <f>HYPERLINK("http://stackoverflow.com/users/2732213", "Davis")</f>
        <v>Davis</v>
      </c>
      <c r="D18504" t="s">
        <v>17</v>
      </c>
      <c r="E18504">
        <v>1</v>
      </c>
    </row>
    <row r="18505" spans="1:5" x14ac:dyDescent="0.25">
      <c r="A18505">
        <v>18504</v>
      </c>
      <c r="B18505">
        <v>2732222</v>
      </c>
      <c r="C18505" s="1" t="str">
        <f>HYPERLINK("http://stackoverflow.com/users/2732222", "sfoolish")</f>
        <v>sfoolish</v>
      </c>
      <c r="D18505" t="s">
        <v>12</v>
      </c>
      <c r="E18505">
        <v>1</v>
      </c>
    </row>
    <row r="18506" spans="1:5" x14ac:dyDescent="0.25">
      <c r="A18506">
        <v>18505</v>
      </c>
      <c r="B18506">
        <v>8082602</v>
      </c>
      <c r="C18506" s="1" t="str">
        <f>HYPERLINK("http://stackoverflow.com/users/8082602", "L.vincent")</f>
        <v>L.vincent</v>
      </c>
      <c r="D18506" t="s">
        <v>674</v>
      </c>
      <c r="E18506">
        <v>1</v>
      </c>
    </row>
    <row r="18507" spans="1:5" x14ac:dyDescent="0.25">
      <c r="A18507">
        <v>18506</v>
      </c>
      <c r="B18507">
        <v>537351</v>
      </c>
      <c r="C18507" s="1" t="str">
        <f>HYPERLINK("http://stackoverflow.com/users/537351", "Junjie")</f>
        <v>Junjie</v>
      </c>
      <c r="D18507" t="s">
        <v>4</v>
      </c>
      <c r="E18507">
        <v>1</v>
      </c>
    </row>
    <row r="18508" spans="1:5" x14ac:dyDescent="0.25">
      <c r="A18508">
        <v>18507</v>
      </c>
      <c r="B18508">
        <v>6300269</v>
      </c>
      <c r="C18508" s="1" t="str">
        <f>HYPERLINK("http://stackoverflow.com/users/6300269", "nApolin")</f>
        <v>nApolin</v>
      </c>
      <c r="D18508" t="s">
        <v>36</v>
      </c>
      <c r="E18508">
        <v>1</v>
      </c>
    </row>
    <row r="18509" spans="1:5" x14ac:dyDescent="0.25">
      <c r="A18509">
        <v>18508</v>
      </c>
      <c r="B18509">
        <v>6303798</v>
      </c>
      <c r="C18509" s="1" t="str">
        <f>HYPERLINK("http://stackoverflow.com/users/6303798", "Andrew")</f>
        <v>Andrew</v>
      </c>
      <c r="D18509" t="s">
        <v>7</v>
      </c>
      <c r="E18509">
        <v>1</v>
      </c>
    </row>
    <row r="18510" spans="1:5" x14ac:dyDescent="0.25">
      <c r="A18510">
        <v>18509</v>
      </c>
      <c r="B18510">
        <v>6304219</v>
      </c>
      <c r="C18510" s="1" t="str">
        <f>HYPERLINK("http://stackoverflow.com/users/6304219", "dragon")</f>
        <v>dragon</v>
      </c>
      <c r="D18510" t="s">
        <v>7</v>
      </c>
      <c r="E18510">
        <v>1</v>
      </c>
    </row>
    <row r="18511" spans="1:5" x14ac:dyDescent="0.25">
      <c r="A18511">
        <v>18510</v>
      </c>
      <c r="B18511">
        <v>8090938</v>
      </c>
      <c r="C18511" s="1" t="str">
        <f>HYPERLINK("http://stackoverflow.com/users/8090938", "Fly")</f>
        <v>Fly</v>
      </c>
      <c r="D18511" t="s">
        <v>266</v>
      </c>
      <c r="E18511">
        <v>1</v>
      </c>
    </row>
    <row r="18512" spans="1:5" x14ac:dyDescent="0.25">
      <c r="A18512">
        <v>18511</v>
      </c>
      <c r="B18512">
        <v>8091286</v>
      </c>
      <c r="C18512" s="1" t="str">
        <f>HYPERLINK("http://stackoverflow.com/users/8091286", "walter loan")</f>
        <v>walter loan</v>
      </c>
      <c r="D18512" t="s">
        <v>5</v>
      </c>
      <c r="E18512">
        <v>1</v>
      </c>
    </row>
    <row r="18513" spans="1:5" x14ac:dyDescent="0.25">
      <c r="A18513">
        <v>18512</v>
      </c>
      <c r="B18513">
        <v>8091386</v>
      </c>
      <c r="C18513" s="1" t="str">
        <f>HYPERLINK("http://stackoverflow.com/users/8091386", "Justin Huang")</f>
        <v>Justin Huang</v>
      </c>
      <c r="D18513" t="s">
        <v>4</v>
      </c>
      <c r="E18513">
        <v>1</v>
      </c>
    </row>
    <row r="18514" spans="1:5" x14ac:dyDescent="0.25">
      <c r="A18514">
        <v>18513</v>
      </c>
      <c r="B18514">
        <v>6307053</v>
      </c>
      <c r="C18514" s="1" t="str">
        <f>HYPERLINK("http://stackoverflow.com/users/6307053", "LyonUp")</f>
        <v>LyonUp</v>
      </c>
      <c r="D18514" t="s">
        <v>4</v>
      </c>
      <c r="E18514">
        <v>1</v>
      </c>
    </row>
    <row r="18515" spans="1:5" x14ac:dyDescent="0.25">
      <c r="A18515">
        <v>18514</v>
      </c>
      <c r="B18515">
        <v>9912787</v>
      </c>
      <c r="C18515" s="1" t="str">
        <f>HYPERLINK("http://stackoverflow.com/users/9912787", "Zota206")</f>
        <v>Zota206</v>
      </c>
      <c r="D18515" t="s">
        <v>21</v>
      </c>
      <c r="E18515">
        <v>1</v>
      </c>
    </row>
    <row r="18516" spans="1:5" x14ac:dyDescent="0.25">
      <c r="A18516">
        <v>18515</v>
      </c>
      <c r="B18516">
        <v>9912893</v>
      </c>
      <c r="C18516" s="1" t="str">
        <f>HYPERLINK("http://stackoverflow.com/users/9912893", "jianf d")</f>
        <v>jianf d</v>
      </c>
      <c r="D18516" t="s">
        <v>4</v>
      </c>
      <c r="E18516">
        <v>1</v>
      </c>
    </row>
    <row r="18517" spans="1:5" x14ac:dyDescent="0.25">
      <c r="A18517">
        <v>18516</v>
      </c>
      <c r="B18517">
        <v>8098396</v>
      </c>
      <c r="C18517" s="1" t="str">
        <f>HYPERLINK("http://stackoverflow.com/users/8098396", "M.ningwen")</f>
        <v>M.ningwen</v>
      </c>
      <c r="D18517" t="s">
        <v>7</v>
      </c>
      <c r="E18517">
        <v>1</v>
      </c>
    </row>
    <row r="18518" spans="1:5" x14ac:dyDescent="0.25">
      <c r="A18518">
        <v>18517</v>
      </c>
      <c r="B18518">
        <v>8098570</v>
      </c>
      <c r="C18518" s="1" t="str">
        <f>HYPERLINK("http://stackoverflow.com/users/8098570", "Pierre Teyssier")</f>
        <v>Pierre Teyssier</v>
      </c>
      <c r="D18518" t="s">
        <v>5</v>
      </c>
      <c r="E18518">
        <v>1</v>
      </c>
    </row>
    <row r="18519" spans="1:5" x14ac:dyDescent="0.25">
      <c r="A18519">
        <v>18518</v>
      </c>
      <c r="B18519">
        <v>8102909</v>
      </c>
      <c r="C18519" s="1" t="str">
        <f>HYPERLINK("http://stackoverflow.com/users/8102909", "vincent yang")</f>
        <v>vincent yang</v>
      </c>
      <c r="D18519" t="s">
        <v>131</v>
      </c>
      <c r="E18519">
        <v>1</v>
      </c>
    </row>
    <row r="18520" spans="1:5" x14ac:dyDescent="0.25">
      <c r="A18520">
        <v>18519</v>
      </c>
      <c r="B18520">
        <v>6315482</v>
      </c>
      <c r="C18520" s="1" t="str">
        <f>HYPERLINK("http://stackoverflow.com/users/6315482", "Tobe")</f>
        <v>Tobe</v>
      </c>
      <c r="D18520" t="s">
        <v>57</v>
      </c>
      <c r="E18520">
        <v>1</v>
      </c>
    </row>
    <row r="18521" spans="1:5" x14ac:dyDescent="0.25">
      <c r="A18521">
        <v>18520</v>
      </c>
      <c r="B18521">
        <v>2753117</v>
      </c>
      <c r="C18521" s="1" t="str">
        <f>HYPERLINK("http://stackoverflow.com/users/2753117", "smithw")</f>
        <v>smithw</v>
      </c>
      <c r="D18521" t="s">
        <v>4</v>
      </c>
      <c r="E18521">
        <v>1</v>
      </c>
    </row>
    <row r="18522" spans="1:5" x14ac:dyDescent="0.25">
      <c r="A18522">
        <v>18521</v>
      </c>
      <c r="B18522">
        <v>2753233</v>
      </c>
      <c r="C18522" s="1" t="str">
        <f>HYPERLINK("http://stackoverflow.com/users/2753233", "user2753233")</f>
        <v>user2753233</v>
      </c>
      <c r="D18522" t="s">
        <v>5</v>
      </c>
      <c r="E18522">
        <v>1</v>
      </c>
    </row>
    <row r="18523" spans="1:5" x14ac:dyDescent="0.25">
      <c r="A18523">
        <v>18522</v>
      </c>
      <c r="B18523">
        <v>2753309</v>
      </c>
      <c r="C18523" s="1" t="str">
        <f>HYPERLINK("http://stackoverflow.com/users/2753309", "happy4happy")</f>
        <v>happy4happy</v>
      </c>
      <c r="D18523" t="s">
        <v>4</v>
      </c>
      <c r="E18523">
        <v>1</v>
      </c>
    </row>
    <row r="18524" spans="1:5" x14ac:dyDescent="0.25">
      <c r="A18524">
        <v>18523</v>
      </c>
      <c r="B18524">
        <v>9921248</v>
      </c>
      <c r="C18524" s="1" t="str">
        <f>HYPERLINK("http://stackoverflow.com/users/9921248", "leo li")</f>
        <v>leo li</v>
      </c>
      <c r="D18524" t="s">
        <v>7</v>
      </c>
      <c r="E18524">
        <v>1</v>
      </c>
    </row>
    <row r="18525" spans="1:5" x14ac:dyDescent="0.25">
      <c r="A18525">
        <v>18524</v>
      </c>
      <c r="B18525">
        <v>544615</v>
      </c>
      <c r="C18525" s="1" t="str">
        <f>HYPERLINK("http://stackoverflow.com/users/544615", "Qian wei")</f>
        <v>Qian wei</v>
      </c>
      <c r="D18525" t="s">
        <v>12</v>
      </c>
      <c r="E18525">
        <v>1</v>
      </c>
    </row>
    <row r="18526" spans="1:5" x14ac:dyDescent="0.25">
      <c r="A18526">
        <v>18525</v>
      </c>
      <c r="B18526">
        <v>575445</v>
      </c>
      <c r="C18526" s="1" t="str">
        <f>HYPERLINK("http://stackoverflow.com/users/575445", "zwe.zheng")</f>
        <v>zwe.zheng</v>
      </c>
      <c r="D18526" t="s">
        <v>132</v>
      </c>
      <c r="E18526">
        <v>1</v>
      </c>
    </row>
    <row r="18527" spans="1:5" x14ac:dyDescent="0.25">
      <c r="A18527">
        <v>18526</v>
      </c>
      <c r="B18527">
        <v>6323182</v>
      </c>
      <c r="C18527" s="1" t="str">
        <f>HYPERLINK("http://stackoverflow.com/users/6323182", "james.pei")</f>
        <v>james.pei</v>
      </c>
      <c r="D18527" t="s">
        <v>5</v>
      </c>
      <c r="E18527">
        <v>1</v>
      </c>
    </row>
    <row r="18528" spans="1:5" x14ac:dyDescent="0.25">
      <c r="A18528">
        <v>18527</v>
      </c>
      <c r="B18528">
        <v>6323184</v>
      </c>
      <c r="C18528" s="1" t="str">
        <f>HYPERLINK("http://stackoverflow.com/users/6323184", "Lau Yung")</f>
        <v>Lau Yung</v>
      </c>
      <c r="D18528" t="s">
        <v>4</v>
      </c>
      <c r="E18528">
        <v>1</v>
      </c>
    </row>
    <row r="18529" spans="1:5" x14ac:dyDescent="0.25">
      <c r="A18529">
        <v>18528</v>
      </c>
      <c r="B18529">
        <v>9925180</v>
      </c>
      <c r="C18529" s="1" t="str">
        <f>HYPERLINK("http://stackoverflow.com/users/9925180", "better")</f>
        <v>better</v>
      </c>
      <c r="D18529" t="s">
        <v>86</v>
      </c>
      <c r="E18529">
        <v>1</v>
      </c>
    </row>
    <row r="18530" spans="1:5" x14ac:dyDescent="0.25">
      <c r="A18530">
        <v>18529</v>
      </c>
      <c r="B18530">
        <v>8110476</v>
      </c>
      <c r="C18530" s="1" t="str">
        <f>HYPERLINK("http://stackoverflow.com/users/8110476", "ZhaiPillar")</f>
        <v>ZhaiPillar</v>
      </c>
      <c r="D18530" t="s">
        <v>4</v>
      </c>
      <c r="E18530">
        <v>1</v>
      </c>
    </row>
    <row r="18531" spans="1:5" x14ac:dyDescent="0.25">
      <c r="A18531">
        <v>18530</v>
      </c>
      <c r="B18531">
        <v>2760387</v>
      </c>
      <c r="C18531" s="1" t="str">
        <f>HYPERLINK("http://stackoverflow.com/users/2760387", "lovedebug")</f>
        <v>lovedebug</v>
      </c>
      <c r="D18531" t="s">
        <v>314</v>
      </c>
      <c r="E18531">
        <v>1</v>
      </c>
    </row>
    <row r="18532" spans="1:5" x14ac:dyDescent="0.25">
      <c r="A18532">
        <v>18531</v>
      </c>
      <c r="B18532">
        <v>2760764</v>
      </c>
      <c r="C18532" s="1" t="str">
        <f>HYPERLINK("http://stackoverflow.com/users/2760764", "kevin_zeq")</f>
        <v>kevin_zeq</v>
      </c>
      <c r="D18532" t="s">
        <v>4</v>
      </c>
      <c r="E18532">
        <v>1</v>
      </c>
    </row>
    <row r="18533" spans="1:5" x14ac:dyDescent="0.25">
      <c r="A18533">
        <v>18532</v>
      </c>
      <c r="B18533">
        <v>6318953</v>
      </c>
      <c r="C18533" s="1" t="str">
        <f>HYPERLINK("http://stackoverflow.com/users/6318953", "Frank Wang")</f>
        <v>Frank Wang</v>
      </c>
      <c r="D18533" t="s">
        <v>16</v>
      </c>
      <c r="E18533">
        <v>1</v>
      </c>
    </row>
    <row r="18534" spans="1:5" x14ac:dyDescent="0.25">
      <c r="A18534">
        <v>18533</v>
      </c>
      <c r="B18534">
        <v>6319144</v>
      </c>
      <c r="C18534" s="1" t="str">
        <f>HYPERLINK("http://stackoverflow.com/users/6319144", "赵梓旗")</f>
        <v>赵梓旗</v>
      </c>
      <c r="D18534" t="s">
        <v>4</v>
      </c>
      <c r="E18534">
        <v>1</v>
      </c>
    </row>
    <row r="18535" spans="1:5" x14ac:dyDescent="0.25">
      <c r="A18535">
        <v>18534</v>
      </c>
      <c r="B18535">
        <v>6319314</v>
      </c>
      <c r="C18535" s="1" t="str">
        <f>HYPERLINK("http://stackoverflow.com/users/6319314", "Lee")</f>
        <v>Lee</v>
      </c>
      <c r="D18535" t="s">
        <v>10</v>
      </c>
      <c r="E18535">
        <v>1</v>
      </c>
    </row>
    <row r="18536" spans="1:5" x14ac:dyDescent="0.25">
      <c r="A18536">
        <v>18535</v>
      </c>
      <c r="B18536">
        <v>602024</v>
      </c>
      <c r="C18536" s="1" t="str">
        <f>HYPERLINK("http://stackoverflow.com/users/602024", "xyzgentoo")</f>
        <v>xyzgentoo</v>
      </c>
      <c r="D18536" t="s">
        <v>5</v>
      </c>
      <c r="E18536">
        <v>1</v>
      </c>
    </row>
    <row r="18537" spans="1:5" x14ac:dyDescent="0.25">
      <c r="A18537">
        <v>18536</v>
      </c>
      <c r="B18537">
        <v>8123325</v>
      </c>
      <c r="C18537" s="1" t="str">
        <f>HYPERLINK("http://stackoverflow.com/users/8123325", "Sam xx")</f>
        <v>Sam xx</v>
      </c>
      <c r="D18537" t="s">
        <v>28</v>
      </c>
      <c r="E18537">
        <v>1</v>
      </c>
    </row>
    <row r="18538" spans="1:5" x14ac:dyDescent="0.25">
      <c r="A18538">
        <v>18537</v>
      </c>
      <c r="B18538">
        <v>8123703</v>
      </c>
      <c r="C18538" s="1" t="str">
        <f>HYPERLINK("http://stackoverflow.com/users/8123703", "pmjumpman")</f>
        <v>pmjumpman</v>
      </c>
      <c r="D18538" t="s">
        <v>4</v>
      </c>
      <c r="E18538">
        <v>1</v>
      </c>
    </row>
    <row r="18539" spans="1:5" x14ac:dyDescent="0.25">
      <c r="A18539">
        <v>18538</v>
      </c>
      <c r="B18539">
        <v>6338742</v>
      </c>
      <c r="C18539" s="1" t="str">
        <f>HYPERLINK("http://stackoverflow.com/users/6338742", "Jeason.Lee")</f>
        <v>Jeason.Lee</v>
      </c>
      <c r="D18539" t="s">
        <v>25</v>
      </c>
      <c r="E18539">
        <v>1</v>
      </c>
    </row>
    <row r="18540" spans="1:5" x14ac:dyDescent="0.25">
      <c r="A18540">
        <v>18539</v>
      </c>
      <c r="B18540">
        <v>6338778</v>
      </c>
      <c r="C18540" s="1" t="str">
        <f>HYPERLINK("http://stackoverflow.com/users/6338778", "Fei Zheng")</f>
        <v>Fei Zheng</v>
      </c>
      <c r="D18540" t="s">
        <v>4</v>
      </c>
      <c r="E18540">
        <v>1</v>
      </c>
    </row>
    <row r="18541" spans="1:5" x14ac:dyDescent="0.25">
      <c r="A18541">
        <v>18540</v>
      </c>
      <c r="B18541">
        <v>9930037</v>
      </c>
      <c r="C18541" s="1" t="str">
        <f>HYPERLINK("http://stackoverflow.com/users/9930037", "Kang The Xi")</f>
        <v>Kang The Xi</v>
      </c>
      <c r="D18541" t="s">
        <v>33</v>
      </c>
      <c r="E18541">
        <v>1</v>
      </c>
    </row>
    <row r="18542" spans="1:5" x14ac:dyDescent="0.25">
      <c r="A18542">
        <v>18541</v>
      </c>
      <c r="B18542">
        <v>9933597</v>
      </c>
      <c r="C18542" s="1" t="str">
        <f>HYPERLINK("http://stackoverflow.com/users/9933597", "lightning")</f>
        <v>lightning</v>
      </c>
      <c r="D18542" t="s">
        <v>320</v>
      </c>
      <c r="E18542">
        <v>1</v>
      </c>
    </row>
    <row r="18543" spans="1:5" x14ac:dyDescent="0.25">
      <c r="A18543">
        <v>18542</v>
      </c>
      <c r="B18543">
        <v>6331469</v>
      </c>
      <c r="C18543" s="1" t="str">
        <f>HYPERLINK("http://stackoverflow.com/users/6331469", "Yongzheng Lee")</f>
        <v>Yongzheng Lee</v>
      </c>
      <c r="D18543" t="s">
        <v>52</v>
      </c>
      <c r="E18543">
        <v>1</v>
      </c>
    </row>
    <row r="18544" spans="1:5" x14ac:dyDescent="0.25">
      <c r="A18544">
        <v>18543</v>
      </c>
      <c r="B18544">
        <v>595627</v>
      </c>
      <c r="C18544" s="1" t="str">
        <f>HYPERLINK("http://stackoverflow.com/users/595627", "maxbbn")</f>
        <v>maxbbn</v>
      </c>
      <c r="D18544" t="s">
        <v>12</v>
      </c>
      <c r="E18544">
        <v>1</v>
      </c>
    </row>
    <row r="18545" spans="1:5" x14ac:dyDescent="0.25">
      <c r="A18545">
        <v>18544</v>
      </c>
      <c r="B18545">
        <v>7777428</v>
      </c>
      <c r="C18545" s="1" t="str">
        <f>HYPERLINK("http://stackoverflow.com/users/7777428", "ztwaker")</f>
        <v>ztwaker</v>
      </c>
      <c r="D18545" t="s">
        <v>7</v>
      </c>
      <c r="E18545">
        <v>1</v>
      </c>
    </row>
    <row r="18546" spans="1:5" x14ac:dyDescent="0.25">
      <c r="A18546">
        <v>18545</v>
      </c>
      <c r="B18546">
        <v>7777995</v>
      </c>
      <c r="C18546" s="1" t="str">
        <f>HYPERLINK("http://stackoverflow.com/users/7777995", "tianrui yang")</f>
        <v>tianrui yang</v>
      </c>
      <c r="D18546" t="s">
        <v>5</v>
      </c>
      <c r="E18546">
        <v>1</v>
      </c>
    </row>
    <row r="18547" spans="1:5" x14ac:dyDescent="0.25">
      <c r="A18547">
        <v>18546</v>
      </c>
      <c r="B18547">
        <v>7778345</v>
      </c>
      <c r="C18547" s="1" t="str">
        <f>HYPERLINK("http://stackoverflow.com/users/7778345", "Tomas")</f>
        <v>Tomas</v>
      </c>
      <c r="D18547" t="s">
        <v>1004</v>
      </c>
      <c r="E18547">
        <v>1</v>
      </c>
    </row>
    <row r="18548" spans="1:5" x14ac:dyDescent="0.25">
      <c r="A18548">
        <v>18547</v>
      </c>
      <c r="B18548">
        <v>4254994</v>
      </c>
      <c r="C18548" s="1" t="str">
        <f>HYPERLINK("http://stackoverflow.com/users/4254994", "Steven Fletcher")</f>
        <v>Steven Fletcher</v>
      </c>
      <c r="D18548" t="s">
        <v>53</v>
      </c>
      <c r="E18548">
        <v>1</v>
      </c>
    </row>
    <row r="18549" spans="1:5" x14ac:dyDescent="0.25">
      <c r="A18549">
        <v>18548</v>
      </c>
      <c r="B18549">
        <v>7766578</v>
      </c>
      <c r="C18549" s="1" t="str">
        <f>HYPERLINK("http://stackoverflow.com/users/7766578", "binghsiung")</f>
        <v>binghsiung</v>
      </c>
      <c r="D18549" t="s">
        <v>266</v>
      </c>
      <c r="E18549">
        <v>1</v>
      </c>
    </row>
    <row r="18550" spans="1:5" x14ac:dyDescent="0.25">
      <c r="A18550">
        <v>18549</v>
      </c>
      <c r="B18550">
        <v>7766853</v>
      </c>
      <c r="C18550" s="1" t="str">
        <f>HYPERLINK("http://stackoverflow.com/users/7766853", "Jazach")</f>
        <v>Jazach</v>
      </c>
      <c r="D18550" t="s">
        <v>5</v>
      </c>
      <c r="E18550">
        <v>1</v>
      </c>
    </row>
    <row r="18551" spans="1:5" x14ac:dyDescent="0.25">
      <c r="A18551">
        <v>18550</v>
      </c>
      <c r="B18551">
        <v>6027193</v>
      </c>
      <c r="C18551" s="1" t="str">
        <f>HYPERLINK("http://stackoverflow.com/users/6027193", "王小筷")</f>
        <v>王小筷</v>
      </c>
      <c r="D18551" t="s">
        <v>16</v>
      </c>
      <c r="E18551">
        <v>1</v>
      </c>
    </row>
    <row r="18552" spans="1:5" x14ac:dyDescent="0.25">
      <c r="A18552">
        <v>18551</v>
      </c>
      <c r="B18552">
        <v>6027217</v>
      </c>
      <c r="C18552" s="1" t="str">
        <f>HYPERLINK("http://stackoverflow.com/users/6027217", "xxmyjk")</f>
        <v>xxmyjk</v>
      </c>
      <c r="D18552" t="s">
        <v>5</v>
      </c>
      <c r="E18552">
        <v>1</v>
      </c>
    </row>
    <row r="18553" spans="1:5" x14ac:dyDescent="0.25">
      <c r="A18553">
        <v>18552</v>
      </c>
      <c r="B18553">
        <v>4277176</v>
      </c>
      <c r="C18553" s="1" t="str">
        <f>HYPERLINK("http://stackoverflow.com/users/4277176", "KAI YANG")</f>
        <v>KAI YANG</v>
      </c>
      <c r="D18553" t="s">
        <v>16</v>
      </c>
      <c r="E18553">
        <v>1</v>
      </c>
    </row>
    <row r="18554" spans="1:5" x14ac:dyDescent="0.25">
      <c r="A18554">
        <v>18553</v>
      </c>
      <c r="B18554">
        <v>7788903</v>
      </c>
      <c r="C18554" s="1" t="str">
        <f>HYPERLINK("http://stackoverflow.com/users/7788903", "smanongga")</f>
        <v>smanongga</v>
      </c>
      <c r="D18554" t="s">
        <v>5</v>
      </c>
      <c r="E18554">
        <v>1</v>
      </c>
    </row>
    <row r="18555" spans="1:5" x14ac:dyDescent="0.25">
      <c r="A18555">
        <v>18554</v>
      </c>
      <c r="B18555">
        <v>4295040</v>
      </c>
      <c r="C18555" s="1" t="str">
        <f>HYPERLINK("http://stackoverflow.com/users/4295040", "Smith DustSky")</f>
        <v>Smith DustSky</v>
      </c>
      <c r="D18555" t="s">
        <v>28</v>
      </c>
      <c r="E18555">
        <v>1</v>
      </c>
    </row>
    <row r="18556" spans="1:5" x14ac:dyDescent="0.25">
      <c r="A18556">
        <v>18555</v>
      </c>
      <c r="B18556">
        <v>5969799</v>
      </c>
      <c r="C18556" s="1" t="str">
        <f>HYPERLINK("http://stackoverflow.com/users/5969799", "aaasayok")</f>
        <v>aaasayok</v>
      </c>
      <c r="D18556" t="s">
        <v>25</v>
      </c>
      <c r="E18556">
        <v>1</v>
      </c>
    </row>
    <row r="18557" spans="1:5" x14ac:dyDescent="0.25">
      <c r="A18557">
        <v>18556</v>
      </c>
      <c r="B18557">
        <v>7721011</v>
      </c>
      <c r="C18557" s="1" t="str">
        <f>HYPERLINK("http://stackoverflow.com/users/7721011", "James  Kikwete")</f>
        <v>James  Kikwete</v>
      </c>
      <c r="D18557" t="s">
        <v>168</v>
      </c>
      <c r="E18557">
        <v>1</v>
      </c>
    </row>
    <row r="18558" spans="1:5" x14ac:dyDescent="0.25">
      <c r="A18558">
        <v>18557</v>
      </c>
      <c r="B18558">
        <v>7721242</v>
      </c>
      <c r="C18558" s="1" t="str">
        <f>HYPERLINK("http://stackoverflow.com/users/7721242", "林志兴")</f>
        <v>林志兴</v>
      </c>
      <c r="D18558" t="s">
        <v>5</v>
      </c>
      <c r="E18558">
        <v>1</v>
      </c>
    </row>
    <row r="18559" spans="1:5" x14ac:dyDescent="0.25">
      <c r="A18559">
        <v>18558</v>
      </c>
      <c r="B18559">
        <v>7721486</v>
      </c>
      <c r="C18559" s="1" t="str">
        <f>HYPERLINK("http://stackoverflow.com/users/7721486", "grug")</f>
        <v>grug</v>
      </c>
      <c r="D18559" t="s">
        <v>55</v>
      </c>
      <c r="E18559">
        <v>1</v>
      </c>
    </row>
    <row r="18560" spans="1:5" x14ac:dyDescent="0.25">
      <c r="A18560">
        <v>18559</v>
      </c>
      <c r="B18560">
        <v>4216863</v>
      </c>
      <c r="C18560" s="1" t="str">
        <f>HYPERLINK("http://stackoverflow.com/users/4216863", "albert.huang")</f>
        <v>albert.huang</v>
      </c>
      <c r="D18560" t="s">
        <v>5</v>
      </c>
      <c r="E18560">
        <v>1</v>
      </c>
    </row>
    <row r="18561" spans="1:5" x14ac:dyDescent="0.25">
      <c r="A18561">
        <v>18560</v>
      </c>
      <c r="B18561">
        <v>7729747</v>
      </c>
      <c r="C18561" s="1" t="str">
        <f>HYPERLINK("http://stackoverflow.com/users/7729747", "Eric Liu")</f>
        <v>Eric Liu</v>
      </c>
      <c r="D18561" t="s">
        <v>114</v>
      </c>
      <c r="E18561">
        <v>1</v>
      </c>
    </row>
    <row r="18562" spans="1:5" x14ac:dyDescent="0.25">
      <c r="A18562">
        <v>18561</v>
      </c>
      <c r="B18562">
        <v>7729816</v>
      </c>
      <c r="C18562" s="1" t="str">
        <f>HYPERLINK("http://stackoverflow.com/users/7729816", "杨煜 Darren")</f>
        <v>杨煜 Darren</v>
      </c>
      <c r="D18562" t="s">
        <v>5</v>
      </c>
      <c r="E18562">
        <v>1</v>
      </c>
    </row>
    <row r="18563" spans="1:5" x14ac:dyDescent="0.25">
      <c r="A18563">
        <v>18562</v>
      </c>
      <c r="B18563">
        <v>5995830</v>
      </c>
      <c r="C18563" s="1" t="str">
        <f>HYPERLINK("http://stackoverflow.com/users/5995830", "David")</f>
        <v>David</v>
      </c>
      <c r="D18563" t="s">
        <v>5</v>
      </c>
      <c r="E18563">
        <v>1</v>
      </c>
    </row>
    <row r="18564" spans="1:5" x14ac:dyDescent="0.25">
      <c r="A18564">
        <v>18563</v>
      </c>
      <c r="B18564">
        <v>5996013</v>
      </c>
      <c r="C18564" s="1" t="str">
        <f>HYPERLINK("http://stackoverflow.com/users/5996013", "MosesF")</f>
        <v>MosesF</v>
      </c>
      <c r="D18564" t="s">
        <v>5</v>
      </c>
      <c r="E18564">
        <v>1</v>
      </c>
    </row>
    <row r="18565" spans="1:5" x14ac:dyDescent="0.25">
      <c r="A18565">
        <v>18564</v>
      </c>
      <c r="B18565">
        <v>5996453</v>
      </c>
      <c r="C18565" s="1" t="str">
        <f>HYPERLINK("http://stackoverflow.com/users/5996453", "Stiga Huang")</f>
        <v>Stiga Huang</v>
      </c>
      <c r="D18565" t="s">
        <v>5</v>
      </c>
      <c r="E18565">
        <v>1</v>
      </c>
    </row>
    <row r="18566" spans="1:5" x14ac:dyDescent="0.25">
      <c r="A18566">
        <v>18565</v>
      </c>
      <c r="B18566">
        <v>4201906</v>
      </c>
      <c r="C18566" s="1" t="str">
        <f>HYPERLINK("http://stackoverflow.com/users/4201906", "jack.zh")</f>
        <v>jack.zh</v>
      </c>
      <c r="D18566" t="s">
        <v>52</v>
      </c>
      <c r="E18566">
        <v>1</v>
      </c>
    </row>
    <row r="18567" spans="1:5" x14ac:dyDescent="0.25">
      <c r="A18567">
        <v>18566</v>
      </c>
      <c r="B18567">
        <v>7719798</v>
      </c>
      <c r="C18567" s="1" t="str">
        <f>HYPERLINK("http://stackoverflow.com/users/7719798", "Pauley liu")</f>
        <v>Pauley liu</v>
      </c>
      <c r="D18567" t="s">
        <v>7</v>
      </c>
      <c r="E18567">
        <v>1</v>
      </c>
    </row>
    <row r="18568" spans="1:5" x14ac:dyDescent="0.25">
      <c r="A18568">
        <v>18567</v>
      </c>
      <c r="B18568">
        <v>7720011</v>
      </c>
      <c r="C18568" s="1" t="str">
        <f>HYPERLINK("http://stackoverflow.com/users/7720011", "Teen")</f>
        <v>Teen</v>
      </c>
      <c r="D18568" t="s">
        <v>154</v>
      </c>
      <c r="E18568">
        <v>1</v>
      </c>
    </row>
    <row r="18569" spans="1:5" x14ac:dyDescent="0.25">
      <c r="A18569">
        <v>18568</v>
      </c>
      <c r="B18569">
        <v>7720251</v>
      </c>
      <c r="C18569" s="1" t="str">
        <f>HYPERLINK("http://stackoverflow.com/users/7720251", "zhangwm")</f>
        <v>zhangwm</v>
      </c>
      <c r="D18569" t="s">
        <v>5</v>
      </c>
      <c r="E18569">
        <v>1</v>
      </c>
    </row>
    <row r="18570" spans="1:5" x14ac:dyDescent="0.25">
      <c r="A18570">
        <v>18569</v>
      </c>
      <c r="B18570">
        <v>7690383</v>
      </c>
      <c r="C18570" s="1" t="str">
        <f>HYPERLINK("http://stackoverflow.com/users/7690383", "uLoong")</f>
        <v>uLoong</v>
      </c>
      <c r="D18570" t="s">
        <v>5</v>
      </c>
      <c r="E18570">
        <v>1</v>
      </c>
    </row>
    <row r="18571" spans="1:5" x14ac:dyDescent="0.25">
      <c r="A18571">
        <v>18570</v>
      </c>
      <c r="B18571">
        <v>5944385</v>
      </c>
      <c r="C18571" s="1" t="str">
        <f>HYPERLINK("http://stackoverflow.com/users/5944385", "jianhua.dong")</f>
        <v>jianhua.dong</v>
      </c>
      <c r="D18571" t="s">
        <v>74</v>
      </c>
      <c r="E18571">
        <v>1</v>
      </c>
    </row>
    <row r="18572" spans="1:5" x14ac:dyDescent="0.25">
      <c r="A18572">
        <v>18571</v>
      </c>
      <c r="B18572">
        <v>4176758</v>
      </c>
      <c r="C18572" s="1" t="str">
        <f>HYPERLINK("http://stackoverflow.com/users/4176758", "jacky_zz")</f>
        <v>jacky_zz</v>
      </c>
      <c r="D18572" t="s">
        <v>1005</v>
      </c>
      <c r="E18572">
        <v>1</v>
      </c>
    </row>
    <row r="18573" spans="1:5" x14ac:dyDescent="0.25">
      <c r="A18573">
        <v>18572</v>
      </c>
      <c r="B18573">
        <v>5944473</v>
      </c>
      <c r="C18573" s="1" t="str">
        <f>HYPERLINK("http://stackoverflow.com/users/5944473", "admxjx")</f>
        <v>admxjx</v>
      </c>
      <c r="D18573" t="s">
        <v>16</v>
      </c>
      <c r="E18573">
        <v>1</v>
      </c>
    </row>
    <row r="18574" spans="1:5" x14ac:dyDescent="0.25">
      <c r="A18574">
        <v>18573</v>
      </c>
      <c r="B18574">
        <v>7700783</v>
      </c>
      <c r="C18574" s="1" t="str">
        <f>HYPERLINK("http://stackoverflow.com/users/7700783", "ChemEngDeng")</f>
        <v>ChemEngDeng</v>
      </c>
      <c r="D18574" t="s">
        <v>1006</v>
      </c>
      <c r="E18574">
        <v>1</v>
      </c>
    </row>
    <row r="18575" spans="1:5" x14ac:dyDescent="0.25">
      <c r="A18575">
        <v>18574</v>
      </c>
      <c r="B18575">
        <v>7700789</v>
      </c>
      <c r="C18575" s="1" t="str">
        <f>HYPERLINK("http://stackoverflow.com/users/7700789", "Jason Babylon")</f>
        <v>Jason Babylon</v>
      </c>
      <c r="D18575" t="s">
        <v>684</v>
      </c>
      <c r="E18575">
        <v>1</v>
      </c>
    </row>
    <row r="18576" spans="1:5" x14ac:dyDescent="0.25">
      <c r="A18576">
        <v>18575</v>
      </c>
      <c r="B18576">
        <v>7700906</v>
      </c>
      <c r="C18576" s="1" t="str">
        <f>HYPERLINK("http://stackoverflow.com/users/7700906", "feizone")</f>
        <v>feizone</v>
      </c>
      <c r="D18576" t="s">
        <v>4</v>
      </c>
      <c r="E18576">
        <v>1</v>
      </c>
    </row>
    <row r="18577" spans="1:5" x14ac:dyDescent="0.25">
      <c r="A18577">
        <v>18576</v>
      </c>
      <c r="B18577">
        <v>7701200</v>
      </c>
      <c r="C18577" s="1" t="str">
        <f>HYPERLINK("http://stackoverflow.com/users/7701200", "Volyova")</f>
        <v>Volyova</v>
      </c>
      <c r="D18577" t="s">
        <v>5</v>
      </c>
      <c r="E18577">
        <v>1</v>
      </c>
    </row>
    <row r="18578" spans="1:5" x14ac:dyDescent="0.25">
      <c r="A18578">
        <v>18577</v>
      </c>
      <c r="B18578">
        <v>5954388</v>
      </c>
      <c r="C18578" s="1" t="str">
        <f>HYPERLINK("http://stackoverflow.com/users/5954388", "Yanjie Liu")</f>
        <v>Yanjie Liu</v>
      </c>
      <c r="D18578" t="s">
        <v>25</v>
      </c>
      <c r="E18578">
        <v>1</v>
      </c>
    </row>
    <row r="18579" spans="1:5" x14ac:dyDescent="0.25">
      <c r="A18579">
        <v>18578</v>
      </c>
      <c r="B18579">
        <v>5954413</v>
      </c>
      <c r="C18579" s="1" t="str">
        <f>HYPERLINK("http://stackoverflow.com/users/5954413", "Ozzy")</f>
        <v>Ozzy</v>
      </c>
      <c r="D18579" t="s">
        <v>5</v>
      </c>
      <c r="E18579">
        <v>1</v>
      </c>
    </row>
    <row r="18580" spans="1:5" x14ac:dyDescent="0.25">
      <c r="A18580">
        <v>18579</v>
      </c>
      <c r="B18580">
        <v>4188070</v>
      </c>
      <c r="C18580" s="1" t="str">
        <f>HYPERLINK("http://stackoverflow.com/users/4188070", "Allan")</f>
        <v>Allan</v>
      </c>
      <c r="D18580" t="s">
        <v>4</v>
      </c>
      <c r="E18580">
        <v>1</v>
      </c>
    </row>
    <row r="18581" spans="1:5" x14ac:dyDescent="0.25">
      <c r="A18581">
        <v>18580</v>
      </c>
      <c r="B18581">
        <v>5963216</v>
      </c>
      <c r="C18581" s="1" t="str">
        <f>HYPERLINK("http://stackoverflow.com/users/5963216", "KS.D.Fan")</f>
        <v>KS.D.Fan</v>
      </c>
      <c r="D18581" t="s">
        <v>1007</v>
      </c>
      <c r="E18581">
        <v>1</v>
      </c>
    </row>
    <row r="18582" spans="1:5" x14ac:dyDescent="0.25">
      <c r="A18582">
        <v>18581</v>
      </c>
      <c r="B18582">
        <v>7745673</v>
      </c>
      <c r="C18582" s="1" t="str">
        <f>HYPERLINK("http://stackoverflow.com/users/7745673", "丁冠雄")</f>
        <v>丁冠雄</v>
      </c>
      <c r="D18582" t="s">
        <v>5</v>
      </c>
      <c r="E18582">
        <v>1</v>
      </c>
    </row>
    <row r="18583" spans="1:5" x14ac:dyDescent="0.25">
      <c r="A18583">
        <v>18582</v>
      </c>
      <c r="B18583">
        <v>7745542</v>
      </c>
      <c r="C18583" s="1" t="str">
        <f>HYPERLINK("http://stackoverflow.com/users/7745542", "白宇阳")</f>
        <v>白宇阳</v>
      </c>
      <c r="D18583" t="s">
        <v>156</v>
      </c>
      <c r="E18583">
        <v>1</v>
      </c>
    </row>
    <row r="18584" spans="1:5" x14ac:dyDescent="0.25">
      <c r="A18584">
        <v>18583</v>
      </c>
      <c r="B18584">
        <v>6005379</v>
      </c>
      <c r="C18584" s="1" t="str">
        <f>HYPERLINK("http://stackoverflow.com/users/6005379", "Li.gloria")</f>
        <v>Li.gloria</v>
      </c>
      <c r="D18584" t="s">
        <v>28</v>
      </c>
      <c r="E18584">
        <v>1</v>
      </c>
    </row>
    <row r="18585" spans="1:5" x14ac:dyDescent="0.25">
      <c r="A18585">
        <v>18584</v>
      </c>
      <c r="B18585">
        <v>6005493</v>
      </c>
      <c r="C18585" s="1" t="str">
        <f>HYPERLINK("http://stackoverflow.com/users/6005493", "Qianlong Wang")</f>
        <v>Qianlong Wang</v>
      </c>
      <c r="D18585" t="s">
        <v>11</v>
      </c>
      <c r="E18585">
        <v>1</v>
      </c>
    </row>
    <row r="18586" spans="1:5" x14ac:dyDescent="0.25">
      <c r="A18586">
        <v>18585</v>
      </c>
      <c r="B18586">
        <v>7730111</v>
      </c>
      <c r="C18586" s="1" t="str">
        <f>HYPERLINK("http://stackoverflow.com/users/7730111", "googoe")</f>
        <v>googoe</v>
      </c>
      <c r="D18586" t="s">
        <v>93</v>
      </c>
      <c r="E18586">
        <v>1</v>
      </c>
    </row>
    <row r="18587" spans="1:5" x14ac:dyDescent="0.25">
      <c r="A18587">
        <v>18586</v>
      </c>
      <c r="B18587">
        <v>7737409</v>
      </c>
      <c r="C18587" s="1" t="str">
        <f>HYPERLINK("http://stackoverflow.com/users/7737409", "ThereIsLight")</f>
        <v>ThereIsLight</v>
      </c>
      <c r="D18587" t="s">
        <v>79</v>
      </c>
      <c r="E18587">
        <v>1</v>
      </c>
    </row>
    <row r="18588" spans="1:5" x14ac:dyDescent="0.25">
      <c r="A18588">
        <v>18587</v>
      </c>
      <c r="B18588">
        <v>7737419</v>
      </c>
      <c r="C18588" s="1" t="str">
        <f>HYPERLINK("http://stackoverflow.com/users/7737419", "yongjie xu")</f>
        <v>yongjie xu</v>
      </c>
      <c r="D18588" t="s">
        <v>55</v>
      </c>
      <c r="E18588">
        <v>1</v>
      </c>
    </row>
    <row r="18589" spans="1:5" x14ac:dyDescent="0.25">
      <c r="A18589">
        <v>18588</v>
      </c>
      <c r="B18589">
        <v>7737483</v>
      </c>
      <c r="C18589" s="1" t="str">
        <f>HYPERLINK("http://stackoverflow.com/users/7737483", "Davin Zhang")</f>
        <v>Davin Zhang</v>
      </c>
      <c r="D18589" t="s">
        <v>5</v>
      </c>
      <c r="E18589">
        <v>1</v>
      </c>
    </row>
    <row r="18590" spans="1:5" x14ac:dyDescent="0.25">
      <c r="A18590">
        <v>18589</v>
      </c>
      <c r="B18590">
        <v>7737526</v>
      </c>
      <c r="C18590" s="1" t="str">
        <f>HYPERLINK("http://stackoverflow.com/users/7737526", "Wentao.Hu")</f>
        <v>Wentao.Hu</v>
      </c>
      <c r="D18590" t="s">
        <v>1008</v>
      </c>
      <c r="E18590">
        <v>1</v>
      </c>
    </row>
    <row r="18591" spans="1:5" x14ac:dyDescent="0.25">
      <c r="A18591">
        <v>18590</v>
      </c>
      <c r="B18591">
        <v>7737536</v>
      </c>
      <c r="C18591" s="1" t="str">
        <f>HYPERLINK("http://stackoverflow.com/users/7737536", "Ares")</f>
        <v>Ares</v>
      </c>
      <c r="D18591" t="s">
        <v>912</v>
      </c>
      <c r="E18591">
        <v>1</v>
      </c>
    </row>
    <row r="18592" spans="1:5" x14ac:dyDescent="0.25">
      <c r="A18592">
        <v>18591</v>
      </c>
      <c r="B18592">
        <v>4242112</v>
      </c>
      <c r="C18592" s="1" t="str">
        <f>HYPERLINK("http://stackoverflow.com/users/4242112", "Will")</f>
        <v>Will</v>
      </c>
      <c r="D18592" t="s">
        <v>17</v>
      </c>
      <c r="E18592">
        <v>1</v>
      </c>
    </row>
    <row r="18593" spans="1:5" x14ac:dyDescent="0.25">
      <c r="A18593">
        <v>18592</v>
      </c>
      <c r="B18593">
        <v>7754634</v>
      </c>
      <c r="C18593" s="1" t="str">
        <f>HYPERLINK("http://stackoverflow.com/users/7754634", "xiaoqiang zhou")</f>
        <v>xiaoqiang zhou</v>
      </c>
      <c r="D18593" t="s">
        <v>4</v>
      </c>
      <c r="E18593">
        <v>1</v>
      </c>
    </row>
    <row r="18594" spans="1:5" x14ac:dyDescent="0.25">
      <c r="A18594">
        <v>18593</v>
      </c>
      <c r="B18594">
        <v>7754687</v>
      </c>
      <c r="C18594" s="1" t="str">
        <f>HYPERLINK("http://stackoverflow.com/users/7754687", "Yiming Mao")</f>
        <v>Yiming Mao</v>
      </c>
      <c r="D18594" t="s">
        <v>5</v>
      </c>
      <c r="E18594">
        <v>1</v>
      </c>
    </row>
    <row r="18595" spans="1:5" x14ac:dyDescent="0.25">
      <c r="A18595">
        <v>18594</v>
      </c>
      <c r="B18595">
        <v>6021407</v>
      </c>
      <c r="C18595" s="1" t="str">
        <f>HYPERLINK("http://stackoverflow.com/users/6021407", "Lezhi")</f>
        <v>Lezhi</v>
      </c>
      <c r="D18595" t="s">
        <v>42</v>
      </c>
      <c r="E18595">
        <v>1</v>
      </c>
    </row>
    <row r="18596" spans="1:5" x14ac:dyDescent="0.25">
      <c r="A18596">
        <v>18595</v>
      </c>
      <c r="B18596">
        <v>6021739</v>
      </c>
      <c r="C18596" s="1" t="str">
        <f>HYPERLINK("http://stackoverflow.com/users/6021739", "sun")</f>
        <v>sun</v>
      </c>
      <c r="D18596" t="s">
        <v>4</v>
      </c>
      <c r="E18596">
        <v>1</v>
      </c>
    </row>
    <row r="18597" spans="1:5" x14ac:dyDescent="0.25">
      <c r="A18597">
        <v>18596</v>
      </c>
      <c r="B18597">
        <v>7761824</v>
      </c>
      <c r="C18597" s="1" t="str">
        <f>HYPERLINK("http://stackoverflow.com/users/7761824", "John Lee")</f>
        <v>John Lee</v>
      </c>
      <c r="D18597" t="s">
        <v>57</v>
      </c>
      <c r="E18597">
        <v>1</v>
      </c>
    </row>
    <row r="18598" spans="1:5" x14ac:dyDescent="0.25">
      <c r="A18598">
        <v>18597</v>
      </c>
      <c r="B18598">
        <v>7761985</v>
      </c>
      <c r="C18598" s="1" t="str">
        <f>HYPERLINK("http://stackoverflow.com/users/7761985", "duyang29")</f>
        <v>duyang29</v>
      </c>
      <c r="D18598" t="s">
        <v>7</v>
      </c>
      <c r="E18598">
        <v>1</v>
      </c>
    </row>
    <row r="18599" spans="1:5" x14ac:dyDescent="0.25">
      <c r="A18599">
        <v>18598</v>
      </c>
      <c r="B18599">
        <v>7766134</v>
      </c>
      <c r="C18599" s="1" t="str">
        <f>HYPERLINK("http://stackoverflow.com/users/7766134", "Jerry Ye")</f>
        <v>Jerry Ye</v>
      </c>
      <c r="D18599" t="s">
        <v>4</v>
      </c>
      <c r="E18599">
        <v>1</v>
      </c>
    </row>
    <row r="18600" spans="1:5" x14ac:dyDescent="0.25">
      <c r="A18600">
        <v>18599</v>
      </c>
      <c r="B18600">
        <v>7766390</v>
      </c>
      <c r="C18600" s="1" t="str">
        <f>HYPERLINK("http://stackoverflow.com/users/7766390", "jackyguo168")</f>
        <v>jackyguo168</v>
      </c>
      <c r="D18600" t="s">
        <v>57</v>
      </c>
      <c r="E18600">
        <v>1</v>
      </c>
    </row>
    <row r="18601" spans="1:5" x14ac:dyDescent="0.25">
      <c r="A18601">
        <v>18600</v>
      </c>
      <c r="B18601">
        <v>6027334</v>
      </c>
      <c r="C18601" s="1" t="str">
        <f>HYPERLINK("http://stackoverflow.com/users/6027334", "Yao Lee")</f>
        <v>Yao Lee</v>
      </c>
      <c r="D18601" t="s">
        <v>5</v>
      </c>
      <c r="E18601">
        <v>1</v>
      </c>
    </row>
    <row r="18602" spans="1:5" x14ac:dyDescent="0.25">
      <c r="A18602">
        <v>18601</v>
      </c>
      <c r="B18602">
        <v>7777129</v>
      </c>
      <c r="C18602" s="1" t="str">
        <f>HYPERLINK("http://stackoverflow.com/users/7777129", "RockyJerry")</f>
        <v>RockyJerry</v>
      </c>
      <c r="D18602" t="s">
        <v>55</v>
      </c>
      <c r="E18602">
        <v>1</v>
      </c>
    </row>
    <row r="18603" spans="1:5" x14ac:dyDescent="0.25">
      <c r="A18603">
        <v>18602</v>
      </c>
      <c r="B18603">
        <v>7777238</v>
      </c>
      <c r="C18603" s="1" t="str">
        <f>HYPERLINK("http://stackoverflow.com/users/7777238", "Jun Qin")</f>
        <v>Jun Qin</v>
      </c>
      <c r="D18603" t="s">
        <v>62</v>
      </c>
      <c r="E18603">
        <v>1</v>
      </c>
    </row>
    <row r="18604" spans="1:5" x14ac:dyDescent="0.25">
      <c r="A18604">
        <v>18603</v>
      </c>
      <c r="B18604">
        <v>7777245</v>
      </c>
      <c r="C18604" s="1" t="str">
        <f>HYPERLINK("http://stackoverflow.com/users/7777245", "Austin Wang")</f>
        <v>Austin Wang</v>
      </c>
      <c r="D18604" t="s">
        <v>4</v>
      </c>
      <c r="E18604">
        <v>1</v>
      </c>
    </row>
    <row r="18605" spans="1:5" x14ac:dyDescent="0.25">
      <c r="A18605">
        <v>18604</v>
      </c>
      <c r="B18605">
        <v>7777290</v>
      </c>
      <c r="C18605" s="1" t="str">
        <f>HYPERLINK("http://stackoverflow.com/users/7777290", "Siliang Liu")</f>
        <v>Siliang Liu</v>
      </c>
      <c r="D18605" t="s">
        <v>5</v>
      </c>
      <c r="E18605">
        <v>1</v>
      </c>
    </row>
    <row r="18606" spans="1:5" x14ac:dyDescent="0.25">
      <c r="A18606">
        <v>18605</v>
      </c>
      <c r="B18606">
        <v>7777311</v>
      </c>
      <c r="C18606" s="1" t="str">
        <f>HYPERLINK("http://stackoverflow.com/users/7777311", "chgao")</f>
        <v>chgao</v>
      </c>
      <c r="D18606" t="s">
        <v>5</v>
      </c>
      <c r="E18606">
        <v>1</v>
      </c>
    </row>
    <row r="18607" spans="1:5" x14ac:dyDescent="0.25">
      <c r="A18607">
        <v>18606</v>
      </c>
      <c r="B18607">
        <v>7777408</v>
      </c>
      <c r="C18607" s="1" t="str">
        <f>HYPERLINK("http://stackoverflow.com/users/7777408", "Joe")</f>
        <v>Joe</v>
      </c>
      <c r="D18607" t="s">
        <v>21</v>
      </c>
      <c r="E18607">
        <v>1</v>
      </c>
    </row>
    <row r="18608" spans="1:5" x14ac:dyDescent="0.25">
      <c r="A18608">
        <v>18607</v>
      </c>
      <c r="B18608">
        <v>2388581</v>
      </c>
      <c r="C18608" s="1" t="str">
        <f>HYPERLINK("http://stackoverflow.com/users/2388581", "Charles")</f>
        <v>Charles</v>
      </c>
      <c r="D18608" t="s">
        <v>4</v>
      </c>
      <c r="E18608">
        <v>1</v>
      </c>
    </row>
    <row r="18609" spans="1:5" x14ac:dyDescent="0.25">
      <c r="A18609">
        <v>18608</v>
      </c>
      <c r="B18609">
        <v>9558686</v>
      </c>
      <c r="C18609" s="1" t="str">
        <f>HYPERLINK("http://stackoverflow.com/users/9558686", "Tordy")</f>
        <v>Tordy</v>
      </c>
      <c r="D18609" t="s">
        <v>25</v>
      </c>
      <c r="E18609">
        <v>1</v>
      </c>
    </row>
    <row r="18610" spans="1:5" x14ac:dyDescent="0.25">
      <c r="A18610">
        <v>18609</v>
      </c>
      <c r="B18610">
        <v>2388265</v>
      </c>
      <c r="C18610" s="1" t="str">
        <f>HYPERLINK("http://stackoverflow.com/users/2388265", "cssmagic")</f>
        <v>cssmagic</v>
      </c>
      <c r="D18610" t="s">
        <v>4</v>
      </c>
      <c r="E18610">
        <v>1</v>
      </c>
    </row>
    <row r="18611" spans="1:5" x14ac:dyDescent="0.25">
      <c r="A18611">
        <v>18610</v>
      </c>
      <c r="B18611">
        <v>7633341</v>
      </c>
      <c r="C18611" s="1" t="str">
        <f>HYPERLINK("http://stackoverflow.com/users/7633341", "Dragonfly")</f>
        <v>Dragonfly</v>
      </c>
      <c r="D18611" t="s">
        <v>599</v>
      </c>
      <c r="E18611">
        <v>1</v>
      </c>
    </row>
    <row r="18612" spans="1:5" x14ac:dyDescent="0.25">
      <c r="A18612">
        <v>18611</v>
      </c>
      <c r="B18612">
        <v>7633656</v>
      </c>
      <c r="C18612" s="1" t="str">
        <f>HYPERLINK("http://stackoverflow.com/users/7633656", "Jiashu Zou")</f>
        <v>Jiashu Zou</v>
      </c>
      <c r="D18612" t="s">
        <v>35</v>
      </c>
      <c r="E18612">
        <v>1</v>
      </c>
    </row>
    <row r="18613" spans="1:5" x14ac:dyDescent="0.25">
      <c r="A18613">
        <v>18612</v>
      </c>
      <c r="B18613">
        <v>7633686</v>
      </c>
      <c r="C18613" s="1" t="str">
        <f>HYPERLINK("http://stackoverflow.com/users/7633686", "ych jin")</f>
        <v>ych jin</v>
      </c>
      <c r="D18613" t="s">
        <v>7</v>
      </c>
      <c r="E18613">
        <v>1</v>
      </c>
    </row>
    <row r="18614" spans="1:5" x14ac:dyDescent="0.25">
      <c r="A18614">
        <v>18613</v>
      </c>
      <c r="B18614">
        <v>7633701</v>
      </c>
      <c r="C18614" s="1" t="str">
        <f>HYPERLINK("http://stackoverflow.com/users/7633701", "bh h")</f>
        <v>bh h</v>
      </c>
      <c r="D18614" t="s">
        <v>4</v>
      </c>
      <c r="E18614">
        <v>1</v>
      </c>
    </row>
    <row r="18615" spans="1:5" x14ac:dyDescent="0.25">
      <c r="A18615">
        <v>18614</v>
      </c>
      <c r="B18615">
        <v>7633732</v>
      </c>
      <c r="C18615" s="1" t="str">
        <f>HYPERLINK("http://stackoverflow.com/users/7633732", "Edward Mr Zhu")</f>
        <v>Edward Mr Zhu</v>
      </c>
      <c r="D18615" t="s">
        <v>10</v>
      </c>
      <c r="E18615">
        <v>1</v>
      </c>
    </row>
    <row r="18616" spans="1:5" x14ac:dyDescent="0.25">
      <c r="A18616">
        <v>18615</v>
      </c>
      <c r="B18616">
        <v>5884118</v>
      </c>
      <c r="C18616" s="1" t="str">
        <f>HYPERLINK("http://stackoverflow.com/users/5884118", "Johnson Xu")</f>
        <v>Johnson Xu</v>
      </c>
      <c r="D18616" t="s">
        <v>4</v>
      </c>
      <c r="E18616">
        <v>1</v>
      </c>
    </row>
    <row r="18617" spans="1:5" x14ac:dyDescent="0.25">
      <c r="A18617">
        <v>18616</v>
      </c>
      <c r="B18617">
        <v>5884598</v>
      </c>
      <c r="C18617" s="1" t="str">
        <f>HYPERLINK("http://stackoverflow.com/users/5884598", "龚向前")</f>
        <v>龚向前</v>
      </c>
      <c r="D18617" t="s">
        <v>22</v>
      </c>
      <c r="E18617">
        <v>1</v>
      </c>
    </row>
    <row r="18618" spans="1:5" x14ac:dyDescent="0.25">
      <c r="A18618">
        <v>18617</v>
      </c>
      <c r="B18618">
        <v>7636547</v>
      </c>
      <c r="C18618" s="1" t="str">
        <f>HYPERLINK("http://stackoverflow.com/users/7636547", "Mercury")</f>
        <v>Mercury</v>
      </c>
      <c r="D18618" t="s">
        <v>367</v>
      </c>
      <c r="E18618">
        <v>1</v>
      </c>
    </row>
    <row r="18619" spans="1:5" x14ac:dyDescent="0.25">
      <c r="A18619">
        <v>18618</v>
      </c>
      <c r="B18619">
        <v>9572857</v>
      </c>
      <c r="C18619" s="1" t="str">
        <f>HYPERLINK("http://stackoverflow.com/users/9572857", "Albert ")</f>
        <v xml:space="preserve">Albert </v>
      </c>
      <c r="D18619" t="s">
        <v>4</v>
      </c>
      <c r="E18619">
        <v>1</v>
      </c>
    </row>
    <row r="18620" spans="1:5" x14ac:dyDescent="0.25">
      <c r="A18620">
        <v>18619</v>
      </c>
      <c r="B18620">
        <v>9577497</v>
      </c>
      <c r="C18620" s="1" t="str">
        <f>HYPERLINK("http://stackoverflow.com/users/9577497", "Yxuxy Ken")</f>
        <v>Yxuxy Ken</v>
      </c>
      <c r="D18620" t="s">
        <v>55</v>
      </c>
      <c r="E18620">
        <v>1</v>
      </c>
    </row>
    <row r="18621" spans="1:5" x14ac:dyDescent="0.25">
      <c r="A18621">
        <v>18620</v>
      </c>
      <c r="B18621">
        <v>9577982</v>
      </c>
      <c r="C18621" s="1" t="str">
        <f>HYPERLINK("http://stackoverflow.com/users/9577982", "Parker Zhang")</f>
        <v>Parker Zhang</v>
      </c>
      <c r="D18621" t="s">
        <v>5</v>
      </c>
      <c r="E18621">
        <v>1</v>
      </c>
    </row>
    <row r="18622" spans="1:5" x14ac:dyDescent="0.25">
      <c r="A18622">
        <v>18621</v>
      </c>
      <c r="B18622">
        <v>9578067</v>
      </c>
      <c r="C18622" s="1" t="str">
        <f>HYPERLINK("http://stackoverflow.com/users/9578067", "seulichen")</f>
        <v>seulichen</v>
      </c>
      <c r="D18622" t="s">
        <v>5</v>
      </c>
      <c r="E18622">
        <v>1</v>
      </c>
    </row>
    <row r="18623" spans="1:5" x14ac:dyDescent="0.25">
      <c r="A18623">
        <v>18622</v>
      </c>
      <c r="B18623">
        <v>2388955</v>
      </c>
      <c r="C18623" s="1" t="str">
        <f>HYPERLINK("http://stackoverflow.com/users/2388955", "panlm")</f>
        <v>panlm</v>
      </c>
      <c r="D18623" t="s">
        <v>21</v>
      </c>
      <c r="E18623">
        <v>1</v>
      </c>
    </row>
    <row r="18624" spans="1:5" x14ac:dyDescent="0.25">
      <c r="A18624">
        <v>18623</v>
      </c>
      <c r="B18624">
        <v>7641733</v>
      </c>
      <c r="C18624" s="1" t="str">
        <f>HYPERLINK("http://stackoverflow.com/users/7641733", "whytin")</f>
        <v>whytin</v>
      </c>
      <c r="D18624" t="s">
        <v>25</v>
      </c>
      <c r="E18624">
        <v>1</v>
      </c>
    </row>
    <row r="18625" spans="1:5" x14ac:dyDescent="0.25">
      <c r="A18625">
        <v>18624</v>
      </c>
      <c r="B18625">
        <v>5893120</v>
      </c>
      <c r="C18625" s="1" t="str">
        <f>HYPERLINK("http://stackoverflow.com/users/5893120", "Sunny Young")</f>
        <v>Sunny Young</v>
      </c>
      <c r="D18625" t="s">
        <v>37</v>
      </c>
      <c r="E18625">
        <v>1</v>
      </c>
    </row>
    <row r="18626" spans="1:5" x14ac:dyDescent="0.25">
      <c r="A18626">
        <v>18625</v>
      </c>
      <c r="B18626">
        <v>2416050</v>
      </c>
      <c r="C18626" s="1" t="str">
        <f>HYPERLINK("http://stackoverflow.com/users/2416050", "Tom")</f>
        <v>Tom</v>
      </c>
      <c r="D18626" t="s">
        <v>7</v>
      </c>
      <c r="E18626">
        <v>1</v>
      </c>
    </row>
    <row r="18627" spans="1:5" x14ac:dyDescent="0.25">
      <c r="A18627">
        <v>18626</v>
      </c>
      <c r="B18627">
        <v>9583686</v>
      </c>
      <c r="C18627" s="1" t="str">
        <f>HYPERLINK("http://stackoverflow.com/users/9583686", "Tabeth Homero")</f>
        <v>Tabeth Homero</v>
      </c>
      <c r="D18627" t="s">
        <v>33</v>
      </c>
      <c r="E18627">
        <v>1</v>
      </c>
    </row>
    <row r="18628" spans="1:5" x14ac:dyDescent="0.25">
      <c r="A18628">
        <v>18627</v>
      </c>
      <c r="B18628">
        <v>7645998</v>
      </c>
      <c r="C18628" s="1" t="str">
        <f>HYPERLINK("http://stackoverflow.com/users/7645998", "wangy23")</f>
        <v>wangy23</v>
      </c>
      <c r="D18628" t="s">
        <v>4</v>
      </c>
      <c r="E18628">
        <v>1</v>
      </c>
    </row>
    <row r="18629" spans="1:5" x14ac:dyDescent="0.25">
      <c r="A18629">
        <v>18628</v>
      </c>
      <c r="B18629">
        <v>7646142</v>
      </c>
      <c r="C18629" s="1" t="str">
        <f>HYPERLINK("http://stackoverflow.com/users/7646142", "xianchuangwu")</f>
        <v>xianchuangwu</v>
      </c>
      <c r="D18629" t="s">
        <v>4</v>
      </c>
      <c r="E18629">
        <v>1</v>
      </c>
    </row>
    <row r="18630" spans="1:5" x14ac:dyDescent="0.25">
      <c r="A18630">
        <v>18629</v>
      </c>
      <c r="B18630">
        <v>7646329</v>
      </c>
      <c r="C18630" s="1" t="str">
        <f>HYPERLINK("http://stackoverflow.com/users/7646329", "Young CHEN")</f>
        <v>Young CHEN</v>
      </c>
      <c r="D18630" t="s">
        <v>4</v>
      </c>
      <c r="E18630">
        <v>1</v>
      </c>
    </row>
    <row r="18631" spans="1:5" x14ac:dyDescent="0.25">
      <c r="A18631">
        <v>18630</v>
      </c>
      <c r="B18631">
        <v>7646386</v>
      </c>
      <c r="C18631" s="1" t="str">
        <f>HYPERLINK("http://stackoverflow.com/users/7646386", "sunnypuma")</f>
        <v>sunnypuma</v>
      </c>
      <c r="D18631" t="s">
        <v>1009</v>
      </c>
      <c r="E18631">
        <v>1</v>
      </c>
    </row>
    <row r="18632" spans="1:5" x14ac:dyDescent="0.25">
      <c r="A18632">
        <v>18631</v>
      </c>
      <c r="B18632">
        <v>7646431</v>
      </c>
      <c r="C18632" s="1" t="str">
        <f>HYPERLINK("http://stackoverflow.com/users/7646431", "Aaron LUO")</f>
        <v>Aaron LUO</v>
      </c>
      <c r="D18632" t="s">
        <v>52</v>
      </c>
      <c r="E18632">
        <v>1</v>
      </c>
    </row>
    <row r="18633" spans="1:5" x14ac:dyDescent="0.25">
      <c r="A18633">
        <v>18632</v>
      </c>
      <c r="B18633">
        <v>9584579</v>
      </c>
      <c r="C18633" s="1" t="str">
        <f>HYPERLINK("http://stackoverflow.com/users/9584579", "Jaden Zhang")</f>
        <v>Jaden Zhang</v>
      </c>
      <c r="D18633" t="s">
        <v>131</v>
      </c>
      <c r="E18633">
        <v>1</v>
      </c>
    </row>
    <row r="18634" spans="1:5" x14ac:dyDescent="0.25">
      <c r="A18634">
        <v>18633</v>
      </c>
      <c r="B18634">
        <v>9584702</v>
      </c>
      <c r="C18634" s="1" t="str">
        <f>HYPERLINK("http://stackoverflow.com/users/9584702", "dongbo")</f>
        <v>dongbo</v>
      </c>
      <c r="D18634" t="s">
        <v>5</v>
      </c>
      <c r="E18634">
        <v>1</v>
      </c>
    </row>
    <row r="18635" spans="1:5" x14ac:dyDescent="0.25">
      <c r="A18635">
        <v>18634</v>
      </c>
      <c r="B18635">
        <v>5902873</v>
      </c>
      <c r="C18635" s="1" t="str">
        <f>HYPERLINK("http://stackoverflow.com/users/5902873", "geektcp")</f>
        <v>geektcp</v>
      </c>
      <c r="D18635" t="s">
        <v>17</v>
      </c>
      <c r="E18635">
        <v>1</v>
      </c>
    </row>
    <row r="18636" spans="1:5" x14ac:dyDescent="0.25">
      <c r="A18636">
        <v>18635</v>
      </c>
      <c r="B18636">
        <v>7650823</v>
      </c>
      <c r="C18636" s="1" t="str">
        <f>HYPERLINK("http://stackoverflow.com/users/7650823", "sunShuShu")</f>
        <v>sunShuShu</v>
      </c>
      <c r="D18636" t="s">
        <v>5</v>
      </c>
      <c r="E18636">
        <v>1</v>
      </c>
    </row>
    <row r="18637" spans="1:5" x14ac:dyDescent="0.25">
      <c r="A18637">
        <v>18636</v>
      </c>
      <c r="B18637">
        <v>7651020</v>
      </c>
      <c r="C18637" s="1" t="str">
        <f>HYPERLINK("http://stackoverflow.com/users/7651020", "keun")</f>
        <v>keun</v>
      </c>
      <c r="D18637" t="s">
        <v>4</v>
      </c>
      <c r="E18637">
        <v>1</v>
      </c>
    </row>
    <row r="18638" spans="1:5" x14ac:dyDescent="0.25">
      <c r="A18638">
        <v>18637</v>
      </c>
      <c r="B18638">
        <v>7651121</v>
      </c>
      <c r="C18638" s="1" t="str">
        <f>HYPERLINK("http://stackoverflow.com/users/7651121", "桑多拉")</f>
        <v>桑多拉</v>
      </c>
      <c r="D18638" t="s">
        <v>131</v>
      </c>
      <c r="E18638">
        <v>1</v>
      </c>
    </row>
    <row r="18639" spans="1:5" x14ac:dyDescent="0.25">
      <c r="A18639">
        <v>18638</v>
      </c>
      <c r="B18639">
        <v>7651311</v>
      </c>
      <c r="C18639" s="1" t="str">
        <f>HYPERLINK("http://stackoverflow.com/users/7651311", "Jane")</f>
        <v>Jane</v>
      </c>
      <c r="D18639" t="s">
        <v>7</v>
      </c>
      <c r="E18639">
        <v>1</v>
      </c>
    </row>
    <row r="18640" spans="1:5" x14ac:dyDescent="0.25">
      <c r="A18640">
        <v>18639</v>
      </c>
      <c r="B18640">
        <v>4170456</v>
      </c>
      <c r="C18640" s="1" t="str">
        <f>HYPERLINK("http://stackoverflow.com/users/4170456", "Dr.H")</f>
        <v>Dr.H</v>
      </c>
      <c r="D18640" t="s">
        <v>118</v>
      </c>
      <c r="E18640">
        <v>1</v>
      </c>
    </row>
    <row r="18641" spans="1:5" x14ac:dyDescent="0.25">
      <c r="A18641">
        <v>18640</v>
      </c>
      <c r="B18641">
        <v>4176441</v>
      </c>
      <c r="C18641" s="1" t="str">
        <f>HYPERLINK("http://stackoverflow.com/users/4176441", "Sam Wuu")</f>
        <v>Sam Wuu</v>
      </c>
      <c r="D18641" t="s">
        <v>17</v>
      </c>
      <c r="E18641">
        <v>1</v>
      </c>
    </row>
    <row r="18642" spans="1:5" x14ac:dyDescent="0.25">
      <c r="A18642">
        <v>18641</v>
      </c>
      <c r="B18642">
        <v>5944156</v>
      </c>
      <c r="C18642" s="1" t="str">
        <f>HYPERLINK("http://stackoverflow.com/users/5944156", "Michael Song")</f>
        <v>Michael Song</v>
      </c>
      <c r="D18642" t="s">
        <v>5</v>
      </c>
      <c r="E18642">
        <v>1</v>
      </c>
    </row>
    <row r="18643" spans="1:5" x14ac:dyDescent="0.25">
      <c r="A18643">
        <v>18642</v>
      </c>
      <c r="B18643">
        <v>5944230</v>
      </c>
      <c r="C18643" s="1" t="str">
        <f>HYPERLINK("http://stackoverflow.com/users/5944230", "jiang")</f>
        <v>jiang</v>
      </c>
      <c r="D18643" t="s">
        <v>270</v>
      </c>
      <c r="E18643">
        <v>1</v>
      </c>
    </row>
    <row r="18644" spans="1:5" x14ac:dyDescent="0.25">
      <c r="A18644">
        <v>18643</v>
      </c>
      <c r="B18644">
        <v>7684265</v>
      </c>
      <c r="C18644" s="1" t="str">
        <f>HYPERLINK("http://stackoverflow.com/users/7684265", "miiky Wang")</f>
        <v>miiky Wang</v>
      </c>
      <c r="D18644" t="s">
        <v>5</v>
      </c>
      <c r="E18644">
        <v>1</v>
      </c>
    </row>
    <row r="18645" spans="1:5" x14ac:dyDescent="0.25">
      <c r="A18645">
        <v>18644</v>
      </c>
      <c r="B18645">
        <v>7684454</v>
      </c>
      <c r="C18645" s="1" t="str">
        <f>HYPERLINK("http://stackoverflow.com/users/7684454", "Suihai Huang")</f>
        <v>Suihai Huang</v>
      </c>
      <c r="D18645" t="s">
        <v>16</v>
      </c>
      <c r="E18645">
        <v>1</v>
      </c>
    </row>
    <row r="18646" spans="1:5" x14ac:dyDescent="0.25">
      <c r="A18646">
        <v>18645</v>
      </c>
      <c r="B18646">
        <v>7684527</v>
      </c>
      <c r="C18646" s="1" t="str">
        <f>HYPERLINK("http://stackoverflow.com/users/7684527", "zhong li")</f>
        <v>zhong li</v>
      </c>
      <c r="D18646" t="s">
        <v>7</v>
      </c>
      <c r="E18646">
        <v>1</v>
      </c>
    </row>
    <row r="18647" spans="1:5" x14ac:dyDescent="0.25">
      <c r="A18647">
        <v>18646</v>
      </c>
      <c r="B18647">
        <v>4170707</v>
      </c>
      <c r="C18647" s="1" t="str">
        <f>HYPERLINK("http://stackoverflow.com/users/4170707", "Song.Peng")</f>
        <v>Song.Peng</v>
      </c>
      <c r="D18647" t="s">
        <v>17</v>
      </c>
      <c r="E18647">
        <v>1</v>
      </c>
    </row>
    <row r="18648" spans="1:5" x14ac:dyDescent="0.25">
      <c r="A18648">
        <v>18647</v>
      </c>
      <c r="B18648">
        <v>5943467</v>
      </c>
      <c r="C18648" s="1" t="str">
        <f>HYPERLINK("http://stackoverflow.com/users/5943467", "victor.li")</f>
        <v>victor.li</v>
      </c>
      <c r="D18648" t="s">
        <v>5</v>
      </c>
      <c r="E18648">
        <v>1</v>
      </c>
    </row>
    <row r="18649" spans="1:5" x14ac:dyDescent="0.25">
      <c r="A18649">
        <v>18648</v>
      </c>
      <c r="B18649">
        <v>5943601</v>
      </c>
      <c r="C18649" s="1" t="str">
        <f>HYPERLINK("http://stackoverflow.com/users/5943601", "Frank Tang")</f>
        <v>Frank Tang</v>
      </c>
      <c r="D18649" t="s">
        <v>7</v>
      </c>
      <c r="E18649">
        <v>1</v>
      </c>
    </row>
    <row r="18650" spans="1:5" x14ac:dyDescent="0.25">
      <c r="A18650">
        <v>18649</v>
      </c>
      <c r="B18650">
        <v>5943639</v>
      </c>
      <c r="C18650" s="1" t="str">
        <f>HYPERLINK("http://stackoverflow.com/users/5943639", "magicYang")</f>
        <v>magicYang</v>
      </c>
      <c r="D18650" t="s">
        <v>4</v>
      </c>
      <c r="E18650">
        <v>1</v>
      </c>
    </row>
    <row r="18651" spans="1:5" x14ac:dyDescent="0.25">
      <c r="A18651">
        <v>18650</v>
      </c>
      <c r="B18651">
        <v>7678249</v>
      </c>
      <c r="C18651" s="1" t="str">
        <f>HYPERLINK("http://stackoverflow.com/users/7678249", "fix777")</f>
        <v>fix777</v>
      </c>
      <c r="D18651" t="s">
        <v>12</v>
      </c>
      <c r="E18651">
        <v>1</v>
      </c>
    </row>
    <row r="18652" spans="1:5" x14ac:dyDescent="0.25">
      <c r="A18652">
        <v>18651</v>
      </c>
      <c r="B18652">
        <v>7678381</v>
      </c>
      <c r="C18652" s="1" t="str">
        <f>HYPERLINK("http://stackoverflow.com/users/7678381", "Allen")</f>
        <v>Allen</v>
      </c>
      <c r="D18652" t="s">
        <v>47</v>
      </c>
      <c r="E18652">
        <v>1</v>
      </c>
    </row>
    <row r="18653" spans="1:5" x14ac:dyDescent="0.25">
      <c r="A18653">
        <v>18652</v>
      </c>
      <c r="B18653">
        <v>4164505</v>
      </c>
      <c r="C18653" s="1" t="str">
        <f>HYPERLINK("http://stackoverflow.com/users/4164505", "ling zhu")</f>
        <v>ling zhu</v>
      </c>
      <c r="D18653" t="s">
        <v>12</v>
      </c>
      <c r="E18653">
        <v>1</v>
      </c>
    </row>
    <row r="18654" spans="1:5" x14ac:dyDescent="0.25">
      <c r="A18654">
        <v>18653</v>
      </c>
      <c r="B18654">
        <v>5922622</v>
      </c>
      <c r="C18654" s="1" t="str">
        <f>HYPERLINK("http://stackoverflow.com/users/5922622", "Echo.lv")</f>
        <v>Echo.lv</v>
      </c>
      <c r="D18654" t="s">
        <v>7</v>
      </c>
      <c r="E18654">
        <v>1</v>
      </c>
    </row>
    <row r="18655" spans="1:5" x14ac:dyDescent="0.25">
      <c r="A18655">
        <v>18654</v>
      </c>
      <c r="B18655">
        <v>5922729</v>
      </c>
      <c r="C18655" s="1" t="str">
        <f>HYPERLINK("http://stackoverflow.com/users/5922729", "Jin Yin")</f>
        <v>Jin Yin</v>
      </c>
      <c r="D18655" t="s">
        <v>33</v>
      </c>
      <c r="E18655">
        <v>1</v>
      </c>
    </row>
    <row r="18656" spans="1:5" x14ac:dyDescent="0.25">
      <c r="A18656">
        <v>18655</v>
      </c>
      <c r="B18656">
        <v>7670775</v>
      </c>
      <c r="C18656" s="1" t="str">
        <f>HYPERLINK("http://stackoverflow.com/users/7670775", "Eric")</f>
        <v>Eric</v>
      </c>
      <c r="D18656" t="s">
        <v>1010</v>
      </c>
      <c r="E18656">
        <v>1</v>
      </c>
    </row>
    <row r="18657" spans="1:5" x14ac:dyDescent="0.25">
      <c r="A18657">
        <v>18656</v>
      </c>
      <c r="B18657">
        <v>7670789</v>
      </c>
      <c r="C18657" s="1" t="str">
        <f>HYPERLINK("http://stackoverflow.com/users/7670789", "JustinWuB")</f>
        <v>JustinWuB</v>
      </c>
      <c r="D18657" t="s">
        <v>4</v>
      </c>
      <c r="E18657">
        <v>1</v>
      </c>
    </row>
    <row r="18658" spans="1:5" x14ac:dyDescent="0.25">
      <c r="A18658">
        <v>18657</v>
      </c>
      <c r="B18658">
        <v>7671007</v>
      </c>
      <c r="C18658" s="1" t="str">
        <f>HYPERLINK("http://stackoverflow.com/users/7671007", "Alex Jia")</f>
        <v>Alex Jia</v>
      </c>
      <c r="D18658" t="s">
        <v>62</v>
      </c>
      <c r="E18658">
        <v>1</v>
      </c>
    </row>
    <row r="18659" spans="1:5" x14ac:dyDescent="0.25">
      <c r="A18659">
        <v>18658</v>
      </c>
      <c r="B18659">
        <v>7671034</v>
      </c>
      <c r="C18659" s="1" t="str">
        <f>HYPERLINK("http://stackoverflow.com/users/7671034", "Hex")</f>
        <v>Hex</v>
      </c>
      <c r="D18659" t="s">
        <v>4</v>
      </c>
      <c r="E18659">
        <v>1</v>
      </c>
    </row>
    <row r="18660" spans="1:5" x14ac:dyDescent="0.25">
      <c r="A18660">
        <v>18659</v>
      </c>
      <c r="B18660">
        <v>2416599</v>
      </c>
      <c r="C18660" s="1" t="str">
        <f>HYPERLINK("http://stackoverflow.com/users/2416599", "NONE")</f>
        <v>NONE</v>
      </c>
      <c r="D18660" t="s">
        <v>4</v>
      </c>
      <c r="E18660">
        <v>1</v>
      </c>
    </row>
    <row r="18661" spans="1:5" x14ac:dyDescent="0.25">
      <c r="A18661">
        <v>18660</v>
      </c>
      <c r="B18661">
        <v>9589738</v>
      </c>
      <c r="C18661" s="1" t="str">
        <f>HYPERLINK("http://stackoverflow.com/users/9589738", "张兆强")</f>
        <v>张兆强</v>
      </c>
      <c r="D18661" t="s">
        <v>86</v>
      </c>
      <c r="E18661">
        <v>1</v>
      </c>
    </row>
    <row r="18662" spans="1:5" x14ac:dyDescent="0.25">
      <c r="A18662">
        <v>18661</v>
      </c>
      <c r="B18662">
        <v>9594691</v>
      </c>
      <c r="C18662" s="1" t="str">
        <f>HYPERLINK("http://stackoverflow.com/users/9594691", "zhao jianang")</f>
        <v>zhao jianang</v>
      </c>
      <c r="D18662" t="s">
        <v>16</v>
      </c>
      <c r="E18662">
        <v>1</v>
      </c>
    </row>
    <row r="18663" spans="1:5" x14ac:dyDescent="0.25">
      <c r="A18663">
        <v>18662</v>
      </c>
      <c r="B18663">
        <v>9594958</v>
      </c>
      <c r="C18663" s="1" t="str">
        <f>HYPERLINK("http://stackoverflow.com/users/9594958", "coderTony")</f>
        <v>coderTony</v>
      </c>
      <c r="D18663" t="s">
        <v>7</v>
      </c>
      <c r="E18663">
        <v>1</v>
      </c>
    </row>
    <row r="18664" spans="1:5" x14ac:dyDescent="0.25">
      <c r="A18664">
        <v>18663</v>
      </c>
      <c r="B18664">
        <v>9595089</v>
      </c>
      <c r="C18664" s="1" t="str">
        <f>HYPERLINK("http://stackoverflow.com/users/9595089", "Alex")</f>
        <v>Alex</v>
      </c>
      <c r="D18664" t="s">
        <v>5</v>
      </c>
      <c r="E18664">
        <v>1</v>
      </c>
    </row>
    <row r="18665" spans="1:5" x14ac:dyDescent="0.25">
      <c r="A18665">
        <v>18664</v>
      </c>
      <c r="B18665">
        <v>9595102</v>
      </c>
      <c r="C18665" s="1" t="str">
        <f>HYPERLINK("http://stackoverflow.com/users/9595102", "zhongsheng wei")</f>
        <v>zhongsheng wei</v>
      </c>
      <c r="D18665" t="s">
        <v>5</v>
      </c>
      <c r="E18665">
        <v>1</v>
      </c>
    </row>
    <row r="18666" spans="1:5" x14ac:dyDescent="0.25">
      <c r="A18666">
        <v>18665</v>
      </c>
      <c r="B18666">
        <v>9601161</v>
      </c>
      <c r="C18666" s="1" t="str">
        <f>HYPERLINK("http://stackoverflow.com/users/9601161", "Rafael Buzin")</f>
        <v>Rafael Buzin</v>
      </c>
      <c r="D18666" t="s">
        <v>4</v>
      </c>
      <c r="E18666">
        <v>1</v>
      </c>
    </row>
    <row r="18667" spans="1:5" x14ac:dyDescent="0.25">
      <c r="A18667">
        <v>18666</v>
      </c>
      <c r="B18667">
        <v>9601412</v>
      </c>
      <c r="C18667" s="1" t="str">
        <f>HYPERLINK("http://stackoverflow.com/users/9601412", "李孝男")</f>
        <v>李孝男</v>
      </c>
      <c r="D18667" t="s">
        <v>183</v>
      </c>
      <c r="E18667">
        <v>1</v>
      </c>
    </row>
    <row r="18668" spans="1:5" x14ac:dyDescent="0.25">
      <c r="A18668">
        <v>18667</v>
      </c>
      <c r="B18668">
        <v>5913943</v>
      </c>
      <c r="C18668" s="1" t="str">
        <f>HYPERLINK("http://stackoverflow.com/users/5913943", "Saliha")</f>
        <v>Saliha</v>
      </c>
      <c r="D18668" t="s">
        <v>5</v>
      </c>
      <c r="E18668">
        <v>1</v>
      </c>
    </row>
    <row r="18669" spans="1:5" x14ac:dyDescent="0.25">
      <c r="A18669">
        <v>18668</v>
      </c>
      <c r="B18669">
        <v>7661719</v>
      </c>
      <c r="C18669" s="1" t="str">
        <f>HYPERLINK("http://stackoverflow.com/users/7661719", "Zheyang Xu")</f>
        <v>Zheyang Xu</v>
      </c>
      <c r="D18669" t="s">
        <v>5</v>
      </c>
      <c r="E18669">
        <v>1</v>
      </c>
    </row>
    <row r="18670" spans="1:5" x14ac:dyDescent="0.25">
      <c r="A18670">
        <v>18669</v>
      </c>
      <c r="B18670">
        <v>7352551</v>
      </c>
      <c r="C18670" s="1" t="str">
        <f>HYPERLINK("http://stackoverflow.com/users/7352551", "Superlee")</f>
        <v>Superlee</v>
      </c>
      <c r="D18670" t="s">
        <v>16</v>
      </c>
      <c r="E18670">
        <v>1</v>
      </c>
    </row>
    <row r="18671" spans="1:5" x14ac:dyDescent="0.25">
      <c r="A18671">
        <v>18670</v>
      </c>
      <c r="B18671">
        <v>7352731</v>
      </c>
      <c r="C18671" s="1" t="str">
        <f>HYPERLINK("http://stackoverflow.com/users/7352731", "shun jian")</f>
        <v>shun jian</v>
      </c>
      <c r="D18671" t="s">
        <v>7</v>
      </c>
      <c r="E18671">
        <v>1</v>
      </c>
    </row>
    <row r="18672" spans="1:5" x14ac:dyDescent="0.25">
      <c r="A18672">
        <v>18671</v>
      </c>
      <c r="B18672">
        <v>2037148</v>
      </c>
      <c r="C18672" s="1" t="str">
        <f>HYPERLINK("http://stackoverflow.com/users/2037148", "kinglate")</f>
        <v>kinglate</v>
      </c>
      <c r="D18672" t="s">
        <v>5</v>
      </c>
      <c r="E18672">
        <v>1</v>
      </c>
    </row>
    <row r="18673" spans="1:5" x14ac:dyDescent="0.25">
      <c r="A18673">
        <v>18672</v>
      </c>
      <c r="B18673">
        <v>9242451</v>
      </c>
      <c r="C18673" s="1" t="str">
        <f>HYPERLINK("http://stackoverflow.com/users/9242451", "Misa")</f>
        <v>Misa</v>
      </c>
      <c r="D18673" t="s">
        <v>322</v>
      </c>
      <c r="E18673">
        <v>1</v>
      </c>
    </row>
    <row r="18674" spans="1:5" x14ac:dyDescent="0.25">
      <c r="A18674">
        <v>18673</v>
      </c>
      <c r="B18674">
        <v>9242572</v>
      </c>
      <c r="C18674" s="1" t="str">
        <f>HYPERLINK("http://stackoverflow.com/users/9242572", "yilu.yang")</f>
        <v>yilu.yang</v>
      </c>
      <c r="D18674" t="s">
        <v>1011</v>
      </c>
      <c r="E18674">
        <v>1</v>
      </c>
    </row>
    <row r="18675" spans="1:5" x14ac:dyDescent="0.25">
      <c r="A18675">
        <v>18674</v>
      </c>
      <c r="B18675">
        <v>11036545</v>
      </c>
      <c r="C18675" s="1" t="str">
        <f>HYPERLINK("http://stackoverflow.com/users/11036545", "Riverling Hsiun")</f>
        <v>Riverling Hsiun</v>
      </c>
      <c r="D18675" t="s">
        <v>374</v>
      </c>
      <c r="E18675">
        <v>1</v>
      </c>
    </row>
    <row r="18676" spans="1:5" x14ac:dyDescent="0.25">
      <c r="A18676">
        <v>18675</v>
      </c>
      <c r="B18676">
        <v>7356495</v>
      </c>
      <c r="C18676" s="1" t="str">
        <f>HYPERLINK("http://stackoverflow.com/users/7356495", "tony smile")</f>
        <v>tony smile</v>
      </c>
      <c r="D18676" t="s">
        <v>4</v>
      </c>
      <c r="E18676">
        <v>1</v>
      </c>
    </row>
    <row r="18677" spans="1:5" x14ac:dyDescent="0.25">
      <c r="A18677">
        <v>18676</v>
      </c>
      <c r="B18677">
        <v>11028725</v>
      </c>
      <c r="C18677" s="1" t="str">
        <f>HYPERLINK("http://stackoverflow.com/users/11028725", "Lee")</f>
        <v>Lee</v>
      </c>
      <c r="D18677" t="s">
        <v>320</v>
      </c>
      <c r="E18677">
        <v>1</v>
      </c>
    </row>
    <row r="18678" spans="1:5" x14ac:dyDescent="0.25">
      <c r="A18678">
        <v>18677</v>
      </c>
      <c r="B18678">
        <v>9237836</v>
      </c>
      <c r="C18678" s="1" t="str">
        <f>HYPERLINK("http://stackoverflow.com/users/9237836", "Macbeth")</f>
        <v>Macbeth</v>
      </c>
      <c r="D18678" t="s">
        <v>1012</v>
      </c>
      <c r="E18678">
        <v>1</v>
      </c>
    </row>
    <row r="18679" spans="1:5" x14ac:dyDescent="0.25">
      <c r="A18679">
        <v>18678</v>
      </c>
      <c r="B18679">
        <v>9238040</v>
      </c>
      <c r="C18679" s="1" t="str">
        <f>HYPERLINK("http://stackoverflow.com/users/9238040", "Carl")</f>
        <v>Carl</v>
      </c>
      <c r="D18679" t="s">
        <v>16</v>
      </c>
      <c r="E18679">
        <v>1</v>
      </c>
    </row>
    <row r="18680" spans="1:5" x14ac:dyDescent="0.25">
      <c r="A18680">
        <v>18679</v>
      </c>
      <c r="B18680">
        <v>9238055</v>
      </c>
      <c r="C18680" s="1" t="str">
        <f>HYPERLINK("http://stackoverflow.com/users/9238055", "Mofeng")</f>
        <v>Mofeng</v>
      </c>
      <c r="D18680" t="s">
        <v>4</v>
      </c>
      <c r="E18680">
        <v>1</v>
      </c>
    </row>
    <row r="18681" spans="1:5" x14ac:dyDescent="0.25">
      <c r="A18681">
        <v>18680</v>
      </c>
      <c r="B18681">
        <v>9238067</v>
      </c>
      <c r="C18681" s="1" t="str">
        <f>HYPERLINK("http://stackoverflow.com/users/9238067", "chiyuen_woo")</f>
        <v>chiyuen_woo</v>
      </c>
      <c r="D18681" t="s">
        <v>4</v>
      </c>
      <c r="E18681">
        <v>1</v>
      </c>
    </row>
    <row r="18682" spans="1:5" x14ac:dyDescent="0.25">
      <c r="A18682">
        <v>18681</v>
      </c>
      <c r="B18682">
        <v>9238172</v>
      </c>
      <c r="C18682" s="1" t="str">
        <f>HYPERLINK("http://stackoverflow.com/users/9238172", "Jared Shao")</f>
        <v>Jared Shao</v>
      </c>
      <c r="D18682" t="s">
        <v>5</v>
      </c>
      <c r="E18682">
        <v>1</v>
      </c>
    </row>
    <row r="18683" spans="1:5" x14ac:dyDescent="0.25">
      <c r="A18683">
        <v>18682</v>
      </c>
      <c r="B18683">
        <v>9238213</v>
      </c>
      <c r="C18683" s="1" t="str">
        <f>HYPERLINK("http://stackoverflow.com/users/9238213", "jack tom")</f>
        <v>jack tom</v>
      </c>
      <c r="D18683" t="s">
        <v>52</v>
      </c>
      <c r="E18683">
        <v>1</v>
      </c>
    </row>
    <row r="18684" spans="1:5" x14ac:dyDescent="0.25">
      <c r="A18684">
        <v>18683</v>
      </c>
      <c r="B18684">
        <v>2031684</v>
      </c>
      <c r="C18684" s="1" t="str">
        <f>HYPERLINK("http://stackoverflow.com/users/2031684", "CloverLiu")</f>
        <v>CloverLiu</v>
      </c>
      <c r="D18684" t="s">
        <v>5</v>
      </c>
      <c r="E18684">
        <v>1</v>
      </c>
    </row>
    <row r="18685" spans="1:5" x14ac:dyDescent="0.25">
      <c r="A18685">
        <v>18684</v>
      </c>
      <c r="B18685">
        <v>3795967</v>
      </c>
      <c r="C18685" s="1" t="str">
        <f>HYPERLINK("http://stackoverflow.com/users/3795967", "Christopher Wu")</f>
        <v>Christopher Wu</v>
      </c>
      <c r="D18685" t="s">
        <v>5</v>
      </c>
      <c r="E18685">
        <v>1</v>
      </c>
    </row>
    <row r="18686" spans="1:5" x14ac:dyDescent="0.25">
      <c r="A18686">
        <v>18685</v>
      </c>
      <c r="B18686">
        <v>7342189</v>
      </c>
      <c r="C18686" s="1" t="str">
        <f>HYPERLINK("http://stackoverflow.com/users/7342189", "IdentifierH")</f>
        <v>IdentifierH</v>
      </c>
      <c r="D18686" t="s">
        <v>1013</v>
      </c>
      <c r="E18686">
        <v>1</v>
      </c>
    </row>
    <row r="18687" spans="1:5" x14ac:dyDescent="0.25">
      <c r="A18687">
        <v>18686</v>
      </c>
      <c r="B18687">
        <v>7342500</v>
      </c>
      <c r="C18687" s="1" t="str">
        <f>HYPERLINK("http://stackoverflow.com/users/7342500", "user7342500")</f>
        <v>user7342500</v>
      </c>
      <c r="D18687" t="s">
        <v>849</v>
      </c>
      <c r="E18687">
        <v>1</v>
      </c>
    </row>
    <row r="18688" spans="1:5" x14ac:dyDescent="0.25">
      <c r="A18688">
        <v>18687</v>
      </c>
      <c r="B18688">
        <v>7346216</v>
      </c>
      <c r="C18688" s="1" t="str">
        <f>HYPERLINK("http://stackoverflow.com/users/7346216", "user7346216")</f>
        <v>user7346216</v>
      </c>
      <c r="D18688" t="s">
        <v>131</v>
      </c>
      <c r="E18688">
        <v>1</v>
      </c>
    </row>
    <row r="18689" spans="1:5" x14ac:dyDescent="0.25">
      <c r="A18689">
        <v>18688</v>
      </c>
      <c r="B18689">
        <v>3796019</v>
      </c>
      <c r="C18689" s="1" t="str">
        <f>HYPERLINK("http://stackoverflow.com/users/3796019", "wenbo")</f>
        <v>wenbo</v>
      </c>
      <c r="D18689" t="s">
        <v>4</v>
      </c>
      <c r="E18689">
        <v>1</v>
      </c>
    </row>
    <row r="18690" spans="1:5" x14ac:dyDescent="0.25">
      <c r="A18690">
        <v>18689</v>
      </c>
      <c r="B18690">
        <v>3800593</v>
      </c>
      <c r="C18690" s="1" t="str">
        <f>HYPERLINK("http://stackoverflow.com/users/3800593", "xuelangping")</f>
        <v>xuelangping</v>
      </c>
      <c r="D18690" t="s">
        <v>131</v>
      </c>
      <c r="E18690">
        <v>1</v>
      </c>
    </row>
    <row r="18691" spans="1:5" x14ac:dyDescent="0.25">
      <c r="A18691">
        <v>18690</v>
      </c>
      <c r="B18691">
        <v>3800859</v>
      </c>
      <c r="C18691" s="1" t="str">
        <f>HYPERLINK("http://stackoverflow.com/users/3800859", "JoeChow")</f>
        <v>JoeChow</v>
      </c>
      <c r="D18691" t="s">
        <v>4</v>
      </c>
      <c r="E18691">
        <v>1</v>
      </c>
    </row>
    <row r="18692" spans="1:5" x14ac:dyDescent="0.25">
      <c r="A18692">
        <v>18691</v>
      </c>
      <c r="B18692">
        <v>3800895</v>
      </c>
      <c r="C18692" s="1" t="str">
        <f>HYPERLINK("http://stackoverflow.com/users/3800895", "asins")</f>
        <v>asins</v>
      </c>
      <c r="D18692" t="s">
        <v>4</v>
      </c>
      <c r="E18692">
        <v>1</v>
      </c>
    </row>
    <row r="18693" spans="1:5" x14ac:dyDescent="0.25">
      <c r="A18693">
        <v>18692</v>
      </c>
      <c r="B18693">
        <v>11025620</v>
      </c>
      <c r="C18693" s="1" t="str">
        <f>HYPERLINK("http://stackoverflow.com/users/11025620", "AndrewFFF")</f>
        <v>AndrewFFF</v>
      </c>
      <c r="D18693" t="s">
        <v>28</v>
      </c>
      <c r="E18693">
        <v>1</v>
      </c>
    </row>
    <row r="18694" spans="1:5" x14ac:dyDescent="0.25">
      <c r="A18694">
        <v>18693</v>
      </c>
      <c r="B18694">
        <v>7368784</v>
      </c>
      <c r="C18694" s="1" t="str">
        <f>HYPERLINK("http://stackoverflow.com/users/7368784", "Yuan")</f>
        <v>Yuan</v>
      </c>
      <c r="D18694" t="s">
        <v>4</v>
      </c>
      <c r="E18694">
        <v>1</v>
      </c>
    </row>
    <row r="18695" spans="1:5" x14ac:dyDescent="0.25">
      <c r="A18695">
        <v>18694</v>
      </c>
      <c r="B18695">
        <v>7368958</v>
      </c>
      <c r="C18695" s="1" t="str">
        <f>HYPERLINK("http://stackoverflow.com/users/7368958", "Selena")</f>
        <v>Selena</v>
      </c>
      <c r="D18695" t="s">
        <v>131</v>
      </c>
      <c r="E18695">
        <v>1</v>
      </c>
    </row>
    <row r="18696" spans="1:5" x14ac:dyDescent="0.25">
      <c r="A18696">
        <v>18695</v>
      </c>
      <c r="B18696">
        <v>5611690</v>
      </c>
      <c r="C18696" s="1" t="str">
        <f>HYPERLINK("http://stackoverflow.com/users/5611690", "Marco Sun")</f>
        <v>Marco Sun</v>
      </c>
      <c r="D18696" t="s">
        <v>4</v>
      </c>
      <c r="E18696">
        <v>1</v>
      </c>
    </row>
    <row r="18697" spans="1:5" x14ac:dyDescent="0.25">
      <c r="A18697">
        <v>18696</v>
      </c>
      <c r="B18697">
        <v>9259716</v>
      </c>
      <c r="C18697" s="1" t="str">
        <f>HYPERLINK("http://stackoverflow.com/users/9259716", "Haoyu Xu")</f>
        <v>Haoyu Xu</v>
      </c>
      <c r="D18697" t="s">
        <v>74</v>
      </c>
      <c r="E18697">
        <v>1</v>
      </c>
    </row>
    <row r="18698" spans="1:5" x14ac:dyDescent="0.25">
      <c r="A18698">
        <v>18697</v>
      </c>
      <c r="B18698">
        <v>9259806</v>
      </c>
      <c r="C18698" s="1" t="str">
        <f>HYPERLINK("http://stackoverflow.com/users/9259806", "CatfishGame")</f>
        <v>CatfishGame</v>
      </c>
      <c r="D18698" t="s">
        <v>399</v>
      </c>
      <c r="E18698">
        <v>1</v>
      </c>
    </row>
    <row r="18699" spans="1:5" x14ac:dyDescent="0.25">
      <c r="A18699">
        <v>18698</v>
      </c>
      <c r="B18699">
        <v>9259852</v>
      </c>
      <c r="C18699" s="1" t="str">
        <f>HYPERLINK("http://stackoverflow.com/users/9259852", "G.Siang")</f>
        <v>G.Siang</v>
      </c>
      <c r="D18699" t="s">
        <v>74</v>
      </c>
      <c r="E18699">
        <v>1</v>
      </c>
    </row>
    <row r="18700" spans="1:5" x14ac:dyDescent="0.25">
      <c r="A18700">
        <v>18699</v>
      </c>
      <c r="B18700">
        <v>9259892</v>
      </c>
      <c r="C18700" s="1" t="str">
        <f>HYPERLINK("http://stackoverflow.com/users/9259892", "liushiwei")</f>
        <v>liushiwei</v>
      </c>
      <c r="D18700" t="s">
        <v>55</v>
      </c>
      <c r="E18700">
        <v>1</v>
      </c>
    </row>
    <row r="18701" spans="1:5" x14ac:dyDescent="0.25">
      <c r="A18701">
        <v>18700</v>
      </c>
      <c r="B18701">
        <v>9259904</v>
      </c>
      <c r="C18701" s="1" t="str">
        <f>HYPERLINK("http://stackoverflow.com/users/9259904", "Jaypancool")</f>
        <v>Jaypancool</v>
      </c>
      <c r="D18701" t="s">
        <v>52</v>
      </c>
      <c r="E18701">
        <v>1</v>
      </c>
    </row>
    <row r="18702" spans="1:5" x14ac:dyDescent="0.25">
      <c r="A18702">
        <v>18701</v>
      </c>
      <c r="B18702">
        <v>5607789</v>
      </c>
      <c r="C18702" s="1" t="str">
        <f>HYPERLINK("http://stackoverflow.com/users/5607789", "Jerry zheng")</f>
        <v>Jerry zheng</v>
      </c>
      <c r="D18702" t="s">
        <v>15</v>
      </c>
      <c r="E18702">
        <v>1</v>
      </c>
    </row>
    <row r="18703" spans="1:5" x14ac:dyDescent="0.25">
      <c r="A18703">
        <v>18702</v>
      </c>
      <c r="B18703">
        <v>9256007</v>
      </c>
      <c r="C18703" s="1" t="str">
        <f>HYPERLINK("http://stackoverflow.com/users/9256007", "Xiaoxiang Wang")</f>
        <v>Xiaoxiang Wang</v>
      </c>
      <c r="D18703" t="s">
        <v>16</v>
      </c>
      <c r="E18703">
        <v>1</v>
      </c>
    </row>
    <row r="18704" spans="1:5" x14ac:dyDescent="0.25">
      <c r="A18704">
        <v>18703</v>
      </c>
      <c r="B18704">
        <v>7368093</v>
      </c>
      <c r="C18704" s="1" t="str">
        <f>HYPERLINK("http://stackoverflow.com/users/7368093", "Chan Anderson")</f>
        <v>Chan Anderson</v>
      </c>
      <c r="D18704" t="s">
        <v>4</v>
      </c>
      <c r="E18704">
        <v>1</v>
      </c>
    </row>
    <row r="18705" spans="1:5" x14ac:dyDescent="0.25">
      <c r="A18705">
        <v>18704</v>
      </c>
      <c r="B18705">
        <v>7368196</v>
      </c>
      <c r="C18705" s="1" t="str">
        <f>HYPERLINK("http://stackoverflow.com/users/7368196", "user7368196")</f>
        <v>user7368196</v>
      </c>
      <c r="D18705" t="s">
        <v>4</v>
      </c>
      <c r="E18705">
        <v>1</v>
      </c>
    </row>
    <row r="18706" spans="1:5" x14ac:dyDescent="0.25">
      <c r="A18706">
        <v>18705</v>
      </c>
      <c r="B18706">
        <v>7368467</v>
      </c>
      <c r="C18706" s="1" t="str">
        <f>HYPERLINK("http://stackoverflow.com/users/7368467", "Frank Zhao")</f>
        <v>Frank Zhao</v>
      </c>
      <c r="D18706" t="s">
        <v>4</v>
      </c>
      <c r="E18706">
        <v>1</v>
      </c>
    </row>
    <row r="18707" spans="1:5" x14ac:dyDescent="0.25">
      <c r="A18707">
        <v>18706</v>
      </c>
      <c r="B18707">
        <v>2032895</v>
      </c>
      <c r="C18707" s="1" t="str">
        <f>HYPERLINK("http://stackoverflow.com/users/2032895", "Tina Tian")</f>
        <v>Tina Tian</v>
      </c>
      <c r="D18707" t="s">
        <v>5</v>
      </c>
      <c r="E18707">
        <v>1</v>
      </c>
    </row>
    <row r="18708" spans="1:5" x14ac:dyDescent="0.25">
      <c r="A18708">
        <v>18707</v>
      </c>
      <c r="B18708">
        <v>3807455</v>
      </c>
      <c r="C18708" s="1" t="str">
        <f>HYPERLINK("http://stackoverflow.com/users/3807455", "yang_yulei")</f>
        <v>yang_yulei</v>
      </c>
      <c r="D18708" t="s">
        <v>5</v>
      </c>
      <c r="E18708">
        <v>1</v>
      </c>
    </row>
    <row r="18709" spans="1:5" x14ac:dyDescent="0.25">
      <c r="A18709">
        <v>18708</v>
      </c>
      <c r="B18709">
        <v>9245982</v>
      </c>
      <c r="C18709" s="1" t="str">
        <f>HYPERLINK("http://stackoverflow.com/users/9245982", "張明山")</f>
        <v>張明山</v>
      </c>
      <c r="D18709" t="s">
        <v>17</v>
      </c>
      <c r="E18709">
        <v>1</v>
      </c>
    </row>
    <row r="18710" spans="1:5" x14ac:dyDescent="0.25">
      <c r="A18710">
        <v>18709</v>
      </c>
      <c r="B18710">
        <v>9246137</v>
      </c>
      <c r="C18710" s="1" t="str">
        <f>HYPERLINK("http://stackoverflow.com/users/9246137", "Y.Ya")</f>
        <v>Y.Ya</v>
      </c>
      <c r="D18710" t="s">
        <v>439</v>
      </c>
      <c r="E18710">
        <v>1</v>
      </c>
    </row>
    <row r="18711" spans="1:5" x14ac:dyDescent="0.25">
      <c r="A18711">
        <v>18710</v>
      </c>
      <c r="B18711">
        <v>9246174</v>
      </c>
      <c r="C18711" s="1" t="str">
        <f>HYPERLINK("http://stackoverflow.com/users/9246174", "aceg_0")</f>
        <v>aceg_0</v>
      </c>
      <c r="D18711" t="s">
        <v>5</v>
      </c>
      <c r="E18711">
        <v>1</v>
      </c>
    </row>
    <row r="18712" spans="1:5" x14ac:dyDescent="0.25">
      <c r="A18712">
        <v>18711</v>
      </c>
      <c r="B18712">
        <v>7360106</v>
      </c>
      <c r="C18712" s="1" t="str">
        <f>HYPERLINK("http://stackoverflow.com/users/7360106", "cycjimmy")</f>
        <v>cycjimmy</v>
      </c>
      <c r="D18712" t="s">
        <v>43</v>
      </c>
      <c r="E18712">
        <v>1</v>
      </c>
    </row>
    <row r="18713" spans="1:5" x14ac:dyDescent="0.25">
      <c r="A18713">
        <v>18712</v>
      </c>
      <c r="B18713">
        <v>9246942</v>
      </c>
      <c r="C18713" s="1" t="str">
        <f>HYPERLINK("http://stackoverflow.com/users/9246942", "Rusong Zhao")</f>
        <v>Rusong Zhao</v>
      </c>
      <c r="D18713" t="s">
        <v>1014</v>
      </c>
      <c r="E18713">
        <v>1</v>
      </c>
    </row>
    <row r="18714" spans="1:5" x14ac:dyDescent="0.25">
      <c r="A18714">
        <v>18713</v>
      </c>
      <c r="B18714">
        <v>11041108</v>
      </c>
      <c r="C18714" s="1" t="str">
        <f>HYPERLINK("http://stackoverflow.com/users/11041108", "ww li")</f>
        <v>ww li</v>
      </c>
      <c r="D18714" t="s">
        <v>168</v>
      </c>
      <c r="E18714">
        <v>1</v>
      </c>
    </row>
    <row r="18715" spans="1:5" x14ac:dyDescent="0.25">
      <c r="A18715">
        <v>18714</v>
      </c>
      <c r="B18715">
        <v>9250660</v>
      </c>
      <c r="C18715" s="1" t="str">
        <f>HYPERLINK("http://stackoverflow.com/users/9250660", "Yang Zhang")</f>
        <v>Yang Zhang</v>
      </c>
      <c r="D18715" t="s">
        <v>16</v>
      </c>
      <c r="E18715">
        <v>1</v>
      </c>
    </row>
    <row r="18716" spans="1:5" x14ac:dyDescent="0.25">
      <c r="A18716">
        <v>18715</v>
      </c>
      <c r="B18716">
        <v>9250879</v>
      </c>
      <c r="C18716" s="1" t="str">
        <f>HYPERLINK("http://stackoverflow.com/users/9250879", "Snow")</f>
        <v>Snow</v>
      </c>
      <c r="D18716" t="s">
        <v>4</v>
      </c>
      <c r="E18716">
        <v>1</v>
      </c>
    </row>
    <row r="18717" spans="1:5" x14ac:dyDescent="0.25">
      <c r="A18717">
        <v>18716</v>
      </c>
      <c r="B18717">
        <v>9250906</v>
      </c>
      <c r="C18717" s="1" t="str">
        <f>HYPERLINK("http://stackoverflow.com/users/9250906", "Fred Ma")</f>
        <v>Fred Ma</v>
      </c>
      <c r="D18717" t="s">
        <v>25</v>
      </c>
      <c r="E18717">
        <v>1</v>
      </c>
    </row>
    <row r="18718" spans="1:5" x14ac:dyDescent="0.25">
      <c r="A18718">
        <v>18717</v>
      </c>
      <c r="B18718">
        <v>7363763</v>
      </c>
      <c r="C18718" s="1" t="str">
        <f>HYPERLINK("http://stackoverflow.com/users/7363763", "Rind")</f>
        <v>Rind</v>
      </c>
      <c r="D18718" t="s">
        <v>1015</v>
      </c>
      <c r="E18718">
        <v>1</v>
      </c>
    </row>
    <row r="18719" spans="1:5" x14ac:dyDescent="0.25">
      <c r="A18719">
        <v>18718</v>
      </c>
      <c r="B18719">
        <v>7363799</v>
      </c>
      <c r="C18719" s="1" t="str">
        <f>HYPERLINK("http://stackoverflow.com/users/7363799", "Quenten")</f>
        <v>Quenten</v>
      </c>
      <c r="D18719" t="s">
        <v>4</v>
      </c>
      <c r="E18719">
        <v>1</v>
      </c>
    </row>
    <row r="18720" spans="1:5" x14ac:dyDescent="0.25">
      <c r="A18720">
        <v>18719</v>
      </c>
      <c r="B18720">
        <v>7364125</v>
      </c>
      <c r="C18720" s="1" t="str">
        <f>HYPERLINK("http://stackoverflow.com/users/7364125", "flamberge")</f>
        <v>flamberge</v>
      </c>
      <c r="D18720" t="s">
        <v>4</v>
      </c>
      <c r="E18720">
        <v>1</v>
      </c>
    </row>
    <row r="18721" spans="1:5" x14ac:dyDescent="0.25">
      <c r="A18721">
        <v>18720</v>
      </c>
      <c r="B18721">
        <v>7364297</v>
      </c>
      <c r="C18721" s="1" t="str">
        <f>HYPERLINK("http://stackoverflow.com/users/7364297", "ESamuel")</f>
        <v>ESamuel</v>
      </c>
      <c r="D18721" t="s">
        <v>5</v>
      </c>
      <c r="E18721">
        <v>1</v>
      </c>
    </row>
    <row r="18722" spans="1:5" x14ac:dyDescent="0.25">
      <c r="A18722">
        <v>18721</v>
      </c>
      <c r="B18722">
        <v>2106675</v>
      </c>
      <c r="C18722" s="1" t="str">
        <f>HYPERLINK("http://stackoverflow.com/users/2106675", "Superobin")</f>
        <v>Superobin</v>
      </c>
      <c r="D18722" t="s">
        <v>35</v>
      </c>
      <c r="E18722">
        <v>1</v>
      </c>
    </row>
    <row r="18723" spans="1:5" x14ac:dyDescent="0.25">
      <c r="A18723">
        <v>18722</v>
      </c>
      <c r="B18723">
        <v>3875343</v>
      </c>
      <c r="C18723" s="1" t="str">
        <f>HYPERLINK("http://stackoverflow.com/users/3875343", "hicharlie")</f>
        <v>hicharlie</v>
      </c>
      <c r="D18723" t="s">
        <v>5</v>
      </c>
      <c r="E18723">
        <v>1</v>
      </c>
    </row>
    <row r="18724" spans="1:5" x14ac:dyDescent="0.25">
      <c r="A18724">
        <v>18723</v>
      </c>
      <c r="B18724">
        <v>9313184</v>
      </c>
      <c r="C18724" s="1" t="str">
        <f>HYPERLINK("http://stackoverflow.com/users/9313184", "Rated.AI")</f>
        <v>Rated.AI</v>
      </c>
      <c r="D18724" t="s">
        <v>348</v>
      </c>
      <c r="E18724">
        <v>1</v>
      </c>
    </row>
    <row r="18725" spans="1:5" x14ac:dyDescent="0.25">
      <c r="A18725">
        <v>18724</v>
      </c>
      <c r="B18725">
        <v>7418327</v>
      </c>
      <c r="C18725" s="1" t="str">
        <f>HYPERLINK("http://stackoverflow.com/users/7418327", "Shosci")</f>
        <v>Shosci</v>
      </c>
      <c r="D18725" t="s">
        <v>5</v>
      </c>
      <c r="E18725">
        <v>1</v>
      </c>
    </row>
    <row r="18726" spans="1:5" x14ac:dyDescent="0.25">
      <c r="A18726">
        <v>18725</v>
      </c>
      <c r="B18726">
        <v>7418750</v>
      </c>
      <c r="C18726" s="1" t="str">
        <f>HYPERLINK("http://stackoverflow.com/users/7418750", "Alper Çarpan")</f>
        <v>Alper Çarpan</v>
      </c>
      <c r="D18726" t="s">
        <v>4</v>
      </c>
      <c r="E18726">
        <v>1</v>
      </c>
    </row>
    <row r="18727" spans="1:5" x14ac:dyDescent="0.25">
      <c r="A18727">
        <v>18726</v>
      </c>
      <c r="B18727">
        <v>3872050</v>
      </c>
      <c r="C18727" s="1" t="str">
        <f>HYPERLINK("http://stackoverflow.com/users/3872050", "Majors")</f>
        <v>Majors</v>
      </c>
      <c r="D18727" t="s">
        <v>22</v>
      </c>
      <c r="E18727">
        <v>1</v>
      </c>
    </row>
    <row r="18728" spans="1:5" x14ac:dyDescent="0.25">
      <c r="A18728">
        <v>18727</v>
      </c>
      <c r="B18728">
        <v>9308436</v>
      </c>
      <c r="C18728" s="1" t="str">
        <f>HYPERLINK("http://stackoverflow.com/users/9308436", "Zheng Hanyue")</f>
        <v>Zheng Hanyue</v>
      </c>
      <c r="D18728" t="s">
        <v>7</v>
      </c>
      <c r="E18728">
        <v>1</v>
      </c>
    </row>
    <row r="18729" spans="1:5" x14ac:dyDescent="0.25">
      <c r="A18729">
        <v>18728</v>
      </c>
      <c r="B18729">
        <v>9308581</v>
      </c>
      <c r="C18729" s="1" t="str">
        <f>HYPERLINK("http://stackoverflow.com/users/9308581", "Pinky")</f>
        <v>Pinky</v>
      </c>
      <c r="D18729" t="s">
        <v>33</v>
      </c>
      <c r="E18729">
        <v>1</v>
      </c>
    </row>
    <row r="18730" spans="1:5" x14ac:dyDescent="0.25">
      <c r="A18730">
        <v>18729</v>
      </c>
      <c r="B18730">
        <v>9308684</v>
      </c>
      <c r="C18730" s="1" t="str">
        <f>HYPERLINK("http://stackoverflow.com/users/9308684", "xu bo")</f>
        <v>xu bo</v>
      </c>
      <c r="D18730" t="s">
        <v>33</v>
      </c>
      <c r="E18730">
        <v>1</v>
      </c>
    </row>
    <row r="18731" spans="1:5" x14ac:dyDescent="0.25">
      <c r="A18731">
        <v>18730</v>
      </c>
      <c r="B18731">
        <v>7413409</v>
      </c>
      <c r="C18731" s="1" t="str">
        <f>HYPERLINK("http://stackoverflow.com/users/7413409", "Kavon Qiu")</f>
        <v>Kavon Qiu</v>
      </c>
      <c r="D18731" t="s">
        <v>434</v>
      </c>
      <c r="E18731">
        <v>1</v>
      </c>
    </row>
    <row r="18732" spans="1:5" x14ac:dyDescent="0.25">
      <c r="A18732">
        <v>18731</v>
      </c>
      <c r="B18732">
        <v>7413456</v>
      </c>
      <c r="C18732" s="1" t="str">
        <f>HYPERLINK("http://stackoverflow.com/users/7413456", "damon chen")</f>
        <v>damon chen</v>
      </c>
      <c r="D18732" t="s">
        <v>4</v>
      </c>
      <c r="E18732">
        <v>1</v>
      </c>
    </row>
    <row r="18733" spans="1:5" x14ac:dyDescent="0.25">
      <c r="A18733">
        <v>18732</v>
      </c>
      <c r="B18733">
        <v>7413581</v>
      </c>
      <c r="C18733" s="1" t="str">
        <f>HYPERLINK("http://stackoverflow.com/users/7413581", "Seven")</f>
        <v>Seven</v>
      </c>
      <c r="D18733" t="s">
        <v>4</v>
      </c>
      <c r="E18733">
        <v>1</v>
      </c>
    </row>
    <row r="18734" spans="1:5" x14ac:dyDescent="0.25">
      <c r="A18734">
        <v>18733</v>
      </c>
      <c r="B18734">
        <v>7413861</v>
      </c>
      <c r="C18734" s="1" t="str">
        <f>HYPERLINK("http://stackoverflow.com/users/7413861", "Abel Wei")</f>
        <v>Abel Wei</v>
      </c>
      <c r="D18734" t="s">
        <v>15</v>
      </c>
      <c r="E18734">
        <v>1</v>
      </c>
    </row>
    <row r="18735" spans="1:5" x14ac:dyDescent="0.25">
      <c r="A18735">
        <v>18734</v>
      </c>
      <c r="B18735">
        <v>5659122</v>
      </c>
      <c r="C18735" s="1" t="str">
        <f>HYPERLINK("http://stackoverflow.com/users/5659122", "Zhou Jian")</f>
        <v>Zhou Jian</v>
      </c>
      <c r="D18735" t="s">
        <v>12</v>
      </c>
      <c r="E18735">
        <v>1</v>
      </c>
    </row>
    <row r="18736" spans="1:5" x14ac:dyDescent="0.25">
      <c r="A18736">
        <v>18735</v>
      </c>
      <c r="B18736">
        <v>5659129</v>
      </c>
      <c r="C18736" s="1" t="str">
        <f>HYPERLINK("http://stackoverflow.com/users/5659129", "mywander")</f>
        <v>mywander</v>
      </c>
      <c r="D18736" t="s">
        <v>7</v>
      </c>
      <c r="E18736">
        <v>1</v>
      </c>
    </row>
    <row r="18737" spans="1:5" x14ac:dyDescent="0.25">
      <c r="A18737">
        <v>18736</v>
      </c>
      <c r="B18737">
        <v>7395996</v>
      </c>
      <c r="C18737" s="1" t="str">
        <f>HYPERLINK("http://stackoverflow.com/users/7395996", "ascode")</f>
        <v>ascode</v>
      </c>
      <c r="D18737" t="s">
        <v>4</v>
      </c>
      <c r="E18737">
        <v>1</v>
      </c>
    </row>
    <row r="18738" spans="1:5" x14ac:dyDescent="0.25">
      <c r="A18738">
        <v>18737</v>
      </c>
      <c r="B18738">
        <v>11082019</v>
      </c>
      <c r="C18738" s="1" t="str">
        <f>HYPERLINK("http://stackoverflow.com/users/11082019", "Shangshu Li")</f>
        <v>Shangshu Li</v>
      </c>
      <c r="D18738" t="s">
        <v>5</v>
      </c>
      <c r="E18738">
        <v>1</v>
      </c>
    </row>
    <row r="18739" spans="1:5" x14ac:dyDescent="0.25">
      <c r="A18739">
        <v>18738</v>
      </c>
      <c r="B18739">
        <v>7398780</v>
      </c>
      <c r="C18739" s="1" t="str">
        <f>HYPERLINK("http://stackoverflow.com/users/7398780", "Ren-IT")</f>
        <v>Ren-IT</v>
      </c>
      <c r="D18739" t="s">
        <v>4</v>
      </c>
      <c r="E18739">
        <v>1</v>
      </c>
    </row>
    <row r="18740" spans="1:5" x14ac:dyDescent="0.25">
      <c r="A18740">
        <v>18739</v>
      </c>
      <c r="B18740">
        <v>7398839</v>
      </c>
      <c r="C18740" s="1" t="str">
        <f>HYPERLINK("http://stackoverflow.com/users/7398839", "Constant Cody")</f>
        <v>Constant Cody</v>
      </c>
      <c r="D18740" t="s">
        <v>25</v>
      </c>
      <c r="E18740">
        <v>1</v>
      </c>
    </row>
    <row r="18741" spans="1:5" x14ac:dyDescent="0.25">
      <c r="A18741">
        <v>18740</v>
      </c>
      <c r="B18741">
        <v>5639607</v>
      </c>
      <c r="C18741" s="1" t="str">
        <f>HYPERLINK("http://stackoverflow.com/users/5639607", "Fadary")</f>
        <v>Fadary</v>
      </c>
      <c r="D18741" t="s">
        <v>210</v>
      </c>
      <c r="E18741">
        <v>1</v>
      </c>
    </row>
    <row r="18742" spans="1:5" x14ac:dyDescent="0.25">
      <c r="A18742">
        <v>18741</v>
      </c>
      <c r="B18742">
        <v>2085408</v>
      </c>
      <c r="C18742" s="1" t="str">
        <f>HYPERLINK("http://stackoverflow.com/users/2085408", "Haiyang.Wu")</f>
        <v>Haiyang.Wu</v>
      </c>
      <c r="D18742" t="s">
        <v>37</v>
      </c>
      <c r="E18742">
        <v>1</v>
      </c>
    </row>
    <row r="18743" spans="1:5" x14ac:dyDescent="0.25">
      <c r="A18743">
        <v>18742</v>
      </c>
      <c r="B18743">
        <v>2085478</v>
      </c>
      <c r="C18743" s="1" t="str">
        <f>HYPERLINK("http://stackoverflow.com/users/2085478", "tenggangren")</f>
        <v>tenggangren</v>
      </c>
      <c r="D18743" t="s">
        <v>5</v>
      </c>
      <c r="E18743">
        <v>1</v>
      </c>
    </row>
    <row r="18744" spans="1:5" x14ac:dyDescent="0.25">
      <c r="A18744">
        <v>18743</v>
      </c>
      <c r="B18744">
        <v>2085534</v>
      </c>
      <c r="C18744" s="1" t="str">
        <f>HYPERLINK("http://stackoverflow.com/users/2085534", "Sasori")</f>
        <v>Sasori</v>
      </c>
      <c r="D18744" t="s">
        <v>5</v>
      </c>
      <c r="E18744">
        <v>1</v>
      </c>
    </row>
    <row r="18745" spans="1:5" x14ac:dyDescent="0.25">
      <c r="A18745">
        <v>18744</v>
      </c>
      <c r="B18745">
        <v>7395773</v>
      </c>
      <c r="C18745" s="1" t="str">
        <f>HYPERLINK("http://stackoverflow.com/users/7395773", "Stanley Tam")</f>
        <v>Stanley Tam</v>
      </c>
      <c r="D18745" t="s">
        <v>5</v>
      </c>
      <c r="E18745">
        <v>1</v>
      </c>
    </row>
    <row r="18746" spans="1:5" x14ac:dyDescent="0.25">
      <c r="A18746">
        <v>18745</v>
      </c>
      <c r="B18746">
        <v>3868731</v>
      </c>
      <c r="C18746" s="1" t="str">
        <f>HYPERLINK("http://stackoverflow.com/users/3868731", "憬憬憬憬")</f>
        <v>憬憬憬憬</v>
      </c>
      <c r="D18746" t="s">
        <v>4</v>
      </c>
      <c r="E18746">
        <v>1</v>
      </c>
    </row>
    <row r="18747" spans="1:5" x14ac:dyDescent="0.25">
      <c r="A18747">
        <v>18746</v>
      </c>
      <c r="B18747">
        <v>3871667</v>
      </c>
      <c r="C18747" s="1" t="str">
        <f>HYPERLINK("http://stackoverflow.com/users/3871667", "Peter Dong")</f>
        <v>Peter Dong</v>
      </c>
      <c r="D18747" t="s">
        <v>4</v>
      </c>
      <c r="E18747">
        <v>1</v>
      </c>
    </row>
    <row r="18748" spans="1:5" x14ac:dyDescent="0.25">
      <c r="A18748">
        <v>18747</v>
      </c>
      <c r="B18748">
        <v>7407537</v>
      </c>
      <c r="C18748" s="1" t="str">
        <f>HYPERLINK("http://stackoverflow.com/users/7407537", "Dashu")</f>
        <v>Dashu</v>
      </c>
      <c r="D18748" t="s">
        <v>42</v>
      </c>
      <c r="E18748">
        <v>1</v>
      </c>
    </row>
    <row r="18749" spans="1:5" x14ac:dyDescent="0.25">
      <c r="A18749">
        <v>18748</v>
      </c>
      <c r="B18749">
        <v>11094283</v>
      </c>
      <c r="C18749" s="1" t="str">
        <f>HYPERLINK("http://stackoverflow.com/users/11094283", "lvtt")</f>
        <v>lvtt</v>
      </c>
      <c r="D18749" t="s">
        <v>5</v>
      </c>
      <c r="E18749">
        <v>1</v>
      </c>
    </row>
    <row r="18750" spans="1:5" x14ac:dyDescent="0.25">
      <c r="A18750">
        <v>18749</v>
      </c>
      <c r="B18750">
        <v>5652353</v>
      </c>
      <c r="C18750" s="1" t="str">
        <f>HYPERLINK("http://stackoverflow.com/users/5652353", "Maxmood")</f>
        <v>Maxmood</v>
      </c>
      <c r="D18750" t="s">
        <v>59</v>
      </c>
      <c r="E18750">
        <v>1</v>
      </c>
    </row>
    <row r="18751" spans="1:5" x14ac:dyDescent="0.25">
      <c r="A18751">
        <v>18750</v>
      </c>
      <c r="B18751">
        <v>5620082</v>
      </c>
      <c r="C18751" s="1" t="str">
        <f>HYPERLINK("http://stackoverflow.com/users/5620082", "jhpx")</f>
        <v>jhpx</v>
      </c>
      <c r="D18751" t="s">
        <v>5</v>
      </c>
      <c r="E18751">
        <v>1</v>
      </c>
    </row>
    <row r="18752" spans="1:5" x14ac:dyDescent="0.25">
      <c r="A18752">
        <v>18751</v>
      </c>
      <c r="B18752">
        <v>5620249</v>
      </c>
      <c r="C18752" s="1" t="str">
        <f>HYPERLINK("http://stackoverflow.com/users/5620249", "zhangweiheu")</f>
        <v>zhangweiheu</v>
      </c>
      <c r="D18752" t="s">
        <v>5</v>
      </c>
      <c r="E18752">
        <v>1</v>
      </c>
    </row>
    <row r="18753" spans="1:5" x14ac:dyDescent="0.25">
      <c r="A18753">
        <v>18752</v>
      </c>
      <c r="B18753">
        <v>5620428</v>
      </c>
      <c r="C18753" s="1" t="str">
        <f>HYPERLINK("http://stackoverflow.com/users/5620428", "viewer")</f>
        <v>viewer</v>
      </c>
      <c r="D18753" t="s">
        <v>25</v>
      </c>
      <c r="E18753">
        <v>1</v>
      </c>
    </row>
    <row r="18754" spans="1:5" x14ac:dyDescent="0.25">
      <c r="A18754">
        <v>18753</v>
      </c>
      <c r="B18754">
        <v>5623392</v>
      </c>
      <c r="C18754" s="1" t="str">
        <f>HYPERLINK("http://stackoverflow.com/users/5623392", "Rock")</f>
        <v>Rock</v>
      </c>
      <c r="D18754" t="s">
        <v>22</v>
      </c>
      <c r="E18754">
        <v>1</v>
      </c>
    </row>
    <row r="18755" spans="1:5" x14ac:dyDescent="0.25">
      <c r="A18755">
        <v>18754</v>
      </c>
      <c r="B18755">
        <v>3837206</v>
      </c>
      <c r="C18755" s="1" t="str">
        <f>HYPERLINK("http://stackoverflow.com/users/3837206", "iXerol")</f>
        <v>iXerol</v>
      </c>
      <c r="D18755" t="s">
        <v>16</v>
      </c>
      <c r="E18755">
        <v>1</v>
      </c>
    </row>
    <row r="18756" spans="1:5" x14ac:dyDescent="0.25">
      <c r="A18756">
        <v>18755</v>
      </c>
      <c r="B18756">
        <v>3837311</v>
      </c>
      <c r="C18756" s="1" t="str">
        <f>HYPERLINK("http://stackoverflow.com/users/3837311", "chencheng")</f>
        <v>chencheng</v>
      </c>
      <c r="D18756" t="s">
        <v>37</v>
      </c>
      <c r="E18756">
        <v>1</v>
      </c>
    </row>
    <row r="18757" spans="1:5" x14ac:dyDescent="0.25">
      <c r="A18757">
        <v>18756</v>
      </c>
      <c r="B18757">
        <v>9273683</v>
      </c>
      <c r="C18757" s="1" t="str">
        <f>HYPERLINK("http://stackoverflow.com/users/9273683", "LiuGuiming")</f>
        <v>LiuGuiming</v>
      </c>
      <c r="D18757" t="s">
        <v>33</v>
      </c>
      <c r="E18757">
        <v>1</v>
      </c>
    </row>
    <row r="18758" spans="1:5" x14ac:dyDescent="0.25">
      <c r="A18758">
        <v>18757</v>
      </c>
      <c r="B18758">
        <v>11067306</v>
      </c>
      <c r="C18758" s="1" t="str">
        <f>HYPERLINK("http://stackoverflow.com/users/11067306", "Paul Zhang")</f>
        <v>Paul Zhang</v>
      </c>
      <c r="D18758" t="s">
        <v>5</v>
      </c>
      <c r="E18758">
        <v>1</v>
      </c>
    </row>
    <row r="18759" spans="1:5" x14ac:dyDescent="0.25">
      <c r="A18759">
        <v>18758</v>
      </c>
      <c r="B18759">
        <v>11067433</v>
      </c>
      <c r="C18759" s="1" t="str">
        <f>HYPERLINK("http://stackoverflow.com/users/11067433", "HanZhen")</f>
        <v>HanZhen</v>
      </c>
      <c r="D18759" t="s">
        <v>5</v>
      </c>
      <c r="E18759">
        <v>1</v>
      </c>
    </row>
    <row r="18760" spans="1:5" x14ac:dyDescent="0.25">
      <c r="A18760">
        <v>18759</v>
      </c>
      <c r="B18760">
        <v>11053877</v>
      </c>
      <c r="C18760" s="1" t="str">
        <f>HYPERLINK("http://stackoverflow.com/users/11053877", "zinnera")</f>
        <v>zinnera</v>
      </c>
      <c r="D18760" t="s">
        <v>4</v>
      </c>
      <c r="E18760">
        <v>1</v>
      </c>
    </row>
    <row r="18761" spans="1:5" x14ac:dyDescent="0.25">
      <c r="A18761">
        <v>18760</v>
      </c>
      <c r="B18761">
        <v>7372014</v>
      </c>
      <c r="C18761" s="1" t="str">
        <f>HYPERLINK("http://stackoverflow.com/users/7372014", "Homer Liu")</f>
        <v>Homer Liu</v>
      </c>
      <c r="D18761" t="s">
        <v>33</v>
      </c>
      <c r="E18761">
        <v>1</v>
      </c>
    </row>
    <row r="18762" spans="1:5" x14ac:dyDescent="0.25">
      <c r="A18762">
        <v>18761</v>
      </c>
      <c r="B18762">
        <v>9264974</v>
      </c>
      <c r="C18762" s="1" t="str">
        <f>HYPERLINK("http://stackoverflow.com/users/9264974", "peter")</f>
        <v>peter</v>
      </c>
      <c r="D18762" t="s">
        <v>16</v>
      </c>
      <c r="E18762">
        <v>1</v>
      </c>
    </row>
    <row r="18763" spans="1:5" x14ac:dyDescent="0.25">
      <c r="A18763">
        <v>18762</v>
      </c>
      <c r="B18763">
        <v>3833475</v>
      </c>
      <c r="C18763" s="1" t="str">
        <f>HYPERLINK("http://stackoverflow.com/users/3833475", "Lisa Ding")</f>
        <v>Lisa Ding</v>
      </c>
      <c r="D18763" t="s">
        <v>5</v>
      </c>
      <c r="E18763">
        <v>1</v>
      </c>
    </row>
    <row r="18764" spans="1:5" x14ac:dyDescent="0.25">
      <c r="A18764">
        <v>18763</v>
      </c>
      <c r="B18764">
        <v>7376397</v>
      </c>
      <c r="C18764" s="1" t="str">
        <f>HYPERLINK("http://stackoverflow.com/users/7376397", "user7376397")</f>
        <v>user7376397</v>
      </c>
      <c r="D18764" t="s">
        <v>1016</v>
      </c>
      <c r="E18764">
        <v>1</v>
      </c>
    </row>
    <row r="18765" spans="1:5" x14ac:dyDescent="0.25">
      <c r="A18765">
        <v>18764</v>
      </c>
      <c r="B18765">
        <v>7376723</v>
      </c>
      <c r="C18765" s="1" t="str">
        <f>HYPERLINK("http://stackoverflow.com/users/7376723", "  Chang Wang")</f>
        <v xml:space="preserve">  Chang Wang</v>
      </c>
      <c r="D18765" t="s">
        <v>4</v>
      </c>
      <c r="E18765">
        <v>1</v>
      </c>
    </row>
    <row r="18766" spans="1:5" x14ac:dyDescent="0.25">
      <c r="A18766">
        <v>18765</v>
      </c>
      <c r="B18766">
        <v>5619665</v>
      </c>
      <c r="C18766" s="1" t="str">
        <f>HYPERLINK("http://stackoverflow.com/users/5619665", "adamchen")</f>
        <v>adamchen</v>
      </c>
      <c r="D18766" t="s">
        <v>4</v>
      </c>
      <c r="E18766">
        <v>1</v>
      </c>
    </row>
    <row r="18767" spans="1:5" x14ac:dyDescent="0.25">
      <c r="A18767">
        <v>18766</v>
      </c>
      <c r="B18767">
        <v>5628354</v>
      </c>
      <c r="C18767" s="1" t="str">
        <f>HYPERLINK("http://stackoverflow.com/users/5628354", "yangzhong")</f>
        <v>yangzhong</v>
      </c>
      <c r="D18767" t="s">
        <v>16</v>
      </c>
      <c r="E18767">
        <v>1</v>
      </c>
    </row>
    <row r="18768" spans="1:5" x14ac:dyDescent="0.25">
      <c r="A18768">
        <v>18767</v>
      </c>
      <c r="B18768">
        <v>11071084</v>
      </c>
      <c r="C18768" s="1" t="str">
        <f>HYPERLINK("http://stackoverflow.com/users/11071084", "bunnyxt")</f>
        <v>bunnyxt</v>
      </c>
      <c r="D18768" t="s">
        <v>55</v>
      </c>
      <c r="E18768">
        <v>1</v>
      </c>
    </row>
    <row r="18769" spans="1:5" x14ac:dyDescent="0.25">
      <c r="A18769">
        <v>18768</v>
      </c>
      <c r="B18769">
        <v>3847813</v>
      </c>
      <c r="C18769" s="1" t="str">
        <f>HYPERLINK("http://stackoverflow.com/users/3847813", "noahwang")</f>
        <v>noahwang</v>
      </c>
      <c r="D18769" t="s">
        <v>4</v>
      </c>
      <c r="E18769">
        <v>1</v>
      </c>
    </row>
    <row r="18770" spans="1:5" x14ac:dyDescent="0.25">
      <c r="A18770">
        <v>18769</v>
      </c>
      <c r="B18770">
        <v>5619870</v>
      </c>
      <c r="C18770" s="1" t="str">
        <f>HYPERLINK("http://stackoverflow.com/users/5619870", "zhengjie")</f>
        <v>zhengjie</v>
      </c>
      <c r="D18770" t="s">
        <v>55</v>
      </c>
      <c r="E18770">
        <v>1</v>
      </c>
    </row>
    <row r="18771" spans="1:5" x14ac:dyDescent="0.25">
      <c r="A18771">
        <v>18770</v>
      </c>
      <c r="B18771">
        <v>5619753</v>
      </c>
      <c r="C18771" s="1" t="str">
        <f>HYPERLINK("http://stackoverflow.com/users/5619753", "adleihao")</f>
        <v>adleihao</v>
      </c>
      <c r="D18771" t="s">
        <v>5</v>
      </c>
      <c r="E18771">
        <v>1</v>
      </c>
    </row>
    <row r="18772" spans="1:5" x14ac:dyDescent="0.25">
      <c r="A18772">
        <v>18771</v>
      </c>
      <c r="B18772">
        <v>11074274</v>
      </c>
      <c r="C18772" s="1" t="str">
        <f>HYPERLINK("http://stackoverflow.com/users/11074274", "Neverscenery")</f>
        <v>Neverscenery</v>
      </c>
      <c r="D18772" t="s">
        <v>16</v>
      </c>
      <c r="E18772">
        <v>1</v>
      </c>
    </row>
    <row r="18773" spans="1:5" x14ac:dyDescent="0.25">
      <c r="A18773">
        <v>18772</v>
      </c>
      <c r="B18773">
        <v>5632937</v>
      </c>
      <c r="C18773" s="1" t="str">
        <f>HYPERLINK("http://stackoverflow.com/users/5632937", "blackRoo")</f>
        <v>blackRoo</v>
      </c>
      <c r="D18773" t="s">
        <v>22</v>
      </c>
      <c r="E18773">
        <v>1</v>
      </c>
    </row>
    <row r="18774" spans="1:5" x14ac:dyDescent="0.25">
      <c r="A18774">
        <v>18773</v>
      </c>
      <c r="B18774">
        <v>5633028</v>
      </c>
      <c r="C18774" s="1" t="str">
        <f>HYPERLINK("http://stackoverflow.com/users/5633028", "Frank.Chan")</f>
        <v>Frank.Chan</v>
      </c>
      <c r="D18774" t="s">
        <v>17</v>
      </c>
      <c r="E18774">
        <v>1</v>
      </c>
    </row>
    <row r="18775" spans="1:5" x14ac:dyDescent="0.25">
      <c r="A18775">
        <v>18774</v>
      </c>
      <c r="B18775">
        <v>5633167</v>
      </c>
      <c r="C18775" s="1" t="str">
        <f>HYPERLINK("http://stackoverflow.com/users/5633167", "Hansen Wu")</f>
        <v>Hansen Wu</v>
      </c>
      <c r="D18775" t="s">
        <v>7</v>
      </c>
      <c r="E18775">
        <v>1</v>
      </c>
    </row>
    <row r="18776" spans="1:5" x14ac:dyDescent="0.25">
      <c r="A18776">
        <v>18775</v>
      </c>
      <c r="B18776">
        <v>5633235</v>
      </c>
      <c r="C18776" s="1" t="str">
        <f>HYPERLINK("http://stackoverflow.com/users/5633235", "limitemp")</f>
        <v>limitemp</v>
      </c>
      <c r="D18776" t="s">
        <v>25</v>
      </c>
      <c r="E18776">
        <v>1</v>
      </c>
    </row>
    <row r="18777" spans="1:5" x14ac:dyDescent="0.25">
      <c r="A18777">
        <v>18776</v>
      </c>
      <c r="B18777">
        <v>5633322</v>
      </c>
      <c r="C18777" s="1" t="str">
        <f>HYPERLINK("http://stackoverflow.com/users/5633322", "Lin Jianying")</f>
        <v>Lin Jianying</v>
      </c>
      <c r="D18777" t="s">
        <v>21</v>
      </c>
      <c r="E18777">
        <v>1</v>
      </c>
    </row>
    <row r="18778" spans="1:5" x14ac:dyDescent="0.25">
      <c r="A18778">
        <v>18777</v>
      </c>
      <c r="B18778">
        <v>11077757</v>
      </c>
      <c r="C18778" s="1" t="str">
        <f>HYPERLINK("http://stackoverflow.com/users/11077757", "Timeral Liu")</f>
        <v>Timeral Liu</v>
      </c>
      <c r="D18778" t="s">
        <v>541</v>
      </c>
      <c r="E18778">
        <v>1</v>
      </c>
    </row>
    <row r="18779" spans="1:5" x14ac:dyDescent="0.25">
      <c r="A18779">
        <v>18778</v>
      </c>
      <c r="B18779">
        <v>9283322</v>
      </c>
      <c r="C18779" s="1" t="str">
        <f>HYPERLINK("http://stackoverflow.com/users/9283322", "Hartnakig")</f>
        <v>Hartnakig</v>
      </c>
      <c r="D18779" t="s">
        <v>74</v>
      </c>
      <c r="E18779">
        <v>1</v>
      </c>
    </row>
    <row r="18780" spans="1:5" x14ac:dyDescent="0.25">
      <c r="A18780">
        <v>18779</v>
      </c>
      <c r="B18780">
        <v>9283536</v>
      </c>
      <c r="C18780" s="1" t="str">
        <f>HYPERLINK("http://stackoverflow.com/users/9283536", "J.Lihu")</f>
        <v>J.Lihu</v>
      </c>
      <c r="D18780" t="s">
        <v>1017</v>
      </c>
      <c r="E18780">
        <v>1</v>
      </c>
    </row>
    <row r="18781" spans="1:5" x14ac:dyDescent="0.25">
      <c r="A18781">
        <v>18780</v>
      </c>
      <c r="B18781">
        <v>11199056</v>
      </c>
      <c r="C18781" s="1" t="str">
        <f>HYPERLINK("http://stackoverflow.com/users/11199056", "Dotz")</f>
        <v>Dotz</v>
      </c>
      <c r="D18781" t="s">
        <v>4</v>
      </c>
      <c r="E18781">
        <v>1</v>
      </c>
    </row>
    <row r="18782" spans="1:5" x14ac:dyDescent="0.25">
      <c r="A18782">
        <v>18781</v>
      </c>
      <c r="B18782">
        <v>11199138</v>
      </c>
      <c r="C18782" s="1" t="str">
        <f>HYPERLINK("http://stackoverflow.com/users/11199138", "Raian Nahin")</f>
        <v>Raian Nahin</v>
      </c>
      <c r="D18782" t="s">
        <v>28</v>
      </c>
      <c r="E18782">
        <v>1</v>
      </c>
    </row>
    <row r="18783" spans="1:5" x14ac:dyDescent="0.25">
      <c r="A18783">
        <v>18782</v>
      </c>
      <c r="B18783">
        <v>9408447</v>
      </c>
      <c r="C18783" s="1" t="str">
        <f>HYPERLINK("http://stackoverflow.com/users/9408447", "Tom Green")</f>
        <v>Tom Green</v>
      </c>
      <c r="D18783" t="s">
        <v>5</v>
      </c>
      <c r="E18783">
        <v>1</v>
      </c>
    </row>
    <row r="18784" spans="1:5" x14ac:dyDescent="0.25">
      <c r="A18784">
        <v>18783</v>
      </c>
      <c r="B18784">
        <v>11202770</v>
      </c>
      <c r="C18784" s="1" t="str">
        <f>HYPERLINK("http://stackoverflow.com/users/11202770", "lin zheng")</f>
        <v>lin zheng</v>
      </c>
      <c r="D18784" t="s">
        <v>5</v>
      </c>
      <c r="E18784">
        <v>1</v>
      </c>
    </row>
    <row r="18785" spans="1:5" x14ac:dyDescent="0.25">
      <c r="A18785">
        <v>18784</v>
      </c>
      <c r="B18785">
        <v>7498419</v>
      </c>
      <c r="C18785" s="1" t="str">
        <f>HYPERLINK("http://stackoverflow.com/users/7498419", "Pu Yihua")</f>
        <v>Pu Yihua</v>
      </c>
      <c r="D18785" t="s">
        <v>4</v>
      </c>
      <c r="E18785">
        <v>1</v>
      </c>
    </row>
    <row r="18786" spans="1:5" x14ac:dyDescent="0.25">
      <c r="A18786">
        <v>18785</v>
      </c>
      <c r="B18786">
        <v>7498531</v>
      </c>
      <c r="C18786" s="1" t="str">
        <f>HYPERLINK("http://stackoverflow.com/users/7498531", "Mr. Wang")</f>
        <v>Mr. Wang</v>
      </c>
      <c r="D18786" t="s">
        <v>4</v>
      </c>
      <c r="E18786">
        <v>1</v>
      </c>
    </row>
    <row r="18787" spans="1:5" x14ac:dyDescent="0.25">
      <c r="A18787">
        <v>18786</v>
      </c>
      <c r="B18787">
        <v>5741907</v>
      </c>
      <c r="C18787" s="1" t="str">
        <f>HYPERLINK("http://stackoverflow.com/users/5741907", "Weijian Jee")</f>
        <v>Weijian Jee</v>
      </c>
      <c r="D18787" t="s">
        <v>168</v>
      </c>
      <c r="E18787">
        <v>1</v>
      </c>
    </row>
    <row r="18788" spans="1:5" x14ac:dyDescent="0.25">
      <c r="A18788">
        <v>18787</v>
      </c>
      <c r="B18788">
        <v>11206793</v>
      </c>
      <c r="C18788" s="1" t="str">
        <f>HYPERLINK("http://stackoverflow.com/users/11206793", "jianmei")</f>
        <v>jianmei</v>
      </c>
      <c r="D18788" t="s">
        <v>5</v>
      </c>
      <c r="E18788">
        <v>1</v>
      </c>
    </row>
    <row r="18789" spans="1:5" x14ac:dyDescent="0.25">
      <c r="A18789">
        <v>18788</v>
      </c>
      <c r="B18789">
        <v>7499028</v>
      </c>
      <c r="C18789" s="1" t="str">
        <f>HYPERLINK("http://stackoverflow.com/users/7499028", "Jinghua")</f>
        <v>Jinghua</v>
      </c>
      <c r="D18789" t="s">
        <v>5</v>
      </c>
      <c r="E18789">
        <v>1</v>
      </c>
    </row>
    <row r="18790" spans="1:5" x14ac:dyDescent="0.25">
      <c r="A18790">
        <v>18789</v>
      </c>
      <c r="B18790">
        <v>5746967</v>
      </c>
      <c r="C18790" s="1" t="str">
        <f>HYPERLINK("http://stackoverflow.com/users/5746967", "polly 王")</f>
        <v>polly 王</v>
      </c>
      <c r="D18790" t="s">
        <v>4</v>
      </c>
      <c r="E18790">
        <v>1</v>
      </c>
    </row>
    <row r="18791" spans="1:5" x14ac:dyDescent="0.25">
      <c r="A18791">
        <v>18790</v>
      </c>
      <c r="B18791">
        <v>3970173</v>
      </c>
      <c r="C18791" s="1" t="str">
        <f>HYPERLINK("http://stackoverflow.com/users/3970173", "Guoliang Wang")</f>
        <v>Guoliang Wang</v>
      </c>
      <c r="D18791" t="s">
        <v>325</v>
      </c>
      <c r="E18791">
        <v>1</v>
      </c>
    </row>
    <row r="18792" spans="1:5" x14ac:dyDescent="0.25">
      <c r="A18792">
        <v>18791</v>
      </c>
      <c r="B18792">
        <v>3970205</v>
      </c>
      <c r="C18792" s="1" t="str">
        <f>HYPERLINK("http://stackoverflow.com/users/3970205", "jzone wang")</f>
        <v>jzone wang</v>
      </c>
      <c r="D18792" t="s">
        <v>4</v>
      </c>
      <c r="E18792">
        <v>1</v>
      </c>
    </row>
    <row r="18793" spans="1:5" x14ac:dyDescent="0.25">
      <c r="A18793">
        <v>18792</v>
      </c>
      <c r="B18793">
        <v>3973947</v>
      </c>
      <c r="C18793" s="1" t="str">
        <f>HYPERLINK("http://stackoverflow.com/users/3973947", "Linda")</f>
        <v>Linda</v>
      </c>
      <c r="D18793" t="s">
        <v>4</v>
      </c>
      <c r="E18793">
        <v>1</v>
      </c>
    </row>
    <row r="18794" spans="1:5" x14ac:dyDescent="0.25">
      <c r="A18794">
        <v>18793</v>
      </c>
      <c r="B18794">
        <v>3958491</v>
      </c>
      <c r="C18794" s="1" t="str">
        <f>HYPERLINK("http://stackoverflow.com/users/3958491", "inetacadproj")</f>
        <v>inetacadproj</v>
      </c>
      <c r="D18794" t="s">
        <v>1018</v>
      </c>
      <c r="E18794">
        <v>1</v>
      </c>
    </row>
    <row r="18795" spans="1:5" x14ac:dyDescent="0.25">
      <c r="A18795">
        <v>18794</v>
      </c>
      <c r="B18795">
        <v>3958811</v>
      </c>
      <c r="C18795" s="1" t="str">
        <f>HYPERLINK("http://stackoverflow.com/users/3958811", "Trevor")</f>
        <v>Trevor</v>
      </c>
      <c r="D18795" t="s">
        <v>7</v>
      </c>
      <c r="E18795">
        <v>1</v>
      </c>
    </row>
    <row r="18796" spans="1:5" x14ac:dyDescent="0.25">
      <c r="A18796">
        <v>18795</v>
      </c>
      <c r="B18796">
        <v>2187193</v>
      </c>
      <c r="C18796" s="1" t="str">
        <f>HYPERLINK("http://stackoverflow.com/users/2187193", "sunl1te")</f>
        <v>sunl1te</v>
      </c>
      <c r="D18796" t="s">
        <v>5</v>
      </c>
      <c r="E18796">
        <v>1</v>
      </c>
    </row>
    <row r="18797" spans="1:5" x14ac:dyDescent="0.25">
      <c r="A18797">
        <v>18796</v>
      </c>
      <c r="B18797">
        <v>5735310</v>
      </c>
      <c r="C18797" s="1" t="str">
        <f>HYPERLINK("http://stackoverflow.com/users/5735310", "xiah")</f>
        <v>xiah</v>
      </c>
      <c r="D18797" t="s">
        <v>5</v>
      </c>
      <c r="E18797">
        <v>1</v>
      </c>
    </row>
    <row r="18798" spans="1:5" x14ac:dyDescent="0.25">
      <c r="A18798">
        <v>18797</v>
      </c>
      <c r="B18798">
        <v>5735379</v>
      </c>
      <c r="C18798" s="1" t="str">
        <f>HYPERLINK("http://stackoverflow.com/users/5735379", "zhonli")</f>
        <v>zhonli</v>
      </c>
      <c r="D18798" t="s">
        <v>5</v>
      </c>
      <c r="E18798">
        <v>1</v>
      </c>
    </row>
    <row r="18799" spans="1:5" x14ac:dyDescent="0.25">
      <c r="A18799">
        <v>18798</v>
      </c>
      <c r="B18799">
        <v>7490834</v>
      </c>
      <c r="C18799" s="1" t="str">
        <f>HYPERLINK("http://stackoverflow.com/users/7490834", "Devshoo")</f>
        <v>Devshoo</v>
      </c>
      <c r="D18799" t="s">
        <v>270</v>
      </c>
      <c r="E18799">
        <v>1</v>
      </c>
    </row>
    <row r="18800" spans="1:5" x14ac:dyDescent="0.25">
      <c r="A18800">
        <v>18799</v>
      </c>
      <c r="B18800">
        <v>11194988</v>
      </c>
      <c r="C18800" s="1" t="str">
        <f>HYPERLINK("http://stackoverflow.com/users/11194988", "FeanCheng")</f>
        <v>FeanCheng</v>
      </c>
      <c r="D18800" t="s">
        <v>15</v>
      </c>
      <c r="E18800">
        <v>1</v>
      </c>
    </row>
    <row r="18801" spans="1:5" x14ac:dyDescent="0.25">
      <c r="A18801">
        <v>18800</v>
      </c>
      <c r="B18801">
        <v>5741959</v>
      </c>
      <c r="C18801" s="1" t="str">
        <f>HYPERLINK("http://stackoverflow.com/users/5741959", "XiaoLei.Shi")</f>
        <v>XiaoLei.Shi</v>
      </c>
      <c r="D18801" t="s">
        <v>17</v>
      </c>
      <c r="E18801">
        <v>1</v>
      </c>
    </row>
    <row r="18802" spans="1:5" x14ac:dyDescent="0.25">
      <c r="A18802">
        <v>18801</v>
      </c>
      <c r="B18802">
        <v>5742361</v>
      </c>
      <c r="C18802" s="1" t="str">
        <f>HYPERLINK("http://stackoverflow.com/users/5742361", "xiaofei")</f>
        <v>xiaofei</v>
      </c>
      <c r="D18802" t="s">
        <v>5</v>
      </c>
      <c r="E18802">
        <v>1</v>
      </c>
    </row>
    <row r="18803" spans="1:5" x14ac:dyDescent="0.25">
      <c r="A18803">
        <v>18802</v>
      </c>
      <c r="B18803">
        <v>5742503</v>
      </c>
      <c r="C18803" s="1" t="str">
        <f>HYPERLINK("http://stackoverflow.com/users/5742503", "Yezersky")</f>
        <v>Yezersky</v>
      </c>
      <c r="D18803" t="s">
        <v>4</v>
      </c>
      <c r="E18803">
        <v>1</v>
      </c>
    </row>
    <row r="18804" spans="1:5" x14ac:dyDescent="0.25">
      <c r="A18804">
        <v>18803</v>
      </c>
      <c r="B18804">
        <v>5742529</v>
      </c>
      <c r="C18804" s="1" t="str">
        <f>HYPERLINK("http://stackoverflow.com/users/5742529", "Felix Chen")</f>
        <v>Felix Chen</v>
      </c>
      <c r="D18804" t="s">
        <v>4</v>
      </c>
      <c r="E18804">
        <v>1</v>
      </c>
    </row>
    <row r="18805" spans="1:5" x14ac:dyDescent="0.25">
      <c r="A18805">
        <v>18804</v>
      </c>
      <c r="B18805">
        <v>9404171</v>
      </c>
      <c r="C18805" s="1" t="str">
        <f>HYPERLINK("http://stackoverflow.com/users/9404171", "Matteo Swift")</f>
        <v>Matteo Swift</v>
      </c>
      <c r="D18805" t="s">
        <v>5</v>
      </c>
      <c r="E18805">
        <v>1</v>
      </c>
    </row>
    <row r="18806" spans="1:5" x14ac:dyDescent="0.25">
      <c r="A18806">
        <v>18805</v>
      </c>
      <c r="B18806">
        <v>9404343</v>
      </c>
      <c r="C18806" s="1" t="str">
        <f>HYPERLINK("http://stackoverflow.com/users/9404343", "GuoCai Lee")</f>
        <v>GuoCai Lee</v>
      </c>
      <c r="D18806" t="s">
        <v>15</v>
      </c>
      <c r="E18806">
        <v>1</v>
      </c>
    </row>
    <row r="18807" spans="1:5" x14ac:dyDescent="0.25">
      <c r="A18807">
        <v>18806</v>
      </c>
      <c r="B18807">
        <v>9404697</v>
      </c>
      <c r="C18807" s="1" t="str">
        <f>HYPERLINK("http://stackoverflow.com/users/9404697", "Li Gavin")</f>
        <v>Li Gavin</v>
      </c>
      <c r="D18807" t="s">
        <v>4</v>
      </c>
      <c r="E18807">
        <v>1</v>
      </c>
    </row>
    <row r="18808" spans="1:5" x14ac:dyDescent="0.25">
      <c r="A18808">
        <v>18807</v>
      </c>
      <c r="B18808">
        <v>11169536</v>
      </c>
      <c r="C18808" s="1" t="str">
        <f>HYPERLINK("http://stackoverflow.com/users/11169536", "user11169536")</f>
        <v>user11169536</v>
      </c>
      <c r="D18808" t="s">
        <v>5</v>
      </c>
      <c r="E18808">
        <v>1</v>
      </c>
    </row>
    <row r="18809" spans="1:5" x14ac:dyDescent="0.25">
      <c r="A18809">
        <v>18808</v>
      </c>
      <c r="B18809">
        <v>11169592</v>
      </c>
      <c r="C18809" s="1" t="str">
        <f>HYPERLINK("http://stackoverflow.com/users/11169592", "depalletizers")</f>
        <v>depalletizers</v>
      </c>
      <c r="D18809" t="s">
        <v>4</v>
      </c>
      <c r="E18809">
        <v>1</v>
      </c>
    </row>
    <row r="18810" spans="1:5" x14ac:dyDescent="0.25">
      <c r="A18810">
        <v>18809</v>
      </c>
      <c r="B18810">
        <v>11169832</v>
      </c>
      <c r="C18810" s="1" t="str">
        <f>HYPERLINK("http://stackoverflow.com/users/11169832", "Saturn")</f>
        <v>Saturn</v>
      </c>
      <c r="D18810" t="s">
        <v>4</v>
      </c>
      <c r="E18810">
        <v>1</v>
      </c>
    </row>
    <row r="18811" spans="1:5" x14ac:dyDescent="0.25">
      <c r="A18811">
        <v>18810</v>
      </c>
      <c r="B18811">
        <v>11170081</v>
      </c>
      <c r="C18811" s="1" t="str">
        <f>HYPERLINK("http://stackoverflow.com/users/11170081", "srt180")</f>
        <v>srt180</v>
      </c>
      <c r="D18811" t="s">
        <v>16</v>
      </c>
      <c r="E18811">
        <v>1</v>
      </c>
    </row>
    <row r="18812" spans="1:5" x14ac:dyDescent="0.25">
      <c r="A18812">
        <v>18811</v>
      </c>
      <c r="B18812">
        <v>2182219</v>
      </c>
      <c r="C18812" s="1" t="str">
        <f>HYPERLINK("http://stackoverflow.com/users/2182219", "PEIQIAO")</f>
        <v>PEIQIAO</v>
      </c>
      <c r="D18812" t="s">
        <v>4</v>
      </c>
      <c r="E18812">
        <v>1</v>
      </c>
    </row>
    <row r="18813" spans="1:5" x14ac:dyDescent="0.25">
      <c r="A18813">
        <v>18812</v>
      </c>
      <c r="B18813">
        <v>2182479</v>
      </c>
      <c r="C18813" s="1" t="str">
        <f>HYPERLINK("http://stackoverflow.com/users/2182479", "liyang_hawk")</f>
        <v>liyang_hawk</v>
      </c>
      <c r="D18813" t="s">
        <v>5</v>
      </c>
      <c r="E18813">
        <v>1</v>
      </c>
    </row>
    <row r="18814" spans="1:5" x14ac:dyDescent="0.25">
      <c r="A18814">
        <v>18813</v>
      </c>
      <c r="B18814">
        <v>2183367</v>
      </c>
      <c r="C18814" s="1" t="str">
        <f>HYPERLINK("http://stackoverflow.com/users/2183367", "zhangguanqun")</f>
        <v>zhangguanqun</v>
      </c>
      <c r="D18814" t="s">
        <v>5</v>
      </c>
      <c r="E18814">
        <v>1</v>
      </c>
    </row>
    <row r="18815" spans="1:5" x14ac:dyDescent="0.25">
      <c r="A18815">
        <v>18814</v>
      </c>
      <c r="B18815">
        <v>5723364</v>
      </c>
      <c r="C18815" s="1" t="str">
        <f>HYPERLINK("http://stackoverflow.com/users/5723364", "david")</f>
        <v>david</v>
      </c>
      <c r="D18815" t="s">
        <v>25</v>
      </c>
      <c r="E18815">
        <v>1</v>
      </c>
    </row>
    <row r="18816" spans="1:5" x14ac:dyDescent="0.25">
      <c r="A18816">
        <v>18815</v>
      </c>
      <c r="B18816">
        <v>7472043</v>
      </c>
      <c r="C18816" s="1" t="str">
        <f>HYPERLINK("http://stackoverflow.com/users/7472043", "alan")</f>
        <v>alan</v>
      </c>
      <c r="D18816" t="s">
        <v>42</v>
      </c>
      <c r="E18816">
        <v>1</v>
      </c>
    </row>
    <row r="18817" spans="1:5" x14ac:dyDescent="0.25">
      <c r="A18817">
        <v>18816</v>
      </c>
      <c r="B18817">
        <v>7472124</v>
      </c>
      <c r="C18817" s="1" t="str">
        <f>HYPERLINK("http://stackoverflow.com/users/7472124", "The NetCircle")</f>
        <v>The NetCircle</v>
      </c>
      <c r="D18817" t="s">
        <v>4</v>
      </c>
      <c r="E18817">
        <v>1</v>
      </c>
    </row>
    <row r="18818" spans="1:5" x14ac:dyDescent="0.25">
      <c r="A18818">
        <v>18817</v>
      </c>
      <c r="B18818">
        <v>5727242</v>
      </c>
      <c r="C18818" s="1" t="str">
        <f>HYPERLINK("http://stackoverflow.com/users/5727242", "Zhenwen Wang")</f>
        <v>Zhenwen Wang</v>
      </c>
      <c r="D18818" t="s">
        <v>4</v>
      </c>
      <c r="E18818">
        <v>1</v>
      </c>
    </row>
    <row r="18819" spans="1:5" x14ac:dyDescent="0.25">
      <c r="A18819">
        <v>18818</v>
      </c>
      <c r="B18819">
        <v>5727454</v>
      </c>
      <c r="C18819" s="1" t="str">
        <f>HYPERLINK("http://stackoverflow.com/users/5727454", "Juson")</f>
        <v>Juson</v>
      </c>
      <c r="D18819" t="s">
        <v>1019</v>
      </c>
      <c r="E18819">
        <v>1</v>
      </c>
    </row>
    <row r="18820" spans="1:5" x14ac:dyDescent="0.25">
      <c r="A18820">
        <v>18819</v>
      </c>
      <c r="B18820">
        <v>9387809</v>
      </c>
      <c r="C18820" s="1" t="str">
        <f>HYPERLINK("http://stackoverflow.com/users/9387809", "Lee")</f>
        <v>Lee</v>
      </c>
      <c r="D18820" t="s">
        <v>4</v>
      </c>
      <c r="E18820">
        <v>1</v>
      </c>
    </row>
    <row r="18821" spans="1:5" x14ac:dyDescent="0.25">
      <c r="A18821">
        <v>18820</v>
      </c>
      <c r="B18821">
        <v>3954659</v>
      </c>
      <c r="C18821" s="1" t="str">
        <f>HYPERLINK("http://stackoverflow.com/users/3954659", "Zhang Linqi")</f>
        <v>Zhang Linqi</v>
      </c>
      <c r="D18821" t="s">
        <v>5</v>
      </c>
      <c r="E18821">
        <v>1</v>
      </c>
    </row>
    <row r="18822" spans="1:5" x14ac:dyDescent="0.25">
      <c r="A18822">
        <v>18821</v>
      </c>
      <c r="B18822">
        <v>3954747</v>
      </c>
      <c r="C18822" s="1" t="str">
        <f>HYPERLINK("http://stackoverflow.com/users/3954747", "Eric")</f>
        <v>Eric</v>
      </c>
      <c r="D18822" t="s">
        <v>5</v>
      </c>
      <c r="E18822">
        <v>1</v>
      </c>
    </row>
    <row r="18823" spans="1:5" x14ac:dyDescent="0.25">
      <c r="A18823">
        <v>18822</v>
      </c>
      <c r="B18823">
        <v>3954755</v>
      </c>
      <c r="C18823" s="1" t="str">
        <f>HYPERLINK("http://stackoverflow.com/users/3954755", "Yunfan Zhang")</f>
        <v>Yunfan Zhang</v>
      </c>
      <c r="D18823" t="s">
        <v>4</v>
      </c>
      <c r="E18823">
        <v>1</v>
      </c>
    </row>
    <row r="18824" spans="1:5" x14ac:dyDescent="0.25">
      <c r="A18824">
        <v>18823</v>
      </c>
      <c r="B18824">
        <v>3954799</v>
      </c>
      <c r="C18824" s="1" t="str">
        <f>HYPERLINK("http://stackoverflow.com/users/3954799", "Cary")</f>
        <v>Cary</v>
      </c>
      <c r="D18824" t="s">
        <v>8</v>
      </c>
      <c r="E18824">
        <v>1</v>
      </c>
    </row>
    <row r="18825" spans="1:5" x14ac:dyDescent="0.25">
      <c r="A18825">
        <v>18824</v>
      </c>
      <c r="B18825">
        <v>5730772</v>
      </c>
      <c r="C18825" s="1" t="str">
        <f>HYPERLINK("http://stackoverflow.com/users/5730772", "Uyghur_Java")</f>
        <v>Uyghur_Java</v>
      </c>
      <c r="D18825" t="s">
        <v>5</v>
      </c>
      <c r="E18825">
        <v>1</v>
      </c>
    </row>
    <row r="18826" spans="1:5" x14ac:dyDescent="0.25">
      <c r="A18826">
        <v>18825</v>
      </c>
      <c r="B18826">
        <v>9395534</v>
      </c>
      <c r="C18826" s="1" t="str">
        <f>HYPERLINK("http://stackoverflow.com/users/9395534", "毕立君")</f>
        <v>毕立君</v>
      </c>
      <c r="D18826" t="s">
        <v>16</v>
      </c>
      <c r="E18826">
        <v>1</v>
      </c>
    </row>
    <row r="18827" spans="1:5" x14ac:dyDescent="0.25">
      <c r="A18827">
        <v>18826</v>
      </c>
      <c r="B18827">
        <v>9395689</v>
      </c>
      <c r="C18827" s="1" t="str">
        <f>HYPERLINK("http://stackoverflow.com/users/9395689", "Guan Wang")</f>
        <v>Guan Wang</v>
      </c>
      <c r="D18827" t="s">
        <v>4</v>
      </c>
      <c r="E18827">
        <v>1</v>
      </c>
    </row>
    <row r="18828" spans="1:5" x14ac:dyDescent="0.25">
      <c r="A18828">
        <v>18827</v>
      </c>
      <c r="B18828">
        <v>9395709</v>
      </c>
      <c r="C18828" s="1" t="str">
        <f>HYPERLINK("http://stackoverflow.com/users/9395709", "cuiccc2014")</f>
        <v>cuiccc2014</v>
      </c>
      <c r="D18828" t="s">
        <v>486</v>
      </c>
      <c r="E18828">
        <v>1</v>
      </c>
    </row>
    <row r="18829" spans="1:5" x14ac:dyDescent="0.25">
      <c r="A18829">
        <v>18828</v>
      </c>
      <c r="B18829">
        <v>2201318</v>
      </c>
      <c r="C18829" s="1" t="str">
        <f>HYPERLINK("http://stackoverflow.com/users/2201318", "IterLife")</f>
        <v>IterLife</v>
      </c>
      <c r="D18829" t="s">
        <v>5</v>
      </c>
      <c r="E18829">
        <v>1</v>
      </c>
    </row>
    <row r="18830" spans="1:5" x14ac:dyDescent="0.25">
      <c r="A18830">
        <v>18829</v>
      </c>
      <c r="B18830">
        <v>2186809</v>
      </c>
      <c r="C18830" s="1" t="str">
        <f>HYPERLINK("http://stackoverflow.com/users/2186809", "Eric")</f>
        <v>Eric</v>
      </c>
      <c r="D18830" t="s">
        <v>4</v>
      </c>
      <c r="E18830">
        <v>1</v>
      </c>
    </row>
    <row r="18831" spans="1:5" x14ac:dyDescent="0.25">
      <c r="A18831">
        <v>18830</v>
      </c>
      <c r="B18831">
        <v>2186402</v>
      </c>
      <c r="C18831" s="1" t="str">
        <f>HYPERLINK("http://stackoverflow.com/users/2186402", "DrawMyThing")</f>
        <v>DrawMyThing</v>
      </c>
      <c r="D18831" t="s">
        <v>5</v>
      </c>
      <c r="E18831">
        <v>1</v>
      </c>
    </row>
    <row r="18832" spans="1:5" x14ac:dyDescent="0.25">
      <c r="A18832">
        <v>18831</v>
      </c>
      <c r="B18832">
        <v>2201448</v>
      </c>
      <c r="C18832" s="1" t="str">
        <f>HYPERLINK("http://stackoverflow.com/users/2201448", "caoliang")</f>
        <v>caoliang</v>
      </c>
      <c r="D18832" t="s">
        <v>5</v>
      </c>
      <c r="E18832">
        <v>1</v>
      </c>
    </row>
    <row r="18833" spans="1:5" x14ac:dyDescent="0.25">
      <c r="A18833">
        <v>18832</v>
      </c>
      <c r="B18833">
        <v>2201745</v>
      </c>
      <c r="C18833" s="1" t="str">
        <f>HYPERLINK("http://stackoverflow.com/users/2201745", "ladyxx")</f>
        <v>ladyxx</v>
      </c>
      <c r="D18833" t="s">
        <v>8</v>
      </c>
      <c r="E18833">
        <v>1</v>
      </c>
    </row>
    <row r="18834" spans="1:5" x14ac:dyDescent="0.25">
      <c r="A18834">
        <v>18833</v>
      </c>
      <c r="B18834">
        <v>2201767</v>
      </c>
      <c r="C18834" s="1" t="str">
        <f>HYPERLINK("http://stackoverflow.com/users/2201767", "steven.y.shao")</f>
        <v>steven.y.shao</v>
      </c>
      <c r="D18834" t="s">
        <v>22</v>
      </c>
      <c r="E18834">
        <v>1</v>
      </c>
    </row>
    <row r="18835" spans="1:5" x14ac:dyDescent="0.25">
      <c r="A18835">
        <v>18834</v>
      </c>
      <c r="B18835">
        <v>5664209</v>
      </c>
      <c r="C18835" s="1" t="str">
        <f>HYPERLINK("http://stackoverflow.com/users/5664209", "latys")</f>
        <v>latys</v>
      </c>
      <c r="D18835" t="s">
        <v>5</v>
      </c>
      <c r="E18835">
        <v>1</v>
      </c>
    </row>
    <row r="18836" spans="1:5" x14ac:dyDescent="0.25">
      <c r="A18836">
        <v>18835</v>
      </c>
      <c r="B18836">
        <v>5664377</v>
      </c>
      <c r="C18836" s="1" t="str">
        <f>HYPERLINK("http://stackoverflow.com/users/5664377", "Wallace.Rice")</f>
        <v>Wallace.Rice</v>
      </c>
      <c r="D18836" t="s">
        <v>56</v>
      </c>
      <c r="E18836">
        <v>1</v>
      </c>
    </row>
    <row r="18837" spans="1:5" x14ac:dyDescent="0.25">
      <c r="A18837">
        <v>18836</v>
      </c>
      <c r="B18837">
        <v>5664448</v>
      </c>
      <c r="C18837" s="1" t="str">
        <f>HYPERLINK("http://stackoverflow.com/users/5664448", "Adar")</f>
        <v>Adar</v>
      </c>
      <c r="D18837" t="s">
        <v>427</v>
      </c>
      <c r="E18837">
        <v>1</v>
      </c>
    </row>
    <row r="18838" spans="1:5" x14ac:dyDescent="0.25">
      <c r="A18838">
        <v>18837</v>
      </c>
      <c r="B18838">
        <v>5667455</v>
      </c>
      <c r="C18838" s="1" t="str">
        <f>HYPERLINK("http://stackoverflow.com/users/5667455", "Haile Qin")</f>
        <v>Haile Qin</v>
      </c>
      <c r="D18838" t="s">
        <v>291</v>
      </c>
      <c r="E18838">
        <v>1</v>
      </c>
    </row>
    <row r="18839" spans="1:5" x14ac:dyDescent="0.25">
      <c r="A18839">
        <v>18838</v>
      </c>
      <c r="B18839">
        <v>7425781</v>
      </c>
      <c r="C18839" s="1" t="str">
        <f>HYPERLINK("http://stackoverflow.com/users/7425781", "chefwen")</f>
        <v>chefwen</v>
      </c>
      <c r="D18839" t="s">
        <v>5</v>
      </c>
      <c r="E18839">
        <v>1</v>
      </c>
    </row>
    <row r="18840" spans="1:5" x14ac:dyDescent="0.25">
      <c r="A18840">
        <v>18839</v>
      </c>
      <c r="B18840">
        <v>9322411</v>
      </c>
      <c r="C18840" s="1" t="str">
        <f>HYPERLINK("http://stackoverflow.com/users/9322411", "Roman Jin")</f>
        <v>Roman Jin</v>
      </c>
      <c r="D18840" t="s">
        <v>74</v>
      </c>
      <c r="E18840">
        <v>1</v>
      </c>
    </row>
    <row r="18841" spans="1:5" x14ac:dyDescent="0.25">
      <c r="A18841">
        <v>18840</v>
      </c>
      <c r="B18841">
        <v>7428969</v>
      </c>
      <c r="C18841" s="1" t="str">
        <f>HYPERLINK("http://stackoverflow.com/users/7428969", "ZhangLue")</f>
        <v>ZhangLue</v>
      </c>
      <c r="D18841" t="s">
        <v>5</v>
      </c>
      <c r="E18841">
        <v>1</v>
      </c>
    </row>
    <row r="18842" spans="1:5" x14ac:dyDescent="0.25">
      <c r="A18842">
        <v>18841</v>
      </c>
      <c r="B18842">
        <v>7429182</v>
      </c>
      <c r="C18842" s="1" t="str">
        <f>HYPERLINK("http://stackoverflow.com/users/7429182", "Gabe Zhao")</f>
        <v>Gabe Zhao</v>
      </c>
      <c r="D18842" t="s">
        <v>4</v>
      </c>
      <c r="E18842">
        <v>1</v>
      </c>
    </row>
    <row r="18843" spans="1:5" x14ac:dyDescent="0.25">
      <c r="A18843">
        <v>18842</v>
      </c>
      <c r="B18843">
        <v>2125836</v>
      </c>
      <c r="C18843" s="1" t="str">
        <f>HYPERLINK("http://stackoverflow.com/users/2125836", "wldouglas")</f>
        <v>wldouglas</v>
      </c>
      <c r="D18843" t="s">
        <v>4</v>
      </c>
      <c r="E18843">
        <v>1</v>
      </c>
    </row>
    <row r="18844" spans="1:5" x14ac:dyDescent="0.25">
      <c r="A18844">
        <v>18843</v>
      </c>
      <c r="B18844">
        <v>2126072</v>
      </c>
      <c r="C18844" s="1" t="str">
        <f>HYPERLINK("http://stackoverflow.com/users/2126072", "lankeren")</f>
        <v>lankeren</v>
      </c>
      <c r="D18844" t="s">
        <v>277</v>
      </c>
      <c r="E18844">
        <v>1</v>
      </c>
    </row>
    <row r="18845" spans="1:5" x14ac:dyDescent="0.25">
      <c r="A18845">
        <v>18844</v>
      </c>
      <c r="B18845">
        <v>9326028</v>
      </c>
      <c r="C18845" s="1" t="str">
        <f>HYPERLINK("http://stackoverflow.com/users/9326028", "massageballa")</f>
        <v>massageballa</v>
      </c>
      <c r="D18845" t="s">
        <v>1020</v>
      </c>
      <c r="E18845">
        <v>1</v>
      </c>
    </row>
    <row r="18846" spans="1:5" x14ac:dyDescent="0.25">
      <c r="A18846">
        <v>18845</v>
      </c>
      <c r="B18846">
        <v>11119694</v>
      </c>
      <c r="C18846" s="1" t="str">
        <f>HYPERLINK("http://stackoverflow.com/users/11119694", "bellz")</f>
        <v>bellz</v>
      </c>
      <c r="D18846" t="s">
        <v>21</v>
      </c>
      <c r="E18846">
        <v>1</v>
      </c>
    </row>
    <row r="18847" spans="1:5" x14ac:dyDescent="0.25">
      <c r="A18847">
        <v>18846</v>
      </c>
      <c r="B18847">
        <v>9326674</v>
      </c>
      <c r="C18847" s="1" t="str">
        <f>HYPERLINK("http://stackoverflow.com/users/9326674", "zyc_love_study")</f>
        <v>zyc_love_study</v>
      </c>
      <c r="D18847" t="s">
        <v>4</v>
      </c>
      <c r="E18847">
        <v>1</v>
      </c>
    </row>
    <row r="18848" spans="1:5" x14ac:dyDescent="0.25">
      <c r="A18848">
        <v>18847</v>
      </c>
      <c r="B18848">
        <v>11123575</v>
      </c>
      <c r="C18848" s="1" t="str">
        <f>HYPERLINK("http://stackoverflow.com/users/11123575", "WangZha")</f>
        <v>WangZha</v>
      </c>
      <c r="D18848" t="s">
        <v>52</v>
      </c>
      <c r="E18848">
        <v>1</v>
      </c>
    </row>
    <row r="18849" spans="1:5" x14ac:dyDescent="0.25">
      <c r="A18849">
        <v>18848</v>
      </c>
      <c r="B18849">
        <v>9330517</v>
      </c>
      <c r="C18849" s="1" t="str">
        <f>HYPERLINK("http://stackoverflow.com/users/9330517", "daijun peng")</f>
        <v>daijun peng</v>
      </c>
      <c r="D18849" t="s">
        <v>7</v>
      </c>
      <c r="E18849">
        <v>1</v>
      </c>
    </row>
    <row r="18850" spans="1:5" x14ac:dyDescent="0.25">
      <c r="A18850">
        <v>18849</v>
      </c>
      <c r="B18850">
        <v>9330926</v>
      </c>
      <c r="C18850" s="1" t="str">
        <f>HYPERLINK("http://stackoverflow.com/users/9330926", "Dedik Romahadi")</f>
        <v>Dedik Romahadi</v>
      </c>
      <c r="D18850" t="s">
        <v>5</v>
      </c>
      <c r="E18850">
        <v>1</v>
      </c>
    </row>
    <row r="18851" spans="1:5" x14ac:dyDescent="0.25">
      <c r="A18851">
        <v>18850</v>
      </c>
      <c r="B18851">
        <v>2130774</v>
      </c>
      <c r="C18851" s="1" t="str">
        <f>HYPERLINK("http://stackoverflow.com/users/2130774", "Pelian")</f>
        <v>Pelian</v>
      </c>
      <c r="D18851" t="s">
        <v>62</v>
      </c>
      <c r="E18851">
        <v>1</v>
      </c>
    </row>
    <row r="18852" spans="1:5" x14ac:dyDescent="0.25">
      <c r="A18852">
        <v>18851</v>
      </c>
      <c r="B18852">
        <v>2147312</v>
      </c>
      <c r="C18852" s="1" t="str">
        <f>HYPERLINK("http://stackoverflow.com/users/2147312", "Xinxin")</f>
        <v>Xinxin</v>
      </c>
      <c r="D18852" t="s">
        <v>5</v>
      </c>
      <c r="E18852">
        <v>1</v>
      </c>
    </row>
    <row r="18853" spans="1:5" x14ac:dyDescent="0.25">
      <c r="A18853">
        <v>18852</v>
      </c>
      <c r="B18853">
        <v>2147314</v>
      </c>
      <c r="C18853" s="1" t="str">
        <f>HYPERLINK("http://stackoverflow.com/users/2147314", "Yong")</f>
        <v>Yong</v>
      </c>
      <c r="D18853" t="s">
        <v>4</v>
      </c>
      <c r="E18853">
        <v>1</v>
      </c>
    </row>
    <row r="18854" spans="1:5" x14ac:dyDescent="0.25">
      <c r="A18854">
        <v>18853</v>
      </c>
      <c r="B18854">
        <v>2147364</v>
      </c>
      <c r="C18854" s="1" t="str">
        <f>HYPERLINK("http://stackoverflow.com/users/2147364", "William Zhu")</f>
        <v>William Zhu</v>
      </c>
      <c r="D18854" t="s">
        <v>5</v>
      </c>
      <c r="E18854">
        <v>1</v>
      </c>
    </row>
    <row r="18855" spans="1:5" x14ac:dyDescent="0.25">
      <c r="A18855">
        <v>18854</v>
      </c>
      <c r="B18855">
        <v>2147494</v>
      </c>
      <c r="C18855" s="1" t="str">
        <f>HYPERLINK("http://stackoverflow.com/users/2147494", "Chad Zhang")</f>
        <v>Chad Zhang</v>
      </c>
      <c r="D18855" t="s">
        <v>5</v>
      </c>
      <c r="E18855">
        <v>1</v>
      </c>
    </row>
    <row r="18856" spans="1:5" x14ac:dyDescent="0.25">
      <c r="A18856">
        <v>18855</v>
      </c>
      <c r="B18856">
        <v>2130787</v>
      </c>
      <c r="C18856" s="1" t="str">
        <f>HYPERLINK("http://stackoverflow.com/users/2130787", "mdjhny")</f>
        <v>mdjhny</v>
      </c>
      <c r="D18856" t="s">
        <v>17</v>
      </c>
      <c r="E18856">
        <v>1</v>
      </c>
    </row>
    <row r="18857" spans="1:5" x14ac:dyDescent="0.25">
      <c r="A18857">
        <v>18856</v>
      </c>
      <c r="B18857">
        <v>2130914</v>
      </c>
      <c r="C18857" s="1" t="str">
        <f>HYPERLINK("http://stackoverflow.com/users/2130914", "balaamwe")</f>
        <v>balaamwe</v>
      </c>
      <c r="D18857" t="s">
        <v>8</v>
      </c>
      <c r="E18857">
        <v>1</v>
      </c>
    </row>
    <row r="18858" spans="1:5" x14ac:dyDescent="0.25">
      <c r="A18858">
        <v>18857</v>
      </c>
      <c r="B18858">
        <v>2131069</v>
      </c>
      <c r="C18858" s="1" t="str">
        <f>HYPERLINK("http://stackoverflow.com/users/2131069", "Haifeng")</f>
        <v>Haifeng</v>
      </c>
      <c r="D18858" t="s">
        <v>5</v>
      </c>
      <c r="E18858">
        <v>1</v>
      </c>
    </row>
    <row r="18859" spans="1:5" x14ac:dyDescent="0.25">
      <c r="A18859">
        <v>18858</v>
      </c>
      <c r="B18859">
        <v>2134633</v>
      </c>
      <c r="C18859" s="1" t="str">
        <f>HYPERLINK("http://stackoverflow.com/users/2134633", "Hucheng Guo")</f>
        <v>Hucheng Guo</v>
      </c>
      <c r="D18859" t="s">
        <v>5</v>
      </c>
      <c r="E18859">
        <v>1</v>
      </c>
    </row>
    <row r="18860" spans="1:5" x14ac:dyDescent="0.25">
      <c r="A18860">
        <v>18859</v>
      </c>
      <c r="B18860">
        <v>2136150</v>
      </c>
      <c r="C18860" s="1" t="str">
        <f>HYPERLINK("http://stackoverflow.com/users/2136150", "miaozhendaoren")</f>
        <v>miaozhendaoren</v>
      </c>
      <c r="D18860" t="s">
        <v>5</v>
      </c>
      <c r="E18860">
        <v>1</v>
      </c>
    </row>
    <row r="18861" spans="1:5" x14ac:dyDescent="0.25">
      <c r="A18861">
        <v>18860</v>
      </c>
      <c r="B18861">
        <v>5687335</v>
      </c>
      <c r="C18861" s="1" t="str">
        <f>HYPERLINK("http://stackoverflow.com/users/5687335", "Handred_King")</f>
        <v>Handred_King</v>
      </c>
      <c r="D18861" t="s">
        <v>7</v>
      </c>
      <c r="E18861">
        <v>1</v>
      </c>
    </row>
    <row r="18862" spans="1:5" x14ac:dyDescent="0.25">
      <c r="A18862">
        <v>18861</v>
      </c>
      <c r="B18862">
        <v>2140319</v>
      </c>
      <c r="C18862" s="1" t="str">
        <f>HYPERLINK("http://stackoverflow.com/users/2140319", "rex")</f>
        <v>rex</v>
      </c>
      <c r="D18862" t="s">
        <v>21</v>
      </c>
      <c r="E18862">
        <v>1</v>
      </c>
    </row>
    <row r="18863" spans="1:5" x14ac:dyDescent="0.25">
      <c r="A18863">
        <v>18862</v>
      </c>
      <c r="B18863">
        <v>2140356</v>
      </c>
      <c r="C18863" s="1" t="str">
        <f>HYPERLINK("http://stackoverflow.com/users/2140356", "chuanwu")</f>
        <v>chuanwu</v>
      </c>
      <c r="D18863" t="s">
        <v>3</v>
      </c>
      <c r="E18863">
        <v>1</v>
      </c>
    </row>
    <row r="18864" spans="1:5" x14ac:dyDescent="0.25">
      <c r="A18864">
        <v>18863</v>
      </c>
      <c r="B18864">
        <v>2140697</v>
      </c>
      <c r="C18864" s="1" t="str">
        <f>HYPERLINK("http://stackoverflow.com/users/2140697", "Jamguo")</f>
        <v>Jamguo</v>
      </c>
      <c r="D18864" t="s">
        <v>4</v>
      </c>
      <c r="E18864">
        <v>1</v>
      </c>
    </row>
    <row r="18865" spans="1:5" x14ac:dyDescent="0.25">
      <c r="A18865">
        <v>18864</v>
      </c>
      <c r="B18865">
        <v>5691527</v>
      </c>
      <c r="C18865" s="1" t="str">
        <f>HYPERLINK("http://stackoverflow.com/users/5691527", "loger9567")</f>
        <v>loger9567</v>
      </c>
      <c r="D18865" t="s">
        <v>22</v>
      </c>
      <c r="E18865">
        <v>1</v>
      </c>
    </row>
    <row r="18866" spans="1:5" x14ac:dyDescent="0.25">
      <c r="A18866">
        <v>18865</v>
      </c>
      <c r="B18866">
        <v>3909507</v>
      </c>
      <c r="C18866" s="1" t="str">
        <f>HYPERLINK("http://stackoverflow.com/users/3909507", "Slardar")</f>
        <v>Slardar</v>
      </c>
      <c r="D18866" t="s">
        <v>22</v>
      </c>
      <c r="E18866">
        <v>1</v>
      </c>
    </row>
    <row r="18867" spans="1:5" x14ac:dyDescent="0.25">
      <c r="A18867">
        <v>18866</v>
      </c>
      <c r="B18867">
        <v>3909658</v>
      </c>
      <c r="C18867" s="1" t="str">
        <f>HYPERLINK("http://stackoverflow.com/users/3909658", "carmack_hfut")</f>
        <v>carmack_hfut</v>
      </c>
      <c r="D18867" t="s">
        <v>22</v>
      </c>
      <c r="E18867">
        <v>1</v>
      </c>
    </row>
    <row r="18868" spans="1:5" x14ac:dyDescent="0.25">
      <c r="A18868">
        <v>18867</v>
      </c>
      <c r="B18868">
        <v>7444545</v>
      </c>
      <c r="C18868" s="1" t="str">
        <f>HYPERLINK("http://stackoverflow.com/users/7444545", "Alan")</f>
        <v>Alan</v>
      </c>
      <c r="D18868" t="s">
        <v>5</v>
      </c>
      <c r="E18868">
        <v>1</v>
      </c>
    </row>
    <row r="18869" spans="1:5" x14ac:dyDescent="0.25">
      <c r="A18869">
        <v>18868</v>
      </c>
      <c r="B18869">
        <v>2153317</v>
      </c>
      <c r="C18869" s="1" t="str">
        <f>HYPERLINK("http://stackoverflow.com/users/2153317", "bianbian")</f>
        <v>bianbian</v>
      </c>
      <c r="D18869" t="s">
        <v>4</v>
      </c>
      <c r="E18869">
        <v>1</v>
      </c>
    </row>
    <row r="18870" spans="1:5" x14ac:dyDescent="0.25">
      <c r="A18870">
        <v>18869</v>
      </c>
      <c r="B18870">
        <v>2153407</v>
      </c>
      <c r="C18870" s="1" t="str">
        <f>HYPERLINK("http://stackoverflow.com/users/2153407", "gafish")</f>
        <v>gafish</v>
      </c>
      <c r="D18870" t="s">
        <v>12</v>
      </c>
      <c r="E18870">
        <v>1</v>
      </c>
    </row>
    <row r="18871" spans="1:5" x14ac:dyDescent="0.25">
      <c r="A18871">
        <v>18870</v>
      </c>
      <c r="B18871">
        <v>3917582</v>
      </c>
      <c r="C18871" s="1" t="str">
        <f>HYPERLINK("http://stackoverflow.com/users/3917582", "Shaoheng.Weng")</f>
        <v>Shaoheng.Weng</v>
      </c>
      <c r="D18871" t="s">
        <v>17</v>
      </c>
      <c r="E18871">
        <v>1</v>
      </c>
    </row>
    <row r="18872" spans="1:5" x14ac:dyDescent="0.25">
      <c r="A18872">
        <v>18871</v>
      </c>
      <c r="B18872">
        <v>3918119</v>
      </c>
      <c r="C18872" s="1" t="str">
        <f>HYPERLINK("http://stackoverflow.com/users/3918119", "johnsondu")</f>
        <v>johnsondu</v>
      </c>
      <c r="D18872" t="s">
        <v>5</v>
      </c>
      <c r="E18872">
        <v>1</v>
      </c>
    </row>
    <row r="18873" spans="1:5" x14ac:dyDescent="0.25">
      <c r="A18873">
        <v>18872</v>
      </c>
      <c r="B18873">
        <v>3918127</v>
      </c>
      <c r="C18873" s="1" t="str">
        <f>HYPERLINK("http://stackoverflow.com/users/3918127", "konglong")</f>
        <v>konglong</v>
      </c>
      <c r="D18873" t="s">
        <v>16</v>
      </c>
      <c r="E18873">
        <v>1</v>
      </c>
    </row>
    <row r="18874" spans="1:5" x14ac:dyDescent="0.25">
      <c r="A18874">
        <v>18873</v>
      </c>
      <c r="B18874">
        <v>2156315</v>
      </c>
      <c r="C18874" s="1" t="str">
        <f>HYPERLINK("http://stackoverflow.com/users/2156315", "m4jing")</f>
        <v>m4jing</v>
      </c>
      <c r="D18874" t="s">
        <v>5</v>
      </c>
      <c r="E18874">
        <v>1</v>
      </c>
    </row>
    <row r="18875" spans="1:5" x14ac:dyDescent="0.25">
      <c r="A18875">
        <v>18874</v>
      </c>
      <c r="B18875">
        <v>2156889</v>
      </c>
      <c r="C18875" s="1" t="str">
        <f>HYPERLINK("http://stackoverflow.com/users/2156889", "MiniUFO")</f>
        <v>MiniUFO</v>
      </c>
      <c r="D18875" t="s">
        <v>1021</v>
      </c>
      <c r="E18875">
        <v>1</v>
      </c>
    </row>
    <row r="18876" spans="1:5" x14ac:dyDescent="0.25">
      <c r="A18876">
        <v>18875</v>
      </c>
      <c r="B18876">
        <v>11146733</v>
      </c>
      <c r="C18876" s="1" t="str">
        <f>HYPERLINK("http://stackoverflow.com/users/11146733", "uestc66")</f>
        <v>uestc66</v>
      </c>
      <c r="D18876" t="s">
        <v>4</v>
      </c>
      <c r="E18876">
        <v>1</v>
      </c>
    </row>
    <row r="18877" spans="1:5" x14ac:dyDescent="0.25">
      <c r="A18877">
        <v>18876</v>
      </c>
      <c r="B18877">
        <v>5667889</v>
      </c>
      <c r="C18877" s="1" t="str">
        <f>HYPERLINK("http://stackoverflow.com/users/5667889", "icksky")</f>
        <v>icksky</v>
      </c>
      <c r="D18877" t="s">
        <v>15</v>
      </c>
      <c r="E18877">
        <v>1</v>
      </c>
    </row>
    <row r="18878" spans="1:5" x14ac:dyDescent="0.25">
      <c r="A18878">
        <v>18877</v>
      </c>
      <c r="B18878">
        <v>5668155</v>
      </c>
      <c r="C18878" s="1" t="str">
        <f>HYPERLINK("http://stackoverflow.com/users/5668155", "cccwzy")</f>
        <v>cccwzy</v>
      </c>
      <c r="D18878" t="s">
        <v>12</v>
      </c>
      <c r="E18878">
        <v>1</v>
      </c>
    </row>
    <row r="18879" spans="1:5" x14ac:dyDescent="0.25">
      <c r="A18879">
        <v>18878</v>
      </c>
      <c r="B18879">
        <v>2147669</v>
      </c>
      <c r="C18879" s="1" t="str">
        <f>HYPERLINK("http://stackoverflow.com/users/2147669", "handsome1234")</f>
        <v>handsome1234</v>
      </c>
      <c r="D18879" t="s">
        <v>5</v>
      </c>
      <c r="E18879">
        <v>1</v>
      </c>
    </row>
    <row r="18880" spans="1:5" x14ac:dyDescent="0.25">
      <c r="A18880">
        <v>18879</v>
      </c>
      <c r="B18880">
        <v>7448816</v>
      </c>
      <c r="C18880" s="1" t="str">
        <f>HYPERLINK("http://stackoverflow.com/users/7448816", "jasonyu")</f>
        <v>jasonyu</v>
      </c>
      <c r="D18880" t="s">
        <v>544</v>
      </c>
      <c r="E18880">
        <v>1</v>
      </c>
    </row>
    <row r="18881" spans="1:5" x14ac:dyDescent="0.25">
      <c r="A18881">
        <v>18880</v>
      </c>
      <c r="B18881">
        <v>7449226</v>
      </c>
      <c r="C18881" s="1" t="str">
        <f>HYPERLINK("http://stackoverflow.com/users/7449226", "player7")</f>
        <v>player7</v>
      </c>
      <c r="D18881" t="s">
        <v>15</v>
      </c>
      <c r="E18881">
        <v>1</v>
      </c>
    </row>
    <row r="18882" spans="1:5" x14ac:dyDescent="0.25">
      <c r="A18882">
        <v>18881</v>
      </c>
      <c r="B18882">
        <v>2152795</v>
      </c>
      <c r="C18882" s="1" t="str">
        <f>HYPERLINK("http://stackoverflow.com/users/2152795", "bianxg")</f>
        <v>bianxg</v>
      </c>
      <c r="D18882" t="s">
        <v>8</v>
      </c>
      <c r="E18882">
        <v>1</v>
      </c>
    </row>
    <row r="18883" spans="1:5" x14ac:dyDescent="0.25">
      <c r="A18883">
        <v>18882</v>
      </c>
      <c r="B18883">
        <v>2153227</v>
      </c>
      <c r="C18883" s="1" t="str">
        <f>HYPERLINK("http://stackoverflow.com/users/2153227", "ryan")</f>
        <v>ryan</v>
      </c>
      <c r="D18883" t="s">
        <v>17</v>
      </c>
      <c r="E18883">
        <v>1</v>
      </c>
    </row>
    <row r="18884" spans="1:5" x14ac:dyDescent="0.25">
      <c r="A18884">
        <v>18883</v>
      </c>
      <c r="B18884">
        <v>2166513</v>
      </c>
      <c r="C18884" s="1" t="str">
        <f>HYPERLINK("http://stackoverflow.com/users/2166513", "songhyac")</f>
        <v>songhyac</v>
      </c>
      <c r="D18884" t="s">
        <v>31</v>
      </c>
      <c r="E18884">
        <v>1</v>
      </c>
    </row>
    <row r="18885" spans="1:5" x14ac:dyDescent="0.25">
      <c r="A18885">
        <v>18884</v>
      </c>
      <c r="B18885">
        <v>5706672</v>
      </c>
      <c r="C18885" s="1" t="str">
        <f>HYPERLINK("http://stackoverflow.com/users/5706672", "Patrick Wu")</f>
        <v>Patrick Wu</v>
      </c>
      <c r="D18885" t="s">
        <v>25</v>
      </c>
      <c r="E18885">
        <v>1</v>
      </c>
    </row>
    <row r="18886" spans="1:5" x14ac:dyDescent="0.25">
      <c r="A18886">
        <v>18885</v>
      </c>
      <c r="B18886">
        <v>5707062</v>
      </c>
      <c r="C18886" s="1" t="str">
        <f>HYPERLINK("http://stackoverflow.com/users/5707062", "Dai Zheng")</f>
        <v>Dai Zheng</v>
      </c>
      <c r="D18886" t="s">
        <v>12</v>
      </c>
      <c r="E18886">
        <v>1</v>
      </c>
    </row>
    <row r="18887" spans="1:5" x14ac:dyDescent="0.25">
      <c r="A18887">
        <v>18886</v>
      </c>
      <c r="B18887">
        <v>3927182</v>
      </c>
      <c r="C18887" s="1" t="str">
        <f>HYPERLINK("http://stackoverflow.com/users/3927182", "zhichengliu")</f>
        <v>zhichengliu</v>
      </c>
      <c r="D18887" t="s">
        <v>37</v>
      </c>
      <c r="E18887">
        <v>1</v>
      </c>
    </row>
    <row r="18888" spans="1:5" x14ac:dyDescent="0.25">
      <c r="A18888">
        <v>18887</v>
      </c>
      <c r="B18888">
        <v>3930660</v>
      </c>
      <c r="C18888" s="1" t="str">
        <f>HYPERLINK("http://stackoverflow.com/users/3930660", "xySun")</f>
        <v>xySun</v>
      </c>
      <c r="D18888" t="s">
        <v>4</v>
      </c>
      <c r="E18888">
        <v>1</v>
      </c>
    </row>
    <row r="18889" spans="1:5" x14ac:dyDescent="0.25">
      <c r="A18889">
        <v>18888</v>
      </c>
      <c r="B18889">
        <v>7463685</v>
      </c>
      <c r="C18889" s="1" t="str">
        <f>HYPERLINK("http://stackoverflow.com/users/7463685", "fgschina")</f>
        <v>fgschina</v>
      </c>
      <c r="D18889" t="s">
        <v>5</v>
      </c>
      <c r="E18889">
        <v>1</v>
      </c>
    </row>
    <row r="18890" spans="1:5" x14ac:dyDescent="0.25">
      <c r="A18890">
        <v>18889</v>
      </c>
      <c r="B18890">
        <v>11160229</v>
      </c>
      <c r="C18890" s="1" t="str">
        <f>HYPERLINK("http://stackoverflow.com/users/11160229", "Konrad")</f>
        <v>Konrad</v>
      </c>
      <c r="D18890" t="s">
        <v>4</v>
      </c>
      <c r="E18890">
        <v>1</v>
      </c>
    </row>
    <row r="18891" spans="1:5" x14ac:dyDescent="0.25">
      <c r="A18891">
        <v>18890</v>
      </c>
      <c r="B18891">
        <v>11160415</v>
      </c>
      <c r="C18891" s="1" t="str">
        <f>HYPERLINK("http://stackoverflow.com/users/11160415", "Web Solution")</f>
        <v>Web Solution</v>
      </c>
      <c r="D18891" t="s">
        <v>74</v>
      </c>
      <c r="E18891">
        <v>1</v>
      </c>
    </row>
    <row r="18892" spans="1:5" x14ac:dyDescent="0.25">
      <c r="A18892">
        <v>18891</v>
      </c>
      <c r="B18892">
        <v>11151730</v>
      </c>
      <c r="C18892" s="1" t="str">
        <f>HYPERLINK("http://stackoverflow.com/users/11151730", "isyaku muhammad")</f>
        <v>isyaku muhammad</v>
      </c>
      <c r="D18892" t="s">
        <v>308</v>
      </c>
      <c r="E18892">
        <v>1</v>
      </c>
    </row>
    <row r="18893" spans="1:5" x14ac:dyDescent="0.25">
      <c r="A18893">
        <v>18892</v>
      </c>
      <c r="B18893">
        <v>11151877</v>
      </c>
      <c r="C18893" s="1" t="str">
        <f>HYPERLINK("http://stackoverflow.com/users/11151877", "Yongqi ZHANG")</f>
        <v>Yongqi ZHANG</v>
      </c>
      <c r="D18893" t="s">
        <v>7</v>
      </c>
      <c r="E18893">
        <v>1</v>
      </c>
    </row>
    <row r="18894" spans="1:5" x14ac:dyDescent="0.25">
      <c r="A18894">
        <v>18893</v>
      </c>
      <c r="B18894">
        <v>3917241</v>
      </c>
      <c r="C18894" s="1" t="str">
        <f>HYPERLINK("http://stackoverflow.com/users/3917241", "DongYang")</f>
        <v>DongYang</v>
      </c>
      <c r="D18894" t="s">
        <v>1022</v>
      </c>
      <c r="E18894">
        <v>1</v>
      </c>
    </row>
    <row r="18895" spans="1:5" x14ac:dyDescent="0.25">
      <c r="A18895">
        <v>18894</v>
      </c>
      <c r="B18895">
        <v>3917270</v>
      </c>
      <c r="C18895" s="1" t="str">
        <f>HYPERLINK("http://stackoverflow.com/users/3917270", "Bill Zhang")</f>
        <v>Bill Zhang</v>
      </c>
      <c r="D18895" t="s">
        <v>57</v>
      </c>
      <c r="E18895">
        <v>1</v>
      </c>
    </row>
    <row r="18896" spans="1:5" x14ac:dyDescent="0.25">
      <c r="A18896">
        <v>18895</v>
      </c>
      <c r="B18896">
        <v>5702918</v>
      </c>
      <c r="C18896" s="1" t="str">
        <f>HYPERLINK("http://stackoverflow.com/users/5702918", "Tone Tang")</f>
        <v>Tone Tang</v>
      </c>
      <c r="D18896" t="s">
        <v>4</v>
      </c>
      <c r="E18896">
        <v>1</v>
      </c>
    </row>
    <row r="18897" spans="1:5" x14ac:dyDescent="0.25">
      <c r="A18897">
        <v>18896</v>
      </c>
      <c r="B18897">
        <v>5703215</v>
      </c>
      <c r="C18897" s="1" t="str">
        <f>HYPERLINK("http://stackoverflow.com/users/5703215", "zee.shen")</f>
        <v>zee.shen</v>
      </c>
      <c r="D18897" t="s">
        <v>4</v>
      </c>
      <c r="E18897">
        <v>1</v>
      </c>
    </row>
    <row r="18898" spans="1:5" x14ac:dyDescent="0.25">
      <c r="A18898">
        <v>18897</v>
      </c>
      <c r="B18898">
        <v>9358823</v>
      </c>
      <c r="C18898" s="1" t="str">
        <f>HYPERLINK("http://stackoverflow.com/users/9358823", "albatross14")</f>
        <v>albatross14</v>
      </c>
      <c r="D18898" t="s">
        <v>4</v>
      </c>
      <c r="E18898">
        <v>1</v>
      </c>
    </row>
    <row r="18899" spans="1:5" x14ac:dyDescent="0.25">
      <c r="A18899">
        <v>18898</v>
      </c>
      <c r="B18899">
        <v>7456412</v>
      </c>
      <c r="C18899" s="1" t="str">
        <f>HYPERLINK("http://stackoverflow.com/users/7456412", "JoyceYe")</f>
        <v>JoyceYe</v>
      </c>
      <c r="D18899" t="s">
        <v>4</v>
      </c>
      <c r="E18899">
        <v>1</v>
      </c>
    </row>
    <row r="18900" spans="1:5" x14ac:dyDescent="0.25">
      <c r="A18900">
        <v>18899</v>
      </c>
      <c r="B18900">
        <v>7456619</v>
      </c>
      <c r="C18900" s="1" t="str">
        <f>HYPERLINK("http://stackoverflow.com/users/7456619", "MattLaw")</f>
        <v>MattLaw</v>
      </c>
      <c r="D18900" t="s">
        <v>1023</v>
      </c>
      <c r="E18900">
        <v>1</v>
      </c>
    </row>
    <row r="18901" spans="1:5" x14ac:dyDescent="0.25">
      <c r="A18901">
        <v>18900</v>
      </c>
      <c r="B18901">
        <v>7548658</v>
      </c>
      <c r="C18901" s="1" t="str">
        <f>HYPERLINK("http://stackoverflow.com/users/7548658", "Shine Xia")</f>
        <v>Shine Xia</v>
      </c>
      <c r="D18901" t="s">
        <v>16</v>
      </c>
      <c r="E18901">
        <v>1</v>
      </c>
    </row>
    <row r="18902" spans="1:5" x14ac:dyDescent="0.25">
      <c r="A18902">
        <v>18901</v>
      </c>
      <c r="B18902">
        <v>7548726</v>
      </c>
      <c r="C18902" s="1" t="str">
        <f>HYPERLINK("http://stackoverflow.com/users/7548726", "iHao")</f>
        <v>iHao</v>
      </c>
      <c r="D18902" t="s">
        <v>1024</v>
      </c>
      <c r="E18902">
        <v>1</v>
      </c>
    </row>
    <row r="18903" spans="1:5" x14ac:dyDescent="0.25">
      <c r="A18903">
        <v>18902</v>
      </c>
      <c r="B18903">
        <v>2281075</v>
      </c>
      <c r="C18903" s="1" t="str">
        <f>HYPERLINK("http://stackoverflow.com/users/2281075", "Jing Li")</f>
        <v>Jing Li</v>
      </c>
      <c r="D18903" t="s">
        <v>4</v>
      </c>
      <c r="E18903">
        <v>1</v>
      </c>
    </row>
    <row r="18904" spans="1:5" x14ac:dyDescent="0.25">
      <c r="A18904">
        <v>18903</v>
      </c>
      <c r="B18904">
        <v>2281324</v>
      </c>
      <c r="C18904" s="1" t="str">
        <f>HYPERLINK("http://stackoverflow.com/users/2281324", "jeremy_lv")</f>
        <v>jeremy_lv</v>
      </c>
      <c r="D18904" t="s">
        <v>37</v>
      </c>
      <c r="E18904">
        <v>1</v>
      </c>
    </row>
    <row r="18905" spans="1:5" x14ac:dyDescent="0.25">
      <c r="A18905">
        <v>18904</v>
      </c>
      <c r="B18905">
        <v>2291167</v>
      </c>
      <c r="C18905" s="1" t="str">
        <f>HYPERLINK("http://stackoverflow.com/users/2291167", "taylor.yan")</f>
        <v>taylor.yan</v>
      </c>
      <c r="D18905" t="s">
        <v>37</v>
      </c>
      <c r="E18905">
        <v>1</v>
      </c>
    </row>
    <row r="18906" spans="1:5" x14ac:dyDescent="0.25">
      <c r="A18906">
        <v>18905</v>
      </c>
      <c r="B18906">
        <v>4026052</v>
      </c>
      <c r="C18906" s="1" t="str">
        <f>HYPERLINK("http://stackoverflow.com/users/4026052", "Ke Shang")</f>
        <v>Ke Shang</v>
      </c>
      <c r="D18906" t="s">
        <v>4</v>
      </c>
      <c r="E18906">
        <v>1</v>
      </c>
    </row>
    <row r="18907" spans="1:5" x14ac:dyDescent="0.25">
      <c r="A18907">
        <v>18906</v>
      </c>
      <c r="B18907">
        <v>4026166</v>
      </c>
      <c r="C18907" s="1" t="str">
        <f>HYPERLINK("http://stackoverflow.com/users/4026166", "martin")</f>
        <v>martin</v>
      </c>
      <c r="D18907" t="s">
        <v>17</v>
      </c>
      <c r="E18907">
        <v>1</v>
      </c>
    </row>
    <row r="18908" spans="1:5" x14ac:dyDescent="0.25">
      <c r="A18908">
        <v>18907</v>
      </c>
      <c r="B18908">
        <v>11265567</v>
      </c>
      <c r="C18908" s="1" t="str">
        <f>HYPERLINK("http://stackoverflow.com/users/11265567", "joker")</f>
        <v>joker</v>
      </c>
      <c r="D18908" t="s">
        <v>28</v>
      </c>
      <c r="E18908">
        <v>1</v>
      </c>
    </row>
    <row r="18909" spans="1:5" x14ac:dyDescent="0.25">
      <c r="A18909">
        <v>18908</v>
      </c>
      <c r="B18909">
        <v>11266172</v>
      </c>
      <c r="C18909" s="1" t="str">
        <f>HYPERLINK("http://stackoverflow.com/users/11266172", "Soubourne Lee")</f>
        <v>Soubourne Lee</v>
      </c>
      <c r="D18909" t="s">
        <v>5</v>
      </c>
      <c r="E18909">
        <v>1</v>
      </c>
    </row>
    <row r="18910" spans="1:5" x14ac:dyDescent="0.25">
      <c r="A18910">
        <v>18909</v>
      </c>
      <c r="B18910">
        <v>2286305</v>
      </c>
      <c r="C18910" s="1" t="str">
        <f>HYPERLINK("http://stackoverflow.com/users/2286305", "Andy")</f>
        <v>Andy</v>
      </c>
      <c r="D18910" t="s">
        <v>5</v>
      </c>
      <c r="E18910">
        <v>1</v>
      </c>
    </row>
    <row r="18911" spans="1:5" x14ac:dyDescent="0.25">
      <c r="A18911">
        <v>18910</v>
      </c>
      <c r="B18911">
        <v>7560731</v>
      </c>
      <c r="C18911" s="1" t="str">
        <f>HYPERLINK("http://stackoverflow.com/users/7560731", "Chen Renyu")</f>
        <v>Chen Renyu</v>
      </c>
      <c r="D18911" t="s">
        <v>16</v>
      </c>
      <c r="E18911">
        <v>1</v>
      </c>
    </row>
    <row r="18912" spans="1:5" x14ac:dyDescent="0.25">
      <c r="A18912">
        <v>18911</v>
      </c>
      <c r="B18912">
        <v>7560951</v>
      </c>
      <c r="C18912" s="1" t="str">
        <f>HYPERLINK("http://stackoverflow.com/users/7560951", "Li Haitao")</f>
        <v>Li Haitao</v>
      </c>
      <c r="D18912" t="s">
        <v>37</v>
      </c>
      <c r="E18912">
        <v>1</v>
      </c>
    </row>
    <row r="18913" spans="1:5" x14ac:dyDescent="0.25">
      <c r="A18913">
        <v>18912</v>
      </c>
      <c r="B18913">
        <v>4033595</v>
      </c>
      <c r="C18913" s="1" t="str">
        <f>HYPERLINK("http://stackoverflow.com/users/4033595", "Allen")</f>
        <v>Allen</v>
      </c>
      <c r="D18913" t="s">
        <v>4</v>
      </c>
      <c r="E18913">
        <v>1</v>
      </c>
    </row>
    <row r="18914" spans="1:5" x14ac:dyDescent="0.25">
      <c r="A18914">
        <v>18913</v>
      </c>
      <c r="B18914">
        <v>4029856</v>
      </c>
      <c r="C18914" s="1" t="str">
        <f>HYPERLINK("http://stackoverflow.com/users/4029856", "zhjwpku")</f>
        <v>zhjwpku</v>
      </c>
      <c r="D18914" t="s">
        <v>5</v>
      </c>
      <c r="E18914">
        <v>1</v>
      </c>
    </row>
    <row r="18915" spans="1:5" x14ac:dyDescent="0.25">
      <c r="A18915">
        <v>18914</v>
      </c>
      <c r="B18915">
        <v>11270217</v>
      </c>
      <c r="C18915" s="1" t="str">
        <f>HYPERLINK("http://stackoverflow.com/users/11270217", "IndexFFFF")</f>
        <v>IndexFFFF</v>
      </c>
      <c r="D18915" t="s">
        <v>28</v>
      </c>
      <c r="E18915">
        <v>1</v>
      </c>
    </row>
    <row r="18916" spans="1:5" x14ac:dyDescent="0.25">
      <c r="A18916">
        <v>18915</v>
      </c>
      <c r="B18916">
        <v>11270399</v>
      </c>
      <c r="C18916" s="1" t="str">
        <f>HYPERLINK("http://stackoverflow.com/users/11270399", "Hingbong")</f>
        <v>Hingbong</v>
      </c>
      <c r="D18916" t="s">
        <v>47</v>
      </c>
      <c r="E18916">
        <v>1</v>
      </c>
    </row>
    <row r="18917" spans="1:5" x14ac:dyDescent="0.25">
      <c r="A18917">
        <v>18916</v>
      </c>
      <c r="B18917">
        <v>7557106</v>
      </c>
      <c r="C18917" s="1" t="str">
        <f>HYPERLINK("http://stackoverflow.com/users/7557106", "Elsey Leaf")</f>
        <v>Elsey Leaf</v>
      </c>
      <c r="D18917" t="s">
        <v>4</v>
      </c>
      <c r="E18917">
        <v>1</v>
      </c>
    </row>
    <row r="18918" spans="1:5" x14ac:dyDescent="0.25">
      <c r="A18918">
        <v>18917</v>
      </c>
      <c r="B18918">
        <v>7557158</v>
      </c>
      <c r="C18918" s="1" t="str">
        <f>HYPERLINK("http://stackoverflow.com/users/7557158", "Jeremy")</f>
        <v>Jeremy</v>
      </c>
      <c r="D18918" t="s">
        <v>28</v>
      </c>
      <c r="E18918">
        <v>1</v>
      </c>
    </row>
    <row r="18919" spans="1:5" x14ac:dyDescent="0.25">
      <c r="A18919">
        <v>18918</v>
      </c>
      <c r="B18919">
        <v>5809679</v>
      </c>
      <c r="C18919" s="1" t="str">
        <f>HYPERLINK("http://stackoverflow.com/users/5809679", "Evil")</f>
        <v>Evil</v>
      </c>
      <c r="D18919" t="s">
        <v>25</v>
      </c>
      <c r="E18919">
        <v>1</v>
      </c>
    </row>
    <row r="18920" spans="1:5" x14ac:dyDescent="0.25">
      <c r="A18920">
        <v>18919</v>
      </c>
      <c r="B18920">
        <v>9480810</v>
      </c>
      <c r="C18920" s="1" t="str">
        <f>HYPERLINK("http://stackoverflow.com/users/9480810", "Rolling Island")</f>
        <v>Rolling Island</v>
      </c>
      <c r="D18920" t="s">
        <v>241</v>
      </c>
      <c r="E18920">
        <v>1</v>
      </c>
    </row>
    <row r="18921" spans="1:5" x14ac:dyDescent="0.25">
      <c r="A18921">
        <v>18920</v>
      </c>
      <c r="B18921">
        <v>7560671</v>
      </c>
      <c r="C18921" s="1" t="str">
        <f>HYPERLINK("http://stackoverflow.com/users/7560671", "Nicole.he")</f>
        <v>Nicole.he</v>
      </c>
      <c r="D18921" t="s">
        <v>4</v>
      </c>
      <c r="E18921">
        <v>1</v>
      </c>
    </row>
    <row r="18922" spans="1:5" x14ac:dyDescent="0.25">
      <c r="A18922">
        <v>18921</v>
      </c>
      <c r="B18922">
        <v>9454918</v>
      </c>
      <c r="C18922" s="1" t="str">
        <f>HYPERLINK("http://stackoverflow.com/users/9454918", "杨岳超")</f>
        <v>杨岳超</v>
      </c>
      <c r="D18922" t="s">
        <v>1025</v>
      </c>
      <c r="E18922">
        <v>1</v>
      </c>
    </row>
    <row r="18923" spans="1:5" x14ac:dyDescent="0.25">
      <c r="A18923">
        <v>18922</v>
      </c>
      <c r="B18923">
        <v>9455224</v>
      </c>
      <c r="C18923" s="1" t="str">
        <f>HYPERLINK("http://stackoverflow.com/users/9455224", "mya Connie")</f>
        <v>mya Connie</v>
      </c>
      <c r="D18923" t="s">
        <v>5</v>
      </c>
      <c r="E18923">
        <v>1</v>
      </c>
    </row>
    <row r="18924" spans="1:5" x14ac:dyDescent="0.25">
      <c r="A18924">
        <v>18923</v>
      </c>
      <c r="B18924">
        <v>5788126</v>
      </c>
      <c r="C18924" s="1" t="str">
        <f>HYPERLINK("http://stackoverflow.com/users/5788126", "Songrong")</f>
        <v>Songrong</v>
      </c>
      <c r="D18924" t="s">
        <v>4</v>
      </c>
      <c r="E18924">
        <v>1</v>
      </c>
    </row>
    <row r="18925" spans="1:5" x14ac:dyDescent="0.25">
      <c r="A18925">
        <v>18924</v>
      </c>
      <c r="B18925">
        <v>5788404</v>
      </c>
      <c r="C18925" s="1" t="str">
        <f>HYPERLINK("http://stackoverflow.com/users/5788404", "Chuck Shen")</f>
        <v>Chuck Shen</v>
      </c>
      <c r="D18925" t="s">
        <v>4</v>
      </c>
      <c r="E18925">
        <v>1</v>
      </c>
    </row>
    <row r="18926" spans="1:5" x14ac:dyDescent="0.25">
      <c r="A18926">
        <v>18925</v>
      </c>
      <c r="B18926">
        <v>5785072</v>
      </c>
      <c r="C18926" s="1" t="str">
        <f>HYPERLINK("http://stackoverflow.com/users/5785072", "A. Osinovsky")</f>
        <v>A. Osinovsky</v>
      </c>
      <c r="D18926" t="s">
        <v>31</v>
      </c>
      <c r="E18926">
        <v>1</v>
      </c>
    </row>
    <row r="18927" spans="1:5" x14ac:dyDescent="0.25">
      <c r="A18927">
        <v>18926</v>
      </c>
      <c r="B18927">
        <v>3995866</v>
      </c>
      <c r="C18927" s="1" t="str">
        <f>HYPERLINK("http://stackoverflow.com/users/3995866", "portl4t")</f>
        <v>portl4t</v>
      </c>
      <c r="D18927" t="s">
        <v>5</v>
      </c>
      <c r="E18927">
        <v>1</v>
      </c>
    </row>
    <row r="18928" spans="1:5" x14ac:dyDescent="0.25">
      <c r="A18928">
        <v>18927</v>
      </c>
      <c r="B18928">
        <v>7539476</v>
      </c>
      <c r="C18928" s="1" t="str">
        <f>HYPERLINK("http://stackoverflow.com/users/7539476", "Feng Ye")</f>
        <v>Feng Ye</v>
      </c>
      <c r="D18928" t="s">
        <v>4</v>
      </c>
      <c r="E18928">
        <v>1</v>
      </c>
    </row>
    <row r="18929" spans="1:5" x14ac:dyDescent="0.25">
      <c r="A18929">
        <v>18928</v>
      </c>
      <c r="B18929">
        <v>11253189</v>
      </c>
      <c r="C18929" s="1" t="str">
        <f>HYPERLINK("http://stackoverflow.com/users/11253189", "jchao")</f>
        <v>jchao</v>
      </c>
      <c r="D18929" t="s">
        <v>5</v>
      </c>
      <c r="E18929">
        <v>1</v>
      </c>
    </row>
    <row r="18930" spans="1:5" x14ac:dyDescent="0.25">
      <c r="A18930">
        <v>18929</v>
      </c>
      <c r="B18930">
        <v>4021637</v>
      </c>
      <c r="C18930" s="1" t="str">
        <f>HYPERLINK("http://stackoverflow.com/users/4021637", "wnow20")</f>
        <v>wnow20</v>
      </c>
      <c r="D18930" t="s">
        <v>12</v>
      </c>
      <c r="E18930">
        <v>1</v>
      </c>
    </row>
    <row r="18931" spans="1:5" x14ac:dyDescent="0.25">
      <c r="A18931">
        <v>18930</v>
      </c>
      <c r="B18931">
        <v>4021872</v>
      </c>
      <c r="C18931" s="1" t="str">
        <f>HYPERLINK("http://stackoverflow.com/users/4021872", "Feng Ding")</f>
        <v>Feng Ding</v>
      </c>
      <c r="D18931" t="s">
        <v>12</v>
      </c>
      <c r="E18931">
        <v>1</v>
      </c>
    </row>
    <row r="18932" spans="1:5" x14ac:dyDescent="0.25">
      <c r="A18932">
        <v>18931</v>
      </c>
      <c r="B18932">
        <v>4011535</v>
      </c>
      <c r="C18932" s="1" t="str">
        <f>HYPERLINK("http://stackoverflow.com/users/4011535", "rogantian")</f>
        <v>rogantian</v>
      </c>
      <c r="D18932" t="s">
        <v>5</v>
      </c>
      <c r="E18932">
        <v>1</v>
      </c>
    </row>
    <row r="18933" spans="1:5" x14ac:dyDescent="0.25">
      <c r="A18933">
        <v>18932</v>
      </c>
      <c r="B18933">
        <v>4011666</v>
      </c>
      <c r="C18933" s="1" t="str">
        <f>HYPERLINK("http://stackoverflow.com/users/4011666", "Junwen Guo")</f>
        <v>Junwen Guo</v>
      </c>
      <c r="D18933" t="s">
        <v>25</v>
      </c>
      <c r="E18933">
        <v>1</v>
      </c>
    </row>
    <row r="18934" spans="1:5" x14ac:dyDescent="0.25">
      <c r="A18934">
        <v>18933</v>
      </c>
      <c r="B18934">
        <v>7539299</v>
      </c>
      <c r="C18934" s="1" t="str">
        <f>HYPERLINK("http://stackoverflow.com/users/7539299", "ken li")</f>
        <v>ken li</v>
      </c>
      <c r="D18934" t="s">
        <v>27</v>
      </c>
      <c r="E18934">
        <v>1</v>
      </c>
    </row>
    <row r="18935" spans="1:5" x14ac:dyDescent="0.25">
      <c r="A18935">
        <v>18934</v>
      </c>
      <c r="B18935">
        <v>7532620</v>
      </c>
      <c r="C18935" s="1" t="str">
        <f>HYPERLINK("http://stackoverflow.com/users/7532620", "meton")</f>
        <v>meton</v>
      </c>
      <c r="D18935" t="s">
        <v>1026</v>
      </c>
      <c r="E18935">
        <v>1</v>
      </c>
    </row>
    <row r="18936" spans="1:5" x14ac:dyDescent="0.25">
      <c r="A18936">
        <v>18935</v>
      </c>
      <c r="B18936">
        <v>7532698</v>
      </c>
      <c r="C18936" s="1" t="str">
        <f>HYPERLINK("http://stackoverflow.com/users/7532698", "Cruiser Wei")</f>
        <v>Cruiser Wei</v>
      </c>
      <c r="D18936" t="s">
        <v>4</v>
      </c>
      <c r="E18936">
        <v>1</v>
      </c>
    </row>
    <row r="18937" spans="1:5" x14ac:dyDescent="0.25">
      <c r="A18937">
        <v>18936</v>
      </c>
      <c r="B18937">
        <v>7532723</v>
      </c>
      <c r="C18937" s="1" t="str">
        <f>HYPERLINK("http://stackoverflow.com/users/7532723", "wangxiaodi")</f>
        <v>wangxiaodi</v>
      </c>
      <c r="D18937" t="s">
        <v>1027</v>
      </c>
      <c r="E18937">
        <v>1</v>
      </c>
    </row>
    <row r="18938" spans="1:5" x14ac:dyDescent="0.25">
      <c r="A18938">
        <v>18937</v>
      </c>
      <c r="B18938">
        <v>7532920</v>
      </c>
      <c r="C18938" s="1" t="str">
        <f>HYPERLINK("http://stackoverflow.com/users/7532920", "Kanglin")</f>
        <v>Kanglin</v>
      </c>
      <c r="D18938" t="s">
        <v>43</v>
      </c>
      <c r="E18938">
        <v>1</v>
      </c>
    </row>
    <row r="18939" spans="1:5" x14ac:dyDescent="0.25">
      <c r="A18939">
        <v>18938</v>
      </c>
      <c r="B18939">
        <v>11245456</v>
      </c>
      <c r="C18939" s="1" t="str">
        <f>HYPERLINK("http://stackoverflow.com/users/11245456", "Michael Jin")</f>
        <v>Michael Jin</v>
      </c>
      <c r="D18939" t="s">
        <v>5</v>
      </c>
      <c r="E18939">
        <v>1</v>
      </c>
    </row>
    <row r="18940" spans="1:5" x14ac:dyDescent="0.25">
      <c r="A18940">
        <v>18939</v>
      </c>
      <c r="B18940">
        <v>9450408</v>
      </c>
      <c r="C18940" s="1" t="str">
        <f>HYPERLINK("http://stackoverflow.com/users/9450408", "RiZhe.J")</f>
        <v>RiZhe.J</v>
      </c>
      <c r="D18940" t="s">
        <v>320</v>
      </c>
      <c r="E18940">
        <v>1</v>
      </c>
    </row>
    <row r="18941" spans="1:5" x14ac:dyDescent="0.25">
      <c r="A18941">
        <v>18940</v>
      </c>
      <c r="B18941">
        <v>9450481</v>
      </c>
      <c r="C18941" s="1" t="str">
        <f>HYPERLINK("http://stackoverflow.com/users/9450481", "Qr Pak")</f>
        <v>Qr Pak</v>
      </c>
      <c r="D18941" t="s">
        <v>47</v>
      </c>
      <c r="E18941">
        <v>1</v>
      </c>
    </row>
    <row r="18942" spans="1:5" x14ac:dyDescent="0.25">
      <c r="A18942">
        <v>18941</v>
      </c>
      <c r="B18942">
        <v>9450563</v>
      </c>
      <c r="C18942" s="1" t="str">
        <f>HYPERLINK("http://stackoverflow.com/users/9450563", "Michael R")</f>
        <v>Michael R</v>
      </c>
      <c r="D18942" t="s">
        <v>374</v>
      </c>
      <c r="E18942">
        <v>1</v>
      </c>
    </row>
    <row r="18943" spans="1:5" x14ac:dyDescent="0.25">
      <c r="A18943">
        <v>18942</v>
      </c>
      <c r="B18943">
        <v>9450921</v>
      </c>
      <c r="C18943" s="1" t="str">
        <f>HYPERLINK("http://stackoverflow.com/users/9450921", "Ball Chang")</f>
        <v>Ball Chang</v>
      </c>
      <c r="D18943" t="s">
        <v>55</v>
      </c>
      <c r="E18943">
        <v>1</v>
      </c>
    </row>
    <row r="18944" spans="1:5" x14ac:dyDescent="0.25">
      <c r="A18944">
        <v>18943</v>
      </c>
      <c r="B18944">
        <v>5780948</v>
      </c>
      <c r="C18944" s="1" t="str">
        <f>HYPERLINK("http://stackoverflow.com/users/5780948", "jz0630")</f>
        <v>jz0630</v>
      </c>
      <c r="D18944" t="s">
        <v>5</v>
      </c>
      <c r="E18944">
        <v>1</v>
      </c>
    </row>
    <row r="18945" spans="1:5" x14ac:dyDescent="0.25">
      <c r="A18945">
        <v>18944</v>
      </c>
      <c r="B18945">
        <v>7532363</v>
      </c>
      <c r="C18945" s="1" t="str">
        <f>HYPERLINK("http://stackoverflow.com/users/7532363", "Jessica_pku")</f>
        <v>Jessica_pku</v>
      </c>
      <c r="D18945" t="s">
        <v>5</v>
      </c>
      <c r="E18945">
        <v>1</v>
      </c>
    </row>
    <row r="18946" spans="1:5" x14ac:dyDescent="0.25">
      <c r="A18946">
        <v>18945</v>
      </c>
      <c r="B18946">
        <v>7532371</v>
      </c>
      <c r="C18946" s="1" t="str">
        <f>HYPERLINK("http://stackoverflow.com/users/7532371", "Alfred Chou")</f>
        <v>Alfred Chou</v>
      </c>
      <c r="D18946" t="s">
        <v>5</v>
      </c>
      <c r="E18946">
        <v>1</v>
      </c>
    </row>
    <row r="18947" spans="1:5" x14ac:dyDescent="0.25">
      <c r="A18947">
        <v>18946</v>
      </c>
      <c r="B18947">
        <v>2256536</v>
      </c>
      <c r="C18947" s="1" t="str">
        <f>HYPERLINK("http://stackoverflow.com/users/2256536", "Highstar")</f>
        <v>Highstar</v>
      </c>
      <c r="D18947" t="s">
        <v>5</v>
      </c>
      <c r="E18947">
        <v>1</v>
      </c>
    </row>
    <row r="18948" spans="1:5" x14ac:dyDescent="0.25">
      <c r="A18948">
        <v>18947</v>
      </c>
      <c r="B18948">
        <v>2256864</v>
      </c>
      <c r="C18948" s="1" t="str">
        <f>HYPERLINK("http://stackoverflow.com/users/2256864", "O_oTXC")</f>
        <v>O_oTXC</v>
      </c>
      <c r="D18948" t="s">
        <v>5</v>
      </c>
      <c r="E18948">
        <v>1</v>
      </c>
    </row>
    <row r="18949" spans="1:5" x14ac:dyDescent="0.25">
      <c r="A18949">
        <v>18948</v>
      </c>
      <c r="B18949">
        <v>2226790</v>
      </c>
      <c r="C18949" s="1" t="str">
        <f>HYPERLINK("http://stackoverflow.com/users/2226790", "Xwoder")</f>
        <v>Xwoder</v>
      </c>
      <c r="D18949" t="s">
        <v>31</v>
      </c>
      <c r="E18949">
        <v>1</v>
      </c>
    </row>
    <row r="18950" spans="1:5" x14ac:dyDescent="0.25">
      <c r="A18950">
        <v>18949</v>
      </c>
      <c r="B18950">
        <v>5756998</v>
      </c>
      <c r="C18950" s="1" t="str">
        <f>HYPERLINK("http://stackoverflow.com/users/5756998", "Seb")</f>
        <v>Seb</v>
      </c>
      <c r="D18950" t="s">
        <v>5</v>
      </c>
      <c r="E18950">
        <v>1</v>
      </c>
    </row>
    <row r="18951" spans="1:5" x14ac:dyDescent="0.25">
      <c r="A18951">
        <v>18950</v>
      </c>
      <c r="B18951">
        <v>5760350</v>
      </c>
      <c r="C18951" s="1" t="str">
        <f>HYPERLINK("http://stackoverflow.com/users/5760350", "kun")</f>
        <v>kun</v>
      </c>
      <c r="D18951" t="s">
        <v>5</v>
      </c>
      <c r="E18951">
        <v>1</v>
      </c>
    </row>
    <row r="18952" spans="1:5" x14ac:dyDescent="0.25">
      <c r="A18952">
        <v>18951</v>
      </c>
      <c r="B18952">
        <v>5760530</v>
      </c>
      <c r="C18952" s="1" t="str">
        <f>HYPERLINK("http://stackoverflow.com/users/5760530", "TopDstar")</f>
        <v>TopDstar</v>
      </c>
      <c r="D18952" t="s">
        <v>3</v>
      </c>
      <c r="E18952">
        <v>1</v>
      </c>
    </row>
    <row r="18953" spans="1:5" x14ac:dyDescent="0.25">
      <c r="A18953">
        <v>18952</v>
      </c>
      <c r="B18953">
        <v>5760730</v>
      </c>
      <c r="C18953" s="1" t="str">
        <f>HYPERLINK("http://stackoverflow.com/users/5760730", "Lento")</f>
        <v>Lento</v>
      </c>
      <c r="D18953" t="s">
        <v>5</v>
      </c>
      <c r="E18953">
        <v>1</v>
      </c>
    </row>
    <row r="18954" spans="1:5" x14ac:dyDescent="0.25">
      <c r="A18954">
        <v>18953</v>
      </c>
      <c r="B18954">
        <v>5760757</v>
      </c>
      <c r="C18954" s="1" t="str">
        <f>HYPERLINK("http://stackoverflow.com/users/5760757", "tianshaokai")</f>
        <v>tianshaokai</v>
      </c>
      <c r="D18954" t="s">
        <v>5</v>
      </c>
      <c r="E18954">
        <v>1</v>
      </c>
    </row>
    <row r="18955" spans="1:5" x14ac:dyDescent="0.25">
      <c r="A18955">
        <v>18954</v>
      </c>
      <c r="B18955">
        <v>11218941</v>
      </c>
      <c r="C18955" s="1" t="str">
        <f>HYPERLINK("http://stackoverflow.com/users/11218941", "liang lei")</f>
        <v>liang lei</v>
      </c>
      <c r="D18955" t="s">
        <v>4</v>
      </c>
      <c r="E18955">
        <v>1</v>
      </c>
    </row>
    <row r="18956" spans="1:5" x14ac:dyDescent="0.25">
      <c r="A18956">
        <v>18955</v>
      </c>
      <c r="B18956">
        <v>11219105</v>
      </c>
      <c r="C18956" s="1" t="str">
        <f>HYPERLINK("http://stackoverflow.com/users/11219105", "Kenton Blacutt")</f>
        <v>Kenton Blacutt</v>
      </c>
      <c r="D18956" t="s">
        <v>4</v>
      </c>
      <c r="E18956">
        <v>1</v>
      </c>
    </row>
    <row r="18957" spans="1:5" x14ac:dyDescent="0.25">
      <c r="A18957">
        <v>18956</v>
      </c>
      <c r="B18957">
        <v>11219545</v>
      </c>
      <c r="C18957" s="1" t="str">
        <f>HYPERLINK("http://stackoverflow.com/users/11219545", "FudgieBear")</f>
        <v>FudgieBear</v>
      </c>
      <c r="D18957" t="s">
        <v>25</v>
      </c>
      <c r="E18957">
        <v>1</v>
      </c>
    </row>
    <row r="18958" spans="1:5" x14ac:dyDescent="0.25">
      <c r="A18958">
        <v>18957</v>
      </c>
      <c r="B18958">
        <v>3988852</v>
      </c>
      <c r="C18958" s="1" t="str">
        <f>HYPERLINK("http://stackoverflow.com/users/3988852", "luoliangle")</f>
        <v>luoliangle</v>
      </c>
      <c r="D18958" t="s">
        <v>531</v>
      </c>
      <c r="E18958">
        <v>1</v>
      </c>
    </row>
    <row r="18959" spans="1:5" x14ac:dyDescent="0.25">
      <c r="A18959">
        <v>18958</v>
      </c>
      <c r="B18959">
        <v>3989359</v>
      </c>
      <c r="C18959" s="1" t="str">
        <f>HYPERLINK("http://stackoverflow.com/users/3989359", "zxpo")</f>
        <v>zxpo</v>
      </c>
      <c r="D18959" t="s">
        <v>4</v>
      </c>
      <c r="E18959">
        <v>1</v>
      </c>
    </row>
    <row r="18960" spans="1:5" x14ac:dyDescent="0.25">
      <c r="A18960">
        <v>18959</v>
      </c>
      <c r="B18960">
        <v>3988809</v>
      </c>
      <c r="C18960" s="1" t="str">
        <f>HYPERLINK("http://stackoverflow.com/users/3988809", "Felix")</f>
        <v>Felix</v>
      </c>
      <c r="D18960" t="s">
        <v>3</v>
      </c>
      <c r="E18960">
        <v>1</v>
      </c>
    </row>
    <row r="18961" spans="1:5" x14ac:dyDescent="0.25">
      <c r="A18961">
        <v>18960</v>
      </c>
      <c r="B18961">
        <v>9428484</v>
      </c>
      <c r="C18961" s="1" t="str">
        <f>HYPERLINK("http://stackoverflow.com/users/9428484", "桂升斌")</f>
        <v>桂升斌</v>
      </c>
      <c r="D18961" t="s">
        <v>25</v>
      </c>
      <c r="E18961">
        <v>1</v>
      </c>
    </row>
    <row r="18962" spans="1:5" x14ac:dyDescent="0.25">
      <c r="A18962">
        <v>18961</v>
      </c>
      <c r="B18962">
        <v>9428949</v>
      </c>
      <c r="C18962" s="1" t="str">
        <f>HYPERLINK("http://stackoverflow.com/users/9428949", "Yu Cao")</f>
        <v>Yu Cao</v>
      </c>
      <c r="D18962" t="s">
        <v>55</v>
      </c>
      <c r="E18962">
        <v>1</v>
      </c>
    </row>
    <row r="18963" spans="1:5" x14ac:dyDescent="0.25">
      <c r="A18963">
        <v>18962</v>
      </c>
      <c r="B18963">
        <v>3988678</v>
      </c>
      <c r="C18963" s="1" t="str">
        <f>HYPERLINK("http://stackoverflow.com/users/3988678", "xiaoyulong001")</f>
        <v>xiaoyulong001</v>
      </c>
      <c r="D18963" t="s">
        <v>17</v>
      </c>
      <c r="E18963">
        <v>1</v>
      </c>
    </row>
    <row r="18964" spans="1:5" x14ac:dyDescent="0.25">
      <c r="A18964">
        <v>18963</v>
      </c>
      <c r="B18964">
        <v>3988768</v>
      </c>
      <c r="C18964" s="1" t="str">
        <f>HYPERLINK("http://stackoverflow.com/users/3988768", "yu mingyan")</f>
        <v>yu mingyan</v>
      </c>
      <c r="D18964" t="s">
        <v>5</v>
      </c>
      <c r="E18964">
        <v>1</v>
      </c>
    </row>
    <row r="18965" spans="1:5" x14ac:dyDescent="0.25">
      <c r="A18965">
        <v>18964</v>
      </c>
      <c r="B18965">
        <v>11207169</v>
      </c>
      <c r="C18965" s="1" t="str">
        <f>HYPERLINK("http://stackoverflow.com/users/11207169", "Jed")</f>
        <v>Jed</v>
      </c>
      <c r="D18965" t="s">
        <v>4</v>
      </c>
      <c r="E18965">
        <v>1</v>
      </c>
    </row>
    <row r="18966" spans="1:5" x14ac:dyDescent="0.25">
      <c r="A18966">
        <v>18965</v>
      </c>
      <c r="B18966">
        <v>9412287</v>
      </c>
      <c r="C18966" s="1" t="str">
        <f>HYPERLINK("http://stackoverflow.com/users/9412287", "Hao Liu")</f>
        <v>Hao Liu</v>
      </c>
      <c r="D18966" t="s">
        <v>52</v>
      </c>
      <c r="E18966">
        <v>1</v>
      </c>
    </row>
    <row r="18967" spans="1:5" x14ac:dyDescent="0.25">
      <c r="A18967">
        <v>18966</v>
      </c>
      <c r="B18967">
        <v>9412288</v>
      </c>
      <c r="C18967" s="1" t="str">
        <f>HYPERLINK("http://stackoverflow.com/users/9412288", "zhangtianhong")</f>
        <v>zhangtianhong</v>
      </c>
      <c r="D18967" t="s">
        <v>5</v>
      </c>
      <c r="E18967">
        <v>1</v>
      </c>
    </row>
    <row r="18968" spans="1:5" x14ac:dyDescent="0.25">
      <c r="A18968">
        <v>18967</v>
      </c>
      <c r="B18968">
        <v>9412358</v>
      </c>
      <c r="C18968" s="1" t="str">
        <f>HYPERLINK("http://stackoverflow.com/users/9412358", "Henry Read")</f>
        <v>Henry Read</v>
      </c>
      <c r="D18968" t="s">
        <v>4</v>
      </c>
      <c r="E18968">
        <v>1</v>
      </c>
    </row>
    <row r="18969" spans="1:5" x14ac:dyDescent="0.25">
      <c r="A18969">
        <v>18968</v>
      </c>
      <c r="B18969">
        <v>9412760</v>
      </c>
      <c r="C18969" s="1" t="str">
        <f>HYPERLINK("http://stackoverflow.com/users/9412760", "Timmy Tianlan Zhang")</f>
        <v>Timmy Tianlan Zhang</v>
      </c>
      <c r="D18969" t="s">
        <v>1028</v>
      </c>
      <c r="E18969">
        <v>1</v>
      </c>
    </row>
    <row r="18970" spans="1:5" x14ac:dyDescent="0.25">
      <c r="A18970">
        <v>18969</v>
      </c>
      <c r="B18970">
        <v>5752734</v>
      </c>
      <c r="C18970" s="1" t="str">
        <f>HYPERLINK("http://stackoverflow.com/users/5752734", "Weili Yi")</f>
        <v>Weili Yi</v>
      </c>
      <c r="D18970" t="s">
        <v>8</v>
      </c>
      <c r="E18970">
        <v>1</v>
      </c>
    </row>
    <row r="18971" spans="1:5" x14ac:dyDescent="0.25">
      <c r="A18971">
        <v>18970</v>
      </c>
      <c r="B18971">
        <v>9416609</v>
      </c>
      <c r="C18971" s="1" t="str">
        <f>HYPERLINK("http://stackoverflow.com/users/9416609", "OneMore14")</f>
        <v>OneMore14</v>
      </c>
      <c r="D18971" t="s">
        <v>16</v>
      </c>
      <c r="E18971">
        <v>1</v>
      </c>
    </row>
    <row r="18972" spans="1:5" x14ac:dyDescent="0.25">
      <c r="A18972">
        <v>18971</v>
      </c>
      <c r="B18972">
        <v>9416642</v>
      </c>
      <c r="C18972" s="1" t="str">
        <f>HYPERLINK("http://stackoverflow.com/users/9416642", "Qilong Hai")</f>
        <v>Qilong Hai</v>
      </c>
      <c r="D18972" t="s">
        <v>5</v>
      </c>
      <c r="E18972">
        <v>1</v>
      </c>
    </row>
    <row r="18973" spans="1:5" x14ac:dyDescent="0.25">
      <c r="A18973">
        <v>18972</v>
      </c>
      <c r="B18973">
        <v>9416882</v>
      </c>
      <c r="C18973" s="1" t="str">
        <f>HYPERLINK("http://stackoverflow.com/users/9416882", "Rajneesh Bapna")</f>
        <v>Rajneesh Bapna</v>
      </c>
      <c r="D18973" t="s">
        <v>7</v>
      </c>
      <c r="E18973">
        <v>1</v>
      </c>
    </row>
    <row r="18974" spans="1:5" x14ac:dyDescent="0.25">
      <c r="A18974">
        <v>18973</v>
      </c>
      <c r="B18974">
        <v>7505034</v>
      </c>
      <c r="C18974" s="1" t="str">
        <f>HYPERLINK("http://stackoverflow.com/users/7505034", "snowyjone")</f>
        <v>snowyjone</v>
      </c>
      <c r="D18974" t="s">
        <v>351</v>
      </c>
      <c r="E18974">
        <v>1</v>
      </c>
    </row>
    <row r="18975" spans="1:5" x14ac:dyDescent="0.25">
      <c r="A18975">
        <v>18974</v>
      </c>
      <c r="B18975">
        <v>7505128</v>
      </c>
      <c r="C18975" s="1" t="str">
        <f>HYPERLINK("http://stackoverflow.com/users/7505128", "W.herong")</f>
        <v>W.herong</v>
      </c>
      <c r="D18975" t="s">
        <v>5</v>
      </c>
      <c r="E18975">
        <v>1</v>
      </c>
    </row>
    <row r="18976" spans="1:5" x14ac:dyDescent="0.25">
      <c r="A18976">
        <v>18975</v>
      </c>
      <c r="B18976">
        <v>3981762</v>
      </c>
      <c r="C18976" s="1" t="str">
        <f>HYPERLINK("http://stackoverflow.com/users/3981762", "郭鸿程")</f>
        <v>郭鸿程</v>
      </c>
      <c r="D18976" t="s">
        <v>4</v>
      </c>
      <c r="E18976">
        <v>1</v>
      </c>
    </row>
    <row r="18977" spans="1:5" x14ac:dyDescent="0.25">
      <c r="A18977">
        <v>18976</v>
      </c>
      <c r="B18977">
        <v>3981848</v>
      </c>
      <c r="C18977" s="1" t="str">
        <f>HYPERLINK("http://stackoverflow.com/users/3981848", "xin he")</f>
        <v>xin he</v>
      </c>
      <c r="D18977" t="s">
        <v>5</v>
      </c>
      <c r="E18977">
        <v>1</v>
      </c>
    </row>
    <row r="18978" spans="1:5" x14ac:dyDescent="0.25">
      <c r="A18978">
        <v>18977</v>
      </c>
      <c r="B18978">
        <v>3982228</v>
      </c>
      <c r="C18978" s="1" t="str">
        <f>HYPERLINK("http://stackoverflow.com/users/3982228", "xiaofeixia")</f>
        <v>xiaofeixia</v>
      </c>
      <c r="D18978" t="s">
        <v>5</v>
      </c>
      <c r="E18978">
        <v>1</v>
      </c>
    </row>
    <row r="18979" spans="1:5" x14ac:dyDescent="0.25">
      <c r="A18979">
        <v>18978</v>
      </c>
      <c r="B18979">
        <v>9421628</v>
      </c>
      <c r="C18979" s="1" t="str">
        <f>HYPERLINK("http://stackoverflow.com/users/9421628", "felix Barkoum Betra")</f>
        <v>felix Barkoum Betra</v>
      </c>
      <c r="D18979" t="s">
        <v>4</v>
      </c>
      <c r="E18979">
        <v>1</v>
      </c>
    </row>
    <row r="18980" spans="1:5" x14ac:dyDescent="0.25">
      <c r="A18980">
        <v>18979</v>
      </c>
      <c r="B18980">
        <v>9421695</v>
      </c>
      <c r="C18980" s="1" t="str">
        <f>HYPERLINK("http://stackoverflow.com/users/9421695", "Tian Fangchao")</f>
        <v>Tian Fangchao</v>
      </c>
      <c r="D18980" t="s">
        <v>52</v>
      </c>
      <c r="E18980">
        <v>1</v>
      </c>
    </row>
    <row r="18981" spans="1:5" x14ac:dyDescent="0.25">
      <c r="A18981">
        <v>18980</v>
      </c>
      <c r="B18981">
        <v>9421701</v>
      </c>
      <c r="C18981" s="1" t="str">
        <f>HYPERLINK("http://stackoverflow.com/users/9421701", "Hubert")</f>
        <v>Hubert</v>
      </c>
      <c r="D18981" t="s">
        <v>7</v>
      </c>
      <c r="E18981">
        <v>1</v>
      </c>
    </row>
    <row r="18982" spans="1:5" x14ac:dyDescent="0.25">
      <c r="A18982">
        <v>18981</v>
      </c>
      <c r="B18982">
        <v>7508886</v>
      </c>
      <c r="C18982" s="1" t="str">
        <f>HYPERLINK("http://stackoverflow.com/users/7508886", "Srefan")</f>
        <v>Srefan</v>
      </c>
      <c r="D18982" t="s">
        <v>240</v>
      </c>
      <c r="E18982">
        <v>1</v>
      </c>
    </row>
    <row r="18983" spans="1:5" x14ac:dyDescent="0.25">
      <c r="A18983">
        <v>18982</v>
      </c>
      <c r="B18983">
        <v>7509040</v>
      </c>
      <c r="C18983" s="1" t="str">
        <f>HYPERLINK("http://stackoverflow.com/users/7509040", "Tony")</f>
        <v>Tony</v>
      </c>
      <c r="D18983" t="s">
        <v>5</v>
      </c>
      <c r="E18983">
        <v>1</v>
      </c>
    </row>
    <row r="18984" spans="1:5" x14ac:dyDescent="0.25">
      <c r="A18984">
        <v>18983</v>
      </c>
      <c r="B18984">
        <v>7509164</v>
      </c>
      <c r="C18984" s="1" t="str">
        <f>HYPERLINK("http://stackoverflow.com/users/7509164", "jinmu")</f>
        <v>jinmu</v>
      </c>
      <c r="D18984" t="s">
        <v>15</v>
      </c>
      <c r="E18984">
        <v>1</v>
      </c>
    </row>
    <row r="18985" spans="1:5" x14ac:dyDescent="0.25">
      <c r="A18985">
        <v>18984</v>
      </c>
      <c r="B18985">
        <v>7512089</v>
      </c>
      <c r="C18985" s="1" t="str">
        <f>HYPERLINK("http://stackoverflow.com/users/7512089", "Aura.PEI")</f>
        <v>Aura.PEI</v>
      </c>
      <c r="D18985" t="s">
        <v>4</v>
      </c>
      <c r="E18985">
        <v>1</v>
      </c>
    </row>
    <row r="18986" spans="1:5" x14ac:dyDescent="0.25">
      <c r="A18986">
        <v>18985</v>
      </c>
      <c r="B18986">
        <v>3984989</v>
      </c>
      <c r="C18986" s="1" t="str">
        <f>HYPERLINK("http://stackoverflow.com/users/3984989", "alking")</f>
        <v>alking</v>
      </c>
      <c r="D18986" t="s">
        <v>1029</v>
      </c>
      <c r="E18986">
        <v>1</v>
      </c>
    </row>
    <row r="18987" spans="1:5" x14ac:dyDescent="0.25">
      <c r="A18987">
        <v>18986</v>
      </c>
      <c r="B18987">
        <v>3985061</v>
      </c>
      <c r="C18987" s="1" t="str">
        <f>HYPERLINK("http://stackoverflow.com/users/3985061", "Dawn Simth")</f>
        <v>Dawn Simth</v>
      </c>
      <c r="D18987" t="s">
        <v>5</v>
      </c>
      <c r="E18987">
        <v>1</v>
      </c>
    </row>
    <row r="18988" spans="1:5" x14ac:dyDescent="0.25">
      <c r="A18988">
        <v>18987</v>
      </c>
      <c r="B18988">
        <v>3996277</v>
      </c>
      <c r="C18988" s="1" t="str">
        <f>HYPERLINK("http://stackoverflow.com/users/3996277", "DreamHunter")</f>
        <v>DreamHunter</v>
      </c>
      <c r="D18988" t="s">
        <v>22</v>
      </c>
      <c r="E18988">
        <v>1</v>
      </c>
    </row>
    <row r="18989" spans="1:5" x14ac:dyDescent="0.25">
      <c r="A18989">
        <v>18988</v>
      </c>
      <c r="B18989">
        <v>11235383</v>
      </c>
      <c r="C18989" s="1" t="str">
        <f>HYPERLINK("http://stackoverflow.com/users/11235383", "IvyLiu")</f>
        <v>IvyLiu</v>
      </c>
      <c r="D18989" t="s">
        <v>4</v>
      </c>
      <c r="E18989">
        <v>1</v>
      </c>
    </row>
    <row r="18990" spans="1:5" x14ac:dyDescent="0.25">
      <c r="A18990">
        <v>18989</v>
      </c>
      <c r="B18990">
        <v>11235629</v>
      </c>
      <c r="C18990" s="1" t="str">
        <f>HYPERLINK("http://stackoverflow.com/users/11235629", "S.P.W")</f>
        <v>S.P.W</v>
      </c>
      <c r="D18990" t="s">
        <v>74</v>
      </c>
      <c r="E18990">
        <v>1</v>
      </c>
    </row>
    <row r="18991" spans="1:5" x14ac:dyDescent="0.25">
      <c r="A18991">
        <v>18990</v>
      </c>
      <c r="B18991">
        <v>11235931</v>
      </c>
      <c r="C18991" s="1" t="str">
        <f>HYPERLINK("http://stackoverflow.com/users/11235931", "Chris Choo")</f>
        <v>Chris Choo</v>
      </c>
      <c r="D18991" t="s">
        <v>16</v>
      </c>
      <c r="E18991">
        <v>1</v>
      </c>
    </row>
    <row r="18992" spans="1:5" x14ac:dyDescent="0.25">
      <c r="A18992">
        <v>18991</v>
      </c>
      <c r="B18992">
        <v>5776358</v>
      </c>
      <c r="C18992" s="1" t="str">
        <f>HYPERLINK("http://stackoverflow.com/users/5776358", "MrTan")</f>
        <v>MrTan</v>
      </c>
      <c r="D18992" t="s">
        <v>113</v>
      </c>
      <c r="E18992">
        <v>1</v>
      </c>
    </row>
    <row r="18993" spans="1:5" x14ac:dyDescent="0.25">
      <c r="A18993">
        <v>18992</v>
      </c>
      <c r="B18993">
        <v>5776502</v>
      </c>
      <c r="C18993" s="1" t="str">
        <f>HYPERLINK("http://stackoverflow.com/users/5776502", "saplf")</f>
        <v>saplf</v>
      </c>
      <c r="D18993" t="s">
        <v>80</v>
      </c>
      <c r="E18993">
        <v>1</v>
      </c>
    </row>
    <row r="18994" spans="1:5" x14ac:dyDescent="0.25">
      <c r="A18994">
        <v>18993</v>
      </c>
      <c r="B18994">
        <v>5776631</v>
      </c>
      <c r="C18994" s="1" t="str">
        <f>HYPERLINK("http://stackoverflow.com/users/5776631", "Shuai Xu")</f>
        <v>Shuai Xu</v>
      </c>
      <c r="D18994" t="s">
        <v>5</v>
      </c>
      <c r="E18994">
        <v>1</v>
      </c>
    </row>
    <row r="18995" spans="1:5" x14ac:dyDescent="0.25">
      <c r="A18995">
        <v>18994</v>
      </c>
      <c r="B18995">
        <v>5776943</v>
      </c>
      <c r="C18995" s="1" t="str">
        <f>HYPERLINK("http://stackoverflow.com/users/5776943", "TabSpace")</f>
        <v>TabSpace</v>
      </c>
      <c r="D18995" t="s">
        <v>5</v>
      </c>
      <c r="E18995">
        <v>1</v>
      </c>
    </row>
    <row r="18996" spans="1:5" x14ac:dyDescent="0.25">
      <c r="A18996">
        <v>18995</v>
      </c>
      <c r="B18996">
        <v>5776993</v>
      </c>
      <c r="C18996" s="1" t="str">
        <f>HYPERLINK("http://stackoverflow.com/users/5776993", "Blade")</f>
        <v>Blade</v>
      </c>
      <c r="D18996" t="s">
        <v>16</v>
      </c>
      <c r="E18996">
        <v>1</v>
      </c>
    </row>
    <row r="18997" spans="1:5" x14ac:dyDescent="0.25">
      <c r="A18997">
        <v>18996</v>
      </c>
      <c r="B18997">
        <v>7527819</v>
      </c>
      <c r="C18997" s="1" t="str">
        <f>HYPERLINK("http://stackoverflow.com/users/7527819", "John Lee")</f>
        <v>John Lee</v>
      </c>
      <c r="D18997" t="s">
        <v>25</v>
      </c>
      <c r="E18997">
        <v>1</v>
      </c>
    </row>
    <row r="18998" spans="1:5" x14ac:dyDescent="0.25">
      <c r="A18998">
        <v>18997</v>
      </c>
      <c r="B18998">
        <v>7528037</v>
      </c>
      <c r="C18998" s="1" t="str">
        <f>HYPERLINK("http://stackoverflow.com/users/7528037", "Lin Ren")</f>
        <v>Lin Ren</v>
      </c>
      <c r="D18998" t="s">
        <v>5</v>
      </c>
      <c r="E18998">
        <v>1</v>
      </c>
    </row>
    <row r="18999" spans="1:5" x14ac:dyDescent="0.25">
      <c r="A18999">
        <v>18998</v>
      </c>
      <c r="B18999">
        <v>7528311</v>
      </c>
      <c r="C18999" s="1" t="str">
        <f>HYPERLINK("http://stackoverflow.com/users/7528311", "Kaka")</f>
        <v>Kaka</v>
      </c>
      <c r="D18999" t="s">
        <v>5</v>
      </c>
      <c r="E18999">
        <v>1</v>
      </c>
    </row>
    <row r="19000" spans="1:5" x14ac:dyDescent="0.25">
      <c r="A19000">
        <v>18999</v>
      </c>
      <c r="B19000">
        <v>11240768</v>
      </c>
      <c r="C19000" s="1" t="str">
        <f>HYPERLINK("http://stackoverflow.com/users/11240768", "Luke")</f>
        <v>Luke</v>
      </c>
      <c r="D19000" t="s">
        <v>5</v>
      </c>
      <c r="E19000">
        <v>1</v>
      </c>
    </row>
    <row r="19001" spans="1:5" x14ac:dyDescent="0.25">
      <c r="A19001">
        <v>19000</v>
      </c>
      <c r="B19001">
        <v>11241232</v>
      </c>
      <c r="C19001" s="1" t="str">
        <f>HYPERLINK("http://stackoverflow.com/users/11241232", "阿超的小蝴蝶")</f>
        <v>阿超的小蝴蝶</v>
      </c>
      <c r="D19001" t="s">
        <v>78</v>
      </c>
      <c r="E19001">
        <v>1</v>
      </c>
    </row>
    <row r="19002" spans="1:5" x14ac:dyDescent="0.25">
      <c r="A19002">
        <v>19001</v>
      </c>
      <c r="B19002">
        <v>11241418</v>
      </c>
      <c r="C19002" s="1" t="str">
        <f>HYPERLINK("http://stackoverflow.com/users/11241418", "lungehet")</f>
        <v>lungehet</v>
      </c>
      <c r="D19002" t="s">
        <v>108</v>
      </c>
      <c r="E19002">
        <v>1</v>
      </c>
    </row>
    <row r="19003" spans="1:5" x14ac:dyDescent="0.25">
      <c r="A19003">
        <v>19002</v>
      </c>
      <c r="B19003">
        <v>2256248</v>
      </c>
      <c r="C19003" s="1" t="str">
        <f>HYPERLINK("http://stackoverflow.com/users/2256248", "Adam J Lau")</f>
        <v>Adam J Lau</v>
      </c>
      <c r="D19003" t="s">
        <v>12</v>
      </c>
      <c r="E19003">
        <v>1</v>
      </c>
    </row>
    <row r="19004" spans="1:5" x14ac:dyDescent="0.25">
      <c r="A19004">
        <v>19003</v>
      </c>
      <c r="B19004">
        <v>5769004</v>
      </c>
      <c r="C19004" s="1" t="str">
        <f>HYPERLINK("http://stackoverflow.com/users/5769004", "Jimmy.Li")</f>
        <v>Jimmy.Li</v>
      </c>
      <c r="D19004" t="s">
        <v>4</v>
      </c>
      <c r="E19004">
        <v>1</v>
      </c>
    </row>
    <row r="19005" spans="1:5" x14ac:dyDescent="0.25">
      <c r="A19005">
        <v>19004</v>
      </c>
      <c r="B19005">
        <v>5769015</v>
      </c>
      <c r="C19005" s="1" t="str">
        <f>HYPERLINK("http://stackoverflow.com/users/5769015", "杨东冀")</f>
        <v>杨东冀</v>
      </c>
      <c r="D19005" t="s">
        <v>5</v>
      </c>
      <c r="E19005">
        <v>1</v>
      </c>
    </row>
    <row r="19006" spans="1:5" x14ac:dyDescent="0.25">
      <c r="A19006">
        <v>19005</v>
      </c>
      <c r="B19006">
        <v>9433262</v>
      </c>
      <c r="C19006" s="1" t="str">
        <f>HYPERLINK("http://stackoverflow.com/users/9433262", "Thomas Yang")</f>
        <v>Thomas Yang</v>
      </c>
      <c r="D19006" t="s">
        <v>4</v>
      </c>
      <c r="E19006">
        <v>1</v>
      </c>
    </row>
    <row r="19007" spans="1:5" x14ac:dyDescent="0.25">
      <c r="A19007">
        <v>19006</v>
      </c>
      <c r="B19007">
        <v>9433362</v>
      </c>
      <c r="C19007" s="1" t="str">
        <f>HYPERLINK("http://stackoverflow.com/users/9433362", "user9433362")</f>
        <v>user9433362</v>
      </c>
      <c r="D19007" t="s">
        <v>16</v>
      </c>
      <c r="E19007">
        <v>1</v>
      </c>
    </row>
    <row r="19008" spans="1:5" x14ac:dyDescent="0.25">
      <c r="A19008">
        <v>19007</v>
      </c>
      <c r="B19008">
        <v>9436989</v>
      </c>
      <c r="C19008" s="1" t="str">
        <f>HYPERLINK("http://stackoverflow.com/users/9436989", "fitz")</f>
        <v>fitz</v>
      </c>
      <c r="D19008" t="s">
        <v>19</v>
      </c>
      <c r="E19008">
        <v>1</v>
      </c>
    </row>
    <row r="19009" spans="1:5" x14ac:dyDescent="0.25">
      <c r="A19009">
        <v>19008</v>
      </c>
      <c r="B19009">
        <v>9437045</v>
      </c>
      <c r="C19009" s="1" t="str">
        <f>HYPERLINK("http://stackoverflow.com/users/9437045", "Leon Geroge")</f>
        <v>Leon Geroge</v>
      </c>
      <c r="D19009" t="s">
        <v>4</v>
      </c>
      <c r="E19009">
        <v>1</v>
      </c>
    </row>
    <row r="19010" spans="1:5" x14ac:dyDescent="0.25">
      <c r="A19010">
        <v>19009</v>
      </c>
      <c r="B19010">
        <v>2247303</v>
      </c>
      <c r="C19010" s="1" t="str">
        <f>HYPERLINK("http://stackoverflow.com/users/2247303", "laitysoft")</f>
        <v>laitysoft</v>
      </c>
      <c r="D19010" t="s">
        <v>12</v>
      </c>
      <c r="E19010">
        <v>1</v>
      </c>
    </row>
    <row r="19011" spans="1:5" x14ac:dyDescent="0.25">
      <c r="A19011">
        <v>19010</v>
      </c>
      <c r="B19011">
        <v>9437112</v>
      </c>
      <c r="C19011" s="1" t="str">
        <f>HYPERLINK("http://stackoverflow.com/users/9437112", "jiaoyiping")</f>
        <v>jiaoyiping</v>
      </c>
      <c r="D19011" t="s">
        <v>37</v>
      </c>
      <c r="E19011">
        <v>1</v>
      </c>
    </row>
    <row r="19012" spans="1:5" x14ac:dyDescent="0.25">
      <c r="A19012">
        <v>19011</v>
      </c>
      <c r="B19012">
        <v>9437147</v>
      </c>
      <c r="C19012" s="1" t="str">
        <f>HYPERLINK("http://stackoverflow.com/users/9437147", "Haifeng John")</f>
        <v>Haifeng John</v>
      </c>
      <c r="D19012" t="s">
        <v>87</v>
      </c>
      <c r="E19012">
        <v>1</v>
      </c>
    </row>
    <row r="19013" spans="1:5" x14ac:dyDescent="0.25">
      <c r="A19013">
        <v>19012</v>
      </c>
      <c r="B19013">
        <v>9437289</v>
      </c>
      <c r="C19013" s="1" t="str">
        <f>HYPERLINK("http://stackoverflow.com/users/9437289", "Ye Runzhao")</f>
        <v>Ye Runzhao</v>
      </c>
      <c r="D19013" t="s">
        <v>7</v>
      </c>
      <c r="E19013">
        <v>1</v>
      </c>
    </row>
    <row r="19014" spans="1:5" x14ac:dyDescent="0.25">
      <c r="A19014">
        <v>19013</v>
      </c>
      <c r="B19014">
        <v>5772225</v>
      </c>
      <c r="C19014" s="1" t="str">
        <f>HYPERLINK("http://stackoverflow.com/users/5772225", "Chris Yu")</f>
        <v>Chris Yu</v>
      </c>
      <c r="D19014" t="s">
        <v>8</v>
      </c>
      <c r="E19014">
        <v>1</v>
      </c>
    </row>
    <row r="19015" spans="1:5" x14ac:dyDescent="0.25">
      <c r="A19015">
        <v>19014</v>
      </c>
      <c r="B19015">
        <v>5772236</v>
      </c>
      <c r="C19015" s="1" t="str">
        <f>HYPERLINK("http://stackoverflow.com/users/5772236", "Alex Shi")</f>
        <v>Alex Shi</v>
      </c>
      <c r="D19015" t="s">
        <v>5</v>
      </c>
      <c r="E19015">
        <v>1</v>
      </c>
    </row>
    <row r="19016" spans="1:5" x14ac:dyDescent="0.25">
      <c r="A19016">
        <v>19015</v>
      </c>
      <c r="B19016">
        <v>7574142</v>
      </c>
      <c r="C19016" s="1" t="str">
        <f>HYPERLINK("http://stackoverflow.com/users/7574142", "jie wu")</f>
        <v>jie wu</v>
      </c>
      <c r="D19016" t="s">
        <v>4</v>
      </c>
      <c r="E19016">
        <v>1</v>
      </c>
    </row>
    <row r="19017" spans="1:5" x14ac:dyDescent="0.25">
      <c r="A19017">
        <v>19016</v>
      </c>
      <c r="B19017">
        <v>7574360</v>
      </c>
      <c r="C19017" s="1" t="str">
        <f>HYPERLINK("http://stackoverflow.com/users/7574360", "yingdi fu")</f>
        <v>yingdi fu</v>
      </c>
      <c r="D19017" t="s">
        <v>308</v>
      </c>
      <c r="E19017">
        <v>1</v>
      </c>
    </row>
    <row r="19018" spans="1:5" x14ac:dyDescent="0.25">
      <c r="A19018">
        <v>19017</v>
      </c>
      <c r="B19018">
        <v>7574812</v>
      </c>
      <c r="C19018" s="1" t="str">
        <f>HYPERLINK("http://stackoverflow.com/users/7574812", "Richard Zheng")</f>
        <v>Richard Zheng</v>
      </c>
      <c r="D19018" t="s">
        <v>28</v>
      </c>
      <c r="E19018">
        <v>1</v>
      </c>
    </row>
    <row r="19019" spans="1:5" x14ac:dyDescent="0.25">
      <c r="A19019">
        <v>19018</v>
      </c>
      <c r="B19019">
        <v>4048535</v>
      </c>
      <c r="C19019" s="1" t="str">
        <f>HYPERLINK("http://stackoverflow.com/users/4048535", "seno")</f>
        <v>seno</v>
      </c>
      <c r="D19019" t="s">
        <v>21</v>
      </c>
      <c r="E19019">
        <v>1</v>
      </c>
    </row>
    <row r="19020" spans="1:5" x14ac:dyDescent="0.25">
      <c r="A19020">
        <v>19019</v>
      </c>
      <c r="B19020">
        <v>2318312</v>
      </c>
      <c r="C19020" s="1" t="str">
        <f>HYPERLINK("http://stackoverflow.com/users/2318312", "zhou")</f>
        <v>zhou</v>
      </c>
      <c r="D19020" t="s">
        <v>5</v>
      </c>
      <c r="E19020">
        <v>1</v>
      </c>
    </row>
    <row r="19021" spans="1:5" x14ac:dyDescent="0.25">
      <c r="A19021">
        <v>19020</v>
      </c>
      <c r="B19021">
        <v>2318372</v>
      </c>
      <c r="C19021" s="1" t="str">
        <f>HYPERLINK("http://stackoverflow.com/users/2318372", "汪士奇")</f>
        <v>汪士奇</v>
      </c>
      <c r="D19021" t="s">
        <v>3</v>
      </c>
      <c r="E19021">
        <v>1</v>
      </c>
    </row>
    <row r="19022" spans="1:5" x14ac:dyDescent="0.25">
      <c r="A19022">
        <v>19021</v>
      </c>
      <c r="B19022">
        <v>9497009</v>
      </c>
      <c r="C19022" s="1" t="str">
        <f>HYPERLINK("http://stackoverflow.com/users/9497009", "Rich Bishop")</f>
        <v>Rich Bishop</v>
      </c>
      <c r="D19022" t="s">
        <v>5</v>
      </c>
      <c r="E19022">
        <v>1</v>
      </c>
    </row>
    <row r="19023" spans="1:5" x14ac:dyDescent="0.25">
      <c r="A19023">
        <v>19022</v>
      </c>
      <c r="B19023">
        <v>9500657</v>
      </c>
      <c r="C19023" s="1" t="str">
        <f>HYPERLINK("http://stackoverflow.com/users/9500657", "Lixiangisgud")</f>
        <v>Lixiangisgud</v>
      </c>
      <c r="D19023" t="s">
        <v>4</v>
      </c>
      <c r="E19023">
        <v>1</v>
      </c>
    </row>
    <row r="19024" spans="1:5" x14ac:dyDescent="0.25">
      <c r="A19024">
        <v>19023</v>
      </c>
      <c r="B19024">
        <v>9500717</v>
      </c>
      <c r="C19024" s="1" t="str">
        <f>HYPERLINK("http://stackoverflow.com/users/9500717", "Tracy.Yu")</f>
        <v>Tracy.Yu</v>
      </c>
      <c r="D19024" t="s">
        <v>5</v>
      </c>
      <c r="E19024">
        <v>1</v>
      </c>
    </row>
    <row r="19025" spans="1:5" x14ac:dyDescent="0.25">
      <c r="A19025">
        <v>19024</v>
      </c>
      <c r="B19025">
        <v>9500780</v>
      </c>
      <c r="C19025" s="1" t="str">
        <f>HYPERLINK("http://stackoverflow.com/users/9500780", "Emily")</f>
        <v>Emily</v>
      </c>
      <c r="D19025" t="s">
        <v>5</v>
      </c>
      <c r="E19025">
        <v>1</v>
      </c>
    </row>
    <row r="19026" spans="1:5" x14ac:dyDescent="0.25">
      <c r="A19026">
        <v>19025</v>
      </c>
      <c r="B19026">
        <v>9500875</v>
      </c>
      <c r="C19026" s="1" t="str">
        <f>HYPERLINK("http://stackoverflow.com/users/9500875", "Franck Zhu")</f>
        <v>Franck Zhu</v>
      </c>
      <c r="D19026" t="s">
        <v>4</v>
      </c>
      <c r="E19026">
        <v>1</v>
      </c>
    </row>
    <row r="19027" spans="1:5" x14ac:dyDescent="0.25">
      <c r="A19027">
        <v>19026</v>
      </c>
      <c r="B19027">
        <v>9500886</v>
      </c>
      <c r="C19027" s="1" t="str">
        <f>HYPERLINK("http://stackoverflow.com/users/9500886", "jj.cheng")</f>
        <v>jj.cheng</v>
      </c>
      <c r="D19027" t="s">
        <v>42</v>
      </c>
      <c r="E19027">
        <v>1</v>
      </c>
    </row>
    <row r="19028" spans="1:5" x14ac:dyDescent="0.25">
      <c r="A19028">
        <v>19027</v>
      </c>
      <c r="B19028">
        <v>2317543</v>
      </c>
      <c r="C19028" s="1" t="str">
        <f>HYPERLINK("http://stackoverflow.com/users/2317543", "Kai")</f>
        <v>Kai</v>
      </c>
      <c r="D19028" t="s">
        <v>17</v>
      </c>
      <c r="E19028">
        <v>1</v>
      </c>
    </row>
    <row r="19029" spans="1:5" x14ac:dyDescent="0.25">
      <c r="A19029">
        <v>19028</v>
      </c>
      <c r="B19029">
        <v>4037320</v>
      </c>
      <c r="C19029" s="1" t="str">
        <f>HYPERLINK("http://stackoverflow.com/users/4037320", "viix")</f>
        <v>viix</v>
      </c>
      <c r="D19029" t="s">
        <v>4</v>
      </c>
      <c r="E19029">
        <v>1</v>
      </c>
    </row>
    <row r="19030" spans="1:5" x14ac:dyDescent="0.25">
      <c r="A19030">
        <v>19029</v>
      </c>
      <c r="B19030">
        <v>5813682</v>
      </c>
      <c r="C19030" s="1" t="str">
        <f>HYPERLINK("http://stackoverflow.com/users/5813682", "SoHi")</f>
        <v>SoHi</v>
      </c>
      <c r="D19030" t="s">
        <v>38</v>
      </c>
      <c r="E19030">
        <v>1</v>
      </c>
    </row>
    <row r="19031" spans="1:5" x14ac:dyDescent="0.25">
      <c r="A19031">
        <v>19030</v>
      </c>
      <c r="B19031">
        <v>4041029</v>
      </c>
      <c r="C19031" s="1" t="str">
        <f>HYPERLINK("http://stackoverflow.com/users/4041029", "guafei")</f>
        <v>guafei</v>
      </c>
      <c r="D19031" t="s">
        <v>12</v>
      </c>
      <c r="E19031">
        <v>1</v>
      </c>
    </row>
    <row r="19032" spans="1:5" x14ac:dyDescent="0.25">
      <c r="A19032">
        <v>19031</v>
      </c>
      <c r="B19032">
        <v>4041088</v>
      </c>
      <c r="C19032" s="1" t="str">
        <f>HYPERLINK("http://stackoverflow.com/users/4041088", "Liusong")</f>
        <v>Liusong</v>
      </c>
      <c r="D19032" t="s">
        <v>4</v>
      </c>
      <c r="E19032">
        <v>1</v>
      </c>
    </row>
    <row r="19033" spans="1:5" x14ac:dyDescent="0.25">
      <c r="A19033">
        <v>19032</v>
      </c>
      <c r="B19033">
        <v>2304410</v>
      </c>
      <c r="C19033" s="1" t="str">
        <f>HYPERLINK("http://stackoverflow.com/users/2304410", "liuyunyun")</f>
        <v>liuyunyun</v>
      </c>
      <c r="D19033" t="s">
        <v>4</v>
      </c>
      <c r="E19033">
        <v>1</v>
      </c>
    </row>
    <row r="19034" spans="1:5" x14ac:dyDescent="0.25">
      <c r="A19034">
        <v>19033</v>
      </c>
      <c r="B19034">
        <v>2305698</v>
      </c>
      <c r="C19034" s="1" t="str">
        <f>HYPERLINK("http://stackoverflow.com/users/2305698", "emma.ren")</f>
        <v>emma.ren</v>
      </c>
      <c r="D19034" t="s">
        <v>5</v>
      </c>
      <c r="E19034">
        <v>1</v>
      </c>
    </row>
    <row r="19035" spans="1:5" x14ac:dyDescent="0.25">
      <c r="A19035">
        <v>19034</v>
      </c>
      <c r="B19035">
        <v>9488412</v>
      </c>
      <c r="C19035" s="1" t="str">
        <f>HYPERLINK("http://stackoverflow.com/users/9488412", "codageRenard")</f>
        <v>codageRenard</v>
      </c>
      <c r="D19035" t="s">
        <v>28</v>
      </c>
      <c r="E19035">
        <v>1</v>
      </c>
    </row>
    <row r="19036" spans="1:5" x14ac:dyDescent="0.25">
      <c r="A19036">
        <v>19035</v>
      </c>
      <c r="B19036">
        <v>5813786</v>
      </c>
      <c r="C19036" s="1" t="str">
        <f>HYPERLINK("http://stackoverflow.com/users/5813786", "Zoa Chou")</f>
        <v>Zoa Chou</v>
      </c>
      <c r="D19036" t="s">
        <v>25</v>
      </c>
      <c r="E19036">
        <v>1</v>
      </c>
    </row>
    <row r="19037" spans="1:5" x14ac:dyDescent="0.25">
      <c r="A19037">
        <v>19036</v>
      </c>
      <c r="B19037">
        <v>5814073</v>
      </c>
      <c r="C19037" s="1" t="str">
        <f>HYPERLINK("http://stackoverflow.com/users/5814073", "Shaw Nee")</f>
        <v>Shaw Nee</v>
      </c>
      <c r="D19037" t="s">
        <v>4</v>
      </c>
      <c r="E19037">
        <v>1</v>
      </c>
    </row>
    <row r="19038" spans="1:5" x14ac:dyDescent="0.25">
      <c r="A19038">
        <v>19037</v>
      </c>
      <c r="B19038">
        <v>5814099</v>
      </c>
      <c r="C19038" s="1" t="str">
        <f>HYPERLINK("http://stackoverflow.com/users/5814099", "yongsheng")</f>
        <v>yongsheng</v>
      </c>
      <c r="D19038" t="s">
        <v>5</v>
      </c>
      <c r="E19038">
        <v>1</v>
      </c>
    </row>
    <row r="19039" spans="1:5" x14ac:dyDescent="0.25">
      <c r="A19039">
        <v>19038</v>
      </c>
      <c r="B19039">
        <v>5814226</v>
      </c>
      <c r="C19039" s="1" t="str">
        <f>HYPERLINK("http://stackoverflow.com/users/5814226", "mark_lost")</f>
        <v>mark_lost</v>
      </c>
      <c r="D19039" t="s">
        <v>4</v>
      </c>
      <c r="E19039">
        <v>1</v>
      </c>
    </row>
    <row r="19040" spans="1:5" x14ac:dyDescent="0.25">
      <c r="A19040">
        <v>19039</v>
      </c>
      <c r="B19040">
        <v>5814243</v>
      </c>
      <c r="C19040" s="1" t="str">
        <f>HYPERLINK("http://stackoverflow.com/users/5814243", "JIER ZHENG")</f>
        <v>JIER ZHENG</v>
      </c>
      <c r="D19040" t="s">
        <v>5</v>
      </c>
      <c r="E19040">
        <v>1</v>
      </c>
    </row>
    <row r="19041" spans="1:5" x14ac:dyDescent="0.25">
      <c r="A19041">
        <v>19040</v>
      </c>
      <c r="B19041">
        <v>5814458</v>
      </c>
      <c r="C19041" s="1" t="str">
        <f>HYPERLINK("http://stackoverflow.com/users/5814458", "zehao chen")</f>
        <v>zehao chen</v>
      </c>
      <c r="D19041" t="s">
        <v>4</v>
      </c>
      <c r="E19041">
        <v>1</v>
      </c>
    </row>
    <row r="19042" spans="1:5" x14ac:dyDescent="0.25">
      <c r="A19042">
        <v>19041</v>
      </c>
      <c r="B19042">
        <v>9484657</v>
      </c>
      <c r="C19042" s="1" t="str">
        <f>HYPERLINK("http://stackoverflow.com/users/9484657", "萌萌强")</f>
        <v>萌萌强</v>
      </c>
      <c r="D19042" t="s">
        <v>55</v>
      </c>
      <c r="E19042">
        <v>1</v>
      </c>
    </row>
    <row r="19043" spans="1:5" x14ac:dyDescent="0.25">
      <c r="A19043">
        <v>19042</v>
      </c>
      <c r="B19043">
        <v>9484766</v>
      </c>
      <c r="C19043" s="1" t="str">
        <f>HYPERLINK("http://stackoverflow.com/users/9484766", "liwenxin")</f>
        <v>liwenxin</v>
      </c>
      <c r="D19043" t="s">
        <v>5</v>
      </c>
      <c r="E19043">
        <v>1</v>
      </c>
    </row>
    <row r="19044" spans="1:5" x14ac:dyDescent="0.25">
      <c r="A19044">
        <v>19043</v>
      </c>
      <c r="B19044">
        <v>2328735</v>
      </c>
      <c r="C19044" s="1" t="str">
        <f>HYPERLINK("http://stackoverflow.com/users/2328735", "MaqicXu")</f>
        <v>MaqicXu</v>
      </c>
      <c r="D19044" t="s">
        <v>4</v>
      </c>
      <c r="E19044">
        <v>1</v>
      </c>
    </row>
    <row r="19045" spans="1:5" x14ac:dyDescent="0.25">
      <c r="A19045">
        <v>19044</v>
      </c>
      <c r="B19045">
        <v>5834998</v>
      </c>
      <c r="C19045" s="1" t="str">
        <f>HYPERLINK("http://stackoverflow.com/users/5834998", "angus king")</f>
        <v>angus king</v>
      </c>
      <c r="D19045" t="s">
        <v>794</v>
      </c>
      <c r="E19045">
        <v>1</v>
      </c>
    </row>
    <row r="19046" spans="1:5" x14ac:dyDescent="0.25">
      <c r="A19046">
        <v>19045</v>
      </c>
      <c r="B19046">
        <v>5835140</v>
      </c>
      <c r="C19046" s="1" t="str">
        <f>HYPERLINK("http://stackoverflow.com/users/5835140", "Atina")</f>
        <v>Atina</v>
      </c>
      <c r="D19046" t="s">
        <v>5</v>
      </c>
      <c r="E19046">
        <v>1</v>
      </c>
    </row>
    <row r="19047" spans="1:5" x14ac:dyDescent="0.25">
      <c r="A19047">
        <v>19046</v>
      </c>
      <c r="B19047">
        <v>5835211</v>
      </c>
      <c r="C19047" s="1" t="str">
        <f>HYPERLINK("http://stackoverflow.com/users/5835211", "Click")</f>
        <v>Click</v>
      </c>
      <c r="D19047" t="s">
        <v>5</v>
      </c>
      <c r="E19047">
        <v>1</v>
      </c>
    </row>
    <row r="19048" spans="1:5" x14ac:dyDescent="0.25">
      <c r="A19048">
        <v>19047</v>
      </c>
      <c r="B19048">
        <v>9510330</v>
      </c>
      <c r="C19048" s="1" t="str">
        <f>HYPERLINK("http://stackoverflow.com/users/9510330", "joethewind")</f>
        <v>joethewind</v>
      </c>
      <c r="D19048" t="s">
        <v>5</v>
      </c>
      <c r="E19048">
        <v>1</v>
      </c>
    </row>
    <row r="19049" spans="1:5" x14ac:dyDescent="0.25">
      <c r="A19049">
        <v>19048</v>
      </c>
      <c r="B19049">
        <v>9510583</v>
      </c>
      <c r="C19049" s="1" t="str">
        <f>HYPERLINK("http://stackoverflow.com/users/9510583", "ma wanfeng")</f>
        <v>ma wanfeng</v>
      </c>
      <c r="D19049" t="s">
        <v>28</v>
      </c>
      <c r="E19049">
        <v>1</v>
      </c>
    </row>
    <row r="19050" spans="1:5" x14ac:dyDescent="0.25">
      <c r="A19050">
        <v>19049</v>
      </c>
      <c r="B19050">
        <v>9510590</v>
      </c>
      <c r="C19050" s="1" t="str">
        <f>HYPERLINK("http://stackoverflow.com/users/9510590", "huas_wg")</f>
        <v>huas_wg</v>
      </c>
      <c r="D19050" t="s">
        <v>97</v>
      </c>
      <c r="E19050">
        <v>1</v>
      </c>
    </row>
    <row r="19051" spans="1:5" x14ac:dyDescent="0.25">
      <c r="A19051">
        <v>19050</v>
      </c>
      <c r="B19051">
        <v>11303946</v>
      </c>
      <c r="C19051" s="1" t="str">
        <f>HYPERLINK("http://stackoverflow.com/users/11303946", "neil zhang")</f>
        <v>neil zhang</v>
      </c>
      <c r="D19051" t="s">
        <v>16</v>
      </c>
      <c r="E19051">
        <v>1</v>
      </c>
    </row>
    <row r="19052" spans="1:5" x14ac:dyDescent="0.25">
      <c r="A19052">
        <v>19051</v>
      </c>
      <c r="B19052">
        <v>11304215</v>
      </c>
      <c r="C19052" s="1" t="str">
        <f>HYPERLINK("http://stackoverflow.com/users/11304215", "luckin")</f>
        <v>luckin</v>
      </c>
      <c r="D19052" t="s">
        <v>55</v>
      </c>
      <c r="E19052">
        <v>1</v>
      </c>
    </row>
    <row r="19053" spans="1:5" x14ac:dyDescent="0.25">
      <c r="A19053">
        <v>19052</v>
      </c>
      <c r="B19053">
        <v>11304507</v>
      </c>
      <c r="C19053" s="1" t="str">
        <f>HYPERLINK("http://stackoverflow.com/users/11304507", "Diana_huan ")</f>
        <v xml:space="preserve">Diana_huan </v>
      </c>
      <c r="D19053" t="s">
        <v>4</v>
      </c>
      <c r="E19053">
        <v>1</v>
      </c>
    </row>
    <row r="19054" spans="1:5" x14ac:dyDescent="0.25">
      <c r="A19054">
        <v>19053</v>
      </c>
      <c r="B19054">
        <v>4065084</v>
      </c>
      <c r="C19054" s="1" t="str">
        <f>HYPERLINK("http://stackoverflow.com/users/4065084", "Easton")</f>
        <v>Easton</v>
      </c>
      <c r="D19054" t="s">
        <v>4</v>
      </c>
      <c r="E19054">
        <v>1</v>
      </c>
    </row>
    <row r="19055" spans="1:5" x14ac:dyDescent="0.25">
      <c r="A19055">
        <v>19054</v>
      </c>
      <c r="B19055">
        <v>7588575</v>
      </c>
      <c r="C19055" s="1" t="str">
        <f>HYPERLINK("http://stackoverflow.com/users/7588575", "David Zhu")</f>
        <v>David Zhu</v>
      </c>
      <c r="D19055" t="s">
        <v>7</v>
      </c>
      <c r="E19055">
        <v>1</v>
      </c>
    </row>
    <row r="19056" spans="1:5" x14ac:dyDescent="0.25">
      <c r="A19056">
        <v>19055</v>
      </c>
      <c r="B19056">
        <v>2334116</v>
      </c>
      <c r="C19056" s="1" t="str">
        <f>HYPERLINK("http://stackoverflow.com/users/2334116", "Leo")</f>
        <v>Leo</v>
      </c>
      <c r="D19056" t="s">
        <v>5</v>
      </c>
      <c r="E19056">
        <v>1</v>
      </c>
    </row>
    <row r="19057" spans="1:5" x14ac:dyDescent="0.25">
      <c r="A19057">
        <v>19056</v>
      </c>
      <c r="B19057">
        <v>2319084</v>
      </c>
      <c r="C19057" s="1" t="str">
        <f>HYPERLINK("http://stackoverflow.com/users/2319084", "csking119")</f>
        <v>csking119</v>
      </c>
      <c r="D19057" t="s">
        <v>37</v>
      </c>
      <c r="E19057">
        <v>1</v>
      </c>
    </row>
    <row r="19058" spans="1:5" x14ac:dyDescent="0.25">
      <c r="A19058">
        <v>19057</v>
      </c>
      <c r="B19058">
        <v>5827468</v>
      </c>
      <c r="C19058" s="1" t="str">
        <f>HYPERLINK("http://stackoverflow.com/users/5827468", "Ruhm")</f>
        <v>Ruhm</v>
      </c>
      <c r="D19058" t="s">
        <v>7</v>
      </c>
      <c r="E19058">
        <v>1</v>
      </c>
    </row>
    <row r="19059" spans="1:5" x14ac:dyDescent="0.25">
      <c r="A19059">
        <v>19058</v>
      </c>
      <c r="B19059">
        <v>2318709</v>
      </c>
      <c r="C19059" s="1" t="str">
        <f>HYPERLINK("http://stackoverflow.com/users/2318709", "jianxunji")</f>
        <v>jianxunji</v>
      </c>
      <c r="D19059" t="s">
        <v>5</v>
      </c>
      <c r="E19059">
        <v>1</v>
      </c>
    </row>
    <row r="19060" spans="1:5" x14ac:dyDescent="0.25">
      <c r="A19060">
        <v>19059</v>
      </c>
      <c r="B19060">
        <v>2318910</v>
      </c>
      <c r="C19060" s="1" t="str">
        <f>HYPERLINK("http://stackoverflow.com/users/2318910", "powerfulzyh")</f>
        <v>powerfulzyh</v>
      </c>
      <c r="D19060" t="s">
        <v>5</v>
      </c>
      <c r="E19060">
        <v>1</v>
      </c>
    </row>
    <row r="19061" spans="1:5" x14ac:dyDescent="0.25">
      <c r="A19061">
        <v>19060</v>
      </c>
      <c r="B19061">
        <v>5827822</v>
      </c>
      <c r="C19061" s="1" t="str">
        <f>HYPERLINK("http://stackoverflow.com/users/5827822", "fengtalk")</f>
        <v>fengtalk</v>
      </c>
      <c r="D19061" t="s">
        <v>130</v>
      </c>
      <c r="E19061">
        <v>1</v>
      </c>
    </row>
    <row r="19062" spans="1:5" x14ac:dyDescent="0.25">
      <c r="A19062">
        <v>19061</v>
      </c>
      <c r="B19062">
        <v>11295920</v>
      </c>
      <c r="C19062" s="1" t="str">
        <f>HYPERLINK("http://stackoverflow.com/users/11295920", "Xu NingQiang")</f>
        <v>Xu NingQiang</v>
      </c>
      <c r="D19062" t="s">
        <v>55</v>
      </c>
      <c r="E19062">
        <v>1</v>
      </c>
    </row>
    <row r="19063" spans="1:5" x14ac:dyDescent="0.25">
      <c r="A19063">
        <v>19062</v>
      </c>
      <c r="B19063">
        <v>7578306</v>
      </c>
      <c r="C19063" s="1" t="str">
        <f>HYPERLINK("http://stackoverflow.com/users/7578306", "Jeffrey")</f>
        <v>Jeffrey</v>
      </c>
      <c r="D19063" t="s">
        <v>131</v>
      </c>
      <c r="E19063">
        <v>1</v>
      </c>
    </row>
    <row r="19064" spans="1:5" x14ac:dyDescent="0.25">
      <c r="A19064">
        <v>19063</v>
      </c>
      <c r="B19064">
        <v>11299377</v>
      </c>
      <c r="C19064" s="1" t="str">
        <f>HYPERLINK("http://stackoverflow.com/users/11299377", "FreezingRainYu")</f>
        <v>FreezingRainYu</v>
      </c>
      <c r="D19064" t="s">
        <v>8</v>
      </c>
      <c r="E19064">
        <v>1</v>
      </c>
    </row>
    <row r="19065" spans="1:5" x14ac:dyDescent="0.25">
      <c r="A19065">
        <v>19064</v>
      </c>
      <c r="B19065">
        <v>4056616</v>
      </c>
      <c r="C19065" s="1" t="str">
        <f>HYPERLINK("http://stackoverflow.com/users/4056616", "Aster0id")</f>
        <v>Aster0id</v>
      </c>
      <c r="D19065" t="s">
        <v>57</v>
      </c>
      <c r="E19065">
        <v>1</v>
      </c>
    </row>
    <row r="19066" spans="1:5" x14ac:dyDescent="0.25">
      <c r="A19066">
        <v>19065</v>
      </c>
      <c r="B19066">
        <v>7582410</v>
      </c>
      <c r="C19066" s="1" t="str">
        <f>HYPERLINK("http://stackoverflow.com/users/7582410", "RuiFeng Shi")</f>
        <v>RuiFeng Shi</v>
      </c>
      <c r="D19066" t="s">
        <v>33</v>
      </c>
      <c r="E19066">
        <v>1</v>
      </c>
    </row>
    <row r="19067" spans="1:5" x14ac:dyDescent="0.25">
      <c r="A19067">
        <v>19066</v>
      </c>
      <c r="B19067">
        <v>2328095</v>
      </c>
      <c r="C19067" s="1" t="str">
        <f>HYPERLINK("http://stackoverflow.com/users/2328095", "Rex Ren")</f>
        <v>Rex Ren</v>
      </c>
      <c r="D19067" t="s">
        <v>4</v>
      </c>
      <c r="E19067">
        <v>1</v>
      </c>
    </row>
    <row r="19068" spans="1:5" x14ac:dyDescent="0.25">
      <c r="A19068">
        <v>19067</v>
      </c>
      <c r="B19068">
        <v>2328115</v>
      </c>
      <c r="C19068" s="1" t="str">
        <f>HYPERLINK("http://stackoverflow.com/users/2328115", "david.wang")</f>
        <v>david.wang</v>
      </c>
      <c r="D19068" t="s">
        <v>17</v>
      </c>
      <c r="E19068">
        <v>1</v>
      </c>
    </row>
    <row r="19069" spans="1:5" x14ac:dyDescent="0.25">
      <c r="A19069">
        <v>19068</v>
      </c>
      <c r="B19069">
        <v>2353370</v>
      </c>
      <c r="C19069" s="1" t="str">
        <f>HYPERLINK("http://stackoverflow.com/users/2353370", "Muninn")</f>
        <v>Muninn</v>
      </c>
      <c r="D19069" t="s">
        <v>5</v>
      </c>
      <c r="E19069">
        <v>1</v>
      </c>
    </row>
    <row r="19070" spans="1:5" x14ac:dyDescent="0.25">
      <c r="A19070">
        <v>19069</v>
      </c>
      <c r="B19070">
        <v>5851567</v>
      </c>
      <c r="C19070" s="1" t="str">
        <f>HYPERLINK("http://stackoverflow.com/users/5851567", "Chen Zhan")</f>
        <v>Chen Zhan</v>
      </c>
      <c r="D19070" t="s">
        <v>4</v>
      </c>
      <c r="E19070">
        <v>1</v>
      </c>
    </row>
    <row r="19071" spans="1:5" x14ac:dyDescent="0.25">
      <c r="A19071">
        <v>19070</v>
      </c>
      <c r="B19071">
        <v>2368592</v>
      </c>
      <c r="C19071" s="1" t="str">
        <f>HYPERLINK("http://stackoverflow.com/users/2368592", "njwangchuan")</f>
        <v>njwangchuan</v>
      </c>
      <c r="D19071" t="s">
        <v>37</v>
      </c>
      <c r="E19071">
        <v>1</v>
      </c>
    </row>
    <row r="19072" spans="1:5" x14ac:dyDescent="0.25">
      <c r="A19072">
        <v>19071</v>
      </c>
      <c r="B19072">
        <v>4087805</v>
      </c>
      <c r="C19072" s="1" t="str">
        <f>HYPERLINK("http://stackoverflow.com/users/4087805", "iceTeaCover")</f>
        <v>iceTeaCover</v>
      </c>
      <c r="D19072" t="s">
        <v>4</v>
      </c>
      <c r="E19072">
        <v>1</v>
      </c>
    </row>
    <row r="19073" spans="1:5" x14ac:dyDescent="0.25">
      <c r="A19073">
        <v>19072</v>
      </c>
      <c r="B19073">
        <v>7611791</v>
      </c>
      <c r="C19073" s="1" t="str">
        <f>HYPERLINK("http://stackoverflow.com/users/7611791", "Peng Shang")</f>
        <v>Peng Shang</v>
      </c>
      <c r="D19073" t="s">
        <v>5</v>
      </c>
      <c r="E19073">
        <v>1</v>
      </c>
    </row>
    <row r="19074" spans="1:5" x14ac:dyDescent="0.25">
      <c r="A19074">
        <v>19073</v>
      </c>
      <c r="B19074">
        <v>7611948</v>
      </c>
      <c r="C19074" s="1" t="str">
        <f>HYPERLINK("http://stackoverflow.com/users/7611948", "T. Parashkevov")</f>
        <v>T. Parashkevov</v>
      </c>
      <c r="D19074" t="s">
        <v>55</v>
      </c>
      <c r="E19074">
        <v>1</v>
      </c>
    </row>
    <row r="19075" spans="1:5" x14ac:dyDescent="0.25">
      <c r="A19075">
        <v>19074</v>
      </c>
      <c r="B19075">
        <v>5865746</v>
      </c>
      <c r="C19075" s="1" t="str">
        <f>HYPERLINK("http://stackoverflow.com/users/5865746", "tanglijun")</f>
        <v>tanglijun</v>
      </c>
      <c r="D19075" t="s">
        <v>4</v>
      </c>
      <c r="E19075">
        <v>1</v>
      </c>
    </row>
    <row r="19076" spans="1:5" x14ac:dyDescent="0.25">
      <c r="A19076">
        <v>19075</v>
      </c>
      <c r="B19076">
        <v>5865975</v>
      </c>
      <c r="C19076" s="1" t="str">
        <f>HYPERLINK("http://stackoverflow.com/users/5865975", "Arthur.liu")</f>
        <v>Arthur.liu</v>
      </c>
      <c r="D19076" t="s">
        <v>5</v>
      </c>
      <c r="E19076">
        <v>1</v>
      </c>
    </row>
    <row r="19077" spans="1:5" x14ac:dyDescent="0.25">
      <c r="A19077">
        <v>19076</v>
      </c>
      <c r="B19077">
        <v>2367102</v>
      </c>
      <c r="C19077" s="1" t="str">
        <f>HYPERLINK("http://stackoverflow.com/users/2367102", "zhenyu.fang")</f>
        <v>zhenyu.fang</v>
      </c>
      <c r="D19077" t="s">
        <v>5</v>
      </c>
      <c r="E19077">
        <v>1</v>
      </c>
    </row>
    <row r="19078" spans="1:5" x14ac:dyDescent="0.25">
      <c r="A19078">
        <v>19077</v>
      </c>
      <c r="B19078">
        <v>2368021</v>
      </c>
      <c r="C19078" s="1" t="str">
        <f>HYPERLINK("http://stackoverflow.com/users/2368021", "Finalbug")</f>
        <v>Finalbug</v>
      </c>
      <c r="D19078" t="s">
        <v>4</v>
      </c>
      <c r="E19078">
        <v>1</v>
      </c>
    </row>
    <row r="19079" spans="1:5" x14ac:dyDescent="0.25">
      <c r="A19079">
        <v>19078</v>
      </c>
      <c r="B19079">
        <v>2374623</v>
      </c>
      <c r="C19079" s="1" t="str">
        <f>HYPERLINK("http://stackoverflow.com/users/2374623", "Yager")</f>
        <v>Yager</v>
      </c>
      <c r="D19079" t="s">
        <v>34</v>
      </c>
      <c r="E19079">
        <v>1</v>
      </c>
    </row>
    <row r="19080" spans="1:5" x14ac:dyDescent="0.25">
      <c r="A19080">
        <v>19079</v>
      </c>
      <c r="B19080">
        <v>2374936</v>
      </c>
      <c r="C19080" s="1" t="str">
        <f>HYPERLINK("http://stackoverflow.com/users/2374936", "sunjc53yy")</f>
        <v>sunjc53yy</v>
      </c>
      <c r="D19080" t="s">
        <v>4</v>
      </c>
      <c r="E19080">
        <v>1</v>
      </c>
    </row>
    <row r="19081" spans="1:5" x14ac:dyDescent="0.25">
      <c r="A19081">
        <v>19080</v>
      </c>
      <c r="B19081">
        <v>2375084</v>
      </c>
      <c r="C19081" s="1" t="str">
        <f>HYPERLINK("http://stackoverflow.com/users/2375084", "zpp5359")</f>
        <v>zpp5359</v>
      </c>
      <c r="D19081" t="s">
        <v>5</v>
      </c>
      <c r="E19081">
        <v>1</v>
      </c>
    </row>
    <row r="19082" spans="1:5" x14ac:dyDescent="0.25">
      <c r="A19082">
        <v>19081</v>
      </c>
      <c r="B19082">
        <v>2375226</v>
      </c>
      <c r="C19082" s="1" t="str">
        <f>HYPERLINK("http://stackoverflow.com/users/2375226", "Maximus Zeng")</f>
        <v>Maximus Zeng</v>
      </c>
      <c r="D19082" t="s">
        <v>4</v>
      </c>
      <c r="E19082">
        <v>1</v>
      </c>
    </row>
    <row r="19083" spans="1:5" x14ac:dyDescent="0.25">
      <c r="A19083">
        <v>19082</v>
      </c>
      <c r="B19083">
        <v>2375336</v>
      </c>
      <c r="C19083" s="1" t="str">
        <f>HYPERLINK("http://stackoverflow.com/users/2375336", "GoldPine")</f>
        <v>GoldPine</v>
      </c>
      <c r="D19083" t="s">
        <v>4</v>
      </c>
      <c r="E19083">
        <v>1</v>
      </c>
    </row>
    <row r="19084" spans="1:5" x14ac:dyDescent="0.25">
      <c r="A19084">
        <v>19083</v>
      </c>
      <c r="B19084">
        <v>7625333</v>
      </c>
      <c r="C19084" s="1" t="str">
        <f>HYPERLINK("http://stackoverflow.com/users/7625333", "nilboy")</f>
        <v>nilboy</v>
      </c>
      <c r="D19084" t="s">
        <v>108</v>
      </c>
      <c r="E19084">
        <v>1</v>
      </c>
    </row>
    <row r="19085" spans="1:5" x14ac:dyDescent="0.25">
      <c r="A19085">
        <v>19084</v>
      </c>
      <c r="B19085">
        <v>5876523</v>
      </c>
      <c r="C19085" s="1" t="str">
        <f>HYPERLINK("http://stackoverflow.com/users/5876523", "王大鹏")</f>
        <v>王大鹏</v>
      </c>
      <c r="D19085" t="s">
        <v>5</v>
      </c>
      <c r="E19085">
        <v>1</v>
      </c>
    </row>
    <row r="19086" spans="1:5" x14ac:dyDescent="0.25">
      <c r="A19086">
        <v>19085</v>
      </c>
      <c r="B19086">
        <v>7628730</v>
      </c>
      <c r="C19086" s="1" t="str">
        <f>HYPERLINK("http://stackoverflow.com/users/7628730", "Lyan Huang")</f>
        <v>Lyan Huang</v>
      </c>
      <c r="D19086" t="s">
        <v>25</v>
      </c>
      <c r="E19086">
        <v>1</v>
      </c>
    </row>
    <row r="19087" spans="1:5" x14ac:dyDescent="0.25">
      <c r="A19087">
        <v>19086</v>
      </c>
      <c r="B19087">
        <v>9562628</v>
      </c>
      <c r="C19087" s="1" t="str">
        <f>HYPERLINK("http://stackoverflow.com/users/9562628", "DisplayName")</f>
        <v>DisplayName</v>
      </c>
      <c r="D19087" t="s">
        <v>5</v>
      </c>
      <c r="E19087">
        <v>1</v>
      </c>
    </row>
    <row r="19088" spans="1:5" x14ac:dyDescent="0.25">
      <c r="A19088">
        <v>19087</v>
      </c>
      <c r="B19088">
        <v>9563087</v>
      </c>
      <c r="C19088" s="1" t="str">
        <f>HYPERLINK("http://stackoverflow.com/users/9563087", "Renly")</f>
        <v>Renly</v>
      </c>
      <c r="D19088" t="s">
        <v>7</v>
      </c>
      <c r="E19088">
        <v>1</v>
      </c>
    </row>
    <row r="19089" spans="1:5" x14ac:dyDescent="0.25">
      <c r="A19089">
        <v>19088</v>
      </c>
      <c r="B19089">
        <v>7615156</v>
      </c>
      <c r="C19089" s="1" t="str">
        <f>HYPERLINK("http://stackoverflow.com/users/7615156", "rayren")</f>
        <v>rayren</v>
      </c>
      <c r="D19089" t="s">
        <v>17</v>
      </c>
      <c r="E19089">
        <v>1</v>
      </c>
    </row>
    <row r="19090" spans="1:5" x14ac:dyDescent="0.25">
      <c r="A19090">
        <v>19089</v>
      </c>
      <c r="B19090">
        <v>7615491</v>
      </c>
      <c r="C19090" s="1" t="str">
        <f>HYPERLINK("http://stackoverflow.com/users/7615491", "hamsdunwang")</f>
        <v>hamsdunwang</v>
      </c>
      <c r="D19090" t="s">
        <v>5</v>
      </c>
      <c r="E19090">
        <v>1</v>
      </c>
    </row>
    <row r="19091" spans="1:5" x14ac:dyDescent="0.25">
      <c r="A19091">
        <v>19090</v>
      </c>
      <c r="B19091">
        <v>7615721</v>
      </c>
      <c r="C19091" s="1" t="str">
        <f>HYPERLINK("http://stackoverflow.com/users/7615721", "nick_yan")</f>
        <v>nick_yan</v>
      </c>
      <c r="D19091" t="s">
        <v>135</v>
      </c>
      <c r="E19091">
        <v>1</v>
      </c>
    </row>
    <row r="19092" spans="1:5" x14ac:dyDescent="0.25">
      <c r="A19092">
        <v>19091</v>
      </c>
      <c r="B19092">
        <v>7615746</v>
      </c>
      <c r="C19092" s="1" t="str">
        <f>HYPERLINK("http://stackoverflow.com/users/7615746", "yoisen yu")</f>
        <v>yoisen yu</v>
      </c>
      <c r="D19092" t="s">
        <v>4</v>
      </c>
      <c r="E19092">
        <v>1</v>
      </c>
    </row>
    <row r="19093" spans="1:5" x14ac:dyDescent="0.25">
      <c r="A19093">
        <v>19092</v>
      </c>
      <c r="B19093">
        <v>5871109</v>
      </c>
      <c r="C19093" s="1" t="str">
        <f>HYPERLINK("http://stackoverflow.com/users/5871109", "Xudong Huang")</f>
        <v>Xudong Huang</v>
      </c>
      <c r="D19093" t="s">
        <v>28</v>
      </c>
      <c r="E19093">
        <v>1</v>
      </c>
    </row>
    <row r="19094" spans="1:5" x14ac:dyDescent="0.25">
      <c r="A19094">
        <v>19093</v>
      </c>
      <c r="B19094">
        <v>7620031</v>
      </c>
      <c r="C19094" s="1" t="str">
        <f>HYPERLINK("http://stackoverflow.com/users/7620031", "ZengZhi")</f>
        <v>ZengZhi</v>
      </c>
      <c r="D19094" t="s">
        <v>5</v>
      </c>
      <c r="E19094">
        <v>1</v>
      </c>
    </row>
    <row r="19095" spans="1:5" x14ac:dyDescent="0.25">
      <c r="A19095">
        <v>19094</v>
      </c>
      <c r="B19095">
        <v>7620045</v>
      </c>
      <c r="C19095" s="1" t="str">
        <f>HYPERLINK("http://stackoverflow.com/users/7620045", "Timelord_lulu")</f>
        <v>Timelord_lulu</v>
      </c>
      <c r="D19095" t="s">
        <v>4</v>
      </c>
      <c r="E19095">
        <v>1</v>
      </c>
    </row>
    <row r="19096" spans="1:5" x14ac:dyDescent="0.25">
      <c r="A19096">
        <v>19095</v>
      </c>
      <c r="B19096">
        <v>7620069</v>
      </c>
      <c r="C19096" s="1" t="str">
        <f>HYPERLINK("http://stackoverflow.com/users/7620069", "MQ66")</f>
        <v>MQ66</v>
      </c>
      <c r="D19096" t="s">
        <v>114</v>
      </c>
      <c r="E19096">
        <v>1</v>
      </c>
    </row>
    <row r="19097" spans="1:5" x14ac:dyDescent="0.25">
      <c r="A19097">
        <v>19096</v>
      </c>
      <c r="B19097">
        <v>5840787</v>
      </c>
      <c r="C19097" s="1" t="str">
        <f>HYPERLINK("http://stackoverflow.com/users/5840787", "yc.CN")</f>
        <v>yc.CN</v>
      </c>
      <c r="D19097" t="s">
        <v>70</v>
      </c>
      <c r="E19097">
        <v>1</v>
      </c>
    </row>
    <row r="19098" spans="1:5" x14ac:dyDescent="0.25">
      <c r="A19098">
        <v>19097</v>
      </c>
      <c r="B19098">
        <v>5840944</v>
      </c>
      <c r="C19098" s="1" t="str">
        <f>HYPERLINK("http://stackoverflow.com/users/5840944", "jackieYang")</f>
        <v>jackieYang</v>
      </c>
      <c r="D19098" t="s">
        <v>17</v>
      </c>
      <c r="E19098">
        <v>1</v>
      </c>
    </row>
    <row r="19099" spans="1:5" x14ac:dyDescent="0.25">
      <c r="A19099">
        <v>19098</v>
      </c>
      <c r="B19099">
        <v>5841373</v>
      </c>
      <c r="C19099" s="1" t="str">
        <f>HYPERLINK("http://stackoverflow.com/users/5841373", "龙方淞")</f>
        <v>龙方淞</v>
      </c>
      <c r="D19099" t="s">
        <v>4</v>
      </c>
      <c r="E19099">
        <v>1</v>
      </c>
    </row>
    <row r="19100" spans="1:5" x14ac:dyDescent="0.25">
      <c r="A19100">
        <v>19099</v>
      </c>
      <c r="B19100">
        <v>11311788</v>
      </c>
      <c r="C19100" s="1" t="str">
        <f>HYPERLINK("http://stackoverflow.com/users/11311788", "MONIKA")</f>
        <v>MONIKA</v>
      </c>
      <c r="D19100" t="s">
        <v>5</v>
      </c>
      <c r="E19100">
        <v>1</v>
      </c>
    </row>
    <row r="19101" spans="1:5" x14ac:dyDescent="0.25">
      <c r="A19101">
        <v>19100</v>
      </c>
      <c r="B19101">
        <v>7591188</v>
      </c>
      <c r="C19101" s="1" t="str">
        <f>HYPERLINK("http://stackoverflow.com/users/7591188", "Zhi-Wei Fang")</f>
        <v>Zhi-Wei Fang</v>
      </c>
      <c r="D19101" t="s">
        <v>4</v>
      </c>
      <c r="E19101">
        <v>1</v>
      </c>
    </row>
    <row r="19102" spans="1:5" x14ac:dyDescent="0.25">
      <c r="A19102">
        <v>19101</v>
      </c>
      <c r="B19102">
        <v>7591311</v>
      </c>
      <c r="C19102" s="1" t="str">
        <f>HYPERLINK("http://stackoverflow.com/users/7591311", "Vilon")</f>
        <v>Vilon</v>
      </c>
      <c r="D19102" t="s">
        <v>4</v>
      </c>
      <c r="E19102">
        <v>1</v>
      </c>
    </row>
    <row r="19103" spans="1:5" x14ac:dyDescent="0.25">
      <c r="A19103">
        <v>19102</v>
      </c>
      <c r="B19103">
        <v>7591491</v>
      </c>
      <c r="C19103" s="1" t="str">
        <f>HYPERLINK("http://stackoverflow.com/users/7591491", "杨国山")</f>
        <v>杨国山</v>
      </c>
      <c r="D19103" t="s">
        <v>5</v>
      </c>
      <c r="E19103">
        <v>1</v>
      </c>
    </row>
    <row r="19104" spans="1:5" x14ac:dyDescent="0.25">
      <c r="A19104">
        <v>19103</v>
      </c>
      <c r="B19104">
        <v>7591643</v>
      </c>
      <c r="C19104" s="1" t="str">
        <f>HYPERLINK("http://stackoverflow.com/users/7591643", "Sherry Xue")</f>
        <v>Sherry Xue</v>
      </c>
      <c r="D19104" t="s">
        <v>4</v>
      </c>
      <c r="E19104">
        <v>1</v>
      </c>
    </row>
    <row r="19105" spans="1:5" x14ac:dyDescent="0.25">
      <c r="A19105">
        <v>19104</v>
      </c>
      <c r="B19105">
        <v>9521886</v>
      </c>
      <c r="C19105" s="1" t="str">
        <f>HYPERLINK("http://stackoverflow.com/users/9521886", "Chasen")</f>
        <v>Chasen</v>
      </c>
      <c r="D19105" t="s">
        <v>5</v>
      </c>
      <c r="E19105">
        <v>1</v>
      </c>
    </row>
    <row r="19106" spans="1:5" x14ac:dyDescent="0.25">
      <c r="A19106">
        <v>19105</v>
      </c>
      <c r="B19106">
        <v>9521917</v>
      </c>
      <c r="C19106" s="1" t="str">
        <f>HYPERLINK("http://stackoverflow.com/users/9521917", "Sirguy Chikirev")</f>
        <v>Sirguy Chikirev</v>
      </c>
      <c r="D19106" t="s">
        <v>5</v>
      </c>
      <c r="E19106">
        <v>1</v>
      </c>
    </row>
    <row r="19107" spans="1:5" x14ac:dyDescent="0.25">
      <c r="A19107">
        <v>19106</v>
      </c>
      <c r="B19107">
        <v>9521984</v>
      </c>
      <c r="C19107" s="1" t="str">
        <f>HYPERLINK("http://stackoverflow.com/users/9521984", "Jeffrey Lee")</f>
        <v>Jeffrey Lee</v>
      </c>
      <c r="D19107" t="s">
        <v>4</v>
      </c>
      <c r="E19107">
        <v>1</v>
      </c>
    </row>
    <row r="19108" spans="1:5" x14ac:dyDescent="0.25">
      <c r="A19108">
        <v>19107</v>
      </c>
      <c r="B19108">
        <v>9522078</v>
      </c>
      <c r="C19108" s="1" t="str">
        <f>HYPERLINK("http://stackoverflow.com/users/9522078", "Myth The Ripper")</f>
        <v>Myth The Ripper</v>
      </c>
      <c r="D19108" t="s">
        <v>5</v>
      </c>
      <c r="E19108">
        <v>1</v>
      </c>
    </row>
    <row r="19109" spans="1:5" x14ac:dyDescent="0.25">
      <c r="A19109">
        <v>19108</v>
      </c>
      <c r="B19109">
        <v>9522222</v>
      </c>
      <c r="C19109" s="1" t="str">
        <f>HYPERLINK("http://stackoverflow.com/users/9522222", "Wei Huang")</f>
        <v>Wei Huang</v>
      </c>
      <c r="D19109" t="s">
        <v>17</v>
      </c>
      <c r="E19109">
        <v>1</v>
      </c>
    </row>
    <row r="19110" spans="1:5" x14ac:dyDescent="0.25">
      <c r="A19110">
        <v>19109</v>
      </c>
      <c r="B19110">
        <v>9522501</v>
      </c>
      <c r="C19110" s="1" t="str">
        <f>HYPERLINK("http://stackoverflow.com/users/9522501", "lsiy")</f>
        <v>lsiy</v>
      </c>
      <c r="D19110" t="s">
        <v>5</v>
      </c>
      <c r="E19110">
        <v>1</v>
      </c>
    </row>
    <row r="19111" spans="1:5" x14ac:dyDescent="0.25">
      <c r="A19111">
        <v>19110</v>
      </c>
      <c r="B19111">
        <v>9525955</v>
      </c>
      <c r="C19111" s="1" t="str">
        <f>HYPERLINK("http://stackoverflow.com/users/9525955", "milkdz")</f>
        <v>milkdz</v>
      </c>
      <c r="D19111" t="s">
        <v>5</v>
      </c>
      <c r="E19111">
        <v>1</v>
      </c>
    </row>
    <row r="19112" spans="1:5" x14ac:dyDescent="0.25">
      <c r="A19112">
        <v>19111</v>
      </c>
      <c r="B19112">
        <v>9526179</v>
      </c>
      <c r="C19112" s="1" t="str">
        <f>HYPERLINK("http://stackoverflow.com/users/9526179", "shawn xian")</f>
        <v>shawn xian</v>
      </c>
      <c r="D19112" t="s">
        <v>4</v>
      </c>
      <c r="E19112">
        <v>1</v>
      </c>
    </row>
    <row r="19113" spans="1:5" x14ac:dyDescent="0.25">
      <c r="A19113">
        <v>19112</v>
      </c>
      <c r="B19113">
        <v>9526249</v>
      </c>
      <c r="C19113" s="1" t="str">
        <f>HYPERLINK("http://stackoverflow.com/users/9526249", "J.Zheng")</f>
        <v>J.Zheng</v>
      </c>
      <c r="D19113" t="s">
        <v>5</v>
      </c>
      <c r="E19113">
        <v>1</v>
      </c>
    </row>
    <row r="19114" spans="1:5" x14ac:dyDescent="0.25">
      <c r="A19114">
        <v>19113</v>
      </c>
      <c r="B19114">
        <v>7597446</v>
      </c>
      <c r="C19114" s="1" t="str">
        <f>HYPERLINK("http://stackoverflow.com/users/7597446", "user7597446")</f>
        <v>user7597446</v>
      </c>
      <c r="D19114" t="s">
        <v>52</v>
      </c>
      <c r="E19114">
        <v>1</v>
      </c>
    </row>
    <row r="19115" spans="1:5" x14ac:dyDescent="0.25">
      <c r="A19115">
        <v>19114</v>
      </c>
      <c r="B19115">
        <v>7597946</v>
      </c>
      <c r="C19115" s="1" t="str">
        <f>HYPERLINK("http://stackoverflow.com/users/7597946", "marginyu")</f>
        <v>marginyu</v>
      </c>
      <c r="D19115" t="s">
        <v>7</v>
      </c>
      <c r="E19115">
        <v>1</v>
      </c>
    </row>
    <row r="19116" spans="1:5" x14ac:dyDescent="0.25">
      <c r="A19116">
        <v>19115</v>
      </c>
      <c r="B19116">
        <v>2352020</v>
      </c>
      <c r="C19116" s="1" t="str">
        <f>HYPERLINK("http://stackoverflow.com/users/2352020", "张振强")</f>
        <v>张振强</v>
      </c>
      <c r="D19116" t="s">
        <v>4</v>
      </c>
      <c r="E19116">
        <v>1</v>
      </c>
    </row>
    <row r="19117" spans="1:5" x14ac:dyDescent="0.25">
      <c r="A19117">
        <v>19116</v>
      </c>
      <c r="B19117">
        <v>2334945</v>
      </c>
      <c r="C19117" s="1" t="str">
        <f>HYPERLINK("http://stackoverflow.com/users/2334945", "PandaHermit")</f>
        <v>PandaHermit</v>
      </c>
      <c r="D19117" t="s">
        <v>4</v>
      </c>
      <c r="E19117">
        <v>1</v>
      </c>
    </row>
    <row r="19118" spans="1:5" x14ac:dyDescent="0.25">
      <c r="A19118">
        <v>19117</v>
      </c>
      <c r="B19118">
        <v>2338364</v>
      </c>
      <c r="C19118" s="1" t="str">
        <f>HYPERLINK("http://stackoverflow.com/users/2338364", "Jerry z")</f>
        <v>Jerry z</v>
      </c>
      <c r="D19118" t="s">
        <v>54</v>
      </c>
      <c r="E19118">
        <v>1</v>
      </c>
    </row>
    <row r="19119" spans="1:5" x14ac:dyDescent="0.25">
      <c r="A19119">
        <v>19118</v>
      </c>
      <c r="B19119">
        <v>2353223</v>
      </c>
      <c r="C19119" s="1" t="str">
        <f>HYPERLINK("http://stackoverflow.com/users/2353223", "Niu")</f>
        <v>Niu</v>
      </c>
      <c r="D19119" t="s">
        <v>57</v>
      </c>
      <c r="E19119">
        <v>1</v>
      </c>
    </row>
    <row r="19120" spans="1:5" x14ac:dyDescent="0.25">
      <c r="A19120">
        <v>19119</v>
      </c>
      <c r="B19120">
        <v>2353239</v>
      </c>
      <c r="C19120" s="1" t="str">
        <f>HYPERLINK("http://stackoverflow.com/users/2353239", "zhiwei")</f>
        <v>zhiwei</v>
      </c>
      <c r="D19120" t="s">
        <v>4</v>
      </c>
      <c r="E19120">
        <v>1</v>
      </c>
    </row>
    <row r="19121" spans="1:5" x14ac:dyDescent="0.25">
      <c r="A19121">
        <v>19120</v>
      </c>
      <c r="B19121">
        <v>5844441</v>
      </c>
      <c r="C19121" s="1" t="str">
        <f>HYPERLINK("http://stackoverflow.com/users/5844441", "ZNing")</f>
        <v>ZNing</v>
      </c>
      <c r="D19121" t="s">
        <v>6</v>
      </c>
      <c r="E19121">
        <v>1</v>
      </c>
    </row>
    <row r="19122" spans="1:5" x14ac:dyDescent="0.25">
      <c r="A19122">
        <v>19121</v>
      </c>
      <c r="B19122">
        <v>5844796</v>
      </c>
      <c r="C19122" s="1" t="str">
        <f>HYPERLINK("http://stackoverflow.com/users/5844796", "dingronghui")</f>
        <v>dingronghui</v>
      </c>
      <c r="D19122" t="s">
        <v>96</v>
      </c>
      <c r="E19122">
        <v>1</v>
      </c>
    </row>
    <row r="19123" spans="1:5" x14ac:dyDescent="0.25">
      <c r="A19123">
        <v>19122</v>
      </c>
      <c r="B19123">
        <v>5844826</v>
      </c>
      <c r="C19123" s="1" t="str">
        <f>HYPERLINK("http://stackoverflow.com/users/5844826", "Donor_CN")</f>
        <v>Donor_CN</v>
      </c>
      <c r="D19123" t="s">
        <v>31</v>
      </c>
      <c r="E19123">
        <v>1</v>
      </c>
    </row>
    <row r="19124" spans="1:5" x14ac:dyDescent="0.25">
      <c r="A19124">
        <v>19123</v>
      </c>
      <c r="B19124">
        <v>9535565</v>
      </c>
      <c r="C19124" s="1" t="str">
        <f>HYPERLINK("http://stackoverflow.com/users/9535565", "xiao liang liang")</f>
        <v>xiao liang liang</v>
      </c>
      <c r="D19124" t="s">
        <v>5</v>
      </c>
      <c r="E19124">
        <v>1</v>
      </c>
    </row>
    <row r="19125" spans="1:5" x14ac:dyDescent="0.25">
      <c r="A19125">
        <v>19124</v>
      </c>
      <c r="B19125">
        <v>9535636</v>
      </c>
      <c r="C19125" s="1" t="str">
        <f>HYPERLINK("http://stackoverflow.com/users/9535636", "wei wei")</f>
        <v>wei wei</v>
      </c>
      <c r="D19125" t="s">
        <v>4</v>
      </c>
      <c r="E19125">
        <v>1</v>
      </c>
    </row>
    <row r="19126" spans="1:5" x14ac:dyDescent="0.25">
      <c r="A19126">
        <v>19125</v>
      </c>
      <c r="B19126">
        <v>9535742</v>
      </c>
      <c r="C19126" s="1" t="str">
        <f>HYPERLINK("http://stackoverflow.com/users/9535742", "MarxLiu")</f>
        <v>MarxLiu</v>
      </c>
      <c r="D19126" t="s">
        <v>5</v>
      </c>
      <c r="E19126">
        <v>1</v>
      </c>
    </row>
    <row r="19127" spans="1:5" x14ac:dyDescent="0.25">
      <c r="A19127">
        <v>19126</v>
      </c>
      <c r="B19127">
        <v>5861632</v>
      </c>
      <c r="C19127" s="1" t="str">
        <f>HYPERLINK("http://stackoverflow.com/users/5861632", "ddzc4412")</f>
        <v>ddzc4412</v>
      </c>
      <c r="D19127" t="s">
        <v>4</v>
      </c>
      <c r="E19127">
        <v>1</v>
      </c>
    </row>
    <row r="19128" spans="1:5" x14ac:dyDescent="0.25">
      <c r="A19128">
        <v>19127</v>
      </c>
      <c r="B19128">
        <v>5861724</v>
      </c>
      <c r="C19128" s="1" t="str">
        <f>HYPERLINK("http://stackoverflow.com/users/5861724", "Victor.Fang")</f>
        <v>Victor.Fang</v>
      </c>
      <c r="D19128" t="s">
        <v>160</v>
      </c>
      <c r="E19128">
        <v>1</v>
      </c>
    </row>
    <row r="19129" spans="1:5" x14ac:dyDescent="0.25">
      <c r="A19129">
        <v>19128</v>
      </c>
      <c r="B19129">
        <v>4087369</v>
      </c>
      <c r="C19129" s="1" t="str">
        <f>HYPERLINK("http://stackoverflow.com/users/4087369", "Mingkun Zeng")</f>
        <v>Mingkun Zeng</v>
      </c>
      <c r="D19129" t="s">
        <v>5</v>
      </c>
      <c r="E19129">
        <v>1</v>
      </c>
    </row>
    <row r="19130" spans="1:5" x14ac:dyDescent="0.25">
      <c r="A19130">
        <v>19129</v>
      </c>
      <c r="B19130">
        <v>4087440</v>
      </c>
      <c r="C19130" s="1" t="str">
        <f>HYPERLINK("http://stackoverflow.com/users/4087440", "john")</f>
        <v>john</v>
      </c>
      <c r="D19130" t="s">
        <v>12</v>
      </c>
      <c r="E19130">
        <v>1</v>
      </c>
    </row>
    <row r="19131" spans="1:5" x14ac:dyDescent="0.25">
      <c r="A19131">
        <v>19130</v>
      </c>
      <c r="B19131">
        <v>1858455</v>
      </c>
      <c r="C19131" s="1" t="str">
        <f>HYPERLINK("http://stackoverflow.com/users/1858455", "bill.kang")</f>
        <v>bill.kang</v>
      </c>
      <c r="D19131" t="s">
        <v>22</v>
      </c>
      <c r="E19131">
        <v>1</v>
      </c>
    </row>
    <row r="19132" spans="1:5" x14ac:dyDescent="0.25">
      <c r="A19132">
        <v>19131</v>
      </c>
      <c r="B19132">
        <v>1858543</v>
      </c>
      <c r="C19132" s="1" t="str">
        <f>HYPERLINK("http://stackoverflow.com/users/1858543", "cube")</f>
        <v>cube</v>
      </c>
      <c r="D19132" t="s">
        <v>5</v>
      </c>
      <c r="E19132">
        <v>1</v>
      </c>
    </row>
    <row r="19133" spans="1:5" x14ac:dyDescent="0.25">
      <c r="A19133">
        <v>19132</v>
      </c>
      <c r="B19133">
        <v>9086777</v>
      </c>
      <c r="C19133" s="1" t="str">
        <f>HYPERLINK("http://stackoverflow.com/users/9086777", "Pikachu")</f>
        <v>Pikachu</v>
      </c>
      <c r="D19133" t="s">
        <v>19</v>
      </c>
      <c r="E19133">
        <v>1</v>
      </c>
    </row>
    <row r="19134" spans="1:5" x14ac:dyDescent="0.25">
      <c r="A19134">
        <v>19133</v>
      </c>
      <c r="B19134">
        <v>10881700</v>
      </c>
      <c r="C19134" s="1" t="str">
        <f>HYPERLINK("http://stackoverflow.com/users/10881700", "Dafan Tian")</f>
        <v>Dafan Tian</v>
      </c>
      <c r="D19134" t="s">
        <v>320</v>
      </c>
      <c r="E19134">
        <v>1</v>
      </c>
    </row>
    <row r="19135" spans="1:5" x14ac:dyDescent="0.25">
      <c r="A19135">
        <v>19134</v>
      </c>
      <c r="B19135">
        <v>10881740</v>
      </c>
      <c r="C19135" s="1" t="str">
        <f>HYPERLINK("http://stackoverflow.com/users/10881740", "qiang gao")</f>
        <v>qiang gao</v>
      </c>
      <c r="D19135" t="s">
        <v>52</v>
      </c>
      <c r="E19135">
        <v>1</v>
      </c>
    </row>
    <row r="19136" spans="1:5" x14ac:dyDescent="0.25">
      <c r="A19136">
        <v>19135</v>
      </c>
      <c r="B19136">
        <v>5448987</v>
      </c>
      <c r="C19136" s="1" t="str">
        <f>HYPERLINK("http://stackoverflow.com/users/5448987", "Jack Aaron")</f>
        <v>Jack Aaron</v>
      </c>
      <c r="D19136" t="s">
        <v>13</v>
      </c>
      <c r="E19136">
        <v>1</v>
      </c>
    </row>
    <row r="19137" spans="1:5" x14ac:dyDescent="0.25">
      <c r="A19137">
        <v>19136</v>
      </c>
      <c r="B19137">
        <v>5449013</v>
      </c>
      <c r="C19137" s="1" t="str">
        <f>HYPERLINK("http://stackoverflow.com/users/5449013", "Tony Li")</f>
        <v>Tony Li</v>
      </c>
      <c r="D19137" t="s">
        <v>5</v>
      </c>
      <c r="E19137">
        <v>1</v>
      </c>
    </row>
    <row r="19138" spans="1:5" x14ac:dyDescent="0.25">
      <c r="A19138">
        <v>19137</v>
      </c>
      <c r="B19138">
        <v>5449079</v>
      </c>
      <c r="C19138" s="1" t="str">
        <f>HYPERLINK("http://stackoverflow.com/users/5449079", "Mark li")</f>
        <v>Mark li</v>
      </c>
      <c r="D19138" t="s">
        <v>531</v>
      </c>
      <c r="E19138">
        <v>1</v>
      </c>
    </row>
    <row r="19139" spans="1:5" x14ac:dyDescent="0.25">
      <c r="A19139">
        <v>19138</v>
      </c>
      <c r="B19139">
        <v>7204835</v>
      </c>
      <c r="C19139" s="1" t="str">
        <f>HYPERLINK("http://stackoverflow.com/users/7204835", "jk wang")</f>
        <v>jk wang</v>
      </c>
      <c r="D19139" t="s">
        <v>4</v>
      </c>
      <c r="E19139">
        <v>1</v>
      </c>
    </row>
    <row r="19140" spans="1:5" x14ac:dyDescent="0.25">
      <c r="A19140">
        <v>19139</v>
      </c>
      <c r="B19140">
        <v>3649481</v>
      </c>
      <c r="C19140" s="1" t="str">
        <f>HYPERLINK("http://stackoverflow.com/users/3649481", "autlee")</f>
        <v>autlee</v>
      </c>
      <c r="D19140" t="s">
        <v>37</v>
      </c>
      <c r="E19140">
        <v>1</v>
      </c>
    </row>
    <row r="19141" spans="1:5" x14ac:dyDescent="0.25">
      <c r="A19141">
        <v>19140</v>
      </c>
      <c r="B19141">
        <v>1843925</v>
      </c>
      <c r="C19141" s="1" t="str">
        <f>HYPERLINK("http://stackoverflow.com/users/1843925", "Mr_BackKom")</f>
        <v>Mr_BackKom</v>
      </c>
      <c r="D19141" t="s">
        <v>5</v>
      </c>
      <c r="E19141">
        <v>1</v>
      </c>
    </row>
    <row r="19142" spans="1:5" x14ac:dyDescent="0.25">
      <c r="A19142">
        <v>19141</v>
      </c>
      <c r="B19142">
        <v>7212186</v>
      </c>
      <c r="C19142" s="1" t="str">
        <f>HYPERLINK("http://stackoverflow.com/users/7212186", "Yishun Dou")</f>
        <v>Yishun Dou</v>
      </c>
      <c r="D19142" t="s">
        <v>5</v>
      </c>
      <c r="E19142">
        <v>1</v>
      </c>
    </row>
    <row r="19143" spans="1:5" x14ac:dyDescent="0.25">
      <c r="A19143">
        <v>19142</v>
      </c>
      <c r="B19143">
        <v>5461237</v>
      </c>
      <c r="C19143" s="1" t="str">
        <f>HYPERLINK("http://stackoverflow.com/users/5461237", "crescent")</f>
        <v>crescent</v>
      </c>
      <c r="D19143" t="s">
        <v>5</v>
      </c>
      <c r="E19143">
        <v>1</v>
      </c>
    </row>
    <row r="19144" spans="1:5" x14ac:dyDescent="0.25">
      <c r="A19144">
        <v>19143</v>
      </c>
      <c r="B19144">
        <v>3660311</v>
      </c>
      <c r="C19144" s="1" t="str">
        <f>HYPERLINK("http://stackoverflow.com/users/3660311", "andydhg")</f>
        <v>andydhg</v>
      </c>
      <c r="D19144" t="s">
        <v>4</v>
      </c>
      <c r="E19144">
        <v>1</v>
      </c>
    </row>
    <row r="19145" spans="1:5" x14ac:dyDescent="0.25">
      <c r="A19145">
        <v>19144</v>
      </c>
      <c r="B19145">
        <v>9082442</v>
      </c>
      <c r="C19145" s="1" t="str">
        <f>HYPERLINK("http://stackoverflow.com/users/9082442", "wipe Law")</f>
        <v>wipe Law</v>
      </c>
      <c r="D19145" t="s">
        <v>25</v>
      </c>
      <c r="E19145">
        <v>1</v>
      </c>
    </row>
    <row r="19146" spans="1:5" x14ac:dyDescent="0.25">
      <c r="A19146">
        <v>19145</v>
      </c>
      <c r="B19146">
        <v>10860649</v>
      </c>
      <c r="C19146" s="1" t="str">
        <f>HYPERLINK("http://stackoverflow.com/users/10860649", "Xinlong Chen")</f>
        <v>Xinlong Chen</v>
      </c>
      <c r="D19146" t="s">
        <v>16</v>
      </c>
      <c r="E19146">
        <v>1</v>
      </c>
    </row>
    <row r="19147" spans="1:5" x14ac:dyDescent="0.25">
      <c r="A19147">
        <v>19146</v>
      </c>
      <c r="B19147">
        <v>10860707</v>
      </c>
      <c r="C19147" s="1" t="str">
        <f>HYPERLINK("http://stackoverflow.com/users/10860707", "Eric ")</f>
        <v xml:space="preserve">Eric </v>
      </c>
      <c r="D19147" t="s">
        <v>55</v>
      </c>
      <c r="E19147">
        <v>1</v>
      </c>
    </row>
    <row r="19148" spans="1:5" x14ac:dyDescent="0.25">
      <c r="A19148">
        <v>19147</v>
      </c>
      <c r="B19148">
        <v>10860835</v>
      </c>
      <c r="C19148" s="1" t="str">
        <f>HYPERLINK("http://stackoverflow.com/users/10860835", "Weeken Lam")</f>
        <v>Weeken Lam</v>
      </c>
      <c r="D19148" t="s">
        <v>7</v>
      </c>
      <c r="E19148">
        <v>1</v>
      </c>
    </row>
    <row r="19149" spans="1:5" x14ac:dyDescent="0.25">
      <c r="A19149">
        <v>19148</v>
      </c>
      <c r="B19149">
        <v>3644740</v>
      </c>
      <c r="C19149" s="1" t="str">
        <f>HYPERLINK("http://stackoverflow.com/users/3644740", "ziyou8")</f>
        <v>ziyou8</v>
      </c>
      <c r="D19149" t="s">
        <v>1030</v>
      </c>
      <c r="E19149">
        <v>1</v>
      </c>
    </row>
    <row r="19150" spans="1:5" x14ac:dyDescent="0.25">
      <c r="A19150">
        <v>19149</v>
      </c>
      <c r="B19150">
        <v>1833390</v>
      </c>
      <c r="C19150" s="1" t="str">
        <f>HYPERLINK("http://stackoverflow.com/users/1833390", "jgnan1981")</f>
        <v>jgnan1981</v>
      </c>
      <c r="D19150" t="s">
        <v>21</v>
      </c>
      <c r="E19150">
        <v>1</v>
      </c>
    </row>
    <row r="19151" spans="1:5" x14ac:dyDescent="0.25">
      <c r="A19151">
        <v>19150</v>
      </c>
      <c r="B19151">
        <v>1834651</v>
      </c>
      <c r="C19151" s="1" t="str">
        <f>HYPERLINK("http://stackoverflow.com/users/1834651", "Yiling Yang")</f>
        <v>Yiling Yang</v>
      </c>
      <c r="D19151" t="s">
        <v>37</v>
      </c>
      <c r="E19151">
        <v>1</v>
      </c>
    </row>
    <row r="19152" spans="1:5" x14ac:dyDescent="0.25">
      <c r="A19152">
        <v>19151</v>
      </c>
      <c r="B19152">
        <v>3652827</v>
      </c>
      <c r="C19152" s="1" t="str">
        <f>HYPERLINK("http://stackoverflow.com/users/3652827", "Andy")</f>
        <v>Andy</v>
      </c>
      <c r="D19152" t="s">
        <v>5</v>
      </c>
      <c r="E19152">
        <v>1</v>
      </c>
    </row>
    <row r="19153" spans="1:5" x14ac:dyDescent="0.25">
      <c r="A19153">
        <v>19152</v>
      </c>
      <c r="B19153">
        <v>9074102</v>
      </c>
      <c r="C19153" s="1" t="str">
        <f>HYPERLINK("http://stackoverflow.com/users/9074102", "Xiaoyu Liu")</f>
        <v>Xiaoyu Liu</v>
      </c>
      <c r="D19153" t="s">
        <v>78</v>
      </c>
      <c r="E19153">
        <v>1</v>
      </c>
    </row>
    <row r="19154" spans="1:5" x14ac:dyDescent="0.25">
      <c r="A19154">
        <v>19153</v>
      </c>
      <c r="B19154">
        <v>5453045</v>
      </c>
      <c r="C19154" s="1" t="str">
        <f>HYPERLINK("http://stackoverflow.com/users/5453045", "nukc")</f>
        <v>nukc</v>
      </c>
      <c r="D19154" t="s">
        <v>17</v>
      </c>
      <c r="E19154">
        <v>1</v>
      </c>
    </row>
    <row r="19155" spans="1:5" x14ac:dyDescent="0.25">
      <c r="A19155">
        <v>19154</v>
      </c>
      <c r="B19155">
        <v>1852281</v>
      </c>
      <c r="C19155" s="1" t="str">
        <f>HYPERLINK("http://stackoverflow.com/users/1852281", "nanalei")</f>
        <v>nanalei</v>
      </c>
      <c r="D19155" t="s">
        <v>17</v>
      </c>
      <c r="E19155">
        <v>1</v>
      </c>
    </row>
    <row r="19156" spans="1:5" x14ac:dyDescent="0.25">
      <c r="A19156">
        <v>19155</v>
      </c>
      <c r="B19156">
        <v>1852347</v>
      </c>
      <c r="C19156" s="1" t="str">
        <f>HYPERLINK("http://stackoverflow.com/users/1852347", "Liwei Jia")</f>
        <v>Liwei Jia</v>
      </c>
      <c r="D19156" t="s">
        <v>5</v>
      </c>
      <c r="E19156">
        <v>1</v>
      </c>
    </row>
    <row r="19157" spans="1:5" x14ac:dyDescent="0.25">
      <c r="A19157">
        <v>19156</v>
      </c>
      <c r="B19157">
        <v>1852428</v>
      </c>
      <c r="C19157" s="1" t="str">
        <f>HYPERLINK("http://stackoverflow.com/users/1852428", "yuen33")</f>
        <v>yuen33</v>
      </c>
      <c r="D19157" t="s">
        <v>57</v>
      </c>
      <c r="E19157">
        <v>1</v>
      </c>
    </row>
    <row r="19158" spans="1:5" x14ac:dyDescent="0.25">
      <c r="A19158">
        <v>19157</v>
      </c>
      <c r="B19158">
        <v>1852450</v>
      </c>
      <c r="C19158" s="1" t="str">
        <f>HYPERLINK("http://stackoverflow.com/users/1852450", "spartanCn")</f>
        <v>spartanCn</v>
      </c>
      <c r="D19158" t="s">
        <v>4</v>
      </c>
      <c r="E19158">
        <v>1</v>
      </c>
    </row>
    <row r="19159" spans="1:5" x14ac:dyDescent="0.25">
      <c r="A19159">
        <v>19158</v>
      </c>
      <c r="B19159">
        <v>1861820</v>
      </c>
      <c r="C19159" s="1" t="str">
        <f>HYPERLINK("http://stackoverflow.com/users/1861820", "Mingle风影极光")</f>
        <v>Mingle风影极光</v>
      </c>
      <c r="D19159" t="s">
        <v>4</v>
      </c>
      <c r="E19159">
        <v>1</v>
      </c>
    </row>
    <row r="19160" spans="1:5" x14ac:dyDescent="0.25">
      <c r="A19160">
        <v>19159</v>
      </c>
      <c r="B19160">
        <v>1859047</v>
      </c>
      <c r="C19160" s="1" t="str">
        <f>HYPERLINK("http://stackoverflow.com/users/1859047", "time_to_sec")</f>
        <v>time_to_sec</v>
      </c>
      <c r="D19160" t="s">
        <v>38</v>
      </c>
      <c r="E19160">
        <v>1</v>
      </c>
    </row>
    <row r="19161" spans="1:5" x14ac:dyDescent="0.25">
      <c r="A19161">
        <v>19160</v>
      </c>
      <c r="B19161">
        <v>3668066</v>
      </c>
      <c r="C19161" s="1" t="str">
        <f>HYPERLINK("http://stackoverflow.com/users/3668066", "sunnist")</f>
        <v>sunnist</v>
      </c>
      <c r="D19161" t="s">
        <v>4</v>
      </c>
      <c r="E19161">
        <v>1</v>
      </c>
    </row>
    <row r="19162" spans="1:5" x14ac:dyDescent="0.25">
      <c r="A19162">
        <v>19161</v>
      </c>
      <c r="B19162">
        <v>3668238</v>
      </c>
      <c r="C19162" s="1" t="str">
        <f>HYPERLINK("http://stackoverflow.com/users/3668238", "Stha4k9ng")</f>
        <v>Stha4k9ng</v>
      </c>
      <c r="D19162" t="s">
        <v>22</v>
      </c>
      <c r="E19162">
        <v>1</v>
      </c>
    </row>
    <row r="19163" spans="1:5" x14ac:dyDescent="0.25">
      <c r="A19163">
        <v>19162</v>
      </c>
      <c r="B19163">
        <v>5469674</v>
      </c>
      <c r="C19163" s="1" t="str">
        <f>HYPERLINK("http://stackoverflow.com/users/5469674", "果果他爸")</f>
        <v>果果他爸</v>
      </c>
      <c r="D19163" t="s">
        <v>8</v>
      </c>
      <c r="E19163">
        <v>1</v>
      </c>
    </row>
    <row r="19164" spans="1:5" x14ac:dyDescent="0.25">
      <c r="A19164">
        <v>19163</v>
      </c>
      <c r="B19164">
        <v>1862437</v>
      </c>
      <c r="C19164" s="1" t="str">
        <f>HYPERLINK("http://stackoverflow.com/users/1862437", "GalaxyGap")</f>
        <v>GalaxyGap</v>
      </c>
      <c r="D19164" t="s">
        <v>8</v>
      </c>
      <c r="E19164">
        <v>1</v>
      </c>
    </row>
    <row r="19165" spans="1:5" x14ac:dyDescent="0.25">
      <c r="A19165">
        <v>19164</v>
      </c>
      <c r="B19165">
        <v>1862494</v>
      </c>
      <c r="C19165" s="1" t="str">
        <f>HYPERLINK("http://stackoverflow.com/users/1862494", "HenryWhy")</f>
        <v>HenryWhy</v>
      </c>
      <c r="D19165" t="s">
        <v>37</v>
      </c>
      <c r="E19165">
        <v>1</v>
      </c>
    </row>
    <row r="19166" spans="1:5" x14ac:dyDescent="0.25">
      <c r="A19166">
        <v>19165</v>
      </c>
      <c r="B19166">
        <v>1862622</v>
      </c>
      <c r="C19166" s="1" t="str">
        <f>HYPERLINK("http://stackoverflow.com/users/1862622", "Moriarty_Xu")</f>
        <v>Moriarty_Xu</v>
      </c>
      <c r="D19166" t="s">
        <v>8</v>
      </c>
      <c r="E19166">
        <v>1</v>
      </c>
    </row>
    <row r="19167" spans="1:5" x14ac:dyDescent="0.25">
      <c r="A19167">
        <v>19166</v>
      </c>
      <c r="B19167">
        <v>1862702</v>
      </c>
      <c r="C19167" s="1" t="str">
        <f>HYPERLINK("http://stackoverflow.com/users/1862702", "Martin Luo")</f>
        <v>Martin Luo</v>
      </c>
      <c r="D19167" t="s">
        <v>5</v>
      </c>
      <c r="E19167">
        <v>1</v>
      </c>
    </row>
    <row r="19168" spans="1:5" x14ac:dyDescent="0.25">
      <c r="A19168">
        <v>19167</v>
      </c>
      <c r="B19168">
        <v>1862980</v>
      </c>
      <c r="C19168" s="1" t="str">
        <f>HYPERLINK("http://stackoverflow.com/users/1862980", "YuanYuan")</f>
        <v>YuanYuan</v>
      </c>
      <c r="D19168" t="s">
        <v>4</v>
      </c>
      <c r="E19168">
        <v>1</v>
      </c>
    </row>
    <row r="19169" spans="1:5" x14ac:dyDescent="0.25">
      <c r="A19169">
        <v>19168</v>
      </c>
      <c r="B19169">
        <v>1863278</v>
      </c>
      <c r="C19169" s="1" t="str">
        <f>HYPERLINK("http://stackoverflow.com/users/1863278", "AC_MI")</f>
        <v>AC_MI</v>
      </c>
      <c r="D19169" t="s">
        <v>8</v>
      </c>
      <c r="E19169">
        <v>1</v>
      </c>
    </row>
    <row r="19170" spans="1:5" x14ac:dyDescent="0.25">
      <c r="A19170">
        <v>19169</v>
      </c>
      <c r="B19170">
        <v>7223298</v>
      </c>
      <c r="C19170" s="1" t="str">
        <f>HYPERLINK("http://stackoverflow.com/users/7223298", "penny")</f>
        <v>penny</v>
      </c>
      <c r="D19170" t="s">
        <v>5</v>
      </c>
      <c r="E19170">
        <v>1</v>
      </c>
    </row>
    <row r="19171" spans="1:5" x14ac:dyDescent="0.25">
      <c r="A19171">
        <v>19170</v>
      </c>
      <c r="B19171">
        <v>9090677</v>
      </c>
      <c r="C19171" s="1" t="str">
        <f>HYPERLINK("http://stackoverflow.com/users/9090677", "sorakunn")</f>
        <v>sorakunn</v>
      </c>
      <c r="D19171" t="s">
        <v>157</v>
      </c>
      <c r="E19171">
        <v>1</v>
      </c>
    </row>
    <row r="19172" spans="1:5" x14ac:dyDescent="0.25">
      <c r="A19172">
        <v>19171</v>
      </c>
      <c r="B19172">
        <v>5472663</v>
      </c>
      <c r="C19172" s="1" t="str">
        <f>HYPERLINK("http://stackoverflow.com/users/5472663", "LiangJ")</f>
        <v>LiangJ</v>
      </c>
      <c r="D19172" t="s">
        <v>37</v>
      </c>
      <c r="E19172">
        <v>1</v>
      </c>
    </row>
    <row r="19173" spans="1:5" x14ac:dyDescent="0.25">
      <c r="A19173">
        <v>19172</v>
      </c>
      <c r="B19173">
        <v>10890224</v>
      </c>
      <c r="C19173" s="1" t="str">
        <f>HYPERLINK("http://stackoverflow.com/users/10890224", "Bo Zhang")</f>
        <v>Bo Zhang</v>
      </c>
      <c r="D19173" t="s">
        <v>52</v>
      </c>
      <c r="E19173">
        <v>1</v>
      </c>
    </row>
    <row r="19174" spans="1:5" x14ac:dyDescent="0.25">
      <c r="A19174">
        <v>19173</v>
      </c>
      <c r="B19174">
        <v>10890267</v>
      </c>
      <c r="C19174" s="1" t="str">
        <f>HYPERLINK("http://stackoverflow.com/users/10890267", "Play_D")</f>
        <v>Play_D</v>
      </c>
      <c r="D19174" t="s">
        <v>28</v>
      </c>
      <c r="E19174">
        <v>1</v>
      </c>
    </row>
    <row r="19175" spans="1:5" x14ac:dyDescent="0.25">
      <c r="A19175">
        <v>19174</v>
      </c>
      <c r="B19175">
        <v>7230445</v>
      </c>
      <c r="C19175" s="1" t="str">
        <f>HYPERLINK("http://stackoverflow.com/users/7230445", "HuangWei")</f>
        <v>HuangWei</v>
      </c>
      <c r="D19175" t="s">
        <v>5</v>
      </c>
      <c r="E19175">
        <v>1</v>
      </c>
    </row>
    <row r="19176" spans="1:5" x14ac:dyDescent="0.25">
      <c r="A19176">
        <v>19175</v>
      </c>
      <c r="B19176">
        <v>7230647</v>
      </c>
      <c r="C19176" s="1" t="str">
        <f>HYPERLINK("http://stackoverflow.com/users/7230647", "sphantix")</f>
        <v>sphantix</v>
      </c>
      <c r="D19176" t="s">
        <v>4</v>
      </c>
      <c r="E19176">
        <v>1</v>
      </c>
    </row>
    <row r="19177" spans="1:5" x14ac:dyDescent="0.25">
      <c r="A19177">
        <v>19176</v>
      </c>
      <c r="B19177">
        <v>5476192</v>
      </c>
      <c r="C19177" s="1" t="str">
        <f>HYPERLINK("http://stackoverflow.com/users/5476192", "jieqing.hu")</f>
        <v>jieqing.hu</v>
      </c>
      <c r="D19177" t="s">
        <v>5</v>
      </c>
      <c r="E19177">
        <v>1</v>
      </c>
    </row>
    <row r="19178" spans="1:5" x14ac:dyDescent="0.25">
      <c r="A19178">
        <v>19177</v>
      </c>
      <c r="B19178">
        <v>10894409</v>
      </c>
      <c r="C19178" s="1" t="str">
        <f>HYPERLINK("http://stackoverflow.com/users/10894409", "upvcsingleunionballbalves")</f>
        <v>upvcsingleunionballbalves</v>
      </c>
      <c r="D19178" t="s">
        <v>1031</v>
      </c>
      <c r="E19178">
        <v>1</v>
      </c>
    </row>
    <row r="19179" spans="1:5" x14ac:dyDescent="0.25">
      <c r="A19179">
        <v>19178</v>
      </c>
      <c r="B19179">
        <v>3680364</v>
      </c>
      <c r="C19179" s="1" t="str">
        <f>HYPERLINK("http://stackoverflow.com/users/3680364", "Ali-Dong")</f>
        <v>Ali-Dong</v>
      </c>
      <c r="D19179" t="s">
        <v>86</v>
      </c>
      <c r="E19179">
        <v>1</v>
      </c>
    </row>
    <row r="19180" spans="1:5" x14ac:dyDescent="0.25">
      <c r="A19180">
        <v>19179</v>
      </c>
      <c r="B19180">
        <v>5479209</v>
      </c>
      <c r="C19180" s="1" t="str">
        <f>HYPERLINK("http://stackoverflow.com/users/5479209", "bill")</f>
        <v>bill</v>
      </c>
      <c r="D19180" t="s">
        <v>5</v>
      </c>
      <c r="E19180">
        <v>1</v>
      </c>
    </row>
    <row r="19181" spans="1:5" x14ac:dyDescent="0.25">
      <c r="A19181">
        <v>19180</v>
      </c>
      <c r="B19181">
        <v>7234027</v>
      </c>
      <c r="C19181" s="1" t="str">
        <f>HYPERLINK("http://stackoverflow.com/users/7234027", "tank ")</f>
        <v xml:space="preserve">tank </v>
      </c>
      <c r="D19181" t="s">
        <v>5</v>
      </c>
      <c r="E19181">
        <v>1</v>
      </c>
    </row>
    <row r="19182" spans="1:5" x14ac:dyDescent="0.25">
      <c r="A19182">
        <v>19181</v>
      </c>
      <c r="B19182">
        <v>9107717</v>
      </c>
      <c r="C19182" s="1" t="str">
        <f>HYPERLINK("http://stackoverflow.com/users/9107717", "ChengFu Li")</f>
        <v>ChengFu Li</v>
      </c>
      <c r="D19182" t="s">
        <v>33</v>
      </c>
      <c r="E19182">
        <v>1</v>
      </c>
    </row>
    <row r="19183" spans="1:5" x14ac:dyDescent="0.25">
      <c r="A19183">
        <v>19182</v>
      </c>
      <c r="B19183">
        <v>5482503</v>
      </c>
      <c r="C19183" s="1" t="str">
        <f>HYPERLINK("http://stackoverflow.com/users/5482503", "sunoonlee")</f>
        <v>sunoonlee</v>
      </c>
      <c r="D19183" t="s">
        <v>22</v>
      </c>
      <c r="E19183">
        <v>1</v>
      </c>
    </row>
    <row r="19184" spans="1:5" x14ac:dyDescent="0.25">
      <c r="A19184">
        <v>19183</v>
      </c>
      <c r="B19184">
        <v>5482515</v>
      </c>
      <c r="C19184" s="1" t="str">
        <f>HYPERLINK("http://stackoverflow.com/users/5482515", "liuzelei")</f>
        <v>liuzelei</v>
      </c>
      <c r="D19184" t="s">
        <v>4</v>
      </c>
      <c r="E19184">
        <v>1</v>
      </c>
    </row>
    <row r="19185" spans="1:5" x14ac:dyDescent="0.25">
      <c r="A19185">
        <v>19184</v>
      </c>
      <c r="B19185">
        <v>5483141</v>
      </c>
      <c r="C19185" s="1" t="str">
        <f>HYPERLINK("http://stackoverflow.com/users/5483141", "user5483141")</f>
        <v>user5483141</v>
      </c>
      <c r="D19185" t="s">
        <v>17</v>
      </c>
      <c r="E19185">
        <v>1</v>
      </c>
    </row>
    <row r="19186" spans="1:5" x14ac:dyDescent="0.25">
      <c r="A19186">
        <v>19185</v>
      </c>
      <c r="B19186">
        <v>1887328</v>
      </c>
      <c r="C19186" s="1" t="str">
        <f>HYPERLINK("http://stackoverflow.com/users/1887328", "papadata")</f>
        <v>papadata</v>
      </c>
      <c r="D19186" t="s">
        <v>5</v>
      </c>
      <c r="E19186">
        <v>1</v>
      </c>
    </row>
    <row r="19187" spans="1:5" x14ac:dyDescent="0.25">
      <c r="A19187">
        <v>19186</v>
      </c>
      <c r="B19187">
        <v>1920497</v>
      </c>
      <c r="C19187" s="1" t="str">
        <f>HYPERLINK("http://stackoverflow.com/users/1920497", "iceliu1222")</f>
        <v>iceliu1222</v>
      </c>
      <c r="D19187" t="s">
        <v>4</v>
      </c>
      <c r="E19187">
        <v>1</v>
      </c>
    </row>
    <row r="19188" spans="1:5" x14ac:dyDescent="0.25">
      <c r="A19188">
        <v>19187</v>
      </c>
      <c r="B19188">
        <v>1915098</v>
      </c>
      <c r="C19188" s="1" t="str">
        <f>HYPERLINK("http://stackoverflow.com/users/1915098", "jjtang")</f>
        <v>jjtang</v>
      </c>
      <c r="D19188" t="s">
        <v>5</v>
      </c>
      <c r="E19188">
        <v>1</v>
      </c>
    </row>
    <row r="19189" spans="1:5" x14ac:dyDescent="0.25">
      <c r="A19189">
        <v>19188</v>
      </c>
      <c r="B19189">
        <v>3720976</v>
      </c>
      <c r="C19189" s="1" t="str">
        <f>HYPERLINK("http://stackoverflow.com/users/3720976", "solofeifei")</f>
        <v>solofeifei</v>
      </c>
      <c r="D19189" t="s">
        <v>5</v>
      </c>
      <c r="E19189">
        <v>1</v>
      </c>
    </row>
    <row r="19190" spans="1:5" x14ac:dyDescent="0.25">
      <c r="A19190">
        <v>19189</v>
      </c>
      <c r="B19190">
        <v>3721032</v>
      </c>
      <c r="C19190" s="1" t="str">
        <f>HYPERLINK("http://stackoverflow.com/users/3721032", "David Hu")</f>
        <v>David Hu</v>
      </c>
      <c r="D19190" t="s">
        <v>4</v>
      </c>
      <c r="E19190">
        <v>1</v>
      </c>
    </row>
    <row r="19191" spans="1:5" x14ac:dyDescent="0.25">
      <c r="A19191">
        <v>19190</v>
      </c>
      <c r="B19191">
        <v>3721338</v>
      </c>
      <c r="C19191" s="1" t="str">
        <f>HYPERLINK("http://stackoverflow.com/users/3721338", "devopscode")</f>
        <v>devopscode</v>
      </c>
      <c r="D19191" t="s">
        <v>5</v>
      </c>
      <c r="E19191">
        <v>1</v>
      </c>
    </row>
    <row r="19192" spans="1:5" x14ac:dyDescent="0.25">
      <c r="A19192">
        <v>19191</v>
      </c>
      <c r="B19192">
        <v>3721562</v>
      </c>
      <c r="C19192" s="1" t="str">
        <f>HYPERLINK("http://stackoverflow.com/users/3721562", "miaomao")</f>
        <v>miaomao</v>
      </c>
      <c r="D19192" t="s">
        <v>5</v>
      </c>
      <c r="E19192">
        <v>1</v>
      </c>
    </row>
    <row r="19193" spans="1:5" x14ac:dyDescent="0.25">
      <c r="A19193">
        <v>19192</v>
      </c>
      <c r="B19193">
        <v>7272886</v>
      </c>
      <c r="C19193" s="1" t="str">
        <f>HYPERLINK("http://stackoverflow.com/users/7272886", "LP-weekly magazine")</f>
        <v>LP-weekly magazine</v>
      </c>
      <c r="D19193" t="s">
        <v>408</v>
      </c>
      <c r="E19193">
        <v>1</v>
      </c>
    </row>
    <row r="19194" spans="1:5" x14ac:dyDescent="0.25">
      <c r="A19194">
        <v>19193</v>
      </c>
      <c r="B19194">
        <v>7273217</v>
      </c>
      <c r="C19194" s="1" t="str">
        <f>HYPERLINK("http://stackoverflow.com/users/7273217", "Yong Zhang")</f>
        <v>Yong Zhang</v>
      </c>
      <c r="D19194" t="s">
        <v>854</v>
      </c>
      <c r="E19194">
        <v>1</v>
      </c>
    </row>
    <row r="19195" spans="1:5" x14ac:dyDescent="0.25">
      <c r="A19195">
        <v>19194</v>
      </c>
      <c r="B19195">
        <v>7273596</v>
      </c>
      <c r="C19195" s="1" t="str">
        <f>HYPERLINK("http://stackoverflow.com/users/7273596", "heylypp")</f>
        <v>heylypp</v>
      </c>
      <c r="D19195" t="s">
        <v>52</v>
      </c>
      <c r="E19195">
        <v>1</v>
      </c>
    </row>
    <row r="19196" spans="1:5" x14ac:dyDescent="0.25">
      <c r="A19196">
        <v>19195</v>
      </c>
      <c r="B19196">
        <v>1915147</v>
      </c>
      <c r="C19196" s="1" t="str">
        <f>HYPERLINK("http://stackoverflow.com/users/1915147", "Haydon")</f>
        <v>Haydon</v>
      </c>
      <c r="D19196" t="s">
        <v>4</v>
      </c>
      <c r="E19196">
        <v>1</v>
      </c>
    </row>
    <row r="19197" spans="1:5" x14ac:dyDescent="0.25">
      <c r="A19197">
        <v>19196</v>
      </c>
      <c r="B19197">
        <v>1915174</v>
      </c>
      <c r="C19197" s="1" t="str">
        <f>HYPERLINK("http://stackoverflow.com/users/1915174", "tttan丶")</f>
        <v>tttan丶</v>
      </c>
      <c r="D19197" t="s">
        <v>5</v>
      </c>
      <c r="E19197">
        <v>1</v>
      </c>
    </row>
    <row r="19198" spans="1:5" x14ac:dyDescent="0.25">
      <c r="A19198">
        <v>19197</v>
      </c>
      <c r="B19198">
        <v>9132731</v>
      </c>
      <c r="C19198" s="1" t="str">
        <f>HYPERLINK("http://stackoverflow.com/users/9132731", "A. Li")</f>
        <v>A. Li</v>
      </c>
      <c r="D19198" t="s">
        <v>5</v>
      </c>
      <c r="E19198">
        <v>1</v>
      </c>
    </row>
    <row r="19199" spans="1:5" x14ac:dyDescent="0.25">
      <c r="A19199">
        <v>19198</v>
      </c>
      <c r="B19199">
        <v>9132757</v>
      </c>
      <c r="C19199" s="1" t="str">
        <f>HYPERLINK("http://stackoverflow.com/users/9132757", "user9132757")</f>
        <v>user9132757</v>
      </c>
      <c r="D19199" t="s">
        <v>52</v>
      </c>
      <c r="E19199">
        <v>1</v>
      </c>
    </row>
    <row r="19200" spans="1:5" x14ac:dyDescent="0.25">
      <c r="A19200">
        <v>19199</v>
      </c>
      <c r="B19200">
        <v>9132905</v>
      </c>
      <c r="C19200" s="1" t="str">
        <f>HYPERLINK("http://stackoverflow.com/users/9132905", "user9132905")</f>
        <v>user9132905</v>
      </c>
      <c r="D19200" t="s">
        <v>4</v>
      </c>
      <c r="E19200">
        <v>1</v>
      </c>
    </row>
    <row r="19201" spans="1:5" x14ac:dyDescent="0.25">
      <c r="A19201">
        <v>19200</v>
      </c>
      <c r="B19201">
        <v>7260069</v>
      </c>
      <c r="C19201" s="1" t="str">
        <f>HYPERLINK("http://stackoverflow.com/users/7260069", "宋超越")</f>
        <v>宋超越</v>
      </c>
      <c r="D19201" t="s">
        <v>343</v>
      </c>
      <c r="E19201">
        <v>1</v>
      </c>
    </row>
    <row r="19202" spans="1:5" x14ac:dyDescent="0.25">
      <c r="A19202">
        <v>19201</v>
      </c>
      <c r="B19202">
        <v>10932468</v>
      </c>
      <c r="C19202" s="1" t="str">
        <f>HYPERLINK("http://stackoverflow.com/users/10932468", "Shihe_ren")</f>
        <v>Shihe_ren</v>
      </c>
      <c r="D19202" t="s">
        <v>5</v>
      </c>
      <c r="E19202">
        <v>1</v>
      </c>
    </row>
    <row r="19203" spans="1:5" x14ac:dyDescent="0.25">
      <c r="A19203">
        <v>19202</v>
      </c>
      <c r="B19203">
        <v>9137716</v>
      </c>
      <c r="C19203" s="1" t="str">
        <f>HYPERLINK("http://stackoverflow.com/users/9137716", "Jing Yeoh")</f>
        <v>Jing Yeoh</v>
      </c>
      <c r="D19203" t="s">
        <v>55</v>
      </c>
      <c r="E19203">
        <v>1</v>
      </c>
    </row>
    <row r="19204" spans="1:5" x14ac:dyDescent="0.25">
      <c r="A19204">
        <v>19203</v>
      </c>
      <c r="B19204">
        <v>9137896</v>
      </c>
      <c r="C19204" s="1" t="str">
        <f>HYPERLINK("http://stackoverflow.com/users/9137896", "孙海峰")</f>
        <v>孙海峰</v>
      </c>
      <c r="D19204" t="s">
        <v>55</v>
      </c>
      <c r="E19204">
        <v>1</v>
      </c>
    </row>
    <row r="19205" spans="1:5" x14ac:dyDescent="0.25">
      <c r="A19205">
        <v>19204</v>
      </c>
      <c r="B19205">
        <v>9140586</v>
      </c>
      <c r="C19205" s="1" t="str">
        <f>HYPERLINK("http://stackoverflow.com/users/9140586", "张家侨")</f>
        <v>张家侨</v>
      </c>
      <c r="D19205" t="s">
        <v>25</v>
      </c>
      <c r="E19205">
        <v>1</v>
      </c>
    </row>
    <row r="19206" spans="1:5" x14ac:dyDescent="0.25">
      <c r="A19206">
        <v>19205</v>
      </c>
      <c r="B19206">
        <v>9141176</v>
      </c>
      <c r="C19206" s="1" t="str">
        <f>HYPERLINK("http://stackoverflow.com/users/9141176", "Jack Boris")</f>
        <v>Jack Boris</v>
      </c>
      <c r="D19206" t="s">
        <v>33</v>
      </c>
      <c r="E19206">
        <v>1</v>
      </c>
    </row>
    <row r="19207" spans="1:5" x14ac:dyDescent="0.25">
      <c r="A19207">
        <v>19206</v>
      </c>
      <c r="B19207">
        <v>10936404</v>
      </c>
      <c r="C19207" s="1" t="str">
        <f>HYPERLINK("http://stackoverflow.com/users/10936404", "刘梵骁")</f>
        <v>刘梵骁</v>
      </c>
      <c r="D19207" t="s">
        <v>5</v>
      </c>
      <c r="E19207">
        <v>1</v>
      </c>
    </row>
    <row r="19208" spans="1:5" x14ac:dyDescent="0.25">
      <c r="A19208">
        <v>19207</v>
      </c>
      <c r="B19208">
        <v>7266122</v>
      </c>
      <c r="C19208" s="1" t="str">
        <f>HYPERLINK("http://stackoverflow.com/users/7266122", "wp c")</f>
        <v>wp c</v>
      </c>
      <c r="D19208" t="s">
        <v>5</v>
      </c>
      <c r="E19208">
        <v>1</v>
      </c>
    </row>
    <row r="19209" spans="1:5" x14ac:dyDescent="0.25">
      <c r="A19209">
        <v>19208</v>
      </c>
      <c r="B19209">
        <v>10939954</v>
      </c>
      <c r="C19209" s="1" t="str">
        <f>HYPERLINK("http://stackoverflow.com/users/10939954", "Y.Gao")</f>
        <v>Y.Gao</v>
      </c>
      <c r="D19209" t="s">
        <v>28</v>
      </c>
      <c r="E19209">
        <v>1</v>
      </c>
    </row>
    <row r="19210" spans="1:5" x14ac:dyDescent="0.25">
      <c r="A19210">
        <v>19209</v>
      </c>
      <c r="B19210">
        <v>10940276</v>
      </c>
      <c r="C19210" s="1" t="str">
        <f>HYPERLINK("http://stackoverflow.com/users/10940276", "Jie Geng")</f>
        <v>Jie Geng</v>
      </c>
      <c r="D19210" t="s">
        <v>5</v>
      </c>
      <c r="E19210">
        <v>1</v>
      </c>
    </row>
    <row r="19211" spans="1:5" x14ac:dyDescent="0.25">
      <c r="A19211">
        <v>19210</v>
      </c>
      <c r="B19211">
        <v>9144880</v>
      </c>
      <c r="C19211" s="1" t="str">
        <f>HYPERLINK("http://stackoverflow.com/users/9144880", "Shurong Peng")</f>
        <v>Shurong Peng</v>
      </c>
      <c r="D19211" t="s">
        <v>4</v>
      </c>
      <c r="E19211">
        <v>1</v>
      </c>
    </row>
    <row r="19212" spans="1:5" x14ac:dyDescent="0.25">
      <c r="A19212">
        <v>19211</v>
      </c>
      <c r="B19212">
        <v>9144917</v>
      </c>
      <c r="C19212" s="1" t="str">
        <f>HYPERLINK("http://stackoverflow.com/users/9144917", "권순재")</f>
        <v>권순재</v>
      </c>
      <c r="D19212" t="s">
        <v>1032</v>
      </c>
      <c r="E19212">
        <v>1</v>
      </c>
    </row>
    <row r="19213" spans="1:5" x14ac:dyDescent="0.25">
      <c r="A19213">
        <v>19212</v>
      </c>
      <c r="B19213">
        <v>5486030</v>
      </c>
      <c r="C19213" s="1" t="str">
        <f>HYPERLINK("http://stackoverflow.com/users/5486030", "Fuhao Golden Li")</f>
        <v>Fuhao Golden Li</v>
      </c>
      <c r="D19213" t="s">
        <v>37</v>
      </c>
      <c r="E19213">
        <v>1</v>
      </c>
    </row>
    <row r="19214" spans="1:5" x14ac:dyDescent="0.25">
      <c r="A19214">
        <v>19213</v>
      </c>
      <c r="B19214">
        <v>5486588</v>
      </c>
      <c r="C19214" s="1" t="str">
        <f>HYPERLINK("http://stackoverflow.com/users/5486588", "ChenGuang Zhu")</f>
        <v>ChenGuang Zhu</v>
      </c>
      <c r="D19214" t="s">
        <v>5</v>
      </c>
      <c r="E19214">
        <v>1</v>
      </c>
    </row>
    <row r="19215" spans="1:5" x14ac:dyDescent="0.25">
      <c r="A19215">
        <v>19214</v>
      </c>
      <c r="B19215">
        <v>5486733</v>
      </c>
      <c r="C19215" s="1" t="str">
        <f>HYPERLINK("http://stackoverflow.com/users/5486733", "Yue.He")</f>
        <v>Yue.He</v>
      </c>
      <c r="D19215" t="s">
        <v>8</v>
      </c>
      <c r="E19215">
        <v>1</v>
      </c>
    </row>
    <row r="19216" spans="1:5" x14ac:dyDescent="0.25">
      <c r="A19216">
        <v>19215</v>
      </c>
      <c r="B19216">
        <v>10907541</v>
      </c>
      <c r="C19216" s="1" t="str">
        <f>HYPERLINK("http://stackoverflow.com/users/10907541", "xushu lu")</f>
        <v>xushu lu</v>
      </c>
      <c r="D19216" t="s">
        <v>5</v>
      </c>
      <c r="E19216">
        <v>1</v>
      </c>
    </row>
    <row r="19217" spans="1:5" x14ac:dyDescent="0.25">
      <c r="A19217">
        <v>19216</v>
      </c>
      <c r="B19217">
        <v>9116071</v>
      </c>
      <c r="C19217" s="1" t="str">
        <f>HYPERLINK("http://stackoverflow.com/users/9116071", "win")</f>
        <v>win</v>
      </c>
      <c r="D19217" t="s">
        <v>25</v>
      </c>
      <c r="E19217">
        <v>1</v>
      </c>
    </row>
    <row r="19218" spans="1:5" x14ac:dyDescent="0.25">
      <c r="A19218">
        <v>19217</v>
      </c>
      <c r="B19218">
        <v>9116225</v>
      </c>
      <c r="C19218" s="1" t="str">
        <f>HYPERLINK("http://stackoverflow.com/users/9116225", "kikyo")</f>
        <v>kikyo</v>
      </c>
      <c r="D19218" t="s">
        <v>5</v>
      </c>
      <c r="E19218">
        <v>1</v>
      </c>
    </row>
    <row r="19219" spans="1:5" x14ac:dyDescent="0.25">
      <c r="A19219">
        <v>19218</v>
      </c>
      <c r="B19219">
        <v>10911423</v>
      </c>
      <c r="C19219" s="1" t="str">
        <f>HYPERLINK("http://stackoverflow.com/users/10911423", "chaofiber")</f>
        <v>chaofiber</v>
      </c>
      <c r="D19219" t="s">
        <v>5</v>
      </c>
      <c r="E19219">
        <v>1</v>
      </c>
    </row>
    <row r="19220" spans="1:5" x14ac:dyDescent="0.25">
      <c r="A19220">
        <v>19219</v>
      </c>
      <c r="B19220">
        <v>7245183</v>
      </c>
      <c r="C19220" s="1" t="str">
        <f>HYPERLINK("http://stackoverflow.com/users/7245183", "Xiaoyang Fan")</f>
        <v>Xiaoyang Fan</v>
      </c>
      <c r="D19220" t="s">
        <v>55</v>
      </c>
      <c r="E19220">
        <v>1</v>
      </c>
    </row>
    <row r="19221" spans="1:5" x14ac:dyDescent="0.25">
      <c r="A19221">
        <v>19220</v>
      </c>
      <c r="B19221">
        <v>5490633</v>
      </c>
      <c r="C19221" s="1" t="str">
        <f>HYPERLINK("http://stackoverflow.com/users/5490633", "Lijin1991")</f>
        <v>Lijin1991</v>
      </c>
      <c r="D19221" t="s">
        <v>33</v>
      </c>
      <c r="E19221">
        <v>1</v>
      </c>
    </row>
    <row r="19222" spans="1:5" x14ac:dyDescent="0.25">
      <c r="A19222">
        <v>19221</v>
      </c>
      <c r="B19222">
        <v>10915492</v>
      </c>
      <c r="C19222" s="1" t="str">
        <f>HYPERLINK("http://stackoverflow.com/users/10915492", "Tianxun Cai")</f>
        <v>Tianxun Cai</v>
      </c>
      <c r="D19222" t="s">
        <v>7</v>
      </c>
      <c r="E19222">
        <v>1</v>
      </c>
    </row>
    <row r="19223" spans="1:5" x14ac:dyDescent="0.25">
      <c r="A19223">
        <v>19222</v>
      </c>
      <c r="B19223">
        <v>10915592</v>
      </c>
      <c r="C19223" s="1" t="str">
        <f>HYPERLINK("http://stackoverflow.com/users/10915592", "T. Riddle")</f>
        <v>T. Riddle</v>
      </c>
      <c r="D19223" t="s">
        <v>15</v>
      </c>
      <c r="E19223">
        <v>1</v>
      </c>
    </row>
    <row r="19224" spans="1:5" x14ac:dyDescent="0.25">
      <c r="A19224">
        <v>19223</v>
      </c>
      <c r="B19224">
        <v>10915976</v>
      </c>
      <c r="C19224" s="1" t="str">
        <f>HYPERLINK("http://stackoverflow.com/users/10915976", "Yan Gao")</f>
        <v>Yan Gao</v>
      </c>
      <c r="D19224" t="s">
        <v>4</v>
      </c>
      <c r="E19224">
        <v>1</v>
      </c>
    </row>
    <row r="19225" spans="1:5" x14ac:dyDescent="0.25">
      <c r="A19225">
        <v>19224</v>
      </c>
      <c r="B19225">
        <v>9120820</v>
      </c>
      <c r="C19225" s="1" t="str">
        <f>HYPERLINK("http://stackoverflow.com/users/9120820", "Cheng Mei")</f>
        <v>Cheng Mei</v>
      </c>
      <c r="D19225" t="s">
        <v>118</v>
      </c>
      <c r="E19225">
        <v>1</v>
      </c>
    </row>
    <row r="19226" spans="1:5" x14ac:dyDescent="0.25">
      <c r="A19226">
        <v>19225</v>
      </c>
      <c r="B19226">
        <v>7248968</v>
      </c>
      <c r="C19226" s="1" t="str">
        <f>HYPERLINK("http://stackoverflow.com/users/7248968", "Jenxi")</f>
        <v>Jenxi</v>
      </c>
      <c r="D19226" t="s">
        <v>7</v>
      </c>
      <c r="E19226">
        <v>1</v>
      </c>
    </row>
    <row r="19227" spans="1:5" x14ac:dyDescent="0.25">
      <c r="A19227">
        <v>19226</v>
      </c>
      <c r="B19227">
        <v>10919810</v>
      </c>
      <c r="C19227" s="1" t="str">
        <f>HYPERLINK("http://stackoverflow.com/users/10919810", "Heidi.Cui")</f>
        <v>Heidi.Cui</v>
      </c>
      <c r="D19227" t="s">
        <v>4</v>
      </c>
      <c r="E19227">
        <v>1</v>
      </c>
    </row>
    <row r="19228" spans="1:5" x14ac:dyDescent="0.25">
      <c r="A19228">
        <v>19227</v>
      </c>
      <c r="B19228">
        <v>7252375</v>
      </c>
      <c r="C19228" s="1" t="str">
        <f>HYPERLINK("http://stackoverflow.com/users/7252375", "Warrior lee")</f>
        <v>Warrior lee</v>
      </c>
      <c r="D19228" t="s">
        <v>157</v>
      </c>
      <c r="E19228">
        <v>1</v>
      </c>
    </row>
    <row r="19229" spans="1:5" x14ac:dyDescent="0.25">
      <c r="A19229">
        <v>19228</v>
      </c>
      <c r="B19229">
        <v>1887941</v>
      </c>
      <c r="C19229" s="1" t="str">
        <f>HYPERLINK("http://stackoverflow.com/users/1887941", "Chunlea")</f>
        <v>Chunlea</v>
      </c>
      <c r="D19229" t="s">
        <v>257</v>
      </c>
      <c r="E19229">
        <v>1</v>
      </c>
    </row>
    <row r="19230" spans="1:5" x14ac:dyDescent="0.25">
      <c r="A19230">
        <v>19229</v>
      </c>
      <c r="B19230">
        <v>7241619</v>
      </c>
      <c r="C19230" s="1" t="str">
        <f>HYPERLINK("http://stackoverflow.com/users/7241619", "Jay.Lee")</f>
        <v>Jay.Lee</v>
      </c>
      <c r="D19230" t="s">
        <v>4</v>
      </c>
      <c r="E19230">
        <v>1</v>
      </c>
    </row>
    <row r="19231" spans="1:5" x14ac:dyDescent="0.25">
      <c r="A19231">
        <v>19230</v>
      </c>
      <c r="B19231">
        <v>9111691</v>
      </c>
      <c r="C19231" s="1" t="str">
        <f>HYPERLINK("http://stackoverflow.com/users/9111691", "Sea Urjin")</f>
        <v>Sea Urjin</v>
      </c>
      <c r="D19231" t="s">
        <v>4</v>
      </c>
      <c r="E19231">
        <v>1</v>
      </c>
    </row>
    <row r="19232" spans="1:5" x14ac:dyDescent="0.25">
      <c r="A19232">
        <v>19231</v>
      </c>
      <c r="B19232">
        <v>3687964</v>
      </c>
      <c r="C19232" s="1" t="str">
        <f>HYPERLINK("http://stackoverflow.com/users/3687964", "Threecifanggen")</f>
        <v>Threecifanggen</v>
      </c>
      <c r="D19232" t="s">
        <v>1033</v>
      </c>
      <c r="E19232">
        <v>1</v>
      </c>
    </row>
    <row r="19233" spans="1:5" x14ac:dyDescent="0.25">
      <c r="A19233">
        <v>19232</v>
      </c>
      <c r="B19233">
        <v>7256116</v>
      </c>
      <c r="C19233" s="1" t="str">
        <f>HYPERLINK("http://stackoverflow.com/users/7256116", "Tanvi")</f>
        <v>Tanvi</v>
      </c>
      <c r="D19233" t="s">
        <v>4</v>
      </c>
      <c r="E19233">
        <v>1</v>
      </c>
    </row>
    <row r="19234" spans="1:5" x14ac:dyDescent="0.25">
      <c r="A19234">
        <v>19233</v>
      </c>
      <c r="B19234">
        <v>5500807</v>
      </c>
      <c r="C19234" s="1" t="str">
        <f>HYPERLINK("http://stackoverflow.com/users/5500807", "Toxin")</f>
        <v>Toxin</v>
      </c>
      <c r="D19234" t="s">
        <v>12</v>
      </c>
      <c r="E19234">
        <v>1</v>
      </c>
    </row>
    <row r="19235" spans="1:5" x14ac:dyDescent="0.25">
      <c r="A19235">
        <v>19234</v>
      </c>
      <c r="B19235">
        <v>5500902</v>
      </c>
      <c r="C19235" s="1" t="str">
        <f>HYPERLINK("http://stackoverflow.com/users/5500902", "Bill")</f>
        <v>Bill</v>
      </c>
      <c r="D19235" t="s">
        <v>12</v>
      </c>
      <c r="E19235">
        <v>1</v>
      </c>
    </row>
    <row r="19236" spans="1:5" x14ac:dyDescent="0.25">
      <c r="A19236">
        <v>19235</v>
      </c>
      <c r="B19236">
        <v>7252781</v>
      </c>
      <c r="C19236" s="1" t="str">
        <f>HYPERLINK("http://stackoverflow.com/users/7252781", "popduorz")</f>
        <v>popduorz</v>
      </c>
      <c r="D19236" t="s">
        <v>74</v>
      </c>
      <c r="E19236">
        <v>1</v>
      </c>
    </row>
    <row r="19237" spans="1:5" x14ac:dyDescent="0.25">
      <c r="A19237">
        <v>19236</v>
      </c>
      <c r="B19237">
        <v>1914602</v>
      </c>
      <c r="C19237" s="1" t="str">
        <f>HYPERLINK("http://stackoverflow.com/users/1914602", "Aaron.ye")</f>
        <v>Aaron.ye</v>
      </c>
      <c r="D19237" t="s">
        <v>4</v>
      </c>
      <c r="E19237">
        <v>1</v>
      </c>
    </row>
    <row r="19238" spans="1:5" x14ac:dyDescent="0.25">
      <c r="A19238">
        <v>19237</v>
      </c>
      <c r="B19238">
        <v>1931127</v>
      </c>
      <c r="C19238" s="1" t="str">
        <f>HYPERLINK("http://stackoverflow.com/users/1931127", "MxCarl")</f>
        <v>MxCarl</v>
      </c>
      <c r="D19238" t="s">
        <v>12</v>
      </c>
      <c r="E19238">
        <v>1</v>
      </c>
    </row>
    <row r="19239" spans="1:5" x14ac:dyDescent="0.25">
      <c r="A19239">
        <v>19238</v>
      </c>
      <c r="B19239">
        <v>1931580</v>
      </c>
      <c r="C19239" s="1" t="str">
        <f>HYPERLINK("http://stackoverflow.com/users/1931580", "MarkLin")</f>
        <v>MarkLin</v>
      </c>
      <c r="D19239" t="s">
        <v>12</v>
      </c>
      <c r="E19239">
        <v>1</v>
      </c>
    </row>
    <row r="19240" spans="1:5" x14ac:dyDescent="0.25">
      <c r="A19240">
        <v>19239</v>
      </c>
      <c r="B19240">
        <v>1931138</v>
      </c>
      <c r="C19240" s="1" t="str">
        <f>HYPERLINK("http://stackoverflow.com/users/1931138", "Gene")</f>
        <v>Gene</v>
      </c>
      <c r="D19240" t="s">
        <v>8</v>
      </c>
      <c r="E19240">
        <v>1</v>
      </c>
    </row>
    <row r="19241" spans="1:5" x14ac:dyDescent="0.25">
      <c r="A19241">
        <v>19240</v>
      </c>
      <c r="B19241">
        <v>1931160</v>
      </c>
      <c r="C19241" s="1" t="str">
        <f>HYPERLINK("http://stackoverflow.com/users/1931160", "Will Sun")</f>
        <v>Will Sun</v>
      </c>
      <c r="D19241" t="s">
        <v>5</v>
      </c>
      <c r="E19241">
        <v>1</v>
      </c>
    </row>
    <row r="19242" spans="1:5" x14ac:dyDescent="0.25">
      <c r="A19242">
        <v>19241</v>
      </c>
      <c r="B19242">
        <v>1931949</v>
      </c>
      <c r="C19242" s="1" t="str">
        <f>HYPERLINK("http://stackoverflow.com/users/1931949", "lulinlin")</f>
        <v>lulinlin</v>
      </c>
      <c r="D19242" t="s">
        <v>12</v>
      </c>
      <c r="E19242">
        <v>1</v>
      </c>
    </row>
    <row r="19243" spans="1:5" x14ac:dyDescent="0.25">
      <c r="A19243">
        <v>19242</v>
      </c>
      <c r="B19243">
        <v>1932349</v>
      </c>
      <c r="C19243" s="1" t="str">
        <f>HYPERLINK("http://stackoverflow.com/users/1932349", "Dennis")</f>
        <v>Dennis</v>
      </c>
      <c r="D19243" t="s">
        <v>4</v>
      </c>
      <c r="E19243">
        <v>1</v>
      </c>
    </row>
    <row r="19244" spans="1:5" x14ac:dyDescent="0.25">
      <c r="A19244">
        <v>19243</v>
      </c>
      <c r="B19244">
        <v>5518228</v>
      </c>
      <c r="C19244" s="1" t="str">
        <f>HYPERLINK("http://stackoverflow.com/users/5518228", "zdrjson")</f>
        <v>zdrjson</v>
      </c>
      <c r="D19244" t="s">
        <v>4</v>
      </c>
      <c r="E19244">
        <v>1</v>
      </c>
    </row>
    <row r="19245" spans="1:5" x14ac:dyDescent="0.25">
      <c r="A19245">
        <v>19244</v>
      </c>
      <c r="B19245">
        <v>5518273</v>
      </c>
      <c r="C19245" s="1" t="str">
        <f>HYPERLINK("http://stackoverflow.com/users/5518273", "haonan liu")</f>
        <v>haonan liu</v>
      </c>
      <c r="D19245" t="s">
        <v>5</v>
      </c>
      <c r="E19245">
        <v>1</v>
      </c>
    </row>
    <row r="19246" spans="1:5" x14ac:dyDescent="0.25">
      <c r="A19246">
        <v>19245</v>
      </c>
      <c r="B19246">
        <v>5518276</v>
      </c>
      <c r="C19246" s="1" t="str">
        <f>HYPERLINK("http://stackoverflow.com/users/5518276", "dolia")</f>
        <v>dolia</v>
      </c>
      <c r="D19246" t="s">
        <v>5</v>
      </c>
      <c r="E19246">
        <v>1</v>
      </c>
    </row>
    <row r="19247" spans="1:5" x14ac:dyDescent="0.25">
      <c r="A19247">
        <v>19246</v>
      </c>
      <c r="B19247">
        <v>5518950</v>
      </c>
      <c r="C19247" s="1" t="str">
        <f>HYPERLINK("http://stackoverflow.com/users/5518950", "WilliamB")</f>
        <v>WilliamB</v>
      </c>
      <c r="D19247" t="s">
        <v>37</v>
      </c>
      <c r="E19247">
        <v>1</v>
      </c>
    </row>
    <row r="19248" spans="1:5" x14ac:dyDescent="0.25">
      <c r="A19248">
        <v>19247</v>
      </c>
      <c r="B19248">
        <v>5518974</v>
      </c>
      <c r="C19248" s="1" t="str">
        <f>HYPERLINK("http://stackoverflow.com/users/5518974", "Arrow Moon")</f>
        <v>Arrow Moon</v>
      </c>
      <c r="D19248" t="s">
        <v>5</v>
      </c>
      <c r="E19248">
        <v>1</v>
      </c>
    </row>
    <row r="19249" spans="1:5" x14ac:dyDescent="0.25">
      <c r="A19249">
        <v>19248</v>
      </c>
      <c r="B19249">
        <v>10944486</v>
      </c>
      <c r="C19249" s="1" t="str">
        <f>HYPERLINK("http://stackoverflow.com/users/10944486", "llrs")</f>
        <v>llrs</v>
      </c>
      <c r="D19249" t="s">
        <v>7</v>
      </c>
      <c r="E19249">
        <v>1</v>
      </c>
    </row>
    <row r="19250" spans="1:5" x14ac:dyDescent="0.25">
      <c r="A19250">
        <v>19249</v>
      </c>
      <c r="B19250">
        <v>10944522</v>
      </c>
      <c r="C19250" s="1" t="str">
        <f>HYPERLINK("http://stackoverflow.com/users/10944522", "Joy")</f>
        <v>Joy</v>
      </c>
      <c r="D19250" t="s">
        <v>4</v>
      </c>
      <c r="E19250">
        <v>1</v>
      </c>
    </row>
    <row r="19251" spans="1:5" x14ac:dyDescent="0.25">
      <c r="A19251">
        <v>19250</v>
      </c>
      <c r="B19251">
        <v>7278082</v>
      </c>
      <c r="C19251" s="1" t="str">
        <f>HYPERLINK("http://stackoverflow.com/users/7278082", "kingstar")</f>
        <v>kingstar</v>
      </c>
      <c r="D19251" t="s">
        <v>19</v>
      </c>
      <c r="E19251">
        <v>1</v>
      </c>
    </row>
    <row r="19252" spans="1:5" x14ac:dyDescent="0.25">
      <c r="A19252">
        <v>19251</v>
      </c>
      <c r="B19252">
        <v>5522945</v>
      </c>
      <c r="C19252" s="1" t="str">
        <f>HYPERLINK("http://stackoverflow.com/users/5522945", "Alex Wang")</f>
        <v>Alex Wang</v>
      </c>
      <c r="D19252" t="s">
        <v>5</v>
      </c>
      <c r="E19252">
        <v>1</v>
      </c>
    </row>
    <row r="19253" spans="1:5" x14ac:dyDescent="0.25">
      <c r="A19253">
        <v>19252</v>
      </c>
      <c r="B19253">
        <v>5523050</v>
      </c>
      <c r="C19253" s="1" t="str">
        <f>HYPERLINK("http://stackoverflow.com/users/5523050", "Richard")</f>
        <v>Richard</v>
      </c>
      <c r="D19253" t="s">
        <v>5</v>
      </c>
      <c r="E19253">
        <v>1</v>
      </c>
    </row>
    <row r="19254" spans="1:5" x14ac:dyDescent="0.25">
      <c r="A19254">
        <v>19253</v>
      </c>
      <c r="B19254">
        <v>5523517</v>
      </c>
      <c r="C19254" s="1" t="str">
        <f>HYPERLINK("http://stackoverflow.com/users/5523517", "David Hu")</f>
        <v>David Hu</v>
      </c>
      <c r="D19254" t="s">
        <v>8</v>
      </c>
      <c r="E19254">
        <v>1</v>
      </c>
    </row>
    <row r="19255" spans="1:5" x14ac:dyDescent="0.25">
      <c r="A19255">
        <v>19254</v>
      </c>
      <c r="B19255">
        <v>10948759</v>
      </c>
      <c r="C19255" s="1" t="str">
        <f>HYPERLINK("http://stackoverflow.com/users/10948759", "Haotong Lin")</f>
        <v>Haotong Lin</v>
      </c>
      <c r="D19255" t="s">
        <v>16</v>
      </c>
      <c r="E19255">
        <v>1</v>
      </c>
    </row>
    <row r="19256" spans="1:5" x14ac:dyDescent="0.25">
      <c r="A19256">
        <v>19255</v>
      </c>
      <c r="B19256">
        <v>10949011</v>
      </c>
      <c r="C19256" s="1" t="str">
        <f>HYPERLINK("http://stackoverflow.com/users/10949011", "master.b")</f>
        <v>master.b</v>
      </c>
      <c r="D19256" t="s">
        <v>16</v>
      </c>
      <c r="E19256">
        <v>1</v>
      </c>
    </row>
    <row r="19257" spans="1:5" x14ac:dyDescent="0.25">
      <c r="A19257">
        <v>19256</v>
      </c>
      <c r="B19257">
        <v>10949321</v>
      </c>
      <c r="C19257" s="1" t="str">
        <f>HYPERLINK("http://stackoverflow.com/users/10949321", "Zhen Mi")</f>
        <v>Zhen Mi</v>
      </c>
      <c r="D19257" t="s">
        <v>184</v>
      </c>
      <c r="E19257">
        <v>1</v>
      </c>
    </row>
    <row r="19258" spans="1:5" x14ac:dyDescent="0.25">
      <c r="A19258">
        <v>19257</v>
      </c>
      <c r="B19258">
        <v>5518322</v>
      </c>
      <c r="C19258" s="1" t="str">
        <f>HYPERLINK("http://stackoverflow.com/users/5518322", "Chris")</f>
        <v>Chris</v>
      </c>
      <c r="D19258" t="s">
        <v>4</v>
      </c>
      <c r="E19258">
        <v>1</v>
      </c>
    </row>
    <row r="19259" spans="1:5" x14ac:dyDescent="0.25">
      <c r="A19259">
        <v>19258</v>
      </c>
      <c r="B19259">
        <v>5518466</v>
      </c>
      <c r="C19259" s="1" t="str">
        <f>HYPERLINK("http://stackoverflow.com/users/5518466", "wuxinliulei")</f>
        <v>wuxinliulei</v>
      </c>
      <c r="D19259" t="s">
        <v>5</v>
      </c>
      <c r="E19259">
        <v>1</v>
      </c>
    </row>
    <row r="19260" spans="1:5" x14ac:dyDescent="0.25">
      <c r="A19260">
        <v>19259</v>
      </c>
      <c r="B19260">
        <v>1937680</v>
      </c>
      <c r="C19260" s="1" t="str">
        <f>HYPERLINK("http://stackoverflow.com/users/1937680", "cuijie")</f>
        <v>cuijie</v>
      </c>
      <c r="D19260" t="s">
        <v>25</v>
      </c>
      <c r="E19260">
        <v>1</v>
      </c>
    </row>
    <row r="19261" spans="1:5" x14ac:dyDescent="0.25">
      <c r="A19261">
        <v>19260</v>
      </c>
      <c r="B19261">
        <v>10952477</v>
      </c>
      <c r="C19261" s="1" t="str">
        <f>HYPERLINK("http://stackoverflow.com/users/10952477", "Oni Kyong")</f>
        <v>Oni Kyong</v>
      </c>
      <c r="D19261" t="s">
        <v>33</v>
      </c>
      <c r="E19261">
        <v>1</v>
      </c>
    </row>
    <row r="19262" spans="1:5" x14ac:dyDescent="0.25">
      <c r="A19262">
        <v>19261</v>
      </c>
      <c r="B19262">
        <v>9161924</v>
      </c>
      <c r="C19262" s="1" t="str">
        <f>HYPERLINK("http://stackoverflow.com/users/9161924", "Ruonan Yu")</f>
        <v>Ruonan Yu</v>
      </c>
      <c r="D19262" t="s">
        <v>4</v>
      </c>
      <c r="E19262">
        <v>1</v>
      </c>
    </row>
    <row r="19263" spans="1:5" x14ac:dyDescent="0.25">
      <c r="A19263">
        <v>19262</v>
      </c>
      <c r="B19263">
        <v>7285798</v>
      </c>
      <c r="C19263" s="1" t="str">
        <f>HYPERLINK("http://stackoverflow.com/users/7285798", "Levi")</f>
        <v>Levi</v>
      </c>
      <c r="D19263" t="s">
        <v>130</v>
      </c>
      <c r="E19263">
        <v>1</v>
      </c>
    </row>
    <row r="19264" spans="1:5" x14ac:dyDescent="0.25">
      <c r="A19264">
        <v>19263</v>
      </c>
      <c r="B19264">
        <v>3736253</v>
      </c>
      <c r="C19264" s="1" t="str">
        <f>HYPERLINK("http://stackoverflow.com/users/3736253", "acheng")</f>
        <v>acheng</v>
      </c>
      <c r="D19264" t="s">
        <v>4</v>
      </c>
      <c r="E19264">
        <v>1</v>
      </c>
    </row>
    <row r="19265" spans="1:5" x14ac:dyDescent="0.25">
      <c r="A19265">
        <v>19264</v>
      </c>
      <c r="B19265">
        <v>1942029</v>
      </c>
      <c r="C19265" s="1" t="str">
        <f>HYPERLINK("http://stackoverflow.com/users/1942029", "Tina")</f>
        <v>Tina</v>
      </c>
      <c r="D19265" t="s">
        <v>37</v>
      </c>
      <c r="E19265">
        <v>1</v>
      </c>
    </row>
    <row r="19266" spans="1:5" x14ac:dyDescent="0.25">
      <c r="A19266">
        <v>19265</v>
      </c>
      <c r="B19266">
        <v>7282398</v>
      </c>
      <c r="C19266" s="1" t="str">
        <f>HYPERLINK("http://stackoverflow.com/users/7282398", "Jackie Mao")</f>
        <v>Jackie Mao</v>
      </c>
      <c r="D19266" t="s">
        <v>11</v>
      </c>
      <c r="E19266">
        <v>1</v>
      </c>
    </row>
    <row r="19267" spans="1:5" x14ac:dyDescent="0.25">
      <c r="A19267">
        <v>19266</v>
      </c>
      <c r="B19267">
        <v>7282420</v>
      </c>
      <c r="C19267" s="1" t="str">
        <f>HYPERLINK("http://stackoverflow.com/users/7282420", "Hui.Cstmdzx")</f>
        <v>Hui.Cstmdzx</v>
      </c>
      <c r="D19267" t="s">
        <v>1034</v>
      </c>
      <c r="E19267">
        <v>1</v>
      </c>
    </row>
    <row r="19268" spans="1:5" x14ac:dyDescent="0.25">
      <c r="A19268">
        <v>19267</v>
      </c>
      <c r="B19268">
        <v>7293886</v>
      </c>
      <c r="C19268" s="1" t="str">
        <f>HYPERLINK("http://stackoverflow.com/users/7293886", "asia")</f>
        <v>asia</v>
      </c>
      <c r="D19268" t="s">
        <v>1035</v>
      </c>
      <c r="E19268">
        <v>1</v>
      </c>
    </row>
    <row r="19269" spans="1:5" x14ac:dyDescent="0.25">
      <c r="A19269">
        <v>19268</v>
      </c>
      <c r="B19269">
        <v>7293960</v>
      </c>
      <c r="C19269" s="1" t="str">
        <f>HYPERLINK("http://stackoverflow.com/users/7293960", "agentwu")</f>
        <v>agentwu</v>
      </c>
      <c r="D19269" t="s">
        <v>5</v>
      </c>
      <c r="E19269">
        <v>1</v>
      </c>
    </row>
    <row r="19270" spans="1:5" x14ac:dyDescent="0.25">
      <c r="A19270">
        <v>19269</v>
      </c>
      <c r="B19270">
        <v>3742253</v>
      </c>
      <c r="C19270" s="1" t="str">
        <f>HYPERLINK("http://stackoverflow.com/users/3742253", "zaiyicheng00")</f>
        <v>zaiyicheng00</v>
      </c>
      <c r="D19270" t="s">
        <v>5</v>
      </c>
      <c r="E19270">
        <v>1</v>
      </c>
    </row>
    <row r="19271" spans="1:5" x14ac:dyDescent="0.25">
      <c r="A19271">
        <v>19270</v>
      </c>
      <c r="B19271">
        <v>10965048</v>
      </c>
      <c r="C19271" s="1" t="str">
        <f>HYPERLINK("http://stackoverflow.com/users/10965048", "Artaris")</f>
        <v>Artaris</v>
      </c>
      <c r="D19271" t="s">
        <v>5</v>
      </c>
      <c r="E19271">
        <v>1</v>
      </c>
    </row>
    <row r="19272" spans="1:5" x14ac:dyDescent="0.25">
      <c r="A19272">
        <v>19271</v>
      </c>
      <c r="B19272">
        <v>10965218</v>
      </c>
      <c r="C19272" s="1" t="str">
        <f>HYPERLINK("http://stackoverflow.com/users/10965218", "donybear")</f>
        <v>donybear</v>
      </c>
      <c r="D19272" t="s">
        <v>4</v>
      </c>
      <c r="E19272">
        <v>1</v>
      </c>
    </row>
    <row r="19273" spans="1:5" x14ac:dyDescent="0.25">
      <c r="A19273">
        <v>19272</v>
      </c>
      <c r="B19273">
        <v>9170614</v>
      </c>
      <c r="C19273" s="1" t="str">
        <f>HYPERLINK("http://stackoverflow.com/users/9170614", "shylin")</f>
        <v>shylin</v>
      </c>
      <c r="D19273" t="s">
        <v>7</v>
      </c>
      <c r="E19273">
        <v>1</v>
      </c>
    </row>
    <row r="19274" spans="1:5" x14ac:dyDescent="0.25">
      <c r="A19274">
        <v>19273</v>
      </c>
      <c r="B19274">
        <v>9170750</v>
      </c>
      <c r="C19274" s="1" t="str">
        <f>HYPERLINK("http://stackoverflow.com/users/9170750", "fortunatepillar")</f>
        <v>fortunatepillar</v>
      </c>
      <c r="D19274" t="s">
        <v>7</v>
      </c>
      <c r="E19274">
        <v>1</v>
      </c>
    </row>
    <row r="19275" spans="1:5" x14ac:dyDescent="0.25">
      <c r="A19275">
        <v>19274</v>
      </c>
      <c r="B19275">
        <v>9171013</v>
      </c>
      <c r="C19275" s="1" t="str">
        <f>HYPERLINK("http://stackoverflow.com/users/9171013", "Cherry.cui")</f>
        <v>Cherry.cui</v>
      </c>
      <c r="D19275" t="s">
        <v>7</v>
      </c>
      <c r="E19275">
        <v>1</v>
      </c>
    </row>
    <row r="19276" spans="1:5" x14ac:dyDescent="0.25">
      <c r="A19276">
        <v>19275</v>
      </c>
      <c r="B19276">
        <v>9171023</v>
      </c>
      <c r="C19276" s="1" t="str">
        <f>HYPERLINK("http://stackoverflow.com/users/9171023", "MasterPan")</f>
        <v>MasterPan</v>
      </c>
      <c r="D19276" t="s">
        <v>7</v>
      </c>
      <c r="E19276">
        <v>1</v>
      </c>
    </row>
    <row r="19277" spans="1:5" x14ac:dyDescent="0.25">
      <c r="A19277">
        <v>19276</v>
      </c>
      <c r="B19277">
        <v>5538233</v>
      </c>
      <c r="C19277" s="1" t="str">
        <f>HYPERLINK("http://stackoverflow.com/users/5538233", "Kelvin")</f>
        <v>Kelvin</v>
      </c>
      <c r="D19277" t="s">
        <v>5</v>
      </c>
      <c r="E19277">
        <v>1</v>
      </c>
    </row>
    <row r="19278" spans="1:5" x14ac:dyDescent="0.25">
      <c r="A19278">
        <v>19277</v>
      </c>
      <c r="B19278">
        <v>5540835</v>
      </c>
      <c r="C19278" s="1" t="str">
        <f>HYPERLINK("http://stackoverflow.com/users/5540835", "XiaoLiu_Hu")</f>
        <v>XiaoLiu_Hu</v>
      </c>
      <c r="D19278" t="s">
        <v>17</v>
      </c>
      <c r="E19278">
        <v>1</v>
      </c>
    </row>
    <row r="19279" spans="1:5" x14ac:dyDescent="0.25">
      <c r="A19279">
        <v>19278</v>
      </c>
      <c r="B19279">
        <v>5541031</v>
      </c>
      <c r="C19279" s="1" t="str">
        <f>HYPERLINK("http://stackoverflow.com/users/5541031", "Jerry Qian")</f>
        <v>Jerry Qian</v>
      </c>
      <c r="D19279" t="s">
        <v>12</v>
      </c>
      <c r="E19279">
        <v>1</v>
      </c>
    </row>
    <row r="19280" spans="1:5" x14ac:dyDescent="0.25">
      <c r="A19280">
        <v>19279</v>
      </c>
      <c r="B19280">
        <v>5541099</v>
      </c>
      <c r="C19280" s="1" t="str">
        <f>HYPERLINK("http://stackoverflow.com/users/5541099", "DerCg")</f>
        <v>DerCg</v>
      </c>
      <c r="D19280" t="s">
        <v>5</v>
      </c>
      <c r="E19280">
        <v>1</v>
      </c>
    </row>
    <row r="19281" spans="1:5" x14ac:dyDescent="0.25">
      <c r="A19281">
        <v>19280</v>
      </c>
      <c r="B19281">
        <v>5541215</v>
      </c>
      <c r="C19281" s="1" t="str">
        <f>HYPERLINK("http://stackoverflow.com/users/5541215", "Tianma")</f>
        <v>Tianma</v>
      </c>
      <c r="D19281" t="s">
        <v>25</v>
      </c>
      <c r="E19281">
        <v>1</v>
      </c>
    </row>
    <row r="19282" spans="1:5" x14ac:dyDescent="0.25">
      <c r="A19282">
        <v>19281</v>
      </c>
      <c r="B19282">
        <v>5541339</v>
      </c>
      <c r="C19282" s="1" t="str">
        <f>HYPERLINK("http://stackoverflow.com/users/5541339", "Gorgon Meducer")</f>
        <v>Gorgon Meducer</v>
      </c>
      <c r="D19282" t="s">
        <v>4</v>
      </c>
      <c r="E19282">
        <v>1</v>
      </c>
    </row>
    <row r="19283" spans="1:5" x14ac:dyDescent="0.25">
      <c r="A19283">
        <v>19282</v>
      </c>
      <c r="B19283">
        <v>5541391</v>
      </c>
      <c r="C19283" s="1" t="str">
        <f>HYPERLINK("http://stackoverflow.com/users/5541391", "刘长磊")</f>
        <v>刘长磊</v>
      </c>
      <c r="D19283" t="s">
        <v>5</v>
      </c>
      <c r="E19283">
        <v>1</v>
      </c>
    </row>
    <row r="19284" spans="1:5" x14ac:dyDescent="0.25">
      <c r="A19284">
        <v>19283</v>
      </c>
      <c r="B19284">
        <v>10957040</v>
      </c>
      <c r="C19284" s="1" t="str">
        <f>HYPERLINK("http://stackoverflow.com/users/10957040", "Yang Dolores")</f>
        <v>Yang Dolores</v>
      </c>
      <c r="D19284" t="s">
        <v>135</v>
      </c>
      <c r="E19284">
        <v>1</v>
      </c>
    </row>
    <row r="19285" spans="1:5" x14ac:dyDescent="0.25">
      <c r="A19285">
        <v>19284</v>
      </c>
      <c r="B19285">
        <v>9166340</v>
      </c>
      <c r="C19285" s="1" t="str">
        <f>HYPERLINK("http://stackoverflow.com/users/9166340", "JeffreyYoung")</f>
        <v>JeffreyYoung</v>
      </c>
      <c r="D19285" t="s">
        <v>5</v>
      </c>
      <c r="E19285">
        <v>1</v>
      </c>
    </row>
    <row r="19286" spans="1:5" x14ac:dyDescent="0.25">
      <c r="A19286">
        <v>19285</v>
      </c>
      <c r="B19286">
        <v>9166364</v>
      </c>
      <c r="C19286" s="1" t="str">
        <f>HYPERLINK("http://stackoverflow.com/users/9166364", "ParroT")</f>
        <v>ParroT</v>
      </c>
      <c r="D19286" t="s">
        <v>1036</v>
      </c>
      <c r="E19286">
        <v>1</v>
      </c>
    </row>
    <row r="19287" spans="1:5" x14ac:dyDescent="0.25">
      <c r="A19287">
        <v>19286</v>
      </c>
      <c r="B19287">
        <v>1965541</v>
      </c>
      <c r="C19287" s="1" t="str">
        <f>HYPERLINK("http://stackoverflow.com/users/1965541", "annna green")</f>
        <v>annna green</v>
      </c>
      <c r="D19287" t="s">
        <v>5</v>
      </c>
      <c r="E19287">
        <v>1</v>
      </c>
    </row>
    <row r="19288" spans="1:5" x14ac:dyDescent="0.25">
      <c r="A19288">
        <v>19287</v>
      </c>
      <c r="B19288">
        <v>1965682</v>
      </c>
      <c r="C19288" s="1" t="str">
        <f>HYPERLINK("http://stackoverflow.com/users/1965682", "lizh")</f>
        <v>lizh</v>
      </c>
      <c r="D19288" t="s">
        <v>5</v>
      </c>
      <c r="E19288">
        <v>1</v>
      </c>
    </row>
    <row r="19289" spans="1:5" x14ac:dyDescent="0.25">
      <c r="A19289">
        <v>19288</v>
      </c>
      <c r="B19289">
        <v>1965356</v>
      </c>
      <c r="C19289" s="1" t="str">
        <f>HYPERLINK("http://stackoverflow.com/users/1965356", "Yicheng Lei")</f>
        <v>Yicheng Lei</v>
      </c>
      <c r="D19289" t="s">
        <v>21</v>
      </c>
      <c r="E19289">
        <v>1</v>
      </c>
    </row>
    <row r="19290" spans="1:5" x14ac:dyDescent="0.25">
      <c r="A19290">
        <v>19289</v>
      </c>
      <c r="B19290">
        <v>1965418</v>
      </c>
      <c r="C19290" s="1" t="str">
        <f>HYPERLINK("http://stackoverflow.com/users/1965418", "Wikie")</f>
        <v>Wikie</v>
      </c>
      <c r="D19290" t="s">
        <v>5</v>
      </c>
      <c r="E19290">
        <v>1</v>
      </c>
    </row>
    <row r="19291" spans="1:5" x14ac:dyDescent="0.25">
      <c r="A19291">
        <v>19290</v>
      </c>
      <c r="B19291">
        <v>1965471</v>
      </c>
      <c r="C19291" s="1" t="str">
        <f>HYPERLINK("http://stackoverflow.com/users/1965471", "Junxi")</f>
        <v>Junxi</v>
      </c>
      <c r="D19291" t="s">
        <v>1029</v>
      </c>
      <c r="E19291">
        <v>1</v>
      </c>
    </row>
    <row r="19292" spans="1:5" x14ac:dyDescent="0.25">
      <c r="A19292">
        <v>19291</v>
      </c>
      <c r="B19292">
        <v>5541635</v>
      </c>
      <c r="C19292" s="1" t="str">
        <f>HYPERLINK("http://stackoverflow.com/users/5541635", "fuxing Zhao")</f>
        <v>fuxing Zhao</v>
      </c>
      <c r="D19292" t="s">
        <v>856</v>
      </c>
      <c r="E19292">
        <v>1</v>
      </c>
    </row>
    <row r="19293" spans="1:5" x14ac:dyDescent="0.25">
      <c r="A19293">
        <v>19292</v>
      </c>
      <c r="B19293">
        <v>1958464</v>
      </c>
      <c r="C19293" s="1" t="str">
        <f>HYPERLINK("http://stackoverflow.com/users/1958464", "fugue")</f>
        <v>fugue</v>
      </c>
      <c r="D19293" t="s">
        <v>5</v>
      </c>
      <c r="E19293">
        <v>1</v>
      </c>
    </row>
    <row r="19294" spans="1:5" x14ac:dyDescent="0.25">
      <c r="A19294">
        <v>19293</v>
      </c>
      <c r="B19294">
        <v>1958661</v>
      </c>
      <c r="C19294" s="1" t="str">
        <f>HYPERLINK("http://stackoverflow.com/users/1958661", "Hehoo")</f>
        <v>Hehoo</v>
      </c>
      <c r="D19294" t="s">
        <v>16</v>
      </c>
      <c r="E19294">
        <v>1</v>
      </c>
    </row>
    <row r="19295" spans="1:5" x14ac:dyDescent="0.25">
      <c r="A19295">
        <v>19294</v>
      </c>
      <c r="B19295">
        <v>5544758</v>
      </c>
      <c r="C19295" s="1" t="str">
        <f>HYPERLINK("http://stackoverflow.com/users/5544758", "yellow")</f>
        <v>yellow</v>
      </c>
      <c r="D19295" t="s">
        <v>12</v>
      </c>
      <c r="E19295">
        <v>1</v>
      </c>
    </row>
    <row r="19296" spans="1:5" x14ac:dyDescent="0.25">
      <c r="A19296">
        <v>19295</v>
      </c>
      <c r="B19296">
        <v>9178148</v>
      </c>
      <c r="C19296" s="1" t="str">
        <f>HYPERLINK("http://stackoverflow.com/users/9178148", "ZA ZA")</f>
        <v>ZA ZA</v>
      </c>
      <c r="D19296" t="s">
        <v>320</v>
      </c>
      <c r="E19296">
        <v>1</v>
      </c>
    </row>
    <row r="19297" spans="1:5" x14ac:dyDescent="0.25">
      <c r="A19297">
        <v>19296</v>
      </c>
      <c r="B19297">
        <v>9178197</v>
      </c>
      <c r="C19297" s="1" t="str">
        <f>HYPERLINK("http://stackoverflow.com/users/9178197", "luowen")</f>
        <v>luowen</v>
      </c>
      <c r="D19297" t="s">
        <v>5</v>
      </c>
      <c r="E19297">
        <v>1</v>
      </c>
    </row>
    <row r="19298" spans="1:5" x14ac:dyDescent="0.25">
      <c r="A19298">
        <v>19297</v>
      </c>
      <c r="B19298">
        <v>1965275</v>
      </c>
      <c r="C19298" s="1" t="str">
        <f>HYPERLINK("http://stackoverflow.com/users/1965275", "Yulai Liang")</f>
        <v>Yulai Liang</v>
      </c>
      <c r="D19298" t="s">
        <v>4</v>
      </c>
      <c r="E19298">
        <v>1</v>
      </c>
    </row>
    <row r="19299" spans="1:5" x14ac:dyDescent="0.25">
      <c r="A19299">
        <v>19298</v>
      </c>
      <c r="B19299">
        <v>5567033</v>
      </c>
      <c r="C19299" s="1" t="str">
        <f>HYPERLINK("http://stackoverflow.com/users/5567033", "PyClass")</f>
        <v>PyClass</v>
      </c>
      <c r="D19299" t="s">
        <v>12</v>
      </c>
      <c r="E19299">
        <v>1</v>
      </c>
    </row>
    <row r="19300" spans="1:5" x14ac:dyDescent="0.25">
      <c r="A19300">
        <v>19299</v>
      </c>
      <c r="B19300">
        <v>9205052</v>
      </c>
      <c r="C19300" s="1" t="str">
        <f>HYPERLINK("http://stackoverflow.com/users/9205052", "Xavier")</f>
        <v>Xavier</v>
      </c>
      <c r="D19300" t="s">
        <v>62</v>
      </c>
      <c r="E19300">
        <v>1</v>
      </c>
    </row>
    <row r="19301" spans="1:5" x14ac:dyDescent="0.25">
      <c r="A19301">
        <v>19300</v>
      </c>
      <c r="B19301">
        <v>10999615</v>
      </c>
      <c r="C19301" s="1" t="str">
        <f>HYPERLINK("http://stackoverflow.com/users/10999615", "Richard Yao")</f>
        <v>Richard Yao</v>
      </c>
      <c r="D19301" t="s">
        <v>4</v>
      </c>
      <c r="E19301">
        <v>1</v>
      </c>
    </row>
    <row r="19302" spans="1:5" x14ac:dyDescent="0.25">
      <c r="A19302">
        <v>19301</v>
      </c>
      <c r="B19302">
        <v>2010059</v>
      </c>
      <c r="C19302" s="1" t="str">
        <f>HYPERLINK("http://stackoverflow.com/users/2010059", "Johns Hwang")</f>
        <v>Johns Hwang</v>
      </c>
      <c r="D19302" t="s">
        <v>21</v>
      </c>
      <c r="E19302">
        <v>1</v>
      </c>
    </row>
    <row r="19303" spans="1:5" x14ac:dyDescent="0.25">
      <c r="A19303">
        <v>19302</v>
      </c>
      <c r="B19303">
        <v>2011022</v>
      </c>
      <c r="C19303" s="1" t="str">
        <f>HYPERLINK("http://stackoverflow.com/users/2011022", "roygu")</f>
        <v>roygu</v>
      </c>
      <c r="D19303" t="s">
        <v>5</v>
      </c>
      <c r="E19303">
        <v>1</v>
      </c>
    </row>
    <row r="19304" spans="1:5" x14ac:dyDescent="0.25">
      <c r="A19304">
        <v>19303</v>
      </c>
      <c r="B19304">
        <v>2011207</v>
      </c>
      <c r="C19304" s="1" t="str">
        <f>HYPERLINK("http://stackoverflow.com/users/2011207", "Calvin Wang")</f>
        <v>Calvin Wang</v>
      </c>
      <c r="D19304" t="s">
        <v>4</v>
      </c>
      <c r="E19304">
        <v>1</v>
      </c>
    </row>
    <row r="19305" spans="1:5" x14ac:dyDescent="0.25">
      <c r="A19305">
        <v>19304</v>
      </c>
      <c r="B19305">
        <v>7338236</v>
      </c>
      <c r="C19305" s="1" t="str">
        <f>HYPERLINK("http://stackoverflow.com/users/7338236", "TeaCupsRaindropBigRiver74")</f>
        <v>TeaCupsRaindropBigRiver74</v>
      </c>
      <c r="D19305" t="s">
        <v>4</v>
      </c>
      <c r="E19305">
        <v>1</v>
      </c>
    </row>
    <row r="19306" spans="1:5" x14ac:dyDescent="0.25">
      <c r="A19306">
        <v>19305</v>
      </c>
      <c r="B19306">
        <v>5581997</v>
      </c>
      <c r="C19306" s="1" t="str">
        <f>HYPERLINK("http://stackoverflow.com/users/5581997", "Caesar.L")</f>
        <v>Caesar.L</v>
      </c>
      <c r="D19306" t="s">
        <v>55</v>
      </c>
      <c r="E19306">
        <v>1</v>
      </c>
    </row>
    <row r="19307" spans="1:5" x14ac:dyDescent="0.25">
      <c r="A19307">
        <v>19306</v>
      </c>
      <c r="B19307">
        <v>9222511</v>
      </c>
      <c r="C19307" s="1" t="str">
        <f>HYPERLINK("http://stackoverflow.com/users/9222511", "tensor")</f>
        <v>tensor</v>
      </c>
      <c r="D19307" t="s">
        <v>87</v>
      </c>
      <c r="E19307">
        <v>1</v>
      </c>
    </row>
    <row r="19308" spans="1:5" x14ac:dyDescent="0.25">
      <c r="A19308">
        <v>19307</v>
      </c>
      <c r="B19308">
        <v>3780075</v>
      </c>
      <c r="C19308" s="1" t="str">
        <f>HYPERLINK("http://stackoverflow.com/users/3780075", "Doraemonext")</f>
        <v>Doraemonext</v>
      </c>
      <c r="D19308" t="s">
        <v>8</v>
      </c>
      <c r="E19308">
        <v>1</v>
      </c>
    </row>
    <row r="19309" spans="1:5" x14ac:dyDescent="0.25">
      <c r="A19309">
        <v>19308</v>
      </c>
      <c r="B19309">
        <v>11004063</v>
      </c>
      <c r="C19309" s="1" t="str">
        <f>HYPERLINK("http://stackoverflow.com/users/11004063", "PeterDesmond")</f>
        <v>PeterDesmond</v>
      </c>
      <c r="D19309" t="s">
        <v>4</v>
      </c>
      <c r="E19309">
        <v>1</v>
      </c>
    </row>
    <row r="19310" spans="1:5" x14ac:dyDescent="0.25">
      <c r="A19310">
        <v>19309</v>
      </c>
      <c r="B19310">
        <v>9209229</v>
      </c>
      <c r="C19310" s="1" t="str">
        <f>HYPERLINK("http://stackoverflow.com/users/9209229", "qiang guo")</f>
        <v>qiang guo</v>
      </c>
      <c r="D19310" t="s">
        <v>74</v>
      </c>
      <c r="E19310">
        <v>1</v>
      </c>
    </row>
    <row r="19311" spans="1:5" x14ac:dyDescent="0.25">
      <c r="A19311">
        <v>19310</v>
      </c>
      <c r="B19311">
        <v>7331209</v>
      </c>
      <c r="C19311" s="1" t="str">
        <f>HYPERLINK("http://stackoverflow.com/users/7331209", "razendra")</f>
        <v>razendra</v>
      </c>
      <c r="D19311" t="s">
        <v>19</v>
      </c>
      <c r="E19311">
        <v>1</v>
      </c>
    </row>
    <row r="19312" spans="1:5" x14ac:dyDescent="0.25">
      <c r="A19312">
        <v>19311</v>
      </c>
      <c r="B19312">
        <v>11007369</v>
      </c>
      <c r="C19312" s="1" t="str">
        <f>HYPERLINK("http://stackoverflow.com/users/11007369", "Haotian Bai")</f>
        <v>Haotian Bai</v>
      </c>
      <c r="D19312" t="s">
        <v>4</v>
      </c>
      <c r="E19312">
        <v>1</v>
      </c>
    </row>
    <row r="19313" spans="1:5" x14ac:dyDescent="0.25">
      <c r="A19313">
        <v>19312</v>
      </c>
      <c r="B19313">
        <v>11007599</v>
      </c>
      <c r="C19313" s="1" t="str">
        <f>HYPERLINK("http://stackoverflow.com/users/11007599", "KagurazakaKotori")</f>
        <v>KagurazakaKotori</v>
      </c>
      <c r="D19313" t="s">
        <v>4</v>
      </c>
      <c r="E19313">
        <v>1</v>
      </c>
    </row>
    <row r="19314" spans="1:5" x14ac:dyDescent="0.25">
      <c r="A19314">
        <v>19313</v>
      </c>
      <c r="B19314">
        <v>11007764</v>
      </c>
      <c r="C19314" s="1" t="str">
        <f>HYPERLINK("http://stackoverflow.com/users/11007764", "Raiyan Reza")</f>
        <v>Raiyan Reza</v>
      </c>
      <c r="D19314" t="s">
        <v>4</v>
      </c>
      <c r="E19314">
        <v>1</v>
      </c>
    </row>
    <row r="19315" spans="1:5" x14ac:dyDescent="0.25">
      <c r="A19315">
        <v>19314</v>
      </c>
      <c r="B19315">
        <v>2009518</v>
      </c>
      <c r="C19315" s="1" t="str">
        <f>HYPERLINK("http://stackoverflow.com/users/2009518", "Lang Chen")</f>
        <v>Lang Chen</v>
      </c>
      <c r="D19315" t="s">
        <v>4</v>
      </c>
      <c r="E19315">
        <v>1</v>
      </c>
    </row>
    <row r="19316" spans="1:5" x14ac:dyDescent="0.25">
      <c r="A19316">
        <v>19315</v>
      </c>
      <c r="B19316">
        <v>2009521</v>
      </c>
      <c r="C19316" s="1" t="str">
        <f>HYPERLINK("http://stackoverflow.com/users/2009521", "mingyi.wu")</f>
        <v>mingyi.wu</v>
      </c>
      <c r="D19316" t="s">
        <v>5</v>
      </c>
      <c r="E19316">
        <v>1</v>
      </c>
    </row>
    <row r="19317" spans="1:5" x14ac:dyDescent="0.25">
      <c r="A19317">
        <v>19316</v>
      </c>
      <c r="B19317">
        <v>2009592</v>
      </c>
      <c r="C19317" s="1" t="str">
        <f>HYPERLINK("http://stackoverflow.com/users/2009592", "tangkikodo")</f>
        <v>tangkikodo</v>
      </c>
      <c r="D19317" t="s">
        <v>244</v>
      </c>
      <c r="E19317">
        <v>1</v>
      </c>
    </row>
    <row r="19318" spans="1:5" x14ac:dyDescent="0.25">
      <c r="A19318">
        <v>19317</v>
      </c>
      <c r="B19318">
        <v>2009701</v>
      </c>
      <c r="C19318" s="1" t="str">
        <f>HYPERLINK("http://stackoverflow.com/users/2009701", "YutaoHuang")</f>
        <v>YutaoHuang</v>
      </c>
      <c r="D19318" t="s">
        <v>6</v>
      </c>
      <c r="E19318">
        <v>1</v>
      </c>
    </row>
    <row r="19319" spans="1:5" x14ac:dyDescent="0.25">
      <c r="A19319">
        <v>19318</v>
      </c>
      <c r="B19319">
        <v>7323597</v>
      </c>
      <c r="C19319" s="1" t="str">
        <f>HYPERLINK("http://stackoverflow.com/users/7323597", "Cwen")</f>
        <v>Cwen</v>
      </c>
      <c r="D19319" t="s">
        <v>7</v>
      </c>
      <c r="E19319">
        <v>1</v>
      </c>
    </row>
    <row r="19320" spans="1:5" x14ac:dyDescent="0.25">
      <c r="A19320">
        <v>19319</v>
      </c>
      <c r="B19320">
        <v>7323634</v>
      </c>
      <c r="C19320" s="1" t="str">
        <f>HYPERLINK("http://stackoverflow.com/users/7323634", "LuHao")</f>
        <v>LuHao</v>
      </c>
      <c r="D19320" t="s">
        <v>4</v>
      </c>
      <c r="E19320">
        <v>1</v>
      </c>
    </row>
    <row r="19321" spans="1:5" x14ac:dyDescent="0.25">
      <c r="A19321">
        <v>19320</v>
      </c>
      <c r="B19321">
        <v>1995913</v>
      </c>
      <c r="C19321" s="1" t="str">
        <f>HYPERLINK("http://stackoverflow.com/users/1995913", "ShiLei")</f>
        <v>ShiLei</v>
      </c>
      <c r="D19321" t="s">
        <v>5</v>
      </c>
      <c r="E19321">
        <v>1</v>
      </c>
    </row>
    <row r="19322" spans="1:5" x14ac:dyDescent="0.25">
      <c r="A19322">
        <v>19321</v>
      </c>
      <c r="B19322">
        <v>7319130</v>
      </c>
      <c r="C19322" s="1" t="str">
        <f>HYPERLINK("http://stackoverflow.com/users/7319130", "Wenjing Jiang")</f>
        <v>Wenjing Jiang</v>
      </c>
      <c r="D19322" t="s">
        <v>4</v>
      </c>
      <c r="E19322">
        <v>1</v>
      </c>
    </row>
    <row r="19323" spans="1:5" x14ac:dyDescent="0.25">
      <c r="A19323">
        <v>19322</v>
      </c>
      <c r="B19323">
        <v>1990563</v>
      </c>
      <c r="C19323" s="1" t="str">
        <f>HYPERLINK("http://stackoverflow.com/users/1990563", "hello_Qt")</f>
        <v>hello_Qt</v>
      </c>
      <c r="D19323" t="s">
        <v>8</v>
      </c>
      <c r="E19323">
        <v>1</v>
      </c>
    </row>
    <row r="19324" spans="1:5" x14ac:dyDescent="0.25">
      <c r="A19324">
        <v>19323</v>
      </c>
      <c r="B19324">
        <v>10994541</v>
      </c>
      <c r="C19324" s="1" t="str">
        <f>HYPERLINK("http://stackoverflow.com/users/10994541", "zhenjiang zhou")</f>
        <v>zhenjiang zhou</v>
      </c>
      <c r="D19324" t="s">
        <v>5</v>
      </c>
      <c r="E19324">
        <v>1</v>
      </c>
    </row>
    <row r="19325" spans="1:5" x14ac:dyDescent="0.25">
      <c r="A19325">
        <v>19324</v>
      </c>
      <c r="B19325">
        <v>5559298</v>
      </c>
      <c r="C19325" s="1" t="str">
        <f>HYPERLINK("http://stackoverflow.com/users/5559298", "幼儿园的小班生")</f>
        <v>幼儿园的小班生</v>
      </c>
      <c r="D19325" t="s">
        <v>177</v>
      </c>
      <c r="E19325">
        <v>1</v>
      </c>
    </row>
    <row r="19326" spans="1:5" x14ac:dyDescent="0.25">
      <c r="A19326">
        <v>19325</v>
      </c>
      <c r="B19326">
        <v>1986226</v>
      </c>
      <c r="C19326" s="1" t="str">
        <f>HYPERLINK("http://stackoverflow.com/users/1986226", "Erik")</f>
        <v>Erik</v>
      </c>
      <c r="D19326" t="s">
        <v>4</v>
      </c>
      <c r="E19326">
        <v>1</v>
      </c>
    </row>
    <row r="19327" spans="1:5" x14ac:dyDescent="0.25">
      <c r="A19327">
        <v>19326</v>
      </c>
      <c r="B19327">
        <v>7316089</v>
      </c>
      <c r="C19327" s="1" t="str">
        <f>HYPERLINK("http://stackoverflow.com/users/7316089", "mzaort")</f>
        <v>mzaort</v>
      </c>
      <c r="D19327" t="s">
        <v>4</v>
      </c>
      <c r="E19327">
        <v>1</v>
      </c>
    </row>
    <row r="19328" spans="1:5" x14ac:dyDescent="0.25">
      <c r="A19328">
        <v>19327</v>
      </c>
      <c r="B19328">
        <v>7318803</v>
      </c>
      <c r="C19328" s="1" t="str">
        <f>HYPERLINK("http://stackoverflow.com/users/7318803", "Sam Zhou")</f>
        <v>Sam Zhou</v>
      </c>
      <c r="D19328" t="s">
        <v>4</v>
      </c>
      <c r="E19328">
        <v>1</v>
      </c>
    </row>
    <row r="19329" spans="1:5" x14ac:dyDescent="0.25">
      <c r="A19329">
        <v>19328</v>
      </c>
      <c r="B19329">
        <v>7318929</v>
      </c>
      <c r="C19329" s="1" t="str">
        <f>HYPERLINK("http://stackoverflow.com/users/7318929", "zhao_tw")</f>
        <v>zhao_tw</v>
      </c>
      <c r="D19329" t="s">
        <v>25</v>
      </c>
      <c r="E19329">
        <v>1</v>
      </c>
    </row>
    <row r="19330" spans="1:5" x14ac:dyDescent="0.25">
      <c r="A19330">
        <v>19329</v>
      </c>
      <c r="B19330">
        <v>10985361</v>
      </c>
      <c r="C19330" s="1" t="str">
        <f>HYPERLINK("http://stackoverflow.com/users/10985361", "Hozoy")</f>
        <v>Hozoy</v>
      </c>
      <c r="D19330" t="s">
        <v>12</v>
      </c>
      <c r="E19330">
        <v>1</v>
      </c>
    </row>
    <row r="19331" spans="1:5" x14ac:dyDescent="0.25">
      <c r="A19331">
        <v>19330</v>
      </c>
      <c r="B19331">
        <v>9191369</v>
      </c>
      <c r="C19331" s="1" t="str">
        <f>HYPERLINK("http://stackoverflow.com/users/9191369", "qbss")</f>
        <v>qbss</v>
      </c>
      <c r="D19331" t="s">
        <v>5</v>
      </c>
      <c r="E19331">
        <v>1</v>
      </c>
    </row>
    <row r="19332" spans="1:5" x14ac:dyDescent="0.25">
      <c r="A19332">
        <v>19331</v>
      </c>
      <c r="B19332">
        <v>9191496</v>
      </c>
      <c r="C19332" s="1" t="str">
        <f>HYPERLINK("http://stackoverflow.com/users/9191496", "Tifanic")</f>
        <v>Tifanic</v>
      </c>
      <c r="D19332" t="s">
        <v>4</v>
      </c>
      <c r="E19332">
        <v>1</v>
      </c>
    </row>
    <row r="19333" spans="1:5" x14ac:dyDescent="0.25">
      <c r="A19333">
        <v>19332</v>
      </c>
      <c r="B19333">
        <v>9191638</v>
      </c>
      <c r="C19333" s="1" t="str">
        <f>HYPERLINK("http://stackoverflow.com/users/9191638", "Sam")</f>
        <v>Sam</v>
      </c>
      <c r="D19333" t="s">
        <v>15</v>
      </c>
      <c r="E19333">
        <v>1</v>
      </c>
    </row>
    <row r="19334" spans="1:5" x14ac:dyDescent="0.25">
      <c r="A19334">
        <v>19333</v>
      </c>
      <c r="B19334">
        <v>10990006</v>
      </c>
      <c r="C19334" s="1" t="str">
        <f>HYPERLINK("http://stackoverflow.com/users/10990006", "WangFeng2333")</f>
        <v>WangFeng2333</v>
      </c>
      <c r="D19334" t="s">
        <v>4</v>
      </c>
      <c r="E19334">
        <v>1</v>
      </c>
    </row>
    <row r="19335" spans="1:5" x14ac:dyDescent="0.25">
      <c r="A19335">
        <v>19334</v>
      </c>
      <c r="B19335">
        <v>1985626</v>
      </c>
      <c r="C19335" s="1" t="str">
        <f>HYPERLINK("http://stackoverflow.com/users/1985626", "ruilang")</f>
        <v>ruilang</v>
      </c>
      <c r="D19335" t="s">
        <v>31</v>
      </c>
      <c r="E19335">
        <v>1</v>
      </c>
    </row>
    <row r="19336" spans="1:5" x14ac:dyDescent="0.25">
      <c r="A19336">
        <v>19335</v>
      </c>
      <c r="B19336">
        <v>1975242</v>
      </c>
      <c r="C19336" s="1" t="str">
        <f>HYPERLINK("http://stackoverflow.com/users/1975242", "frankhuang")</f>
        <v>frankhuang</v>
      </c>
      <c r="D19336" t="s">
        <v>4</v>
      </c>
      <c r="E19336">
        <v>1</v>
      </c>
    </row>
    <row r="19337" spans="1:5" x14ac:dyDescent="0.25">
      <c r="A19337">
        <v>19336</v>
      </c>
      <c r="B19337">
        <v>1976326</v>
      </c>
      <c r="C19337" s="1" t="str">
        <f>HYPERLINK("http://stackoverflow.com/users/1976326", "zz_hust")</f>
        <v>zz_hust</v>
      </c>
      <c r="D19337" t="s">
        <v>8</v>
      </c>
      <c r="E19337">
        <v>1</v>
      </c>
    </row>
    <row r="19338" spans="1:5" x14ac:dyDescent="0.25">
      <c r="A19338">
        <v>19337</v>
      </c>
      <c r="B19338">
        <v>1976437</v>
      </c>
      <c r="C19338" s="1" t="str">
        <f>HYPERLINK("http://stackoverflow.com/users/1976437", "user1976437")</f>
        <v>user1976437</v>
      </c>
      <c r="D19338" t="s">
        <v>19</v>
      </c>
      <c r="E19338">
        <v>1</v>
      </c>
    </row>
    <row r="19339" spans="1:5" x14ac:dyDescent="0.25">
      <c r="A19339">
        <v>19338</v>
      </c>
      <c r="B19339">
        <v>1966347</v>
      </c>
      <c r="C19339" s="1" t="str">
        <f>HYPERLINK("http://stackoverflow.com/users/1966347", "fr101ed")</f>
        <v>fr101ed</v>
      </c>
      <c r="D19339" t="s">
        <v>57</v>
      </c>
      <c r="E19339">
        <v>1</v>
      </c>
    </row>
    <row r="19340" spans="1:5" x14ac:dyDescent="0.25">
      <c r="A19340">
        <v>19339</v>
      </c>
      <c r="B19340">
        <v>1966381</v>
      </c>
      <c r="C19340" s="1" t="str">
        <f>HYPERLINK("http://stackoverflow.com/users/1966381", "Calvin")</f>
        <v>Calvin</v>
      </c>
      <c r="D19340" t="s">
        <v>5</v>
      </c>
      <c r="E19340">
        <v>1</v>
      </c>
    </row>
    <row r="19341" spans="1:5" x14ac:dyDescent="0.25">
      <c r="A19341">
        <v>19340</v>
      </c>
      <c r="B19341">
        <v>7300429</v>
      </c>
      <c r="C19341" s="1" t="str">
        <f>HYPERLINK("http://stackoverflow.com/users/7300429", "Qi Zhang")</f>
        <v>Qi Zhang</v>
      </c>
      <c r="D19341" t="s">
        <v>4</v>
      </c>
      <c r="E19341">
        <v>1</v>
      </c>
    </row>
    <row r="19342" spans="1:5" x14ac:dyDescent="0.25">
      <c r="A19342">
        <v>19341</v>
      </c>
      <c r="B19342">
        <v>3754658</v>
      </c>
      <c r="C19342" s="1" t="str">
        <f>HYPERLINK("http://stackoverflow.com/users/3754658", "user3754658")</f>
        <v>user3754658</v>
      </c>
      <c r="D19342" t="s">
        <v>17</v>
      </c>
      <c r="E19342">
        <v>1</v>
      </c>
    </row>
    <row r="19343" spans="1:5" x14ac:dyDescent="0.25">
      <c r="A19343">
        <v>19342</v>
      </c>
      <c r="B19343">
        <v>3755177</v>
      </c>
      <c r="C19343" s="1" t="str">
        <f>HYPERLINK("http://stackoverflow.com/users/3755177", "dale")</f>
        <v>dale</v>
      </c>
      <c r="D19343" t="s">
        <v>5</v>
      </c>
      <c r="E19343">
        <v>1</v>
      </c>
    </row>
    <row r="19344" spans="1:5" x14ac:dyDescent="0.25">
      <c r="A19344">
        <v>19343</v>
      </c>
      <c r="B19344">
        <v>1974298</v>
      </c>
      <c r="C19344" s="1" t="str">
        <f>HYPERLINK("http://stackoverflow.com/users/1974298", "zCodor")</f>
        <v>zCodor</v>
      </c>
      <c r="D19344" t="s">
        <v>21</v>
      </c>
      <c r="E19344">
        <v>1</v>
      </c>
    </row>
    <row r="19345" spans="1:5" x14ac:dyDescent="0.25">
      <c r="A19345">
        <v>19344</v>
      </c>
      <c r="B19345">
        <v>3762995</v>
      </c>
      <c r="C19345" s="1" t="str">
        <f>HYPERLINK("http://stackoverflow.com/users/3762995", "Summer")</f>
        <v>Summer</v>
      </c>
      <c r="D19345" t="s">
        <v>99</v>
      </c>
      <c r="E19345">
        <v>1</v>
      </c>
    </row>
    <row r="19346" spans="1:5" x14ac:dyDescent="0.25">
      <c r="A19346">
        <v>19345</v>
      </c>
      <c r="B19346">
        <v>1976847</v>
      </c>
      <c r="C19346" s="1" t="str">
        <f>HYPERLINK("http://stackoverflow.com/users/1976847", "robin")</f>
        <v>robin</v>
      </c>
      <c r="D19346" t="s">
        <v>16</v>
      </c>
      <c r="E19346">
        <v>1</v>
      </c>
    </row>
    <row r="19347" spans="1:5" x14ac:dyDescent="0.25">
      <c r="A19347">
        <v>19346</v>
      </c>
      <c r="B19347">
        <v>1977000</v>
      </c>
      <c r="C19347" s="1" t="str">
        <f>HYPERLINK("http://stackoverflow.com/users/1977000", "linzhu")</f>
        <v>linzhu</v>
      </c>
      <c r="D19347" t="s">
        <v>4</v>
      </c>
      <c r="E19347">
        <v>1</v>
      </c>
    </row>
    <row r="19348" spans="1:5" x14ac:dyDescent="0.25">
      <c r="A19348">
        <v>19347</v>
      </c>
      <c r="B19348">
        <v>9186419</v>
      </c>
      <c r="C19348" s="1" t="str">
        <f>HYPERLINK("http://stackoverflow.com/users/9186419", "Genmiao Rong")</f>
        <v>Genmiao Rong</v>
      </c>
      <c r="D19348" t="s">
        <v>5</v>
      </c>
      <c r="E19348">
        <v>1</v>
      </c>
    </row>
    <row r="19349" spans="1:5" x14ac:dyDescent="0.25">
      <c r="A19349">
        <v>19348</v>
      </c>
      <c r="B19349">
        <v>9187233</v>
      </c>
      <c r="C19349" s="1" t="str">
        <f>HYPERLINK("http://stackoverflow.com/users/9187233", "kingshow")</f>
        <v>kingshow</v>
      </c>
      <c r="D19349" t="s">
        <v>1037</v>
      </c>
      <c r="E19349">
        <v>1</v>
      </c>
    </row>
    <row r="19350" spans="1:5" x14ac:dyDescent="0.25">
      <c r="A19350">
        <v>19349</v>
      </c>
      <c r="B19350">
        <v>9190997</v>
      </c>
      <c r="C19350" s="1" t="str">
        <f>HYPERLINK("http://stackoverflow.com/users/9190997", "hxdaxu")</f>
        <v>hxdaxu</v>
      </c>
      <c r="D19350" t="s">
        <v>5</v>
      </c>
      <c r="E19350">
        <v>1</v>
      </c>
    </row>
    <row r="19351" spans="1:5" x14ac:dyDescent="0.25">
      <c r="A19351">
        <v>19350</v>
      </c>
      <c r="B19351">
        <v>9191231</v>
      </c>
      <c r="C19351" s="1" t="str">
        <f>HYPERLINK("http://stackoverflow.com/users/9191231", "Guibin Li")</f>
        <v>Guibin Li</v>
      </c>
      <c r="D19351" t="s">
        <v>4</v>
      </c>
      <c r="E19351">
        <v>1</v>
      </c>
    </row>
    <row r="19352" spans="1:5" x14ac:dyDescent="0.25">
      <c r="A19352">
        <v>19351</v>
      </c>
      <c r="B19352">
        <v>8968799</v>
      </c>
      <c r="C19352" s="1" t="str">
        <f>HYPERLINK("http://stackoverflow.com/users/8968799", "Maxwell")</f>
        <v>Maxwell</v>
      </c>
      <c r="D19352" t="s">
        <v>4</v>
      </c>
      <c r="E19352">
        <v>1</v>
      </c>
    </row>
    <row r="19353" spans="1:5" x14ac:dyDescent="0.25">
      <c r="A19353">
        <v>19352</v>
      </c>
      <c r="B19353">
        <v>8969201</v>
      </c>
      <c r="C19353" s="1" t="str">
        <f>HYPERLINK("http://stackoverflow.com/users/8969201", "陆仙英")</f>
        <v>陆仙英</v>
      </c>
      <c r="D19353" t="s">
        <v>4</v>
      </c>
      <c r="E19353">
        <v>1</v>
      </c>
    </row>
    <row r="19354" spans="1:5" x14ac:dyDescent="0.25">
      <c r="A19354">
        <v>19353</v>
      </c>
      <c r="B19354">
        <v>3566715</v>
      </c>
      <c r="C19354" s="1" t="str">
        <f>HYPERLINK("http://stackoverflow.com/users/3566715", "冷冰若水")</f>
        <v>冷冰若水</v>
      </c>
      <c r="D19354" t="s">
        <v>210</v>
      </c>
      <c r="E19354">
        <v>1</v>
      </c>
    </row>
    <row r="19355" spans="1:5" x14ac:dyDescent="0.25">
      <c r="A19355">
        <v>19354</v>
      </c>
      <c r="B19355">
        <v>3566796</v>
      </c>
      <c r="C19355" s="1" t="str">
        <f>HYPERLINK("http://stackoverflow.com/users/3566796", "ZhaoYan")</f>
        <v>ZhaoYan</v>
      </c>
      <c r="D19355" t="s">
        <v>5</v>
      </c>
      <c r="E19355">
        <v>1</v>
      </c>
    </row>
    <row r="19356" spans="1:5" x14ac:dyDescent="0.25">
      <c r="A19356">
        <v>19355</v>
      </c>
      <c r="B19356">
        <v>3567023</v>
      </c>
      <c r="C19356" s="1" t="str">
        <f>HYPERLINK("http://stackoverflow.com/users/3567023", "user3567023")</f>
        <v>user3567023</v>
      </c>
      <c r="D19356" t="s">
        <v>4</v>
      </c>
      <c r="E19356">
        <v>1</v>
      </c>
    </row>
    <row r="19357" spans="1:5" x14ac:dyDescent="0.25">
      <c r="A19357">
        <v>19356</v>
      </c>
      <c r="B19357">
        <v>1748970</v>
      </c>
      <c r="C19357" s="1" t="str">
        <f>HYPERLINK("http://stackoverflow.com/users/1748970", "sunrise")</f>
        <v>sunrise</v>
      </c>
      <c r="D19357" t="s">
        <v>5</v>
      </c>
      <c r="E19357">
        <v>1</v>
      </c>
    </row>
    <row r="19358" spans="1:5" x14ac:dyDescent="0.25">
      <c r="A19358">
        <v>19357</v>
      </c>
      <c r="B19358">
        <v>1749406</v>
      </c>
      <c r="C19358" s="1" t="str">
        <f>HYPERLINK("http://stackoverflow.com/users/1749406", "Yue Zhang")</f>
        <v>Yue Zhang</v>
      </c>
      <c r="D19358" t="s">
        <v>4</v>
      </c>
      <c r="E19358">
        <v>1</v>
      </c>
    </row>
    <row r="19359" spans="1:5" x14ac:dyDescent="0.25">
      <c r="A19359">
        <v>19358</v>
      </c>
      <c r="B19359">
        <v>7131829</v>
      </c>
      <c r="C19359" s="1" t="str">
        <f>HYPERLINK("http://stackoverflow.com/users/7131829", "XingChen Dai")</f>
        <v>XingChen Dai</v>
      </c>
      <c r="D19359" t="s">
        <v>43</v>
      </c>
      <c r="E19359">
        <v>1</v>
      </c>
    </row>
    <row r="19360" spans="1:5" x14ac:dyDescent="0.25">
      <c r="A19360">
        <v>19359</v>
      </c>
      <c r="B19360">
        <v>1750322</v>
      </c>
      <c r="C19360" s="1" t="str">
        <f>HYPERLINK("http://stackoverflow.com/users/1750322", "PPfirst")</f>
        <v>PPfirst</v>
      </c>
      <c r="D19360" t="s">
        <v>4</v>
      </c>
      <c r="E19360">
        <v>1</v>
      </c>
    </row>
    <row r="19361" spans="1:5" x14ac:dyDescent="0.25">
      <c r="A19361">
        <v>19360</v>
      </c>
      <c r="B19361">
        <v>8951834</v>
      </c>
      <c r="C19361" s="1" t="str">
        <f>HYPERLINK("http://stackoverflow.com/users/8951834", "Z.Xinjian")</f>
        <v>Z.Xinjian</v>
      </c>
      <c r="D19361" t="s">
        <v>4</v>
      </c>
      <c r="E19361">
        <v>1</v>
      </c>
    </row>
    <row r="19362" spans="1:5" x14ac:dyDescent="0.25">
      <c r="A19362">
        <v>19361</v>
      </c>
      <c r="B19362">
        <v>5356010</v>
      </c>
      <c r="C19362" s="1" t="str">
        <f>HYPERLINK("http://stackoverflow.com/users/5356010", "Charles Liu")</f>
        <v>Charles Liu</v>
      </c>
      <c r="D19362" t="s">
        <v>5</v>
      </c>
      <c r="E19362">
        <v>1</v>
      </c>
    </row>
    <row r="19363" spans="1:5" x14ac:dyDescent="0.25">
      <c r="A19363">
        <v>19362</v>
      </c>
      <c r="B19363">
        <v>8955952</v>
      </c>
      <c r="C19363" s="1" t="str">
        <f>HYPERLINK("http://stackoverflow.com/users/8955952", "CQC")</f>
        <v>CQC</v>
      </c>
      <c r="D19363" t="s">
        <v>4</v>
      </c>
      <c r="E19363">
        <v>1</v>
      </c>
    </row>
    <row r="19364" spans="1:5" x14ac:dyDescent="0.25">
      <c r="A19364">
        <v>19363</v>
      </c>
      <c r="B19364">
        <v>8955997</v>
      </c>
      <c r="C19364" s="1" t="str">
        <f>HYPERLINK("http://stackoverflow.com/users/8955997", "王悦人")</f>
        <v>王悦人</v>
      </c>
      <c r="D19364" t="s">
        <v>5</v>
      </c>
      <c r="E19364">
        <v>1</v>
      </c>
    </row>
    <row r="19365" spans="1:5" x14ac:dyDescent="0.25">
      <c r="A19365">
        <v>19364</v>
      </c>
      <c r="B19365">
        <v>8956142</v>
      </c>
      <c r="C19365" s="1" t="str">
        <f>HYPERLINK("http://stackoverflow.com/users/8956142", "Llibrarius")</f>
        <v>Llibrarius</v>
      </c>
      <c r="D19365" t="s">
        <v>86</v>
      </c>
      <c r="E19365">
        <v>1</v>
      </c>
    </row>
    <row r="19366" spans="1:5" x14ac:dyDescent="0.25">
      <c r="A19366">
        <v>19365</v>
      </c>
      <c r="B19366">
        <v>10773605</v>
      </c>
      <c r="C19366" s="1" t="str">
        <f>HYPERLINK("http://stackoverflow.com/users/10773605", "user10773605")</f>
        <v>user10773605</v>
      </c>
      <c r="D19366" t="s">
        <v>410</v>
      </c>
      <c r="E19366">
        <v>1</v>
      </c>
    </row>
    <row r="19367" spans="1:5" x14ac:dyDescent="0.25">
      <c r="A19367">
        <v>19366</v>
      </c>
      <c r="B19367">
        <v>10773627</v>
      </c>
      <c r="C19367" s="1" t="str">
        <f>HYPERLINK("http://stackoverflow.com/users/10773627", "Nad Ameziane")</f>
        <v>Nad Ameziane</v>
      </c>
      <c r="D19367" t="s">
        <v>7</v>
      </c>
      <c r="E19367">
        <v>1</v>
      </c>
    </row>
    <row r="19368" spans="1:5" x14ac:dyDescent="0.25">
      <c r="A19368">
        <v>19367</v>
      </c>
      <c r="B19368">
        <v>10773846</v>
      </c>
      <c r="C19368" s="1" t="str">
        <f>HYPERLINK("http://stackoverflow.com/users/10773846", "Will Tsai")</f>
        <v>Will Tsai</v>
      </c>
      <c r="D19368" t="s">
        <v>7</v>
      </c>
      <c r="E19368">
        <v>1</v>
      </c>
    </row>
    <row r="19369" spans="1:5" x14ac:dyDescent="0.25">
      <c r="A19369">
        <v>19368</v>
      </c>
      <c r="B19369">
        <v>10773853</v>
      </c>
      <c r="C19369" s="1" t="str">
        <f>HYPERLINK("http://stackoverflow.com/users/10773853", "user10773853")</f>
        <v>user10773853</v>
      </c>
      <c r="D19369" t="s">
        <v>135</v>
      </c>
      <c r="E19369">
        <v>1</v>
      </c>
    </row>
    <row r="19370" spans="1:5" x14ac:dyDescent="0.25">
      <c r="A19370">
        <v>19369</v>
      </c>
      <c r="B19370">
        <v>10773878</v>
      </c>
      <c r="C19370" s="1" t="str">
        <f>HYPERLINK("http://stackoverflow.com/users/10773878", "Kyle Steineman")</f>
        <v>Kyle Steineman</v>
      </c>
      <c r="D19370" t="s">
        <v>7</v>
      </c>
      <c r="E19370">
        <v>1</v>
      </c>
    </row>
    <row r="19371" spans="1:5" x14ac:dyDescent="0.25">
      <c r="A19371">
        <v>19370</v>
      </c>
      <c r="B19371">
        <v>7124306</v>
      </c>
      <c r="C19371" s="1" t="str">
        <f>HYPERLINK("http://stackoverflow.com/users/7124306", "Ning.Lin")</f>
        <v>Ning.Lin</v>
      </c>
      <c r="D19371" t="s">
        <v>28</v>
      </c>
      <c r="E19371">
        <v>1</v>
      </c>
    </row>
    <row r="19372" spans="1:5" x14ac:dyDescent="0.25">
      <c r="A19372">
        <v>19371</v>
      </c>
      <c r="B19372">
        <v>7124336</v>
      </c>
      <c r="C19372" s="1" t="str">
        <f>HYPERLINK("http://stackoverflow.com/users/7124336", "Luo Wenhui")</f>
        <v>Luo Wenhui</v>
      </c>
      <c r="D19372" t="s">
        <v>5</v>
      </c>
      <c r="E19372">
        <v>1</v>
      </c>
    </row>
    <row r="19373" spans="1:5" x14ac:dyDescent="0.25">
      <c r="A19373">
        <v>19372</v>
      </c>
      <c r="B19373">
        <v>7124455</v>
      </c>
      <c r="C19373" s="1" t="str">
        <f>HYPERLINK("http://stackoverflow.com/users/7124455", "Junf")</f>
        <v>Junf</v>
      </c>
      <c r="D19373" t="s">
        <v>5</v>
      </c>
      <c r="E19373">
        <v>1</v>
      </c>
    </row>
    <row r="19374" spans="1:5" x14ac:dyDescent="0.25">
      <c r="A19374">
        <v>19373</v>
      </c>
      <c r="B19374">
        <v>7124546</v>
      </c>
      <c r="C19374" s="1" t="str">
        <f>HYPERLINK("http://stackoverflow.com/users/7124546", "刘禹更")</f>
        <v>刘禹更</v>
      </c>
      <c r="D19374" t="s">
        <v>4</v>
      </c>
      <c r="E19374">
        <v>1</v>
      </c>
    </row>
    <row r="19375" spans="1:5" x14ac:dyDescent="0.25">
      <c r="A19375">
        <v>19374</v>
      </c>
      <c r="B19375">
        <v>1716510</v>
      </c>
      <c r="C19375" s="1" t="str">
        <f>HYPERLINK("http://stackoverflow.com/users/1716510", "maomaoispan")</f>
        <v>maomaoispan</v>
      </c>
      <c r="D19375" t="s">
        <v>5</v>
      </c>
      <c r="E19375">
        <v>1</v>
      </c>
    </row>
    <row r="19376" spans="1:5" x14ac:dyDescent="0.25">
      <c r="A19376">
        <v>19375</v>
      </c>
      <c r="B19376">
        <v>10747974</v>
      </c>
      <c r="C19376" s="1" t="str">
        <f>HYPERLINK("http://stackoverflow.com/users/10747974", "fatcat bupt")</f>
        <v>fatcat bupt</v>
      </c>
      <c r="D19376" t="s">
        <v>135</v>
      </c>
      <c r="E19376">
        <v>1</v>
      </c>
    </row>
    <row r="19377" spans="1:5" x14ac:dyDescent="0.25">
      <c r="A19377">
        <v>19376</v>
      </c>
      <c r="B19377">
        <v>7098295</v>
      </c>
      <c r="C19377" s="1" t="str">
        <f>HYPERLINK("http://stackoverflow.com/users/7098295", "ZjHOU")</f>
        <v>ZjHOU</v>
      </c>
      <c r="D19377" t="s">
        <v>29</v>
      </c>
      <c r="E19377">
        <v>1</v>
      </c>
    </row>
    <row r="19378" spans="1:5" x14ac:dyDescent="0.25">
      <c r="A19378">
        <v>19377</v>
      </c>
      <c r="B19378">
        <v>3533506</v>
      </c>
      <c r="C19378" s="1" t="str">
        <f>HYPERLINK("http://stackoverflow.com/users/3533506", "kaiwu")</f>
        <v>kaiwu</v>
      </c>
      <c r="D19378" t="s">
        <v>35</v>
      </c>
      <c r="E19378">
        <v>1</v>
      </c>
    </row>
    <row r="19379" spans="1:5" x14ac:dyDescent="0.25">
      <c r="A19379">
        <v>19378</v>
      </c>
      <c r="B19379">
        <v>5336216</v>
      </c>
      <c r="C19379" s="1" t="str">
        <f>HYPERLINK("http://stackoverflow.com/users/5336216", "midnightxq")</f>
        <v>midnightxq</v>
      </c>
      <c r="D19379" t="s">
        <v>5</v>
      </c>
      <c r="E19379">
        <v>1</v>
      </c>
    </row>
    <row r="19380" spans="1:5" x14ac:dyDescent="0.25">
      <c r="A19380">
        <v>19379</v>
      </c>
      <c r="B19380">
        <v>7097992</v>
      </c>
      <c r="C19380" s="1" t="str">
        <f>HYPERLINK("http://stackoverflow.com/users/7097992", "DuZhenlin")</f>
        <v>DuZhenlin</v>
      </c>
      <c r="D19380" t="s">
        <v>114</v>
      </c>
      <c r="E19380">
        <v>1</v>
      </c>
    </row>
    <row r="19381" spans="1:5" x14ac:dyDescent="0.25">
      <c r="A19381">
        <v>19380</v>
      </c>
      <c r="B19381">
        <v>7098176</v>
      </c>
      <c r="C19381" s="1" t="str">
        <f>HYPERLINK("http://stackoverflow.com/users/7098176", "Zengfu Fan")</f>
        <v>Zengfu Fan</v>
      </c>
      <c r="D19381" t="s">
        <v>4</v>
      </c>
      <c r="E19381">
        <v>1</v>
      </c>
    </row>
    <row r="19382" spans="1:5" x14ac:dyDescent="0.25">
      <c r="A19382">
        <v>19381</v>
      </c>
      <c r="B19382">
        <v>8942568</v>
      </c>
      <c r="C19382" s="1" t="str">
        <f>HYPERLINK("http://stackoverflow.com/users/8942568", "Gtyrande")</f>
        <v>Gtyrande</v>
      </c>
      <c r="D19382" t="s">
        <v>4</v>
      </c>
      <c r="E19382">
        <v>1</v>
      </c>
    </row>
    <row r="19383" spans="1:5" x14ac:dyDescent="0.25">
      <c r="A19383">
        <v>19382</v>
      </c>
      <c r="B19383">
        <v>10752255</v>
      </c>
      <c r="C19383" s="1" t="str">
        <f>HYPERLINK("http://stackoverflow.com/users/10752255", "Kanishk Pal")</f>
        <v>Kanishk Pal</v>
      </c>
      <c r="D19383" t="s">
        <v>5</v>
      </c>
      <c r="E19383">
        <v>1</v>
      </c>
    </row>
    <row r="19384" spans="1:5" x14ac:dyDescent="0.25">
      <c r="A19384">
        <v>19383</v>
      </c>
      <c r="B19384">
        <v>1725140</v>
      </c>
      <c r="C19384" s="1" t="str">
        <f>HYPERLINK("http://stackoverflow.com/users/1725140", "Zhenfei Yi")</f>
        <v>Zhenfei Yi</v>
      </c>
      <c r="D19384" t="s">
        <v>4</v>
      </c>
      <c r="E19384">
        <v>1</v>
      </c>
    </row>
    <row r="19385" spans="1:5" x14ac:dyDescent="0.25">
      <c r="A19385">
        <v>19384</v>
      </c>
      <c r="B19385">
        <v>1720231</v>
      </c>
      <c r="C19385" s="1" t="str">
        <f>HYPERLINK("http://stackoverflow.com/users/1720231", "sunshareall0709")</f>
        <v>sunshareall0709</v>
      </c>
      <c r="D19385" t="s">
        <v>25</v>
      </c>
      <c r="E19385">
        <v>1</v>
      </c>
    </row>
    <row r="19386" spans="1:5" x14ac:dyDescent="0.25">
      <c r="A19386">
        <v>19385</v>
      </c>
      <c r="B19386">
        <v>1721297</v>
      </c>
      <c r="C19386" s="1" t="str">
        <f>HYPERLINK("http://stackoverflow.com/users/1721297", "lgarithm")</f>
        <v>lgarithm</v>
      </c>
      <c r="D19386" t="s">
        <v>5</v>
      </c>
      <c r="E19386">
        <v>1</v>
      </c>
    </row>
    <row r="19387" spans="1:5" x14ac:dyDescent="0.25">
      <c r="A19387">
        <v>19386</v>
      </c>
      <c r="B19387">
        <v>1721461</v>
      </c>
      <c r="C19387" s="1" t="str">
        <f>HYPERLINK("http://stackoverflow.com/users/1721461", "lonleyer")</f>
        <v>lonleyer</v>
      </c>
      <c r="D19387" t="s">
        <v>61</v>
      </c>
      <c r="E19387">
        <v>1</v>
      </c>
    </row>
    <row r="19388" spans="1:5" x14ac:dyDescent="0.25">
      <c r="A19388">
        <v>19387</v>
      </c>
      <c r="B19388">
        <v>3541199</v>
      </c>
      <c r="C19388" s="1" t="str">
        <f>HYPERLINK("http://stackoverflow.com/users/3541199", "jackge_SO")</f>
        <v>jackge_SO</v>
      </c>
      <c r="D19388" t="s">
        <v>31</v>
      </c>
      <c r="E19388">
        <v>1</v>
      </c>
    </row>
    <row r="19389" spans="1:5" x14ac:dyDescent="0.25">
      <c r="A19389">
        <v>19388</v>
      </c>
      <c r="B19389">
        <v>8942465</v>
      </c>
      <c r="C19389" s="1" t="str">
        <f>HYPERLINK("http://stackoverflow.com/users/8942465", "user8942465")</f>
        <v>user8942465</v>
      </c>
      <c r="D19389" t="s">
        <v>4</v>
      </c>
      <c r="E19389">
        <v>1</v>
      </c>
    </row>
    <row r="19390" spans="1:5" x14ac:dyDescent="0.25">
      <c r="A19390">
        <v>19389</v>
      </c>
      <c r="B19390">
        <v>7109845</v>
      </c>
      <c r="C19390" s="1" t="str">
        <f>HYPERLINK("http://stackoverflow.com/users/7109845", "Zhiqiang Wang")</f>
        <v>Zhiqiang Wang</v>
      </c>
      <c r="D19390" t="s">
        <v>5</v>
      </c>
      <c r="E19390">
        <v>1</v>
      </c>
    </row>
    <row r="19391" spans="1:5" x14ac:dyDescent="0.25">
      <c r="A19391">
        <v>19390</v>
      </c>
      <c r="B19391">
        <v>10760574</v>
      </c>
      <c r="C19391" s="1" t="str">
        <f>HYPERLINK("http://stackoverflow.com/users/10760574", "Wangying0215")</f>
        <v>Wangying0215</v>
      </c>
      <c r="D19391" t="s">
        <v>133</v>
      </c>
      <c r="E19391">
        <v>1</v>
      </c>
    </row>
    <row r="19392" spans="1:5" x14ac:dyDescent="0.25">
      <c r="A19392">
        <v>19391</v>
      </c>
      <c r="B19392">
        <v>7112897</v>
      </c>
      <c r="C19392" s="1" t="str">
        <f>HYPERLINK("http://stackoverflow.com/users/7112897", "WesternRanger")</f>
        <v>WesternRanger</v>
      </c>
      <c r="D19392" t="s">
        <v>27</v>
      </c>
      <c r="E19392">
        <v>1</v>
      </c>
    </row>
    <row r="19393" spans="1:5" x14ac:dyDescent="0.25">
      <c r="A19393">
        <v>19392</v>
      </c>
      <c r="B19393">
        <v>7113094</v>
      </c>
      <c r="C19393" s="1" t="str">
        <f>HYPERLINK("http://stackoverflow.com/users/7113094", "信心何")</f>
        <v>信心何</v>
      </c>
      <c r="D19393" t="s">
        <v>4</v>
      </c>
      <c r="E19393">
        <v>1</v>
      </c>
    </row>
    <row r="19394" spans="1:5" x14ac:dyDescent="0.25">
      <c r="A19394">
        <v>19393</v>
      </c>
      <c r="B19394">
        <v>7113192</v>
      </c>
      <c r="C19394" s="1" t="str">
        <f>HYPERLINK("http://stackoverflow.com/users/7113192", "Shiao Qu")</f>
        <v>Shiao Qu</v>
      </c>
      <c r="D19394" t="s">
        <v>19</v>
      </c>
      <c r="E19394">
        <v>1</v>
      </c>
    </row>
    <row r="19395" spans="1:5" x14ac:dyDescent="0.25">
      <c r="A19395">
        <v>19394</v>
      </c>
      <c r="B19395">
        <v>7113459</v>
      </c>
      <c r="C19395" s="1" t="str">
        <f>HYPERLINK("http://stackoverflow.com/users/7113459", "motrb")</f>
        <v>motrb</v>
      </c>
      <c r="D19395" t="s">
        <v>4</v>
      </c>
      <c r="E19395">
        <v>1</v>
      </c>
    </row>
    <row r="19396" spans="1:5" x14ac:dyDescent="0.25">
      <c r="A19396">
        <v>19395</v>
      </c>
      <c r="B19396">
        <v>1735353</v>
      </c>
      <c r="C19396" s="1" t="str">
        <f>HYPERLINK("http://stackoverflow.com/users/1735353", "user1735353")</f>
        <v>user1735353</v>
      </c>
      <c r="D19396" t="s">
        <v>4</v>
      </c>
      <c r="E19396">
        <v>1</v>
      </c>
    </row>
    <row r="19397" spans="1:5" x14ac:dyDescent="0.25">
      <c r="A19397">
        <v>19396</v>
      </c>
      <c r="B19397">
        <v>5363435</v>
      </c>
      <c r="C19397" s="1" t="str">
        <f>HYPERLINK("http://stackoverflow.com/users/5363435", "Double4tar")</f>
        <v>Double4tar</v>
      </c>
      <c r="D19397" t="s">
        <v>5</v>
      </c>
      <c r="E19397">
        <v>1</v>
      </c>
    </row>
    <row r="19398" spans="1:5" x14ac:dyDescent="0.25">
      <c r="A19398">
        <v>19397</v>
      </c>
      <c r="B19398">
        <v>10768777</v>
      </c>
      <c r="C19398" s="1" t="str">
        <f>HYPERLINK("http://stackoverflow.com/users/10768777", "Toolfk")</f>
        <v>Toolfk</v>
      </c>
      <c r="D19398" t="s">
        <v>439</v>
      </c>
      <c r="E19398">
        <v>1</v>
      </c>
    </row>
    <row r="19399" spans="1:5" x14ac:dyDescent="0.25">
      <c r="A19399">
        <v>19398</v>
      </c>
      <c r="B19399">
        <v>10768879</v>
      </c>
      <c r="C19399" s="1" t="str">
        <f>HYPERLINK("http://stackoverflow.com/users/10768879", "user10768879")</f>
        <v>user10768879</v>
      </c>
      <c r="D19399" t="s">
        <v>5</v>
      </c>
      <c r="E19399">
        <v>1</v>
      </c>
    </row>
    <row r="19400" spans="1:5" x14ac:dyDescent="0.25">
      <c r="A19400">
        <v>19399</v>
      </c>
      <c r="B19400">
        <v>10769121</v>
      </c>
      <c r="C19400" s="1" t="str">
        <f>HYPERLINK("http://stackoverflow.com/users/10769121", "brzx")</f>
        <v>brzx</v>
      </c>
      <c r="D19400" t="s">
        <v>74</v>
      </c>
      <c r="E19400">
        <v>1</v>
      </c>
    </row>
    <row r="19401" spans="1:5" x14ac:dyDescent="0.25">
      <c r="A19401">
        <v>19400</v>
      </c>
      <c r="B19401">
        <v>8916895</v>
      </c>
      <c r="C19401" s="1" t="str">
        <f>HYPERLINK("http://stackoverflow.com/users/8916895", "Xiaopeng Yan")</f>
        <v>Xiaopeng Yan</v>
      </c>
      <c r="D19401" t="s">
        <v>5</v>
      </c>
      <c r="E19401">
        <v>1</v>
      </c>
    </row>
    <row r="19402" spans="1:5" x14ac:dyDescent="0.25">
      <c r="A19402">
        <v>19401</v>
      </c>
      <c r="B19402">
        <v>8917277</v>
      </c>
      <c r="C19402" s="1" t="str">
        <f>HYPERLINK("http://stackoverflow.com/users/8917277", "chen ke")</f>
        <v>chen ke</v>
      </c>
      <c r="D19402" t="s">
        <v>4</v>
      </c>
      <c r="E19402">
        <v>1</v>
      </c>
    </row>
    <row r="19403" spans="1:5" x14ac:dyDescent="0.25">
      <c r="A19403">
        <v>19402</v>
      </c>
      <c r="B19403">
        <v>8917390</v>
      </c>
      <c r="C19403" s="1" t="str">
        <f>HYPERLINK("http://stackoverflow.com/users/8917390", "周新元")</f>
        <v>周新元</v>
      </c>
      <c r="D19403" t="s">
        <v>5</v>
      </c>
      <c r="E19403">
        <v>1</v>
      </c>
    </row>
    <row r="19404" spans="1:5" x14ac:dyDescent="0.25">
      <c r="A19404">
        <v>19403</v>
      </c>
      <c r="B19404">
        <v>5324770</v>
      </c>
      <c r="C19404" s="1" t="str">
        <f>HYPERLINK("http://stackoverflow.com/users/5324770", "Shy07")</f>
        <v>Shy07</v>
      </c>
      <c r="D19404" t="s">
        <v>1038</v>
      </c>
      <c r="E19404">
        <v>1</v>
      </c>
    </row>
    <row r="19405" spans="1:5" x14ac:dyDescent="0.25">
      <c r="A19405">
        <v>19404</v>
      </c>
      <c r="B19405">
        <v>3521825</v>
      </c>
      <c r="C19405" s="1" t="str">
        <f>HYPERLINK("http://stackoverflow.com/users/3521825", "Yukyu")</f>
        <v>Yukyu</v>
      </c>
      <c r="D19405" t="s">
        <v>16</v>
      </c>
      <c r="E19405">
        <v>1</v>
      </c>
    </row>
    <row r="19406" spans="1:5" x14ac:dyDescent="0.25">
      <c r="A19406">
        <v>19405</v>
      </c>
      <c r="B19406">
        <v>3521851</v>
      </c>
      <c r="C19406" s="1" t="str">
        <f>HYPERLINK("http://stackoverflow.com/users/3521851", "lazyCat")</f>
        <v>lazyCat</v>
      </c>
      <c r="D19406" t="s">
        <v>5</v>
      </c>
      <c r="E19406">
        <v>1</v>
      </c>
    </row>
    <row r="19407" spans="1:5" x14ac:dyDescent="0.25">
      <c r="A19407">
        <v>19406</v>
      </c>
      <c r="B19407">
        <v>3517671</v>
      </c>
      <c r="C19407" s="1" t="str">
        <f>HYPERLINK("http://stackoverflow.com/users/3517671", "zenghui.wang")</f>
        <v>zenghui.wang</v>
      </c>
      <c r="D19407" t="s">
        <v>5</v>
      </c>
      <c r="E19407">
        <v>1</v>
      </c>
    </row>
    <row r="19408" spans="1:5" x14ac:dyDescent="0.25">
      <c r="A19408">
        <v>19407</v>
      </c>
      <c r="B19408">
        <v>7080179</v>
      </c>
      <c r="C19408" s="1" t="str">
        <f>HYPERLINK("http://stackoverflow.com/users/7080179", "מאיר טולידאנו")</f>
        <v>מאיר טולידאנו</v>
      </c>
      <c r="D19408" t="s">
        <v>5</v>
      </c>
      <c r="E19408">
        <v>1</v>
      </c>
    </row>
    <row r="19409" spans="1:5" x14ac:dyDescent="0.25">
      <c r="A19409">
        <v>19408</v>
      </c>
      <c r="B19409">
        <v>3514149</v>
      </c>
      <c r="C19409" s="1" t="str">
        <f>HYPERLINK("http://stackoverflow.com/users/3514149", "Anssen")</f>
        <v>Anssen</v>
      </c>
      <c r="D19409" t="s">
        <v>4</v>
      </c>
      <c r="E19409">
        <v>1</v>
      </c>
    </row>
    <row r="19410" spans="1:5" x14ac:dyDescent="0.25">
      <c r="A19410">
        <v>19409</v>
      </c>
      <c r="B19410">
        <v>3514718</v>
      </c>
      <c r="C19410" s="1" t="str">
        <f>HYPERLINK("http://stackoverflow.com/users/3514718", "chengwei")</f>
        <v>chengwei</v>
      </c>
      <c r="D19410" t="s">
        <v>5</v>
      </c>
      <c r="E19410">
        <v>1</v>
      </c>
    </row>
    <row r="19411" spans="1:5" x14ac:dyDescent="0.25">
      <c r="A19411">
        <v>19410</v>
      </c>
      <c r="B19411">
        <v>10725546</v>
      </c>
      <c r="C19411" s="1" t="str">
        <f>HYPERLINK("http://stackoverflow.com/users/10725546", "qingshan")</f>
        <v>qingshan</v>
      </c>
      <c r="D19411" t="s">
        <v>5</v>
      </c>
      <c r="E19411">
        <v>1</v>
      </c>
    </row>
    <row r="19412" spans="1:5" x14ac:dyDescent="0.25">
      <c r="A19412">
        <v>19411</v>
      </c>
      <c r="B19412">
        <v>10725655</v>
      </c>
      <c r="C19412" s="1" t="str">
        <f>HYPERLINK("http://stackoverflow.com/users/10725655", "Ethan")</f>
        <v>Ethan</v>
      </c>
      <c r="D19412" t="s">
        <v>5</v>
      </c>
      <c r="E19412">
        <v>1</v>
      </c>
    </row>
    <row r="19413" spans="1:5" x14ac:dyDescent="0.25">
      <c r="A19413">
        <v>19412</v>
      </c>
      <c r="B19413">
        <v>10725873</v>
      </c>
      <c r="C19413" s="1" t="str">
        <f>HYPERLINK("http://stackoverflow.com/users/10725873", "Ryan Su")</f>
        <v>Ryan Su</v>
      </c>
      <c r="D19413" t="s">
        <v>55</v>
      </c>
      <c r="E19413">
        <v>1</v>
      </c>
    </row>
    <row r="19414" spans="1:5" x14ac:dyDescent="0.25">
      <c r="A19414">
        <v>19413</v>
      </c>
      <c r="B19414">
        <v>5336128</v>
      </c>
      <c r="C19414" s="1" t="str">
        <f>HYPERLINK("http://stackoverflow.com/users/5336128", "Pucheng")</f>
        <v>Pucheng</v>
      </c>
      <c r="D19414" t="s">
        <v>5</v>
      </c>
      <c r="E19414">
        <v>1</v>
      </c>
    </row>
    <row r="19415" spans="1:5" x14ac:dyDescent="0.25">
      <c r="A19415">
        <v>19414</v>
      </c>
      <c r="B19415">
        <v>5336170</v>
      </c>
      <c r="C19415" s="1" t="str">
        <f>HYPERLINK("http://stackoverflow.com/users/5336170", "Lancer")</f>
        <v>Lancer</v>
      </c>
      <c r="D19415" t="s">
        <v>5</v>
      </c>
      <c r="E19415">
        <v>1</v>
      </c>
    </row>
    <row r="19416" spans="1:5" x14ac:dyDescent="0.25">
      <c r="A19416">
        <v>19415</v>
      </c>
      <c r="B19416">
        <v>1708133</v>
      </c>
      <c r="C19416" s="1" t="str">
        <f>HYPERLINK("http://stackoverflow.com/users/1708133", "Douglas M. Chapman")</f>
        <v>Douglas M. Chapman</v>
      </c>
      <c r="D19416" t="s">
        <v>3</v>
      </c>
      <c r="E19416">
        <v>1</v>
      </c>
    </row>
    <row r="19417" spans="1:5" x14ac:dyDescent="0.25">
      <c r="A19417">
        <v>19416</v>
      </c>
      <c r="B19417">
        <v>10739223</v>
      </c>
      <c r="C19417" s="1" t="str">
        <f>HYPERLINK("http://stackoverflow.com/users/10739223", "Xiaodong Liu")</f>
        <v>Xiaodong Liu</v>
      </c>
      <c r="D19417" t="s">
        <v>180</v>
      </c>
      <c r="E19417">
        <v>1</v>
      </c>
    </row>
    <row r="19418" spans="1:5" x14ac:dyDescent="0.25">
      <c r="A19418">
        <v>19417</v>
      </c>
      <c r="B19418">
        <v>10739288</v>
      </c>
      <c r="C19418" s="1" t="str">
        <f>HYPERLINK("http://stackoverflow.com/users/10739288", "zill057")</f>
        <v>zill057</v>
      </c>
      <c r="D19418" t="s">
        <v>4</v>
      </c>
      <c r="E19418">
        <v>1</v>
      </c>
    </row>
    <row r="19419" spans="1:5" x14ac:dyDescent="0.25">
      <c r="A19419">
        <v>19418</v>
      </c>
      <c r="B19419">
        <v>5328138</v>
      </c>
      <c r="C19419" s="1" t="str">
        <f>HYPERLINK("http://stackoverflow.com/users/5328138", "Miller Xie")</f>
        <v>Miller Xie</v>
      </c>
      <c r="D19419" t="s">
        <v>4</v>
      </c>
      <c r="E19419">
        <v>1</v>
      </c>
    </row>
    <row r="19420" spans="1:5" x14ac:dyDescent="0.25">
      <c r="A19420">
        <v>19419</v>
      </c>
      <c r="B19420">
        <v>10733894</v>
      </c>
      <c r="C19420" s="1" t="str">
        <f>HYPERLINK("http://stackoverflow.com/users/10733894", "Andy Tian")</f>
        <v>Andy Tian</v>
      </c>
      <c r="D19420" t="s">
        <v>5</v>
      </c>
      <c r="E19420">
        <v>1</v>
      </c>
    </row>
    <row r="19421" spans="1:5" x14ac:dyDescent="0.25">
      <c r="A19421">
        <v>19420</v>
      </c>
      <c r="B19421">
        <v>1702035</v>
      </c>
      <c r="C19421" s="1" t="str">
        <f>HYPERLINK("http://stackoverflow.com/users/1702035", "Jobin Sun")</f>
        <v>Jobin Sun</v>
      </c>
      <c r="D19421" t="s">
        <v>5</v>
      </c>
      <c r="E19421">
        <v>1</v>
      </c>
    </row>
    <row r="19422" spans="1:5" x14ac:dyDescent="0.25">
      <c r="A19422">
        <v>19421</v>
      </c>
      <c r="B19422">
        <v>1702050</v>
      </c>
      <c r="C19422" s="1" t="str">
        <f>HYPERLINK("http://stackoverflow.com/users/1702050", "Zenez")</f>
        <v>Zenez</v>
      </c>
      <c r="D19422" t="s">
        <v>4</v>
      </c>
      <c r="E19422">
        <v>1</v>
      </c>
    </row>
    <row r="19423" spans="1:5" x14ac:dyDescent="0.25">
      <c r="A19423">
        <v>19422</v>
      </c>
      <c r="B19423">
        <v>1702113</v>
      </c>
      <c r="C19423" s="1" t="str">
        <f>HYPERLINK("http://stackoverflow.com/users/1702113", "superuirui")</f>
        <v>superuirui</v>
      </c>
      <c r="D19423" t="s">
        <v>5</v>
      </c>
      <c r="E19423">
        <v>1</v>
      </c>
    </row>
    <row r="19424" spans="1:5" x14ac:dyDescent="0.25">
      <c r="A19424">
        <v>19423</v>
      </c>
      <c r="B19424">
        <v>1702309</v>
      </c>
      <c r="C19424" s="1" t="str">
        <f>HYPERLINK("http://stackoverflow.com/users/1702309", "ElephantDong")</f>
        <v>ElephantDong</v>
      </c>
      <c r="D19424" t="s">
        <v>5</v>
      </c>
      <c r="E19424">
        <v>1</v>
      </c>
    </row>
    <row r="19425" spans="1:5" x14ac:dyDescent="0.25">
      <c r="A19425">
        <v>19424</v>
      </c>
      <c r="B19425">
        <v>1702700</v>
      </c>
      <c r="C19425" s="1" t="str">
        <f>HYPERLINK("http://stackoverflow.com/users/1702700", "wuyahuang")</f>
        <v>wuyahuang</v>
      </c>
      <c r="D19425" t="s">
        <v>15</v>
      </c>
      <c r="E19425">
        <v>1</v>
      </c>
    </row>
    <row r="19426" spans="1:5" x14ac:dyDescent="0.25">
      <c r="A19426">
        <v>19425</v>
      </c>
      <c r="B19426">
        <v>1707630</v>
      </c>
      <c r="C19426" s="1" t="str">
        <f>HYPERLINK("http://stackoverflow.com/users/1707630", "a254100211")</f>
        <v>a254100211</v>
      </c>
      <c r="D19426" t="s">
        <v>17</v>
      </c>
      <c r="E19426">
        <v>1</v>
      </c>
    </row>
    <row r="19427" spans="1:5" x14ac:dyDescent="0.25">
      <c r="A19427">
        <v>19426</v>
      </c>
      <c r="B19427">
        <v>1670872</v>
      </c>
      <c r="C19427" s="1" t="str">
        <f>HYPERLINK("http://stackoverflow.com/users/1670872", "storypku")</f>
        <v>storypku</v>
      </c>
      <c r="D19427" t="s">
        <v>5</v>
      </c>
      <c r="E19427">
        <v>1</v>
      </c>
    </row>
    <row r="19428" spans="1:5" x14ac:dyDescent="0.25">
      <c r="A19428">
        <v>19427</v>
      </c>
      <c r="B19428">
        <v>1670892</v>
      </c>
      <c r="C19428" s="1" t="str">
        <f>HYPERLINK("http://stackoverflow.com/users/1670892", "Felix Guo")</f>
        <v>Felix Guo</v>
      </c>
      <c r="D19428" t="s">
        <v>28</v>
      </c>
      <c r="E19428">
        <v>1</v>
      </c>
    </row>
    <row r="19429" spans="1:5" x14ac:dyDescent="0.25">
      <c r="A19429">
        <v>19428</v>
      </c>
      <c r="B19429">
        <v>10706661</v>
      </c>
      <c r="C19429" s="1" t="str">
        <f>HYPERLINK("http://stackoverflow.com/users/10706661", "David L.")</f>
        <v>David L.</v>
      </c>
      <c r="D19429" t="s">
        <v>74</v>
      </c>
      <c r="E19429">
        <v>1</v>
      </c>
    </row>
    <row r="19430" spans="1:5" x14ac:dyDescent="0.25">
      <c r="A19430">
        <v>19429</v>
      </c>
      <c r="B19430">
        <v>8899675</v>
      </c>
      <c r="C19430" s="1" t="str">
        <f>HYPERLINK("http://stackoverflow.com/users/8899675", "Vera Zhang")</f>
        <v>Vera Zhang</v>
      </c>
      <c r="D19430" t="s">
        <v>25</v>
      </c>
      <c r="E19430">
        <v>1</v>
      </c>
    </row>
    <row r="19431" spans="1:5" x14ac:dyDescent="0.25">
      <c r="A19431">
        <v>19430</v>
      </c>
      <c r="B19431">
        <v>7069576</v>
      </c>
      <c r="C19431" s="1" t="str">
        <f>HYPERLINK("http://stackoverflow.com/users/7069576", "G.Nijar")</f>
        <v>G.Nijar</v>
      </c>
      <c r="D19431" t="s">
        <v>62</v>
      </c>
      <c r="E19431">
        <v>1</v>
      </c>
    </row>
    <row r="19432" spans="1:5" x14ac:dyDescent="0.25">
      <c r="A19432">
        <v>19431</v>
      </c>
      <c r="B19432">
        <v>8899843</v>
      </c>
      <c r="C19432" s="1" t="str">
        <f>HYPERLINK("http://stackoverflow.com/users/8899843", "youngjoy")</f>
        <v>youngjoy</v>
      </c>
      <c r="D19432" t="s">
        <v>266</v>
      </c>
      <c r="E19432">
        <v>1</v>
      </c>
    </row>
    <row r="19433" spans="1:5" x14ac:dyDescent="0.25">
      <c r="A19433">
        <v>19432</v>
      </c>
      <c r="B19433">
        <v>8904311</v>
      </c>
      <c r="C19433" s="1" t="str">
        <f>HYPERLINK("http://stackoverflow.com/users/8904311", "Chunhui Han")</f>
        <v>Chunhui Han</v>
      </c>
      <c r="D19433" t="s">
        <v>5</v>
      </c>
      <c r="E19433">
        <v>1</v>
      </c>
    </row>
    <row r="19434" spans="1:5" x14ac:dyDescent="0.25">
      <c r="A19434">
        <v>19433</v>
      </c>
      <c r="B19434">
        <v>8904742</v>
      </c>
      <c r="C19434" s="1" t="str">
        <f>HYPERLINK("http://stackoverflow.com/users/8904742", "刘明来")</f>
        <v>刘明来</v>
      </c>
      <c r="D19434" t="s">
        <v>16</v>
      </c>
      <c r="E19434">
        <v>1</v>
      </c>
    </row>
    <row r="19435" spans="1:5" x14ac:dyDescent="0.25">
      <c r="A19435">
        <v>19434</v>
      </c>
      <c r="B19435">
        <v>10714841</v>
      </c>
      <c r="C19435" s="1" t="str">
        <f>HYPERLINK("http://stackoverflow.com/users/10714841", "Haojie GU")</f>
        <v>Haojie GU</v>
      </c>
      <c r="D19435" t="s">
        <v>4</v>
      </c>
      <c r="E19435">
        <v>1</v>
      </c>
    </row>
    <row r="19436" spans="1:5" x14ac:dyDescent="0.25">
      <c r="A19436">
        <v>19435</v>
      </c>
      <c r="B19436">
        <v>7073676</v>
      </c>
      <c r="C19436" s="1" t="str">
        <f>HYPERLINK("http://stackoverflow.com/users/7073676", "TEMUQILETU")</f>
        <v>TEMUQILETU</v>
      </c>
      <c r="D19436" t="s">
        <v>55</v>
      </c>
      <c r="E19436">
        <v>1</v>
      </c>
    </row>
    <row r="19437" spans="1:5" x14ac:dyDescent="0.25">
      <c r="A19437">
        <v>19436</v>
      </c>
      <c r="B19437">
        <v>8884713</v>
      </c>
      <c r="C19437" s="1" t="str">
        <f>HYPERLINK("http://stackoverflow.com/users/8884713", "Dionisius Djody")</f>
        <v>Dionisius Djody</v>
      </c>
      <c r="D19437" t="s">
        <v>5</v>
      </c>
      <c r="E19437">
        <v>1</v>
      </c>
    </row>
    <row r="19438" spans="1:5" x14ac:dyDescent="0.25">
      <c r="A19438">
        <v>19437</v>
      </c>
      <c r="B19438">
        <v>8885128</v>
      </c>
      <c r="C19438" s="1" t="str">
        <f>HYPERLINK("http://stackoverflow.com/users/8885128", "infancy")</f>
        <v>infancy</v>
      </c>
      <c r="D19438" t="s">
        <v>55</v>
      </c>
      <c r="E19438">
        <v>1</v>
      </c>
    </row>
    <row r="19439" spans="1:5" x14ac:dyDescent="0.25">
      <c r="A19439">
        <v>19438</v>
      </c>
      <c r="B19439">
        <v>7060936</v>
      </c>
      <c r="C19439" s="1" t="str">
        <f>HYPERLINK("http://stackoverflow.com/users/7060936", "Sunkey Sun")</f>
        <v>Sunkey Sun</v>
      </c>
      <c r="D19439" t="s">
        <v>7</v>
      </c>
      <c r="E19439">
        <v>1</v>
      </c>
    </row>
    <row r="19440" spans="1:5" x14ac:dyDescent="0.25">
      <c r="A19440">
        <v>19439</v>
      </c>
      <c r="B19440">
        <v>7061505</v>
      </c>
      <c r="C19440" s="1" t="str">
        <f>HYPERLINK("http://stackoverflow.com/users/7061505", "Jason Luo")</f>
        <v>Jason Luo</v>
      </c>
      <c r="D19440" t="s">
        <v>7</v>
      </c>
      <c r="E19440">
        <v>1</v>
      </c>
    </row>
    <row r="19441" spans="1:5" x14ac:dyDescent="0.25">
      <c r="A19441">
        <v>19440</v>
      </c>
      <c r="B19441">
        <v>8889217</v>
      </c>
      <c r="C19441" s="1" t="str">
        <f>HYPERLINK("http://stackoverflow.com/users/8889217", "Stove Stone")</f>
        <v>Stove Stone</v>
      </c>
      <c r="D19441" t="s">
        <v>5</v>
      </c>
      <c r="E19441">
        <v>1</v>
      </c>
    </row>
    <row r="19442" spans="1:5" x14ac:dyDescent="0.25">
      <c r="A19442">
        <v>19441</v>
      </c>
      <c r="B19442">
        <v>8889687</v>
      </c>
      <c r="C19442" s="1" t="str">
        <f>HYPERLINK("http://stackoverflow.com/users/8889687", "jmytk")</f>
        <v>jmytk</v>
      </c>
      <c r="D19442" t="s">
        <v>78</v>
      </c>
      <c r="E19442">
        <v>1</v>
      </c>
    </row>
    <row r="19443" spans="1:5" x14ac:dyDescent="0.25">
      <c r="A19443">
        <v>19442</v>
      </c>
      <c r="B19443">
        <v>8889899</v>
      </c>
      <c r="C19443" s="1" t="str">
        <f>HYPERLINK("http://stackoverflow.com/users/8889899", "junwei song")</f>
        <v>junwei song</v>
      </c>
      <c r="D19443" t="s">
        <v>1039</v>
      </c>
      <c r="E19443">
        <v>1</v>
      </c>
    </row>
    <row r="19444" spans="1:5" x14ac:dyDescent="0.25">
      <c r="A19444">
        <v>19443</v>
      </c>
      <c r="B19444">
        <v>1664465</v>
      </c>
      <c r="C19444" s="1" t="str">
        <f>HYPERLINK("http://stackoverflow.com/users/1664465", "kivi")</f>
        <v>kivi</v>
      </c>
      <c r="D19444" t="s">
        <v>28</v>
      </c>
      <c r="E19444">
        <v>1</v>
      </c>
    </row>
    <row r="19445" spans="1:5" x14ac:dyDescent="0.25">
      <c r="A19445">
        <v>19444</v>
      </c>
      <c r="B19445">
        <v>1670783</v>
      </c>
      <c r="C19445" s="1" t="str">
        <f>HYPERLINK("http://stackoverflow.com/users/1670783", "Xiaohu Lee")</f>
        <v>Xiaohu Lee</v>
      </c>
      <c r="D19445" t="s">
        <v>5</v>
      </c>
      <c r="E19445">
        <v>1</v>
      </c>
    </row>
    <row r="19446" spans="1:5" x14ac:dyDescent="0.25">
      <c r="A19446">
        <v>19445</v>
      </c>
      <c r="B19446">
        <v>8912840</v>
      </c>
      <c r="C19446" s="1" t="str">
        <f>HYPERLINK("http://stackoverflow.com/users/8912840", "JohnsonYip")</f>
        <v>JohnsonYip</v>
      </c>
      <c r="D19446" t="s">
        <v>1040</v>
      </c>
      <c r="E19446">
        <v>1</v>
      </c>
    </row>
    <row r="19447" spans="1:5" x14ac:dyDescent="0.25">
      <c r="A19447">
        <v>19446</v>
      </c>
      <c r="B19447">
        <v>7079470</v>
      </c>
      <c r="C19447" s="1" t="str">
        <f>HYPERLINK("http://stackoverflow.com/users/7079470", "Divano_Li")</f>
        <v>Divano_Li</v>
      </c>
      <c r="D19447" t="s">
        <v>4</v>
      </c>
      <c r="E19447">
        <v>1</v>
      </c>
    </row>
    <row r="19448" spans="1:5" x14ac:dyDescent="0.25">
      <c r="A19448">
        <v>19447</v>
      </c>
      <c r="B19448">
        <v>7079479</v>
      </c>
      <c r="C19448" s="1" t="str">
        <f>HYPERLINK("http://stackoverflow.com/users/7079479", "nameite")</f>
        <v>nameite</v>
      </c>
      <c r="D19448" t="s">
        <v>5</v>
      </c>
      <c r="E19448">
        <v>1</v>
      </c>
    </row>
    <row r="19449" spans="1:5" x14ac:dyDescent="0.25">
      <c r="A19449">
        <v>19448</v>
      </c>
      <c r="B19449">
        <v>7079580</v>
      </c>
      <c r="C19449" s="1" t="str">
        <f>HYPERLINK("http://stackoverflow.com/users/7079580", "Dasy Dong")</f>
        <v>Dasy Dong</v>
      </c>
      <c r="D19449" t="s">
        <v>4</v>
      </c>
      <c r="E19449">
        <v>1</v>
      </c>
    </row>
    <row r="19450" spans="1:5" x14ac:dyDescent="0.25">
      <c r="A19450">
        <v>19449</v>
      </c>
      <c r="B19450">
        <v>7079881</v>
      </c>
      <c r="C19450" s="1" t="str">
        <f>HYPERLINK("http://stackoverflow.com/users/7079881", "Pengyue Wu")</f>
        <v>Pengyue Wu</v>
      </c>
      <c r="D19450" t="s">
        <v>4</v>
      </c>
      <c r="E19450">
        <v>1</v>
      </c>
    </row>
    <row r="19451" spans="1:5" x14ac:dyDescent="0.25">
      <c r="A19451">
        <v>19450</v>
      </c>
      <c r="B19451">
        <v>7076152</v>
      </c>
      <c r="C19451" s="1" t="str">
        <f>HYPERLINK("http://stackoverflow.com/users/7076152", "Zic")</f>
        <v>Zic</v>
      </c>
      <c r="D19451" t="s">
        <v>4</v>
      </c>
      <c r="E19451">
        <v>1</v>
      </c>
    </row>
    <row r="19452" spans="1:5" x14ac:dyDescent="0.25">
      <c r="A19452">
        <v>19451</v>
      </c>
      <c r="B19452">
        <v>7076360</v>
      </c>
      <c r="C19452" s="1" t="str">
        <f>HYPERLINK("http://stackoverflow.com/users/7076360", "Skillane")</f>
        <v>Skillane</v>
      </c>
      <c r="D19452" t="s">
        <v>55</v>
      </c>
      <c r="E19452">
        <v>1</v>
      </c>
    </row>
    <row r="19453" spans="1:5" x14ac:dyDescent="0.25">
      <c r="A19453">
        <v>19452</v>
      </c>
      <c r="B19453">
        <v>1684707</v>
      </c>
      <c r="C19453" s="1" t="str">
        <f>HYPERLINK("http://stackoverflow.com/users/1684707", "CH3CHO")</f>
        <v>CH3CHO</v>
      </c>
      <c r="D19453" t="s">
        <v>4</v>
      </c>
      <c r="E19453">
        <v>1</v>
      </c>
    </row>
    <row r="19454" spans="1:5" x14ac:dyDescent="0.25">
      <c r="A19454">
        <v>19453</v>
      </c>
      <c r="B19454">
        <v>1665195</v>
      </c>
      <c r="C19454" s="1" t="str">
        <f>HYPERLINK("http://stackoverflow.com/users/1665195", "zgyulongfei")</f>
        <v>zgyulongfei</v>
      </c>
      <c r="D19454" t="s">
        <v>38</v>
      </c>
      <c r="E19454">
        <v>1</v>
      </c>
    </row>
    <row r="19455" spans="1:5" x14ac:dyDescent="0.25">
      <c r="A19455">
        <v>19454</v>
      </c>
      <c r="B19455">
        <v>1665315</v>
      </c>
      <c r="C19455" s="1" t="str">
        <f>HYPERLINK("http://stackoverflow.com/users/1665315", "talefox")</f>
        <v>talefox</v>
      </c>
      <c r="D19455" t="s">
        <v>5</v>
      </c>
      <c r="E19455">
        <v>1</v>
      </c>
    </row>
    <row r="19456" spans="1:5" x14ac:dyDescent="0.25">
      <c r="A19456">
        <v>19455</v>
      </c>
      <c r="B19456">
        <v>1664613</v>
      </c>
      <c r="C19456" s="1" t="str">
        <f>HYPERLINK("http://stackoverflow.com/users/1664613", "Fabian Yu")</f>
        <v>Fabian Yu</v>
      </c>
      <c r="D19456" t="s">
        <v>4</v>
      </c>
      <c r="E19456">
        <v>1</v>
      </c>
    </row>
    <row r="19457" spans="1:5" x14ac:dyDescent="0.25">
      <c r="A19457">
        <v>19456</v>
      </c>
      <c r="B19457">
        <v>1664991</v>
      </c>
      <c r="C19457" s="1" t="str">
        <f>HYPERLINK("http://stackoverflow.com/users/1664991", "Elementstorm")</f>
        <v>Elementstorm</v>
      </c>
      <c r="D19457" t="s">
        <v>5</v>
      </c>
      <c r="E19457">
        <v>1</v>
      </c>
    </row>
    <row r="19458" spans="1:5" x14ac:dyDescent="0.25">
      <c r="A19458">
        <v>19457</v>
      </c>
      <c r="B19458">
        <v>10786018</v>
      </c>
      <c r="C19458" s="1" t="str">
        <f>HYPERLINK("http://stackoverflow.com/users/10786018", "vol.qiu")</f>
        <v>vol.qiu</v>
      </c>
      <c r="D19458" t="s">
        <v>55</v>
      </c>
      <c r="E19458">
        <v>1</v>
      </c>
    </row>
    <row r="19459" spans="1:5" x14ac:dyDescent="0.25">
      <c r="A19459">
        <v>19458</v>
      </c>
      <c r="B19459">
        <v>10786220</v>
      </c>
      <c r="C19459" s="1" t="str">
        <f>HYPERLINK("http://stackoverflow.com/users/10786220", "Zhao.ZiHao")</f>
        <v>Zhao.ZiHao</v>
      </c>
      <c r="D19459" t="s">
        <v>5</v>
      </c>
      <c r="E19459">
        <v>1</v>
      </c>
    </row>
    <row r="19460" spans="1:5" x14ac:dyDescent="0.25">
      <c r="A19460">
        <v>19459</v>
      </c>
      <c r="B19460">
        <v>8979747</v>
      </c>
      <c r="C19460" s="1" t="str">
        <f>HYPERLINK("http://stackoverflow.com/users/8979747", "fanyang lee  ")</f>
        <v xml:space="preserve">fanyang lee  </v>
      </c>
      <c r="D19460" t="s">
        <v>535</v>
      </c>
      <c r="E19460">
        <v>1</v>
      </c>
    </row>
    <row r="19461" spans="1:5" x14ac:dyDescent="0.25">
      <c r="A19461">
        <v>19460</v>
      </c>
      <c r="B19461">
        <v>8979954</v>
      </c>
      <c r="C19461" s="1" t="str">
        <f>HYPERLINK("http://stackoverflow.com/users/8979954", "tang zhidan")</f>
        <v>tang zhidan</v>
      </c>
      <c r="D19461" t="s">
        <v>52</v>
      </c>
      <c r="E19461">
        <v>1</v>
      </c>
    </row>
    <row r="19462" spans="1:5" x14ac:dyDescent="0.25">
      <c r="A19462">
        <v>19461</v>
      </c>
      <c r="B19462">
        <v>3574572</v>
      </c>
      <c r="C19462" s="1" t="str">
        <f>HYPERLINK("http://stackoverflow.com/users/3574572", "beyondpie")</f>
        <v>beyondpie</v>
      </c>
      <c r="D19462" t="s">
        <v>5</v>
      </c>
      <c r="E19462">
        <v>1</v>
      </c>
    </row>
    <row r="19463" spans="1:5" x14ac:dyDescent="0.25">
      <c r="A19463">
        <v>19462</v>
      </c>
      <c r="B19463">
        <v>3574887</v>
      </c>
      <c r="C19463" s="1" t="str">
        <f>HYPERLINK("http://stackoverflow.com/users/3574887", "ZhengMX")</f>
        <v>ZhengMX</v>
      </c>
      <c r="D19463" t="s">
        <v>12</v>
      </c>
      <c r="E19463">
        <v>1</v>
      </c>
    </row>
    <row r="19464" spans="1:5" x14ac:dyDescent="0.25">
      <c r="A19464">
        <v>19463</v>
      </c>
      <c r="B19464">
        <v>5379569</v>
      </c>
      <c r="C19464" s="1" t="str">
        <f>HYPERLINK("http://stackoverflow.com/users/5379569", "bianzhifu")</f>
        <v>bianzhifu</v>
      </c>
      <c r="D19464" t="s">
        <v>5</v>
      </c>
      <c r="E19464">
        <v>1</v>
      </c>
    </row>
    <row r="19465" spans="1:5" x14ac:dyDescent="0.25">
      <c r="A19465">
        <v>19464</v>
      </c>
      <c r="B19465">
        <v>1763065</v>
      </c>
      <c r="C19465" s="1" t="str">
        <f>HYPERLINK("http://stackoverflow.com/users/1763065", "yangbiao801")</f>
        <v>yangbiao801</v>
      </c>
      <c r="D19465" t="s">
        <v>37</v>
      </c>
      <c r="E19465">
        <v>1</v>
      </c>
    </row>
    <row r="19466" spans="1:5" x14ac:dyDescent="0.25">
      <c r="A19466">
        <v>19465</v>
      </c>
      <c r="B19466">
        <v>5383024</v>
      </c>
      <c r="C19466" s="1" t="str">
        <f>HYPERLINK("http://stackoverflow.com/users/5383024", "Jason zhou")</f>
        <v>Jason zhou</v>
      </c>
      <c r="D19466" t="s">
        <v>4</v>
      </c>
      <c r="E19466">
        <v>1</v>
      </c>
    </row>
    <row r="19467" spans="1:5" x14ac:dyDescent="0.25">
      <c r="A19467">
        <v>19466</v>
      </c>
      <c r="B19467">
        <v>5383033</v>
      </c>
      <c r="C19467" s="1" t="str">
        <f>HYPERLINK("http://stackoverflow.com/users/5383033", "jinlei")</f>
        <v>jinlei</v>
      </c>
      <c r="D19467" t="s">
        <v>74</v>
      </c>
      <c r="E19467">
        <v>1</v>
      </c>
    </row>
    <row r="19468" spans="1:5" x14ac:dyDescent="0.25">
      <c r="A19468">
        <v>19467</v>
      </c>
      <c r="B19468">
        <v>8987133</v>
      </c>
      <c r="C19468" s="1" t="str">
        <f>HYPERLINK("http://stackoverflow.com/users/8987133", "jianhui zhao")</f>
        <v>jianhui zhao</v>
      </c>
      <c r="D19468" t="s">
        <v>28</v>
      </c>
      <c r="E19468">
        <v>1</v>
      </c>
    </row>
    <row r="19469" spans="1:5" x14ac:dyDescent="0.25">
      <c r="A19469">
        <v>19468</v>
      </c>
      <c r="B19469">
        <v>8987207</v>
      </c>
      <c r="C19469" s="1" t="str">
        <f>HYPERLINK("http://stackoverflow.com/users/8987207", "Sandy.Zhang")</f>
        <v>Sandy.Zhang</v>
      </c>
      <c r="D19469" t="s">
        <v>25</v>
      </c>
      <c r="E19469">
        <v>1</v>
      </c>
    </row>
    <row r="19470" spans="1:5" x14ac:dyDescent="0.25">
      <c r="A19470">
        <v>19469</v>
      </c>
      <c r="B19470">
        <v>8987423</v>
      </c>
      <c r="C19470" s="1" t="str">
        <f>HYPERLINK("http://stackoverflow.com/users/8987423", "Liu Jiantao")</f>
        <v>Liu Jiantao</v>
      </c>
      <c r="D19470" t="s">
        <v>15</v>
      </c>
      <c r="E19470">
        <v>1</v>
      </c>
    </row>
    <row r="19471" spans="1:5" x14ac:dyDescent="0.25">
      <c r="A19471">
        <v>19470</v>
      </c>
      <c r="B19471">
        <v>8987446</v>
      </c>
      <c r="C19471" s="1" t="str">
        <f>HYPERLINK("http://stackoverflow.com/users/8987446", "allenryb")</f>
        <v>allenryb</v>
      </c>
      <c r="D19471" t="s">
        <v>1041</v>
      </c>
      <c r="E19471">
        <v>1</v>
      </c>
    </row>
    <row r="19472" spans="1:5" x14ac:dyDescent="0.25">
      <c r="A19472">
        <v>19471</v>
      </c>
      <c r="B19472">
        <v>8987612</v>
      </c>
      <c r="C19472" s="1" t="str">
        <f>HYPERLINK("http://stackoverflow.com/users/8987612", "Kaarle Yan")</f>
        <v>Kaarle Yan</v>
      </c>
      <c r="D19472" t="s">
        <v>16</v>
      </c>
      <c r="E19472">
        <v>1</v>
      </c>
    </row>
    <row r="19473" spans="1:5" x14ac:dyDescent="0.25">
      <c r="A19473">
        <v>19472</v>
      </c>
      <c r="B19473">
        <v>8987701</v>
      </c>
      <c r="C19473" s="1" t="str">
        <f>HYPERLINK("http://stackoverflow.com/users/8987701", "陈毕超 Michael.C")</f>
        <v>陈毕超 Michael.C</v>
      </c>
      <c r="D19473" t="s">
        <v>7</v>
      </c>
      <c r="E19473">
        <v>1</v>
      </c>
    </row>
    <row r="19474" spans="1:5" x14ac:dyDescent="0.25">
      <c r="A19474">
        <v>19473</v>
      </c>
      <c r="B19474">
        <v>8988091</v>
      </c>
      <c r="C19474" s="1" t="str">
        <f>HYPERLINK("http://stackoverflow.com/users/8988091", "Sharewin")</f>
        <v>Sharewin</v>
      </c>
      <c r="D19474" t="s">
        <v>5</v>
      </c>
      <c r="E19474">
        <v>1</v>
      </c>
    </row>
    <row r="19475" spans="1:5" x14ac:dyDescent="0.25">
      <c r="A19475">
        <v>19474</v>
      </c>
      <c r="B19475">
        <v>10790927</v>
      </c>
      <c r="C19475" s="1" t="str">
        <f>HYPERLINK("http://stackoverflow.com/users/10790927", "lu zeno")</f>
        <v>lu zeno</v>
      </c>
      <c r="D19475" t="s">
        <v>5</v>
      </c>
      <c r="E19475">
        <v>1</v>
      </c>
    </row>
    <row r="19476" spans="1:5" x14ac:dyDescent="0.25">
      <c r="A19476">
        <v>19475</v>
      </c>
      <c r="B19476">
        <v>3583480</v>
      </c>
      <c r="C19476" s="1" t="str">
        <f>HYPERLINK("http://stackoverflow.com/users/3583480", "Feng")</f>
        <v>Feng</v>
      </c>
      <c r="D19476" t="s">
        <v>5</v>
      </c>
      <c r="E19476">
        <v>1</v>
      </c>
    </row>
    <row r="19477" spans="1:5" x14ac:dyDescent="0.25">
      <c r="A19477">
        <v>19476</v>
      </c>
      <c r="B19477">
        <v>1767248</v>
      </c>
      <c r="C19477" s="1" t="str">
        <f>HYPERLINK("http://stackoverflow.com/users/1767248", "user1767248")</f>
        <v>user1767248</v>
      </c>
      <c r="D19477" t="s">
        <v>5</v>
      </c>
      <c r="E19477">
        <v>1</v>
      </c>
    </row>
    <row r="19478" spans="1:5" x14ac:dyDescent="0.25">
      <c r="A19478">
        <v>19477</v>
      </c>
      <c r="B19478">
        <v>1767372</v>
      </c>
      <c r="C19478" s="1" t="str">
        <f>HYPERLINK("http://stackoverflow.com/users/1767372", "saito")</f>
        <v>saito</v>
      </c>
      <c r="D19478" t="s">
        <v>4</v>
      </c>
      <c r="E19478">
        <v>1</v>
      </c>
    </row>
    <row r="19479" spans="1:5" x14ac:dyDescent="0.25">
      <c r="A19479">
        <v>19478</v>
      </c>
      <c r="B19479">
        <v>8987046</v>
      </c>
      <c r="C19479" s="1" t="str">
        <f>HYPERLINK("http://stackoverflow.com/users/8987046", "Dahyun")</f>
        <v>Dahyun</v>
      </c>
      <c r="D19479" t="s">
        <v>4</v>
      </c>
      <c r="E19479">
        <v>1</v>
      </c>
    </row>
    <row r="19480" spans="1:5" x14ac:dyDescent="0.25">
      <c r="A19480">
        <v>19479</v>
      </c>
      <c r="B19480">
        <v>1767573</v>
      </c>
      <c r="C19480" s="1" t="str">
        <f>HYPERLINK("http://stackoverflow.com/users/1767573", "lilo")</f>
        <v>lilo</v>
      </c>
      <c r="D19480" t="s">
        <v>37</v>
      </c>
      <c r="E19480">
        <v>1</v>
      </c>
    </row>
    <row r="19481" spans="1:5" x14ac:dyDescent="0.25">
      <c r="A19481">
        <v>19480</v>
      </c>
      <c r="B19481">
        <v>5383240</v>
      </c>
      <c r="C19481" s="1" t="str">
        <f>HYPERLINK("http://stackoverflow.com/users/5383240", "Kan")</f>
        <v>Kan</v>
      </c>
      <c r="D19481" t="s">
        <v>16</v>
      </c>
      <c r="E19481">
        <v>1</v>
      </c>
    </row>
    <row r="19482" spans="1:5" x14ac:dyDescent="0.25">
      <c r="A19482">
        <v>19481</v>
      </c>
      <c r="B19482">
        <v>8986729</v>
      </c>
      <c r="C19482" s="1" t="str">
        <f>HYPERLINK("http://stackoverflow.com/users/8986729", "孔伟民")</f>
        <v>孔伟民</v>
      </c>
      <c r="D19482" t="s">
        <v>58</v>
      </c>
      <c r="E19482">
        <v>1</v>
      </c>
    </row>
    <row r="19483" spans="1:5" x14ac:dyDescent="0.25">
      <c r="A19483">
        <v>19482</v>
      </c>
      <c r="B19483">
        <v>5375071</v>
      </c>
      <c r="C19483" s="1" t="str">
        <f>HYPERLINK("http://stackoverflow.com/users/5375071", "wangq0206")</f>
        <v>wangq0206</v>
      </c>
      <c r="D19483" t="s">
        <v>5</v>
      </c>
      <c r="E19483">
        <v>1</v>
      </c>
    </row>
    <row r="19484" spans="1:5" x14ac:dyDescent="0.25">
      <c r="A19484">
        <v>19483</v>
      </c>
      <c r="B19484">
        <v>5375242</v>
      </c>
      <c r="C19484" s="1" t="str">
        <f>HYPERLINK("http://stackoverflow.com/users/5375242", "李天宇")</f>
        <v>李天宇</v>
      </c>
      <c r="D19484" t="s">
        <v>5</v>
      </c>
      <c r="E19484">
        <v>1</v>
      </c>
    </row>
    <row r="19485" spans="1:5" x14ac:dyDescent="0.25">
      <c r="A19485">
        <v>19484</v>
      </c>
      <c r="B19485">
        <v>8998529</v>
      </c>
      <c r="C19485" s="1" t="str">
        <f>HYPERLINK("http://stackoverflow.com/users/8998529", "剑波田")</f>
        <v>剑波田</v>
      </c>
      <c r="D19485" t="s">
        <v>16</v>
      </c>
      <c r="E19485">
        <v>1</v>
      </c>
    </row>
    <row r="19486" spans="1:5" x14ac:dyDescent="0.25">
      <c r="A19486">
        <v>19485</v>
      </c>
      <c r="B19486">
        <v>9000347</v>
      </c>
      <c r="C19486" s="1" t="str">
        <f>HYPERLINK("http://stackoverflow.com/users/9000347", "Programmer2017")</f>
        <v>Programmer2017</v>
      </c>
      <c r="D19486" t="s">
        <v>28</v>
      </c>
      <c r="E19486">
        <v>1</v>
      </c>
    </row>
    <row r="19487" spans="1:5" x14ac:dyDescent="0.25">
      <c r="A19487">
        <v>19486</v>
      </c>
      <c r="B19487">
        <v>9000480</v>
      </c>
      <c r="C19487" s="1" t="str">
        <f>HYPERLINK("http://stackoverflow.com/users/9000480", "SIANJENG212")</f>
        <v>SIANJENG212</v>
      </c>
      <c r="D19487" t="s">
        <v>1042</v>
      </c>
      <c r="E19487">
        <v>1</v>
      </c>
    </row>
    <row r="19488" spans="1:5" x14ac:dyDescent="0.25">
      <c r="A19488">
        <v>19487</v>
      </c>
      <c r="B19488">
        <v>9000602</v>
      </c>
      <c r="C19488" s="1" t="str">
        <f>HYPERLINK("http://stackoverflow.com/users/9000602", "Haojie. Song")</f>
        <v>Haojie. Song</v>
      </c>
      <c r="D19488" t="s">
        <v>4</v>
      </c>
      <c r="E19488">
        <v>1</v>
      </c>
    </row>
    <row r="19489" spans="1:5" x14ac:dyDescent="0.25">
      <c r="A19489">
        <v>19488</v>
      </c>
      <c r="B19489">
        <v>9000608</v>
      </c>
      <c r="C19489" s="1" t="str">
        <f>HYPERLINK("http://stackoverflow.com/users/9000608", "Y. Tian")</f>
        <v>Y. Tian</v>
      </c>
      <c r="D19489" t="s">
        <v>16</v>
      </c>
      <c r="E19489">
        <v>1</v>
      </c>
    </row>
    <row r="19490" spans="1:5" x14ac:dyDescent="0.25">
      <c r="A19490">
        <v>19489</v>
      </c>
      <c r="B19490">
        <v>3588443</v>
      </c>
      <c r="C19490" s="1" t="str">
        <f>HYPERLINK("http://stackoverflow.com/users/3588443", "Scott Hsu")</f>
        <v>Scott Hsu</v>
      </c>
      <c r="D19490" t="s">
        <v>4</v>
      </c>
      <c r="E19490">
        <v>1</v>
      </c>
    </row>
    <row r="19491" spans="1:5" x14ac:dyDescent="0.25">
      <c r="A19491">
        <v>19490</v>
      </c>
      <c r="B19491">
        <v>1767645</v>
      </c>
      <c r="C19491" s="1" t="str">
        <f>HYPERLINK("http://stackoverflow.com/users/1767645", "laihj")</f>
        <v>laihj</v>
      </c>
      <c r="D19491" t="s">
        <v>5</v>
      </c>
      <c r="E19491">
        <v>1</v>
      </c>
    </row>
    <row r="19492" spans="1:5" x14ac:dyDescent="0.25">
      <c r="A19492">
        <v>19491</v>
      </c>
      <c r="B19492">
        <v>1767682</v>
      </c>
      <c r="C19492" s="1" t="str">
        <f>HYPERLINK("http://stackoverflow.com/users/1767682", "william")</f>
        <v>william</v>
      </c>
      <c r="D19492" t="s">
        <v>34</v>
      </c>
      <c r="E19492">
        <v>1</v>
      </c>
    </row>
    <row r="19493" spans="1:5" x14ac:dyDescent="0.25">
      <c r="A19493">
        <v>19492</v>
      </c>
      <c r="B19493">
        <v>10808876</v>
      </c>
      <c r="C19493" s="1" t="str">
        <f>HYPERLINK("http://stackoverflow.com/users/10808876", "xueying")</f>
        <v>xueying</v>
      </c>
      <c r="D19493" t="s">
        <v>4</v>
      </c>
      <c r="E19493">
        <v>1</v>
      </c>
    </row>
    <row r="19494" spans="1:5" x14ac:dyDescent="0.25">
      <c r="A19494">
        <v>19493</v>
      </c>
      <c r="B19494">
        <v>10809146</v>
      </c>
      <c r="C19494" s="1" t="str">
        <f>HYPERLINK("http://stackoverflow.com/users/10809146", "KenTam")</f>
        <v>KenTam</v>
      </c>
      <c r="D19494" t="s">
        <v>4</v>
      </c>
      <c r="E19494">
        <v>1</v>
      </c>
    </row>
    <row r="19495" spans="1:5" x14ac:dyDescent="0.25">
      <c r="A19495">
        <v>19494</v>
      </c>
      <c r="B19495">
        <v>7155203</v>
      </c>
      <c r="C19495" s="1" t="str">
        <f>HYPERLINK("http://stackoverflow.com/users/7155203", "user7155203")</f>
        <v>user7155203</v>
      </c>
      <c r="D19495" t="s">
        <v>8</v>
      </c>
      <c r="E19495">
        <v>1</v>
      </c>
    </row>
    <row r="19496" spans="1:5" x14ac:dyDescent="0.25">
      <c r="A19496">
        <v>19495</v>
      </c>
      <c r="B19496">
        <v>7155256</v>
      </c>
      <c r="C19496" s="1" t="str">
        <f>HYPERLINK("http://stackoverflow.com/users/7155256", "HanbingLeng")</f>
        <v>HanbingLeng</v>
      </c>
      <c r="D19496" t="s">
        <v>19</v>
      </c>
      <c r="E19496">
        <v>1</v>
      </c>
    </row>
    <row r="19497" spans="1:5" x14ac:dyDescent="0.25">
      <c r="A19497">
        <v>19496</v>
      </c>
      <c r="B19497">
        <v>7155409</v>
      </c>
      <c r="C19497" s="1" t="str">
        <f>HYPERLINK("http://stackoverflow.com/users/7155409", "dyrone")</f>
        <v>dyrone</v>
      </c>
      <c r="D19497" t="s">
        <v>16</v>
      </c>
      <c r="E19497">
        <v>1</v>
      </c>
    </row>
    <row r="19498" spans="1:5" x14ac:dyDescent="0.25">
      <c r="A19498">
        <v>19497</v>
      </c>
      <c r="B19498">
        <v>7155505</v>
      </c>
      <c r="C19498" s="1" t="str">
        <f>HYPERLINK("http://stackoverflow.com/users/7155505", "Jeet")</f>
        <v>Jeet</v>
      </c>
      <c r="D19498" t="s">
        <v>4</v>
      </c>
      <c r="E19498">
        <v>1</v>
      </c>
    </row>
    <row r="19499" spans="1:5" x14ac:dyDescent="0.25">
      <c r="A19499">
        <v>19498</v>
      </c>
      <c r="B19499">
        <v>1784569</v>
      </c>
      <c r="C19499" s="1" t="str">
        <f>HYPERLINK("http://stackoverflow.com/users/1784569", "Herman")</f>
        <v>Herman</v>
      </c>
      <c r="D19499" t="s">
        <v>54</v>
      </c>
      <c r="E19499">
        <v>1</v>
      </c>
    </row>
    <row r="19500" spans="1:5" x14ac:dyDescent="0.25">
      <c r="A19500">
        <v>19499</v>
      </c>
      <c r="B19500">
        <v>10809280</v>
      </c>
      <c r="C19500" s="1" t="str">
        <f>HYPERLINK("http://stackoverflow.com/users/10809280", "aisha")</f>
        <v>aisha</v>
      </c>
      <c r="D19500" t="s">
        <v>4</v>
      </c>
      <c r="E19500">
        <v>1</v>
      </c>
    </row>
    <row r="19501" spans="1:5" x14ac:dyDescent="0.25">
      <c r="A19501">
        <v>19500</v>
      </c>
      <c r="B19501">
        <v>1784367</v>
      </c>
      <c r="C19501" s="1" t="str">
        <f>HYPERLINK("http://stackoverflow.com/users/1784367", "Michyo")</f>
        <v>Michyo</v>
      </c>
      <c r="D19501" t="s">
        <v>4</v>
      </c>
      <c r="E19501">
        <v>1</v>
      </c>
    </row>
    <row r="19502" spans="1:5" x14ac:dyDescent="0.25">
      <c r="A19502">
        <v>19501</v>
      </c>
      <c r="B19502">
        <v>1784451</v>
      </c>
      <c r="C19502" s="1" t="str">
        <f>HYPERLINK("http://stackoverflow.com/users/1784451", "lmice")</f>
        <v>lmice</v>
      </c>
      <c r="D19502" t="s">
        <v>5</v>
      </c>
      <c r="E19502">
        <v>1</v>
      </c>
    </row>
    <row r="19503" spans="1:5" x14ac:dyDescent="0.25">
      <c r="A19503">
        <v>19502</v>
      </c>
      <c r="B19503">
        <v>3595232</v>
      </c>
      <c r="C19503" s="1" t="str">
        <f>HYPERLINK("http://stackoverflow.com/users/3595232", "ledonglin")</f>
        <v>ledonglin</v>
      </c>
      <c r="D19503" t="s">
        <v>12</v>
      </c>
      <c r="E19503">
        <v>1</v>
      </c>
    </row>
    <row r="19504" spans="1:5" x14ac:dyDescent="0.25">
      <c r="A19504">
        <v>19503</v>
      </c>
      <c r="B19504">
        <v>7152223</v>
      </c>
      <c r="C19504" s="1" t="str">
        <f>HYPERLINK("http://stackoverflow.com/users/7152223", "James Linus")</f>
        <v>James Linus</v>
      </c>
      <c r="D19504" t="s">
        <v>5</v>
      </c>
      <c r="E19504">
        <v>1</v>
      </c>
    </row>
    <row r="19505" spans="1:5" x14ac:dyDescent="0.25">
      <c r="A19505">
        <v>19504</v>
      </c>
      <c r="B19505">
        <v>5395598</v>
      </c>
      <c r="C19505" s="1" t="str">
        <f>HYPERLINK("http://stackoverflow.com/users/5395598", "WuShaohua")</f>
        <v>WuShaohua</v>
      </c>
      <c r="D19505" t="s">
        <v>5</v>
      </c>
      <c r="E19505">
        <v>1</v>
      </c>
    </row>
    <row r="19506" spans="1:5" x14ac:dyDescent="0.25">
      <c r="A19506">
        <v>19505</v>
      </c>
      <c r="B19506">
        <v>5395599</v>
      </c>
      <c r="C19506" s="1" t="str">
        <f>HYPERLINK("http://stackoverflow.com/users/5395599", "CameloeAnthony")</f>
        <v>CameloeAnthony</v>
      </c>
      <c r="D19506" t="s">
        <v>22</v>
      </c>
      <c r="E19506">
        <v>1</v>
      </c>
    </row>
    <row r="19507" spans="1:5" x14ac:dyDescent="0.25">
      <c r="A19507">
        <v>19506</v>
      </c>
      <c r="B19507">
        <v>3588492</v>
      </c>
      <c r="C19507" s="1" t="str">
        <f>HYPERLINK("http://stackoverflow.com/users/3588492", "user3588492")</f>
        <v>user3588492</v>
      </c>
      <c r="D19507" t="s">
        <v>5</v>
      </c>
      <c r="E19507">
        <v>1</v>
      </c>
    </row>
    <row r="19508" spans="1:5" x14ac:dyDescent="0.25">
      <c r="A19508">
        <v>19507</v>
      </c>
      <c r="B19508">
        <v>1773036</v>
      </c>
      <c r="C19508" s="1" t="str">
        <f>HYPERLINK("http://stackoverflow.com/users/1773036", "mosesandcat")</f>
        <v>mosesandcat</v>
      </c>
      <c r="D19508" t="s">
        <v>21</v>
      </c>
      <c r="E19508">
        <v>1</v>
      </c>
    </row>
    <row r="19509" spans="1:5" x14ac:dyDescent="0.25">
      <c r="A19509">
        <v>19508</v>
      </c>
      <c r="B19509">
        <v>1773173</v>
      </c>
      <c r="C19509" s="1" t="str">
        <f>HYPERLINK("http://stackoverflow.com/users/1773173", "Alexhex")</f>
        <v>Alexhex</v>
      </c>
      <c r="D19509" t="s">
        <v>4</v>
      </c>
      <c r="E19509">
        <v>1</v>
      </c>
    </row>
    <row r="19510" spans="1:5" x14ac:dyDescent="0.25">
      <c r="A19510">
        <v>19509</v>
      </c>
      <c r="B19510">
        <v>1773310</v>
      </c>
      <c r="C19510" s="1" t="str">
        <f>HYPERLINK("http://stackoverflow.com/users/1773310", "Michael Xing")</f>
        <v>Michael Xing</v>
      </c>
      <c r="D19510" t="s">
        <v>5</v>
      </c>
      <c r="E19510">
        <v>1</v>
      </c>
    </row>
    <row r="19511" spans="1:5" x14ac:dyDescent="0.25">
      <c r="A19511">
        <v>19510</v>
      </c>
      <c r="B19511">
        <v>1773331</v>
      </c>
      <c r="C19511" s="1" t="str">
        <f>HYPERLINK("http://stackoverflow.com/users/1773331", "user1773331")</f>
        <v>user1773331</v>
      </c>
      <c r="D19511" t="s">
        <v>37</v>
      </c>
      <c r="E19511">
        <v>1</v>
      </c>
    </row>
    <row r="19512" spans="1:5" x14ac:dyDescent="0.25">
      <c r="A19512">
        <v>19511</v>
      </c>
      <c r="B19512">
        <v>1773453</v>
      </c>
      <c r="C19512" s="1" t="str">
        <f>HYPERLINK("http://stackoverflow.com/users/1773453", "Hunter")</f>
        <v>Hunter</v>
      </c>
      <c r="D19512" t="s">
        <v>5</v>
      </c>
      <c r="E19512">
        <v>1</v>
      </c>
    </row>
    <row r="19513" spans="1:5" x14ac:dyDescent="0.25">
      <c r="A19513">
        <v>19512</v>
      </c>
      <c r="B19513">
        <v>7181106</v>
      </c>
      <c r="C19513" s="1" t="str">
        <f>HYPERLINK("http://stackoverflow.com/users/7181106", "zhenhao zheng")</f>
        <v>zhenhao zheng</v>
      </c>
      <c r="D19513" t="s">
        <v>16</v>
      </c>
      <c r="E19513">
        <v>1</v>
      </c>
    </row>
    <row r="19514" spans="1:5" x14ac:dyDescent="0.25">
      <c r="A19514">
        <v>19513</v>
      </c>
      <c r="B19514">
        <v>7177663</v>
      </c>
      <c r="C19514" s="1" t="str">
        <f>HYPERLINK("http://stackoverflow.com/users/7177663", "Xu Ning")</f>
        <v>Xu Ning</v>
      </c>
      <c r="D19514" t="s">
        <v>4</v>
      </c>
      <c r="E19514">
        <v>1</v>
      </c>
    </row>
    <row r="19515" spans="1:5" x14ac:dyDescent="0.25">
      <c r="A19515">
        <v>19514</v>
      </c>
      <c r="B19515">
        <v>5422120</v>
      </c>
      <c r="C19515" s="1" t="str">
        <f>HYPERLINK("http://stackoverflow.com/users/5422120", "aliceyywang")</f>
        <v>aliceyywang</v>
      </c>
      <c r="D19515" t="s">
        <v>4</v>
      </c>
      <c r="E19515">
        <v>1</v>
      </c>
    </row>
    <row r="19516" spans="1:5" x14ac:dyDescent="0.25">
      <c r="A19516">
        <v>19515</v>
      </c>
      <c r="B19516">
        <v>9042481</v>
      </c>
      <c r="C19516" s="1" t="str">
        <f>HYPERLINK("http://stackoverflow.com/users/9042481", "Xin_Wang")</f>
        <v>Xin_Wang</v>
      </c>
      <c r="D19516" t="s">
        <v>55</v>
      </c>
      <c r="E19516">
        <v>1</v>
      </c>
    </row>
    <row r="19517" spans="1:5" x14ac:dyDescent="0.25">
      <c r="A19517">
        <v>19516</v>
      </c>
      <c r="B19517">
        <v>7165961</v>
      </c>
      <c r="C19517" s="1" t="str">
        <f>HYPERLINK("http://stackoverflow.com/users/7165961", "xiaofan li")</f>
        <v>xiaofan li</v>
      </c>
      <c r="D19517" t="s">
        <v>22</v>
      </c>
      <c r="E19517">
        <v>1</v>
      </c>
    </row>
    <row r="19518" spans="1:5" x14ac:dyDescent="0.25">
      <c r="A19518">
        <v>19517</v>
      </c>
      <c r="B19518">
        <v>10830827</v>
      </c>
      <c r="C19518" s="1" t="str">
        <f>HYPERLINK("http://stackoverflow.com/users/10830827", "Jia YiZhi")</f>
        <v>Jia YiZhi</v>
      </c>
      <c r="D19518" t="s">
        <v>28</v>
      </c>
      <c r="E19518">
        <v>1</v>
      </c>
    </row>
    <row r="19519" spans="1:5" x14ac:dyDescent="0.25">
      <c r="A19519">
        <v>19518</v>
      </c>
      <c r="B19519">
        <v>10830947</v>
      </c>
      <c r="C19519" s="1" t="str">
        <f>HYPERLINK("http://stackoverflow.com/users/10830947", "ZHAI ZHE")</f>
        <v>ZHAI ZHE</v>
      </c>
      <c r="D19519" t="s">
        <v>5</v>
      </c>
      <c r="E19519">
        <v>1</v>
      </c>
    </row>
    <row r="19520" spans="1:5" x14ac:dyDescent="0.25">
      <c r="A19520">
        <v>19519</v>
      </c>
      <c r="B19520">
        <v>10830980</v>
      </c>
      <c r="C19520" s="1" t="str">
        <f>HYPERLINK("http://stackoverflow.com/users/10830980", "Yongxue Hong")</f>
        <v>Yongxue Hong</v>
      </c>
      <c r="D19520" t="s">
        <v>5</v>
      </c>
      <c r="E19520">
        <v>1</v>
      </c>
    </row>
    <row r="19521" spans="1:5" x14ac:dyDescent="0.25">
      <c r="A19521">
        <v>19520</v>
      </c>
      <c r="B19521">
        <v>1784760</v>
      </c>
      <c r="C19521" s="1" t="str">
        <f>HYPERLINK("http://stackoverflow.com/users/1784760", "Jerry GaGa")</f>
        <v>Jerry GaGa</v>
      </c>
      <c r="D19521" t="s">
        <v>5</v>
      </c>
      <c r="E19521">
        <v>1</v>
      </c>
    </row>
    <row r="19522" spans="1:5" x14ac:dyDescent="0.25">
      <c r="A19522">
        <v>19521</v>
      </c>
      <c r="B19522">
        <v>1785905</v>
      </c>
      <c r="C19522" s="1" t="str">
        <f>HYPERLINK("http://stackoverflow.com/users/1785905", "Marco.hu")</f>
        <v>Marco.hu</v>
      </c>
      <c r="D19522" t="s">
        <v>21</v>
      </c>
      <c r="E19522">
        <v>1</v>
      </c>
    </row>
    <row r="19523" spans="1:5" x14ac:dyDescent="0.25">
      <c r="A19523">
        <v>19522</v>
      </c>
      <c r="B19523">
        <v>7166109</v>
      </c>
      <c r="C19523" s="1" t="str">
        <f>HYPERLINK("http://stackoverflow.com/users/7166109", "Jian Yang")</f>
        <v>Jian Yang</v>
      </c>
      <c r="D19523" t="s">
        <v>4</v>
      </c>
      <c r="E19523">
        <v>1</v>
      </c>
    </row>
    <row r="19524" spans="1:5" x14ac:dyDescent="0.25">
      <c r="A19524">
        <v>19523</v>
      </c>
      <c r="B19524">
        <v>3606922</v>
      </c>
      <c r="C19524" s="1" t="str">
        <f>HYPERLINK("http://stackoverflow.com/users/3606922", "fanxl12")</f>
        <v>fanxl12</v>
      </c>
      <c r="D19524" t="s">
        <v>4</v>
      </c>
      <c r="E19524">
        <v>1</v>
      </c>
    </row>
    <row r="19525" spans="1:5" x14ac:dyDescent="0.25">
      <c r="A19525">
        <v>19524</v>
      </c>
      <c r="B19525">
        <v>3611316</v>
      </c>
      <c r="C19525" s="1" t="str">
        <f>HYPERLINK("http://stackoverflow.com/users/3611316", "user3611316")</f>
        <v>user3611316</v>
      </c>
      <c r="D19525" t="s">
        <v>22</v>
      </c>
      <c r="E19525">
        <v>1</v>
      </c>
    </row>
    <row r="19526" spans="1:5" x14ac:dyDescent="0.25">
      <c r="A19526">
        <v>19525</v>
      </c>
      <c r="B19526">
        <v>7170620</v>
      </c>
      <c r="C19526" s="1" t="str">
        <f>HYPERLINK("http://stackoverflow.com/users/7170620", "Chuang")</f>
        <v>Chuang</v>
      </c>
      <c r="D19526" t="s">
        <v>4</v>
      </c>
      <c r="E19526">
        <v>1</v>
      </c>
    </row>
    <row r="19527" spans="1:5" x14ac:dyDescent="0.25">
      <c r="A19527">
        <v>19526</v>
      </c>
      <c r="B19527">
        <v>9026846</v>
      </c>
      <c r="C19527" s="1" t="str">
        <f>HYPERLINK("http://stackoverflow.com/users/9026846", "J. Wang")</f>
        <v>J. Wang</v>
      </c>
      <c r="D19527" t="s">
        <v>1043</v>
      </c>
      <c r="E19527">
        <v>1</v>
      </c>
    </row>
    <row r="19528" spans="1:5" x14ac:dyDescent="0.25">
      <c r="A19528">
        <v>19527</v>
      </c>
      <c r="B19528">
        <v>9026906</v>
      </c>
      <c r="C19528" s="1" t="str">
        <f>HYPERLINK("http://stackoverflow.com/users/9026906", "Kaan Tig")</f>
        <v>Kaan Tig</v>
      </c>
      <c r="D19528" t="s">
        <v>1044</v>
      </c>
      <c r="E19528">
        <v>1</v>
      </c>
    </row>
    <row r="19529" spans="1:5" x14ac:dyDescent="0.25">
      <c r="A19529">
        <v>19528</v>
      </c>
      <c r="B19529">
        <v>3598561</v>
      </c>
      <c r="C19529" s="1" t="str">
        <f>HYPERLINK("http://stackoverflow.com/users/3598561", "tchason")</f>
        <v>tchason</v>
      </c>
      <c r="D19529" t="s">
        <v>5</v>
      </c>
      <c r="E19529">
        <v>1</v>
      </c>
    </row>
    <row r="19530" spans="1:5" x14ac:dyDescent="0.25">
      <c r="A19530">
        <v>19529</v>
      </c>
      <c r="B19530">
        <v>3598729</v>
      </c>
      <c r="C19530" s="1" t="str">
        <f>HYPERLINK("http://stackoverflow.com/users/3598729", "Jan")</f>
        <v>Jan</v>
      </c>
      <c r="D19530" t="s">
        <v>22</v>
      </c>
      <c r="E19530">
        <v>1</v>
      </c>
    </row>
    <row r="19531" spans="1:5" x14ac:dyDescent="0.25">
      <c r="A19531">
        <v>19530</v>
      </c>
      <c r="B19531">
        <v>9014077</v>
      </c>
      <c r="C19531" s="1" t="str">
        <f>HYPERLINK("http://stackoverflow.com/users/9014077", "skyfore")</f>
        <v>skyfore</v>
      </c>
      <c r="D19531" t="s">
        <v>4</v>
      </c>
      <c r="E19531">
        <v>1</v>
      </c>
    </row>
    <row r="19532" spans="1:5" x14ac:dyDescent="0.25">
      <c r="A19532">
        <v>19531</v>
      </c>
      <c r="B19532">
        <v>9017832</v>
      </c>
      <c r="C19532" s="1" t="str">
        <f>HYPERLINK("http://stackoverflow.com/users/9017832", "chenzeshenga")</f>
        <v>chenzeshenga</v>
      </c>
      <c r="D19532" t="s">
        <v>4</v>
      </c>
      <c r="E19532">
        <v>1</v>
      </c>
    </row>
    <row r="19533" spans="1:5" x14ac:dyDescent="0.25">
      <c r="A19533">
        <v>19532</v>
      </c>
      <c r="B19533">
        <v>9018065</v>
      </c>
      <c r="C19533" s="1" t="str">
        <f>HYPERLINK("http://stackoverflow.com/users/9018065", "F. Xie")</f>
        <v>F. Xie</v>
      </c>
      <c r="D19533" t="s">
        <v>120</v>
      </c>
      <c r="E19533">
        <v>1</v>
      </c>
    </row>
    <row r="19534" spans="1:5" x14ac:dyDescent="0.25">
      <c r="A19534">
        <v>19533</v>
      </c>
      <c r="B19534">
        <v>9018286</v>
      </c>
      <c r="C19534" s="1" t="str">
        <f>HYPERLINK("http://stackoverflow.com/users/9018286", "Leon Qin")</f>
        <v>Leon Qin</v>
      </c>
      <c r="D19534" t="s">
        <v>4</v>
      </c>
      <c r="E19534">
        <v>1</v>
      </c>
    </row>
    <row r="19535" spans="1:5" x14ac:dyDescent="0.25">
      <c r="A19535">
        <v>19534</v>
      </c>
      <c r="B19535">
        <v>9018331</v>
      </c>
      <c r="C19535" s="1" t="str">
        <f>HYPERLINK("http://stackoverflow.com/users/9018331", "Marian Gappa")</f>
        <v>Marian Gappa</v>
      </c>
      <c r="D19535" t="s">
        <v>5</v>
      </c>
      <c r="E19535">
        <v>1</v>
      </c>
    </row>
    <row r="19536" spans="1:5" x14ac:dyDescent="0.25">
      <c r="A19536">
        <v>19535</v>
      </c>
      <c r="B19536">
        <v>9018457</v>
      </c>
      <c r="C19536" s="1" t="str">
        <f>HYPERLINK("http://stackoverflow.com/users/9018457", "Xiaopei")</f>
        <v>Xiaopei</v>
      </c>
      <c r="D19536" t="s">
        <v>4</v>
      </c>
      <c r="E19536">
        <v>1</v>
      </c>
    </row>
    <row r="19537" spans="1:5" x14ac:dyDescent="0.25">
      <c r="A19537">
        <v>19536</v>
      </c>
      <c r="B19537">
        <v>3602918</v>
      </c>
      <c r="C19537" s="1" t="str">
        <f>HYPERLINK("http://stackoverflow.com/users/3602918", "Carmine")</f>
        <v>Carmine</v>
      </c>
      <c r="D19537" t="s">
        <v>16</v>
      </c>
      <c r="E19537">
        <v>1</v>
      </c>
    </row>
    <row r="19538" spans="1:5" x14ac:dyDescent="0.25">
      <c r="A19538">
        <v>19537</v>
      </c>
      <c r="B19538">
        <v>3603000</v>
      </c>
      <c r="C19538" s="1" t="str">
        <f>HYPERLINK("http://stackoverflow.com/users/3603000", "SoulReaper")</f>
        <v>SoulReaper</v>
      </c>
      <c r="D19538" t="s">
        <v>4</v>
      </c>
      <c r="E19538">
        <v>1</v>
      </c>
    </row>
    <row r="19539" spans="1:5" x14ac:dyDescent="0.25">
      <c r="A19539">
        <v>19538</v>
      </c>
      <c r="B19539">
        <v>7181600</v>
      </c>
      <c r="C19539" s="1" t="str">
        <f>HYPERLINK("http://stackoverflow.com/users/7181600", "张慧聪")</f>
        <v>张慧聪</v>
      </c>
      <c r="D19539" t="s">
        <v>5</v>
      </c>
      <c r="E19539">
        <v>1</v>
      </c>
    </row>
    <row r="19540" spans="1:5" x14ac:dyDescent="0.25">
      <c r="A19540">
        <v>19539</v>
      </c>
      <c r="B19540">
        <v>10838447</v>
      </c>
      <c r="C19540" s="1" t="str">
        <f>HYPERLINK("http://stackoverflow.com/users/10838447", "YANG")</f>
        <v>YANG</v>
      </c>
      <c r="D19540" t="s">
        <v>78</v>
      </c>
      <c r="E19540">
        <v>1</v>
      </c>
    </row>
    <row r="19541" spans="1:5" x14ac:dyDescent="0.25">
      <c r="A19541">
        <v>19540</v>
      </c>
      <c r="B19541">
        <v>10838528</v>
      </c>
      <c r="C19541" s="1" t="str">
        <f>HYPERLINK("http://stackoverflow.com/users/10838528", "Niko")</f>
        <v>Niko</v>
      </c>
      <c r="D19541" t="s">
        <v>13</v>
      </c>
      <c r="E19541">
        <v>1</v>
      </c>
    </row>
    <row r="19542" spans="1:5" x14ac:dyDescent="0.25">
      <c r="A19542">
        <v>19541</v>
      </c>
      <c r="B19542">
        <v>5425501</v>
      </c>
      <c r="C19542" s="1" t="str">
        <f>HYPERLINK("http://stackoverflow.com/users/5425501", "Vincent Echo")</f>
        <v>Vincent Echo</v>
      </c>
      <c r="D19542" t="s">
        <v>17</v>
      </c>
      <c r="E19542">
        <v>1</v>
      </c>
    </row>
    <row r="19543" spans="1:5" x14ac:dyDescent="0.25">
      <c r="A19543">
        <v>19542</v>
      </c>
      <c r="B19543">
        <v>9046479</v>
      </c>
      <c r="C19543" s="1" t="str">
        <f>HYPERLINK("http://stackoverflow.com/users/9046479", "WinnoChan")</f>
        <v>WinnoChan</v>
      </c>
      <c r="D19543" t="s">
        <v>25</v>
      </c>
      <c r="E19543">
        <v>1</v>
      </c>
    </row>
    <row r="19544" spans="1:5" x14ac:dyDescent="0.25">
      <c r="A19544">
        <v>19543</v>
      </c>
      <c r="B19544">
        <v>7184478</v>
      </c>
      <c r="C19544" s="1" t="str">
        <f>HYPERLINK("http://stackoverflow.com/users/7184478", "Tom jdyo")</f>
        <v>Tom jdyo</v>
      </c>
      <c r="D19544" t="s">
        <v>52</v>
      </c>
      <c r="E19544">
        <v>1</v>
      </c>
    </row>
    <row r="19545" spans="1:5" x14ac:dyDescent="0.25">
      <c r="A19545">
        <v>19544</v>
      </c>
      <c r="B19545">
        <v>7184819</v>
      </c>
      <c r="C19545" s="1" t="str">
        <f>HYPERLINK("http://stackoverflow.com/users/7184819", "Zion Qao")</f>
        <v>Zion Qao</v>
      </c>
      <c r="D19545" t="s">
        <v>4</v>
      </c>
      <c r="E19545">
        <v>1</v>
      </c>
    </row>
    <row r="19546" spans="1:5" x14ac:dyDescent="0.25">
      <c r="A19546">
        <v>19545</v>
      </c>
      <c r="B19546">
        <v>7184855</v>
      </c>
      <c r="C19546" s="1" t="str">
        <f>HYPERLINK("http://stackoverflow.com/users/7184855", "Jahanzeb Jabbar")</f>
        <v>Jahanzeb Jabbar</v>
      </c>
      <c r="D19546" t="s">
        <v>5</v>
      </c>
      <c r="E19546">
        <v>1</v>
      </c>
    </row>
    <row r="19547" spans="1:5" x14ac:dyDescent="0.25">
      <c r="A19547">
        <v>19546</v>
      </c>
      <c r="B19547">
        <v>9051250</v>
      </c>
      <c r="C19547" s="1" t="str">
        <f>HYPERLINK("http://stackoverflow.com/users/9051250", "Kevin Ji")</f>
        <v>Kevin Ji</v>
      </c>
      <c r="D19547" t="s">
        <v>4</v>
      </c>
      <c r="E19547">
        <v>1</v>
      </c>
    </row>
    <row r="19548" spans="1:5" x14ac:dyDescent="0.25">
      <c r="A19548">
        <v>19547</v>
      </c>
      <c r="B19548">
        <v>5432376</v>
      </c>
      <c r="C19548" s="1" t="str">
        <f>HYPERLINK("http://stackoverflow.com/users/5432376", "M.C wang")</f>
        <v>M.C wang</v>
      </c>
      <c r="D19548" t="s">
        <v>5</v>
      </c>
      <c r="E19548">
        <v>1</v>
      </c>
    </row>
    <row r="19549" spans="1:5" x14ac:dyDescent="0.25">
      <c r="A19549">
        <v>19548</v>
      </c>
      <c r="B19549">
        <v>5432722</v>
      </c>
      <c r="C19549" s="1" t="str">
        <f>HYPERLINK("http://stackoverflow.com/users/5432722", "Rabbit Lee")</f>
        <v>Rabbit Lee</v>
      </c>
      <c r="D19549" t="s">
        <v>4</v>
      </c>
      <c r="E19549">
        <v>1</v>
      </c>
    </row>
    <row r="19550" spans="1:5" x14ac:dyDescent="0.25">
      <c r="A19550">
        <v>19549</v>
      </c>
      <c r="B19550">
        <v>7192399</v>
      </c>
      <c r="C19550" s="1" t="str">
        <f>HYPERLINK("http://stackoverflow.com/users/7192399", "D Dream")</f>
        <v>D Dream</v>
      </c>
      <c r="D19550" t="s">
        <v>52</v>
      </c>
      <c r="E19550">
        <v>1</v>
      </c>
    </row>
    <row r="19551" spans="1:5" x14ac:dyDescent="0.25">
      <c r="A19551">
        <v>19550</v>
      </c>
      <c r="B19551">
        <v>9055518</v>
      </c>
      <c r="C19551" s="1" t="str">
        <f>HYPERLINK("http://stackoverflow.com/users/9055518", "Chen Geng")</f>
        <v>Chen Geng</v>
      </c>
      <c r="D19551" t="s">
        <v>74</v>
      </c>
      <c r="E19551">
        <v>1</v>
      </c>
    </row>
    <row r="19552" spans="1:5" x14ac:dyDescent="0.25">
      <c r="A19552">
        <v>19551</v>
      </c>
      <c r="B19552">
        <v>9059636</v>
      </c>
      <c r="C19552" s="1" t="str">
        <f>HYPERLINK("http://stackoverflow.com/users/9059636", "Jx Wang")</f>
        <v>Jx Wang</v>
      </c>
      <c r="D19552" t="s">
        <v>367</v>
      </c>
      <c r="E19552">
        <v>1</v>
      </c>
    </row>
    <row r="19553" spans="1:5" x14ac:dyDescent="0.25">
      <c r="A19553">
        <v>19552</v>
      </c>
      <c r="B19553">
        <v>5440315</v>
      </c>
      <c r="C19553" s="1" t="str">
        <f>HYPERLINK("http://stackoverflow.com/users/5440315", "Li Sen")</f>
        <v>Li Sen</v>
      </c>
      <c r="D19553" t="s">
        <v>5</v>
      </c>
      <c r="E19553">
        <v>1</v>
      </c>
    </row>
    <row r="19554" spans="1:5" x14ac:dyDescent="0.25">
      <c r="A19554">
        <v>19553</v>
      </c>
      <c r="B19554">
        <v>5440399</v>
      </c>
      <c r="C19554" s="1" t="str">
        <f>HYPERLINK("http://stackoverflow.com/users/5440399", "leiws")</f>
        <v>leiws</v>
      </c>
      <c r="D19554" t="s">
        <v>1045</v>
      </c>
      <c r="E19554">
        <v>1</v>
      </c>
    </row>
    <row r="19555" spans="1:5" x14ac:dyDescent="0.25">
      <c r="A19555">
        <v>19554</v>
      </c>
      <c r="B19555">
        <v>5432857</v>
      </c>
      <c r="C19555" s="1" t="str">
        <f>HYPERLINK("http://stackoverflow.com/users/5432857", "Yang Yu")</f>
        <v>Yang Yu</v>
      </c>
      <c r="D19555" t="s">
        <v>55</v>
      </c>
      <c r="E19555">
        <v>1</v>
      </c>
    </row>
    <row r="19556" spans="1:5" x14ac:dyDescent="0.25">
      <c r="A19556">
        <v>19555</v>
      </c>
      <c r="B19556">
        <v>5432914</v>
      </c>
      <c r="C19556" s="1" t="str">
        <f>HYPERLINK("http://stackoverflow.com/users/5432914", "JingerNut")</f>
        <v>JingerNut</v>
      </c>
      <c r="D19556" t="s">
        <v>4</v>
      </c>
      <c r="E19556">
        <v>1</v>
      </c>
    </row>
    <row r="19557" spans="1:5" x14ac:dyDescent="0.25">
      <c r="A19557">
        <v>19556</v>
      </c>
      <c r="B19557">
        <v>3631073</v>
      </c>
      <c r="C19557" s="1" t="str">
        <f>HYPERLINK("http://stackoverflow.com/users/3631073", "zog")</f>
        <v>zog</v>
      </c>
      <c r="D19557" t="s">
        <v>4</v>
      </c>
      <c r="E19557">
        <v>1</v>
      </c>
    </row>
    <row r="19558" spans="1:5" x14ac:dyDescent="0.25">
      <c r="A19558">
        <v>19557</v>
      </c>
      <c r="B19558">
        <v>3631390</v>
      </c>
      <c r="C19558" s="1" t="str">
        <f>HYPERLINK("http://stackoverflow.com/users/3631390", "Wang Cankun")</f>
        <v>Wang Cankun</v>
      </c>
      <c r="D19558" t="s">
        <v>66</v>
      </c>
      <c r="E19558">
        <v>1</v>
      </c>
    </row>
    <row r="19559" spans="1:5" x14ac:dyDescent="0.25">
      <c r="A19559">
        <v>19558</v>
      </c>
      <c r="B19559">
        <v>3631418</v>
      </c>
      <c r="C19559" s="1" t="str">
        <f>HYPERLINK("http://stackoverflow.com/users/3631418", "Cain.Zhong")</f>
        <v>Cain.Zhong</v>
      </c>
      <c r="D19559" t="s">
        <v>4</v>
      </c>
      <c r="E19559">
        <v>1</v>
      </c>
    </row>
    <row r="19560" spans="1:5" x14ac:dyDescent="0.25">
      <c r="A19560">
        <v>19559</v>
      </c>
      <c r="B19560">
        <v>3631996</v>
      </c>
      <c r="C19560" s="1" t="str">
        <f>HYPERLINK("http://stackoverflow.com/users/3631996", "wilsonmk")</f>
        <v>wilsonmk</v>
      </c>
      <c r="D19560" t="s">
        <v>17</v>
      </c>
      <c r="E19560">
        <v>1</v>
      </c>
    </row>
    <row r="19561" spans="1:5" x14ac:dyDescent="0.25">
      <c r="A19561">
        <v>19560</v>
      </c>
      <c r="B19561">
        <v>10846694</v>
      </c>
      <c r="C19561" s="1" t="str">
        <f>HYPERLINK("http://stackoverflow.com/users/10846694", "Ahmad Khan")</f>
        <v>Ahmad Khan</v>
      </c>
      <c r="D19561" t="s">
        <v>5</v>
      </c>
      <c r="E19561">
        <v>1</v>
      </c>
    </row>
    <row r="19562" spans="1:5" x14ac:dyDescent="0.25">
      <c r="A19562">
        <v>19561</v>
      </c>
      <c r="B19562">
        <v>9055401</v>
      </c>
      <c r="C19562" s="1" t="str">
        <f>HYPERLINK("http://stackoverflow.com/users/9055401", "张化隆")</f>
        <v>张化隆</v>
      </c>
      <c r="D19562" t="s">
        <v>74</v>
      </c>
      <c r="E19562">
        <v>1</v>
      </c>
    </row>
    <row r="19563" spans="1:5" x14ac:dyDescent="0.25">
      <c r="A19563">
        <v>19562</v>
      </c>
      <c r="B19563">
        <v>2860999</v>
      </c>
      <c r="C19563" s="1" t="str">
        <f>HYPERLINK("http://stackoverflow.com/users/2860999", "Depota")</f>
        <v>Depota</v>
      </c>
      <c r="D19563" t="s">
        <v>5</v>
      </c>
      <c r="E19563">
        <v>1</v>
      </c>
    </row>
    <row r="19564" spans="1:5" x14ac:dyDescent="0.25">
      <c r="A19564">
        <v>19563</v>
      </c>
      <c r="B19564">
        <v>6412473</v>
      </c>
      <c r="C19564" s="1" t="str">
        <f>HYPERLINK("http://stackoverflow.com/users/6412473", "刘佳旭")</f>
        <v>刘佳旭</v>
      </c>
      <c r="D19564" t="s">
        <v>5</v>
      </c>
      <c r="E19564">
        <v>1</v>
      </c>
    </row>
    <row r="19565" spans="1:5" x14ac:dyDescent="0.25">
      <c r="A19565">
        <v>19564</v>
      </c>
      <c r="B19565">
        <v>6412492</v>
      </c>
      <c r="C19565" s="1" t="str">
        <f>HYPERLINK("http://stackoverflow.com/users/6412492", "Zhang Tongbao")</f>
        <v>Zhang Tongbao</v>
      </c>
      <c r="D19565" t="s">
        <v>4</v>
      </c>
      <c r="E19565">
        <v>1</v>
      </c>
    </row>
    <row r="19566" spans="1:5" x14ac:dyDescent="0.25">
      <c r="A19566">
        <v>19565</v>
      </c>
      <c r="B19566">
        <v>6412503</v>
      </c>
      <c r="C19566" s="1" t="str">
        <f>HYPERLINK("http://stackoverflow.com/users/6412503", "yaoxuwang")</f>
        <v>yaoxuwang</v>
      </c>
      <c r="D19566" t="s">
        <v>5</v>
      </c>
      <c r="E19566">
        <v>1</v>
      </c>
    </row>
    <row r="19567" spans="1:5" x14ac:dyDescent="0.25">
      <c r="A19567">
        <v>19566</v>
      </c>
      <c r="B19567">
        <v>6412981</v>
      </c>
      <c r="C19567" s="1" t="str">
        <f>HYPERLINK("http://stackoverflow.com/users/6412981", "Cheng Fang")</f>
        <v>Cheng Fang</v>
      </c>
      <c r="D19567" t="s">
        <v>5</v>
      </c>
      <c r="E19567">
        <v>1</v>
      </c>
    </row>
    <row r="19568" spans="1:5" x14ac:dyDescent="0.25">
      <c r="A19568">
        <v>19567</v>
      </c>
      <c r="B19568">
        <v>2856720</v>
      </c>
      <c r="C19568" s="1" t="str">
        <f>HYPERLINK("http://stackoverflow.com/users/2856720", "Yizhou Li")</f>
        <v>Yizhou Li</v>
      </c>
      <c r="D19568" t="s">
        <v>4</v>
      </c>
      <c r="E19568">
        <v>1</v>
      </c>
    </row>
    <row r="19569" spans="1:5" x14ac:dyDescent="0.25">
      <c r="A19569">
        <v>19568</v>
      </c>
      <c r="B19569">
        <v>8211836</v>
      </c>
      <c r="C19569" s="1" t="str">
        <f>HYPERLINK("http://stackoverflow.com/users/8211836", "WenJia")</f>
        <v>WenJia</v>
      </c>
      <c r="D19569" t="s">
        <v>37</v>
      </c>
      <c r="E19569">
        <v>1</v>
      </c>
    </row>
    <row r="19570" spans="1:5" x14ac:dyDescent="0.25">
      <c r="A19570">
        <v>19569</v>
      </c>
      <c r="B19570">
        <v>4693051</v>
      </c>
      <c r="C19570" s="1" t="str">
        <f>HYPERLINK("http://stackoverflow.com/users/4693051", "rudytan")</f>
        <v>rudytan</v>
      </c>
      <c r="D19570" t="s">
        <v>28</v>
      </c>
      <c r="E19570">
        <v>1</v>
      </c>
    </row>
    <row r="19571" spans="1:5" x14ac:dyDescent="0.25">
      <c r="A19571">
        <v>19570</v>
      </c>
      <c r="B19571">
        <v>4693495</v>
      </c>
      <c r="C19571" s="1" t="str">
        <f>HYPERLINK("http://stackoverflow.com/users/4693495", "RitaPan")</f>
        <v>RitaPan</v>
      </c>
      <c r="D19571" t="s">
        <v>52</v>
      </c>
      <c r="E19571">
        <v>1</v>
      </c>
    </row>
    <row r="19572" spans="1:5" x14ac:dyDescent="0.25">
      <c r="A19572">
        <v>19571</v>
      </c>
      <c r="B19572">
        <v>10030482</v>
      </c>
      <c r="C19572" s="1" t="str">
        <f>HYPERLINK("http://stackoverflow.com/users/10030482", "Wang_Sweet99")</f>
        <v>Wang_Sweet99</v>
      </c>
      <c r="D19572" t="s">
        <v>4</v>
      </c>
      <c r="E19572">
        <v>1</v>
      </c>
    </row>
    <row r="19573" spans="1:5" x14ac:dyDescent="0.25">
      <c r="A19573">
        <v>19572</v>
      </c>
      <c r="B19573">
        <v>2860759</v>
      </c>
      <c r="C19573" s="1" t="str">
        <f>HYPERLINK("http://stackoverflow.com/users/2860759", "Tanwei")</f>
        <v>Tanwei</v>
      </c>
      <c r="D19573" t="s">
        <v>25</v>
      </c>
      <c r="E19573">
        <v>1</v>
      </c>
    </row>
    <row r="19574" spans="1:5" x14ac:dyDescent="0.25">
      <c r="A19574">
        <v>19573</v>
      </c>
      <c r="B19574">
        <v>2860853</v>
      </c>
      <c r="C19574" s="1" t="str">
        <f>HYPERLINK("http://stackoverflow.com/users/2860853", "Jervy Shi")</f>
        <v>Jervy Shi</v>
      </c>
      <c r="D19574" t="s">
        <v>5</v>
      </c>
      <c r="E19574">
        <v>1</v>
      </c>
    </row>
    <row r="19575" spans="1:5" x14ac:dyDescent="0.25">
      <c r="A19575">
        <v>19574</v>
      </c>
      <c r="B19575">
        <v>8195007</v>
      </c>
      <c r="C19575" s="1" t="str">
        <f>HYPERLINK("http://stackoverflow.com/users/8195007", "Hi163")</f>
        <v>Hi163</v>
      </c>
      <c r="D19575" t="s">
        <v>4</v>
      </c>
      <c r="E19575">
        <v>1</v>
      </c>
    </row>
    <row r="19576" spans="1:5" x14ac:dyDescent="0.25">
      <c r="A19576">
        <v>19575</v>
      </c>
      <c r="B19576">
        <v>10009327</v>
      </c>
      <c r="C19576" s="1" t="str">
        <f>HYPERLINK("http://stackoverflow.com/users/10009327", "kingber")</f>
        <v>kingber</v>
      </c>
      <c r="D19576" t="s">
        <v>1046</v>
      </c>
      <c r="E19576">
        <v>1</v>
      </c>
    </row>
    <row r="19577" spans="1:5" x14ac:dyDescent="0.25">
      <c r="A19577">
        <v>19576</v>
      </c>
      <c r="B19577">
        <v>8198779</v>
      </c>
      <c r="C19577" s="1" t="str">
        <f>HYPERLINK("http://stackoverflow.com/users/8198779", "Hui")</f>
        <v>Hui</v>
      </c>
      <c r="D19577" t="s">
        <v>131</v>
      </c>
      <c r="E19577">
        <v>1</v>
      </c>
    </row>
    <row r="19578" spans="1:5" x14ac:dyDescent="0.25">
      <c r="A19578">
        <v>19577</v>
      </c>
      <c r="B19578">
        <v>8198980</v>
      </c>
      <c r="C19578" s="1" t="str">
        <f>HYPERLINK("http://stackoverflow.com/users/8198980", "Mo Ye")</f>
        <v>Mo Ye</v>
      </c>
      <c r="D19578" t="s">
        <v>4</v>
      </c>
      <c r="E19578">
        <v>1</v>
      </c>
    </row>
    <row r="19579" spans="1:5" x14ac:dyDescent="0.25">
      <c r="A19579">
        <v>19578</v>
      </c>
      <c r="B19579">
        <v>10013148</v>
      </c>
      <c r="C19579" s="1" t="str">
        <f>HYPERLINK("http://stackoverflow.com/users/10013148", "Radek")</f>
        <v>Radek</v>
      </c>
      <c r="D19579" t="s">
        <v>4</v>
      </c>
      <c r="E19579">
        <v>1</v>
      </c>
    </row>
    <row r="19580" spans="1:5" x14ac:dyDescent="0.25">
      <c r="A19580">
        <v>19579</v>
      </c>
      <c r="B19580">
        <v>2848726</v>
      </c>
      <c r="C19580" s="1" t="str">
        <f>HYPERLINK("http://stackoverflow.com/users/2848726", "mualucky")</f>
        <v>mualucky</v>
      </c>
      <c r="D19580" t="s">
        <v>4</v>
      </c>
      <c r="E19580">
        <v>1</v>
      </c>
    </row>
    <row r="19581" spans="1:5" x14ac:dyDescent="0.25">
      <c r="A19581">
        <v>19580</v>
      </c>
      <c r="B19581">
        <v>2848997</v>
      </c>
      <c r="C19581" s="1" t="str">
        <f>HYPERLINK("http://stackoverflow.com/users/2848997", "Nevalosa")</f>
        <v>Nevalosa</v>
      </c>
      <c r="D19581" t="s">
        <v>4</v>
      </c>
      <c r="E19581">
        <v>1</v>
      </c>
    </row>
    <row r="19582" spans="1:5" x14ac:dyDescent="0.25">
      <c r="A19582">
        <v>19581</v>
      </c>
      <c r="B19582">
        <v>10014197</v>
      </c>
      <c r="C19582" s="1" t="str">
        <f>HYPERLINK("http://stackoverflow.com/users/10014197", "Danny Zhu")</f>
        <v>Danny Zhu</v>
      </c>
      <c r="D19582" t="s">
        <v>4</v>
      </c>
      <c r="E19582">
        <v>1</v>
      </c>
    </row>
    <row r="19583" spans="1:5" x14ac:dyDescent="0.25">
      <c r="A19583">
        <v>19582</v>
      </c>
      <c r="B19583">
        <v>2865136</v>
      </c>
      <c r="C19583" s="1" t="str">
        <f>HYPERLINK("http://stackoverflow.com/users/2865136", "Dylan.Fang")</f>
        <v>Dylan.Fang</v>
      </c>
      <c r="D19583" t="s">
        <v>38</v>
      </c>
      <c r="E19583">
        <v>1</v>
      </c>
    </row>
    <row r="19584" spans="1:5" x14ac:dyDescent="0.25">
      <c r="A19584">
        <v>19583</v>
      </c>
      <c r="B19584">
        <v>763878</v>
      </c>
      <c r="C19584" s="1" t="str">
        <f>HYPERLINK("http://stackoverflow.com/users/763878", "wadarochi")</f>
        <v>wadarochi</v>
      </c>
      <c r="D19584" t="s">
        <v>37</v>
      </c>
      <c r="E19584">
        <v>1</v>
      </c>
    </row>
    <row r="19585" spans="1:5" x14ac:dyDescent="0.25">
      <c r="A19585">
        <v>19584</v>
      </c>
      <c r="B19585">
        <v>6433431</v>
      </c>
      <c r="C19585" s="1" t="str">
        <f>HYPERLINK("http://stackoverflow.com/users/6433431", "kirilenkoo")</f>
        <v>kirilenkoo</v>
      </c>
      <c r="D19585" t="s">
        <v>5</v>
      </c>
      <c r="E19585">
        <v>1</v>
      </c>
    </row>
    <row r="19586" spans="1:5" x14ac:dyDescent="0.25">
      <c r="A19586">
        <v>19585</v>
      </c>
      <c r="B19586">
        <v>2874016</v>
      </c>
      <c r="C19586" s="1" t="str">
        <f>HYPERLINK("http://stackoverflow.com/users/2874016", "mehtab qamar")</f>
        <v>mehtab qamar</v>
      </c>
      <c r="D19586" t="s">
        <v>90</v>
      </c>
      <c r="E19586">
        <v>1</v>
      </c>
    </row>
    <row r="19587" spans="1:5" x14ac:dyDescent="0.25">
      <c r="A19587">
        <v>19586</v>
      </c>
      <c r="B19587">
        <v>2877353</v>
      </c>
      <c r="C19587" s="1" t="str">
        <f>HYPERLINK("http://stackoverflow.com/users/2877353", "Pluto")</f>
        <v>Pluto</v>
      </c>
      <c r="D19587" t="s">
        <v>37</v>
      </c>
      <c r="E19587">
        <v>1</v>
      </c>
    </row>
    <row r="19588" spans="1:5" x14ac:dyDescent="0.25">
      <c r="A19588">
        <v>19587</v>
      </c>
      <c r="B19588">
        <v>10051289</v>
      </c>
      <c r="C19588" s="1" t="str">
        <f>HYPERLINK("http://stackoverflow.com/users/10051289", "Zhen Zhang")</f>
        <v>Zhen Zhang</v>
      </c>
      <c r="D19588" t="s">
        <v>302</v>
      </c>
      <c r="E19588">
        <v>1</v>
      </c>
    </row>
    <row r="19589" spans="1:5" x14ac:dyDescent="0.25">
      <c r="A19589">
        <v>19588</v>
      </c>
      <c r="B19589">
        <v>10051312</v>
      </c>
      <c r="C19589" s="1" t="str">
        <f>HYPERLINK("http://stackoverflow.com/users/10051312", "chanlk")</f>
        <v>chanlk</v>
      </c>
      <c r="D19589" t="s">
        <v>810</v>
      </c>
      <c r="E19589">
        <v>1</v>
      </c>
    </row>
    <row r="19590" spans="1:5" x14ac:dyDescent="0.25">
      <c r="A19590">
        <v>19589</v>
      </c>
      <c r="B19590">
        <v>10051414</v>
      </c>
      <c r="C19590" s="1" t="str">
        <f>HYPERLINK("http://stackoverflow.com/users/10051414", "Qiang Zhai")</f>
        <v>Qiang Zhai</v>
      </c>
      <c r="D19590" t="s">
        <v>78</v>
      </c>
      <c r="E19590">
        <v>1</v>
      </c>
    </row>
    <row r="19591" spans="1:5" x14ac:dyDescent="0.25">
      <c r="A19591">
        <v>19590</v>
      </c>
      <c r="B19591">
        <v>2880981</v>
      </c>
      <c r="C19591" s="1" t="str">
        <f>HYPERLINK("http://stackoverflow.com/users/2880981", "view2future")</f>
        <v>view2future</v>
      </c>
      <c r="D19591" t="s">
        <v>22</v>
      </c>
      <c r="E19591">
        <v>1</v>
      </c>
    </row>
    <row r="19592" spans="1:5" x14ac:dyDescent="0.25">
      <c r="A19592">
        <v>19591</v>
      </c>
      <c r="B19592">
        <v>2880989</v>
      </c>
      <c r="C19592" s="1" t="str">
        <f>HYPERLINK("http://stackoverflow.com/users/2880989", "Hauer")</f>
        <v>Hauer</v>
      </c>
      <c r="D19592" t="s">
        <v>22</v>
      </c>
      <c r="E19592">
        <v>1</v>
      </c>
    </row>
    <row r="19593" spans="1:5" x14ac:dyDescent="0.25">
      <c r="A19593">
        <v>19592</v>
      </c>
      <c r="B19593">
        <v>2881204</v>
      </c>
      <c r="C19593" s="1" t="str">
        <f>HYPERLINK("http://stackoverflow.com/users/2881204", "szuwx")</f>
        <v>szuwx</v>
      </c>
      <c r="D19593" t="s">
        <v>17</v>
      </c>
      <c r="E19593">
        <v>1</v>
      </c>
    </row>
    <row r="19594" spans="1:5" x14ac:dyDescent="0.25">
      <c r="A19594">
        <v>19593</v>
      </c>
      <c r="B19594">
        <v>2881211</v>
      </c>
      <c r="C19594" s="1" t="str">
        <f>HYPERLINK("http://stackoverflow.com/users/2881211", "zhuli19901106")</f>
        <v>zhuli19901106</v>
      </c>
      <c r="D19594" t="s">
        <v>5</v>
      </c>
      <c r="E19594">
        <v>1</v>
      </c>
    </row>
    <row r="19595" spans="1:5" x14ac:dyDescent="0.25">
      <c r="A19595">
        <v>19594</v>
      </c>
      <c r="B19595">
        <v>8224112</v>
      </c>
      <c r="C19595" s="1" t="str">
        <f>HYPERLINK("http://stackoverflow.com/users/8224112", "Yun Zeng")</f>
        <v>Yun Zeng</v>
      </c>
      <c r="D19595" t="s">
        <v>16</v>
      </c>
      <c r="E19595">
        <v>1</v>
      </c>
    </row>
    <row r="19596" spans="1:5" x14ac:dyDescent="0.25">
      <c r="A19596">
        <v>19595</v>
      </c>
      <c r="B19596">
        <v>8224179</v>
      </c>
      <c r="C19596" s="1" t="str">
        <f>HYPERLINK("http://stackoverflow.com/users/8224179", "Stella")</f>
        <v>Stella</v>
      </c>
      <c r="D19596" t="s">
        <v>4</v>
      </c>
      <c r="E19596">
        <v>1</v>
      </c>
    </row>
    <row r="19597" spans="1:5" x14ac:dyDescent="0.25">
      <c r="A19597">
        <v>19596</v>
      </c>
      <c r="B19597">
        <v>8224325</v>
      </c>
      <c r="C19597" s="1" t="str">
        <f>HYPERLINK("http://stackoverflow.com/users/8224325", "HJ.lance")</f>
        <v>HJ.lance</v>
      </c>
      <c r="D19597" t="s">
        <v>4</v>
      </c>
      <c r="E19597">
        <v>1</v>
      </c>
    </row>
    <row r="19598" spans="1:5" x14ac:dyDescent="0.25">
      <c r="A19598">
        <v>19597</v>
      </c>
      <c r="B19598">
        <v>2865728</v>
      </c>
      <c r="C19598" s="1" t="str">
        <f>HYPERLINK("http://stackoverflow.com/users/2865728", "Cosmos")</f>
        <v>Cosmos</v>
      </c>
      <c r="D19598" t="s">
        <v>4</v>
      </c>
      <c r="E19598">
        <v>1</v>
      </c>
    </row>
    <row r="19599" spans="1:5" x14ac:dyDescent="0.25">
      <c r="A19599">
        <v>19598</v>
      </c>
      <c r="B19599">
        <v>2865850</v>
      </c>
      <c r="C19599" s="1" t="str">
        <f>HYPERLINK("http://stackoverflow.com/users/2865850", "shanquanlee")</f>
        <v>shanquanlee</v>
      </c>
      <c r="D19599" t="s">
        <v>17</v>
      </c>
      <c r="E19599">
        <v>1</v>
      </c>
    </row>
    <row r="19600" spans="1:5" x14ac:dyDescent="0.25">
      <c r="A19600">
        <v>19599</v>
      </c>
      <c r="B19600">
        <v>10035632</v>
      </c>
      <c r="C19600" s="1" t="str">
        <f>HYPERLINK("http://stackoverflow.com/users/10035632", "kingstarcraft")</f>
        <v>kingstarcraft</v>
      </c>
      <c r="D19600" t="s">
        <v>135</v>
      </c>
      <c r="E19600">
        <v>1</v>
      </c>
    </row>
    <row r="19601" spans="1:5" x14ac:dyDescent="0.25">
      <c r="A19601">
        <v>19600</v>
      </c>
      <c r="B19601">
        <v>10035902</v>
      </c>
      <c r="C19601" s="1" t="str">
        <f>HYPERLINK("http://stackoverflow.com/users/10035902", "Yuan")</f>
        <v>Yuan</v>
      </c>
      <c r="D19601" t="s">
        <v>4</v>
      </c>
      <c r="E19601">
        <v>1</v>
      </c>
    </row>
    <row r="19602" spans="1:5" x14ac:dyDescent="0.25">
      <c r="A19602">
        <v>19601</v>
      </c>
      <c r="B19602">
        <v>6426325</v>
      </c>
      <c r="C19602" s="1" t="str">
        <f>HYPERLINK("http://stackoverflow.com/users/6426325", "guanyu")</f>
        <v>guanyu</v>
      </c>
      <c r="D19602" t="s">
        <v>54</v>
      </c>
      <c r="E19602">
        <v>1</v>
      </c>
    </row>
    <row r="19603" spans="1:5" x14ac:dyDescent="0.25">
      <c r="A19603">
        <v>19602</v>
      </c>
      <c r="B19603">
        <v>10031079</v>
      </c>
      <c r="C19603" s="1" t="str">
        <f>HYPERLINK("http://stackoverflow.com/users/10031079", "Zhou Jian")</f>
        <v>Zhou Jian</v>
      </c>
      <c r="D19603" t="s">
        <v>5</v>
      </c>
      <c r="E19603">
        <v>1</v>
      </c>
    </row>
    <row r="19604" spans="1:5" x14ac:dyDescent="0.25">
      <c r="A19604">
        <v>19603</v>
      </c>
      <c r="B19604">
        <v>8215835</v>
      </c>
      <c r="C19604" s="1" t="str">
        <f>HYPERLINK("http://stackoverflow.com/users/8215835", "Gang Wang")</f>
        <v>Gang Wang</v>
      </c>
      <c r="D19604" t="s">
        <v>52</v>
      </c>
      <c r="E19604">
        <v>1</v>
      </c>
    </row>
    <row r="19605" spans="1:5" x14ac:dyDescent="0.25">
      <c r="A19605">
        <v>19604</v>
      </c>
      <c r="B19605">
        <v>8215997</v>
      </c>
      <c r="C19605" s="1" t="str">
        <f>HYPERLINK("http://stackoverflow.com/users/8215997", "xiangmingsheng")</f>
        <v>xiangmingsheng</v>
      </c>
      <c r="D19605" t="s">
        <v>7</v>
      </c>
      <c r="E19605">
        <v>1</v>
      </c>
    </row>
    <row r="19606" spans="1:5" x14ac:dyDescent="0.25">
      <c r="A19606">
        <v>19605</v>
      </c>
      <c r="B19606">
        <v>4745537</v>
      </c>
      <c r="C19606" s="1" t="str">
        <f>HYPERLINK("http://stackoverflow.com/users/4745537", "nevercry")</f>
        <v>nevercry</v>
      </c>
      <c r="D19606" t="s">
        <v>37</v>
      </c>
      <c r="E19606">
        <v>1</v>
      </c>
    </row>
    <row r="19607" spans="1:5" x14ac:dyDescent="0.25">
      <c r="A19607">
        <v>19606</v>
      </c>
      <c r="B19607">
        <v>10084662</v>
      </c>
      <c r="C19607" s="1" t="str">
        <f>HYPERLINK("http://stackoverflow.com/users/10084662", "James Ge")</f>
        <v>James Ge</v>
      </c>
      <c r="D19607" t="s">
        <v>16</v>
      </c>
      <c r="E19607">
        <v>1</v>
      </c>
    </row>
    <row r="19608" spans="1:5" x14ac:dyDescent="0.25">
      <c r="A19608">
        <v>19607</v>
      </c>
      <c r="B19608">
        <v>4745395</v>
      </c>
      <c r="C19608" s="1" t="str">
        <f>HYPERLINK("http://stackoverflow.com/users/4745395", "Chester39")</f>
        <v>Chester39</v>
      </c>
      <c r="D19608" t="s">
        <v>5</v>
      </c>
      <c r="E19608">
        <v>1</v>
      </c>
    </row>
    <row r="19609" spans="1:5" x14ac:dyDescent="0.25">
      <c r="A19609">
        <v>19608</v>
      </c>
      <c r="B19609">
        <v>6477588</v>
      </c>
      <c r="C19609" s="1" t="str">
        <f>HYPERLINK("http://stackoverflow.com/users/6477588", "梁文昊")</f>
        <v>梁文昊</v>
      </c>
      <c r="D19609" t="s">
        <v>1047</v>
      </c>
      <c r="E19609">
        <v>1</v>
      </c>
    </row>
    <row r="19610" spans="1:5" x14ac:dyDescent="0.25">
      <c r="A19610">
        <v>19609</v>
      </c>
      <c r="B19610">
        <v>6477738</v>
      </c>
      <c r="C19610" s="1" t="str">
        <f>HYPERLINK("http://stackoverflow.com/users/6477738", "glp")</f>
        <v>glp</v>
      </c>
      <c r="D19610" t="s">
        <v>4</v>
      </c>
      <c r="E19610">
        <v>1</v>
      </c>
    </row>
    <row r="19611" spans="1:5" x14ac:dyDescent="0.25">
      <c r="A19611">
        <v>19610</v>
      </c>
      <c r="B19611">
        <v>2920475</v>
      </c>
      <c r="C19611" s="1" t="str">
        <f>HYPERLINK("http://stackoverflow.com/users/2920475", "Chenstring")</f>
        <v>Chenstring</v>
      </c>
      <c r="D19611" t="s">
        <v>15</v>
      </c>
      <c r="E19611">
        <v>1</v>
      </c>
    </row>
    <row r="19612" spans="1:5" x14ac:dyDescent="0.25">
      <c r="A19612">
        <v>19611</v>
      </c>
      <c r="B19612">
        <v>8277720</v>
      </c>
      <c r="C19612" s="1" t="str">
        <f>HYPERLINK("http://stackoverflow.com/users/8277720", "Wang Shichen")</f>
        <v>Wang Shichen</v>
      </c>
      <c r="D19612" t="s">
        <v>28</v>
      </c>
      <c r="E19612">
        <v>1</v>
      </c>
    </row>
    <row r="19613" spans="1:5" x14ac:dyDescent="0.25">
      <c r="A19613">
        <v>19612</v>
      </c>
      <c r="B19613">
        <v>8277779</v>
      </c>
      <c r="C19613" s="1" t="str">
        <f>HYPERLINK("http://stackoverflow.com/users/8277779", "lolo zhabg")</f>
        <v>lolo zhabg</v>
      </c>
      <c r="D19613" t="s">
        <v>252</v>
      </c>
      <c r="E19613">
        <v>1</v>
      </c>
    </row>
    <row r="19614" spans="1:5" x14ac:dyDescent="0.25">
      <c r="A19614">
        <v>19613</v>
      </c>
      <c r="B19614">
        <v>10096790</v>
      </c>
      <c r="C19614" s="1" t="str">
        <f>HYPERLINK("http://stackoverflow.com/users/10096790", "Jack Kai")</f>
        <v>Jack Kai</v>
      </c>
      <c r="D19614" t="s">
        <v>74</v>
      </c>
      <c r="E19614">
        <v>1</v>
      </c>
    </row>
    <row r="19615" spans="1:5" x14ac:dyDescent="0.25">
      <c r="A19615">
        <v>19614</v>
      </c>
      <c r="B19615">
        <v>10096915</v>
      </c>
      <c r="C19615" s="1" t="str">
        <f>HYPERLINK("http://stackoverflow.com/users/10096915", "tz young")</f>
        <v>tz young</v>
      </c>
      <c r="D19615" t="s">
        <v>5</v>
      </c>
      <c r="E19615">
        <v>1</v>
      </c>
    </row>
    <row r="19616" spans="1:5" x14ac:dyDescent="0.25">
      <c r="A19616">
        <v>19615</v>
      </c>
      <c r="B19616">
        <v>10096950</v>
      </c>
      <c r="C19616" s="1" t="str">
        <f>HYPERLINK("http://stackoverflow.com/users/10096950", "xing shi")</f>
        <v>xing shi</v>
      </c>
      <c r="D19616" t="s">
        <v>5</v>
      </c>
      <c r="E19616">
        <v>1</v>
      </c>
    </row>
    <row r="19617" spans="1:5" x14ac:dyDescent="0.25">
      <c r="A19617">
        <v>19616</v>
      </c>
      <c r="B19617">
        <v>10097024</v>
      </c>
      <c r="C19617" s="1" t="str">
        <f>HYPERLINK("http://stackoverflow.com/users/10097024", "Wendy Sun")</f>
        <v>Wendy Sun</v>
      </c>
      <c r="D19617" t="s">
        <v>7</v>
      </c>
      <c r="E19617">
        <v>1</v>
      </c>
    </row>
    <row r="19618" spans="1:5" x14ac:dyDescent="0.25">
      <c r="A19618">
        <v>19617</v>
      </c>
      <c r="B19618">
        <v>10097068</v>
      </c>
      <c r="C19618" s="1" t="str">
        <f>HYPERLINK("http://stackoverflow.com/users/10097068", "王昌利")</f>
        <v>王昌利</v>
      </c>
      <c r="D19618" t="s">
        <v>4</v>
      </c>
      <c r="E19618">
        <v>1</v>
      </c>
    </row>
    <row r="19619" spans="1:5" x14ac:dyDescent="0.25">
      <c r="A19619">
        <v>19618</v>
      </c>
      <c r="B19619">
        <v>8251135</v>
      </c>
      <c r="C19619" s="1" t="str">
        <f>HYPERLINK("http://stackoverflow.com/users/8251135", "Lei")</f>
        <v>Lei</v>
      </c>
      <c r="D19619" t="s">
        <v>4</v>
      </c>
      <c r="E19619">
        <v>1</v>
      </c>
    </row>
    <row r="19620" spans="1:5" x14ac:dyDescent="0.25">
      <c r="A19620">
        <v>19619</v>
      </c>
      <c r="B19620">
        <v>8251150</v>
      </c>
      <c r="C19620" s="1" t="str">
        <f>HYPERLINK("http://stackoverflow.com/users/8251150", "Lixing Zheng")</f>
        <v>Lixing Zheng</v>
      </c>
      <c r="D19620" t="s">
        <v>5</v>
      </c>
      <c r="E19620">
        <v>1</v>
      </c>
    </row>
    <row r="19621" spans="1:5" x14ac:dyDescent="0.25">
      <c r="A19621">
        <v>19620</v>
      </c>
      <c r="B19621">
        <v>8251233</v>
      </c>
      <c r="C19621" s="1" t="str">
        <f>HYPERLINK("http://stackoverflow.com/users/8251233", "user8251233")</f>
        <v>user8251233</v>
      </c>
      <c r="D19621" t="s">
        <v>5</v>
      </c>
      <c r="E19621">
        <v>1</v>
      </c>
    </row>
    <row r="19622" spans="1:5" x14ac:dyDescent="0.25">
      <c r="A19622">
        <v>19621</v>
      </c>
      <c r="B19622">
        <v>8251247</v>
      </c>
      <c r="C19622" s="1" t="str">
        <f>HYPERLINK("http://stackoverflow.com/users/8251247", "陈渊衡")</f>
        <v>陈渊衡</v>
      </c>
      <c r="D19622" t="s">
        <v>193</v>
      </c>
      <c r="E19622">
        <v>1</v>
      </c>
    </row>
    <row r="19623" spans="1:5" x14ac:dyDescent="0.25">
      <c r="A19623">
        <v>19622</v>
      </c>
      <c r="B19623">
        <v>8251315</v>
      </c>
      <c r="C19623" s="1" t="str">
        <f>HYPERLINK("http://stackoverflow.com/users/8251315", "zhenjie cao")</f>
        <v>zhenjie cao</v>
      </c>
      <c r="D19623" t="s">
        <v>4</v>
      </c>
      <c r="E19623">
        <v>1</v>
      </c>
    </row>
    <row r="19624" spans="1:5" x14ac:dyDescent="0.25">
      <c r="A19624">
        <v>19623</v>
      </c>
      <c r="B19624">
        <v>2900430</v>
      </c>
      <c r="C19624" s="1" t="str">
        <f>HYPERLINK("http://stackoverflow.com/users/2900430", "MaxSoft007")</f>
        <v>MaxSoft007</v>
      </c>
      <c r="D19624" t="s">
        <v>57</v>
      </c>
      <c r="E19624">
        <v>1</v>
      </c>
    </row>
    <row r="19625" spans="1:5" x14ac:dyDescent="0.25">
      <c r="A19625">
        <v>19624</v>
      </c>
      <c r="B19625">
        <v>8259387</v>
      </c>
      <c r="C19625" s="1" t="str">
        <f>HYPERLINK("http://stackoverflow.com/users/8259387", "Thierry.Zhong")</f>
        <v>Thierry.Zhong</v>
      </c>
      <c r="D19625" t="s">
        <v>5</v>
      </c>
      <c r="E19625">
        <v>1</v>
      </c>
    </row>
    <row r="19626" spans="1:5" x14ac:dyDescent="0.25">
      <c r="A19626">
        <v>19625</v>
      </c>
      <c r="B19626">
        <v>4736803</v>
      </c>
      <c r="C19626" s="1" t="str">
        <f>HYPERLINK("http://stackoverflow.com/users/4736803", "Chen Yang")</f>
        <v>Chen Yang</v>
      </c>
      <c r="D19626" t="s">
        <v>12</v>
      </c>
      <c r="E19626">
        <v>1</v>
      </c>
    </row>
    <row r="19627" spans="1:5" x14ac:dyDescent="0.25">
      <c r="A19627">
        <v>19626</v>
      </c>
      <c r="B19627">
        <v>8259974</v>
      </c>
      <c r="C19627" s="1" t="str">
        <f>HYPERLINK("http://stackoverflow.com/users/8259974", "HugiFish")</f>
        <v>HugiFish</v>
      </c>
      <c r="D19627" t="s">
        <v>5</v>
      </c>
      <c r="E19627">
        <v>1</v>
      </c>
    </row>
    <row r="19628" spans="1:5" x14ac:dyDescent="0.25">
      <c r="A19628">
        <v>19627</v>
      </c>
      <c r="B19628">
        <v>8260122</v>
      </c>
      <c r="C19628" s="1" t="str">
        <f>HYPERLINK("http://stackoverflow.com/users/8260122", "Peter Ye")</f>
        <v>Peter Ye</v>
      </c>
      <c r="D19628" t="s">
        <v>131</v>
      </c>
      <c r="E19628">
        <v>1</v>
      </c>
    </row>
    <row r="19629" spans="1:5" x14ac:dyDescent="0.25">
      <c r="A19629">
        <v>19628</v>
      </c>
      <c r="B19629">
        <v>4740650</v>
      </c>
      <c r="C19629" s="1" t="str">
        <f>HYPERLINK("http://stackoverflow.com/users/4740650", "Holen Zhou")</f>
        <v>Holen Zhou</v>
      </c>
      <c r="D19629" t="s">
        <v>17</v>
      </c>
      <c r="E19629">
        <v>1</v>
      </c>
    </row>
    <row r="19630" spans="1:5" x14ac:dyDescent="0.25">
      <c r="A19630">
        <v>19629</v>
      </c>
      <c r="B19630">
        <v>8268044</v>
      </c>
      <c r="C19630" s="1" t="str">
        <f>HYPERLINK("http://stackoverflow.com/users/8268044", "testlin")</f>
        <v>testlin</v>
      </c>
      <c r="D19630" t="s">
        <v>15</v>
      </c>
      <c r="E19630">
        <v>1</v>
      </c>
    </row>
    <row r="19631" spans="1:5" x14ac:dyDescent="0.25">
      <c r="A19631">
        <v>19630</v>
      </c>
      <c r="B19631">
        <v>8268060</v>
      </c>
      <c r="C19631" s="1" t="str">
        <f>HYPERLINK("http://stackoverflow.com/users/8268060", "sandeep k")</f>
        <v>sandeep k</v>
      </c>
      <c r="D19631" t="s">
        <v>7</v>
      </c>
      <c r="E19631">
        <v>1</v>
      </c>
    </row>
    <row r="19632" spans="1:5" x14ac:dyDescent="0.25">
      <c r="A19632">
        <v>19631</v>
      </c>
      <c r="B19632">
        <v>8263267</v>
      </c>
      <c r="C19632" s="1" t="str">
        <f>HYPERLINK("http://stackoverflow.com/users/8263267", "Huzechen")</f>
        <v>Huzechen</v>
      </c>
      <c r="D19632" t="s">
        <v>5</v>
      </c>
      <c r="E19632">
        <v>1</v>
      </c>
    </row>
    <row r="19633" spans="1:5" x14ac:dyDescent="0.25">
      <c r="A19633">
        <v>19632</v>
      </c>
      <c r="B19633">
        <v>8263414</v>
      </c>
      <c r="C19633" s="1" t="str">
        <f>HYPERLINK("http://stackoverflow.com/users/8263414", "Ryan")</f>
        <v>Ryan</v>
      </c>
      <c r="D19633" t="s">
        <v>7</v>
      </c>
      <c r="E19633">
        <v>1</v>
      </c>
    </row>
    <row r="19634" spans="1:5" x14ac:dyDescent="0.25">
      <c r="A19634">
        <v>19633</v>
      </c>
      <c r="B19634">
        <v>8250996</v>
      </c>
      <c r="C19634" s="1" t="str">
        <f>HYPERLINK("http://stackoverflow.com/users/8250996", "ChrisBao")</f>
        <v>ChrisBao</v>
      </c>
      <c r="D19634" t="s">
        <v>5</v>
      </c>
      <c r="E19634">
        <v>1</v>
      </c>
    </row>
    <row r="19635" spans="1:5" x14ac:dyDescent="0.25">
      <c r="A19635">
        <v>19634</v>
      </c>
      <c r="B19635">
        <v>8240185</v>
      </c>
      <c r="C19635" s="1" t="str">
        <f>HYPERLINK("http://stackoverflow.com/users/8240185", "Dumbass")</f>
        <v>Dumbass</v>
      </c>
      <c r="D19635" t="s">
        <v>4</v>
      </c>
      <c r="E19635">
        <v>1</v>
      </c>
    </row>
    <row r="19636" spans="1:5" x14ac:dyDescent="0.25">
      <c r="A19636">
        <v>19635</v>
      </c>
      <c r="B19636">
        <v>8240784</v>
      </c>
      <c r="C19636" s="1" t="str">
        <f>HYPERLINK("http://stackoverflow.com/users/8240784", "Azerop")</f>
        <v>Azerop</v>
      </c>
      <c r="D19636" t="s">
        <v>5</v>
      </c>
      <c r="E19636">
        <v>1</v>
      </c>
    </row>
    <row r="19637" spans="1:5" x14ac:dyDescent="0.25">
      <c r="A19637">
        <v>19636</v>
      </c>
      <c r="B19637">
        <v>8235627</v>
      </c>
      <c r="C19637" s="1" t="str">
        <f>HYPERLINK("http://stackoverflow.com/users/8235627", "Jacky Zhang")</f>
        <v>Jacky Zhang</v>
      </c>
      <c r="D19637" t="s">
        <v>28</v>
      </c>
      <c r="E19637">
        <v>1</v>
      </c>
    </row>
    <row r="19638" spans="1:5" x14ac:dyDescent="0.25">
      <c r="A19638">
        <v>19637</v>
      </c>
      <c r="B19638">
        <v>8236340</v>
      </c>
      <c r="C19638" s="1" t="str">
        <f>HYPERLINK("http://stackoverflow.com/users/8236340", "Sonya Tsong")</f>
        <v>Sonya Tsong</v>
      </c>
      <c r="D19638" t="s">
        <v>146</v>
      </c>
      <c r="E19638">
        <v>1</v>
      </c>
    </row>
    <row r="19639" spans="1:5" x14ac:dyDescent="0.25">
      <c r="A19639">
        <v>19638</v>
      </c>
      <c r="B19639">
        <v>789202</v>
      </c>
      <c r="C19639" s="1" t="str">
        <f>HYPERLINK("http://stackoverflow.com/users/789202", "byelims")</f>
        <v>byelims</v>
      </c>
      <c r="D19639" t="s">
        <v>5</v>
      </c>
      <c r="E19639">
        <v>1</v>
      </c>
    </row>
    <row r="19640" spans="1:5" x14ac:dyDescent="0.25">
      <c r="A19640">
        <v>19639</v>
      </c>
      <c r="B19640">
        <v>2885092</v>
      </c>
      <c r="C19640" s="1" t="str">
        <f>HYPERLINK("http://stackoverflow.com/users/2885092", "geekcoder")</f>
        <v>geekcoder</v>
      </c>
      <c r="D19640" t="s">
        <v>5</v>
      </c>
      <c r="E19640">
        <v>1</v>
      </c>
    </row>
    <row r="19641" spans="1:5" x14ac:dyDescent="0.25">
      <c r="A19641">
        <v>19640</v>
      </c>
      <c r="B19641">
        <v>2885549</v>
      </c>
      <c r="C19641" s="1" t="str">
        <f>HYPERLINK("http://stackoverflow.com/users/2885549", "eliu")</f>
        <v>eliu</v>
      </c>
      <c r="D19641" t="s">
        <v>5</v>
      </c>
      <c r="E19641">
        <v>1</v>
      </c>
    </row>
    <row r="19642" spans="1:5" x14ac:dyDescent="0.25">
      <c r="A19642">
        <v>19641</v>
      </c>
      <c r="B19642">
        <v>2885588</v>
      </c>
      <c r="C19642" s="1" t="str">
        <f>HYPERLINK("http://stackoverflow.com/users/2885588", "minzh")</f>
        <v>minzh</v>
      </c>
      <c r="D19642" t="s">
        <v>1048</v>
      </c>
      <c r="E19642">
        <v>1</v>
      </c>
    </row>
    <row r="19643" spans="1:5" x14ac:dyDescent="0.25">
      <c r="A19643">
        <v>19642</v>
      </c>
      <c r="B19643">
        <v>2885814</v>
      </c>
      <c r="C19643" s="1" t="str">
        <f>HYPERLINK("http://stackoverflow.com/users/2885814", "sharp")</f>
        <v>sharp</v>
      </c>
      <c r="D19643" t="s">
        <v>35</v>
      </c>
      <c r="E19643">
        <v>1</v>
      </c>
    </row>
    <row r="19644" spans="1:5" x14ac:dyDescent="0.25">
      <c r="A19644">
        <v>19643</v>
      </c>
      <c r="B19644">
        <v>2885847</v>
      </c>
      <c r="C19644" s="1" t="str">
        <f>HYPERLINK("http://stackoverflow.com/users/2885847", "cdlkite")</f>
        <v>cdlkite</v>
      </c>
      <c r="D19644" t="s">
        <v>17</v>
      </c>
      <c r="E19644">
        <v>1</v>
      </c>
    </row>
    <row r="19645" spans="1:5" x14ac:dyDescent="0.25">
      <c r="A19645">
        <v>19644</v>
      </c>
      <c r="B19645">
        <v>788625</v>
      </c>
      <c r="C19645" s="1" t="str">
        <f>HYPERLINK("http://stackoverflow.com/users/788625", "shiaohoo")</f>
        <v>shiaohoo</v>
      </c>
      <c r="D19645" t="s">
        <v>37</v>
      </c>
      <c r="E19645">
        <v>1</v>
      </c>
    </row>
    <row r="19646" spans="1:5" x14ac:dyDescent="0.25">
      <c r="A19646">
        <v>19645</v>
      </c>
      <c r="B19646">
        <v>8281341</v>
      </c>
      <c r="C19646" s="1" t="str">
        <f>HYPERLINK("http://stackoverflow.com/users/8281341", "Daniel")</f>
        <v>Daniel</v>
      </c>
      <c r="D19646" t="s">
        <v>5</v>
      </c>
      <c r="E19646">
        <v>1</v>
      </c>
    </row>
    <row r="19647" spans="1:5" x14ac:dyDescent="0.25">
      <c r="A19647">
        <v>19646</v>
      </c>
      <c r="B19647">
        <v>8281348</v>
      </c>
      <c r="C19647" s="1" t="str">
        <f>HYPERLINK("http://stackoverflow.com/users/8281348", "amos")</f>
        <v>amos</v>
      </c>
      <c r="D19647" t="s">
        <v>4</v>
      </c>
      <c r="E19647">
        <v>1</v>
      </c>
    </row>
    <row r="19648" spans="1:5" x14ac:dyDescent="0.25">
      <c r="A19648">
        <v>19647</v>
      </c>
      <c r="B19648">
        <v>8281426</v>
      </c>
      <c r="C19648" s="1" t="str">
        <f>HYPERLINK("http://stackoverflow.com/users/8281426", "H.Shin")</f>
        <v>H.Shin</v>
      </c>
      <c r="D19648" t="s">
        <v>5</v>
      </c>
      <c r="E19648">
        <v>1</v>
      </c>
    </row>
    <row r="19649" spans="1:5" x14ac:dyDescent="0.25">
      <c r="A19649">
        <v>19648</v>
      </c>
      <c r="B19649">
        <v>8281796</v>
      </c>
      <c r="C19649" s="1" t="str">
        <f>HYPERLINK("http://stackoverflow.com/users/8281796", "Zhang Joseph")</f>
        <v>Zhang Joseph</v>
      </c>
      <c r="D19649" t="s">
        <v>4</v>
      </c>
      <c r="E19649">
        <v>1</v>
      </c>
    </row>
    <row r="19650" spans="1:5" x14ac:dyDescent="0.25">
      <c r="A19650">
        <v>19649</v>
      </c>
      <c r="B19650">
        <v>8281833</v>
      </c>
      <c r="C19650" s="1" t="str">
        <f>HYPERLINK("http://stackoverflow.com/users/8281833", "Liang Yang")</f>
        <v>Liang Yang</v>
      </c>
      <c r="D19650" t="s">
        <v>120</v>
      </c>
      <c r="E19650">
        <v>1</v>
      </c>
    </row>
    <row r="19651" spans="1:5" x14ac:dyDescent="0.25">
      <c r="A19651">
        <v>19650</v>
      </c>
      <c r="B19651">
        <v>4756804</v>
      </c>
      <c r="C19651" s="1" t="str">
        <f>HYPERLINK("http://stackoverflow.com/users/4756804", "zhenghy")</f>
        <v>zhenghy</v>
      </c>
      <c r="D19651" t="s">
        <v>209</v>
      </c>
      <c r="E19651">
        <v>1</v>
      </c>
    </row>
    <row r="19652" spans="1:5" x14ac:dyDescent="0.25">
      <c r="A19652">
        <v>19651</v>
      </c>
      <c r="B19652">
        <v>840403</v>
      </c>
      <c r="C19652" s="1" t="str">
        <f>HYPERLINK("http://stackoverflow.com/users/840403", "123")</f>
        <v>123</v>
      </c>
      <c r="D19652" t="s">
        <v>22</v>
      </c>
      <c r="E19652">
        <v>1</v>
      </c>
    </row>
    <row r="19653" spans="1:5" x14ac:dyDescent="0.25">
      <c r="A19653">
        <v>19652</v>
      </c>
      <c r="B19653">
        <v>2924455</v>
      </c>
      <c r="C19653" s="1" t="str">
        <f>HYPERLINK("http://stackoverflow.com/users/2924455", "Harry King")</f>
        <v>Harry King</v>
      </c>
      <c r="D19653" t="s">
        <v>54</v>
      </c>
      <c r="E19653">
        <v>1</v>
      </c>
    </row>
    <row r="19654" spans="1:5" x14ac:dyDescent="0.25">
      <c r="A19654">
        <v>19653</v>
      </c>
      <c r="B19654">
        <v>8289433</v>
      </c>
      <c r="C19654" s="1" t="str">
        <f>HYPERLINK("http://stackoverflow.com/users/8289433", "Harley Lin")</f>
        <v>Harley Lin</v>
      </c>
      <c r="D19654" t="s">
        <v>176</v>
      </c>
      <c r="E19654">
        <v>1</v>
      </c>
    </row>
    <row r="19655" spans="1:5" x14ac:dyDescent="0.25">
      <c r="A19655">
        <v>19654</v>
      </c>
      <c r="B19655">
        <v>2927023</v>
      </c>
      <c r="C19655" s="1" t="str">
        <f>HYPERLINK("http://stackoverflow.com/users/2927023", "SHAI")</f>
        <v>SHAI</v>
      </c>
      <c r="D19655" t="s">
        <v>4</v>
      </c>
      <c r="E19655">
        <v>1</v>
      </c>
    </row>
    <row r="19656" spans="1:5" x14ac:dyDescent="0.25">
      <c r="A19656">
        <v>19655</v>
      </c>
      <c r="B19656">
        <v>2927152</v>
      </c>
      <c r="C19656" s="1" t="str">
        <f>HYPERLINK("http://stackoverflow.com/users/2927152", "YuQiaolung")</f>
        <v>YuQiaolung</v>
      </c>
      <c r="D19656" t="s">
        <v>52</v>
      </c>
      <c r="E19656">
        <v>1</v>
      </c>
    </row>
    <row r="19657" spans="1:5" x14ac:dyDescent="0.25">
      <c r="A19657">
        <v>19656</v>
      </c>
      <c r="B19657">
        <v>2924496</v>
      </c>
      <c r="C19657" s="1" t="str">
        <f>HYPERLINK("http://stackoverflow.com/users/2924496", "xu071602")</f>
        <v>xu071602</v>
      </c>
      <c r="D19657" t="s">
        <v>4</v>
      </c>
      <c r="E19657">
        <v>1</v>
      </c>
    </row>
    <row r="19658" spans="1:5" x14ac:dyDescent="0.25">
      <c r="A19658">
        <v>19657</v>
      </c>
      <c r="B19658">
        <v>2941161</v>
      </c>
      <c r="C19658" s="1" t="str">
        <f>HYPERLINK("http://stackoverflow.com/users/2941161", "Songhp")</f>
        <v>Songhp</v>
      </c>
      <c r="D19658" t="s">
        <v>5</v>
      </c>
      <c r="E19658">
        <v>1</v>
      </c>
    </row>
    <row r="19659" spans="1:5" x14ac:dyDescent="0.25">
      <c r="A19659">
        <v>19658</v>
      </c>
      <c r="B19659">
        <v>2941246</v>
      </c>
      <c r="C19659" s="1" t="str">
        <f>HYPERLINK("http://stackoverflow.com/users/2941246", "skjda")</f>
        <v>skjda</v>
      </c>
      <c r="D19659" t="s">
        <v>4</v>
      </c>
      <c r="E19659">
        <v>1</v>
      </c>
    </row>
    <row r="19660" spans="1:5" x14ac:dyDescent="0.25">
      <c r="A19660">
        <v>19659</v>
      </c>
      <c r="B19660">
        <v>10117634</v>
      </c>
      <c r="C19660" s="1" t="str">
        <f>HYPERLINK("http://stackoverflow.com/users/10117634", "GAO YU")</f>
        <v>GAO YU</v>
      </c>
      <c r="D19660" t="s">
        <v>4</v>
      </c>
      <c r="E19660">
        <v>1</v>
      </c>
    </row>
    <row r="19661" spans="1:5" x14ac:dyDescent="0.25">
      <c r="A19661">
        <v>19660</v>
      </c>
      <c r="B19661">
        <v>4775884</v>
      </c>
      <c r="C19661" s="1" t="str">
        <f>HYPERLINK("http://stackoverflow.com/users/4775884", "ublue")</f>
        <v>ublue</v>
      </c>
      <c r="D19661" t="s">
        <v>17</v>
      </c>
      <c r="E19661">
        <v>1</v>
      </c>
    </row>
    <row r="19662" spans="1:5" x14ac:dyDescent="0.25">
      <c r="A19662">
        <v>19661</v>
      </c>
      <c r="B19662">
        <v>8301300</v>
      </c>
      <c r="C19662" s="1" t="str">
        <f>HYPERLINK("http://stackoverflow.com/users/8301300", "JerryY. Wang")</f>
        <v>JerryY. Wang</v>
      </c>
      <c r="D19662" t="s">
        <v>74</v>
      </c>
      <c r="E19662">
        <v>1</v>
      </c>
    </row>
    <row r="19663" spans="1:5" x14ac:dyDescent="0.25">
      <c r="A19663">
        <v>19662</v>
      </c>
      <c r="B19663">
        <v>6499950</v>
      </c>
      <c r="C19663" s="1" t="str">
        <f>HYPERLINK("http://stackoverflow.com/users/6499950", "Leo")</f>
        <v>Leo</v>
      </c>
      <c r="D19663" t="s">
        <v>131</v>
      </c>
      <c r="E19663">
        <v>1</v>
      </c>
    </row>
    <row r="19664" spans="1:5" x14ac:dyDescent="0.25">
      <c r="A19664">
        <v>19663</v>
      </c>
      <c r="B19664">
        <v>2943898</v>
      </c>
      <c r="C19664" s="1" t="str">
        <f>HYPERLINK("http://stackoverflow.com/users/2943898", "xuhcheng")</f>
        <v>xuhcheng</v>
      </c>
      <c r="D19664" t="s">
        <v>5</v>
      </c>
      <c r="E19664">
        <v>1</v>
      </c>
    </row>
    <row r="19665" spans="1:5" x14ac:dyDescent="0.25">
      <c r="A19665">
        <v>19664</v>
      </c>
      <c r="B19665">
        <v>10121818</v>
      </c>
      <c r="C19665" s="1" t="str">
        <f>HYPERLINK("http://stackoverflow.com/users/10121818", "YuBin Lai")</f>
        <v>YuBin Lai</v>
      </c>
      <c r="D19665" t="s">
        <v>25</v>
      </c>
      <c r="E19665">
        <v>1</v>
      </c>
    </row>
    <row r="19666" spans="1:5" x14ac:dyDescent="0.25">
      <c r="A19666">
        <v>19665</v>
      </c>
      <c r="B19666">
        <v>10122016</v>
      </c>
      <c r="C19666" s="1" t="str">
        <f>HYPERLINK("http://stackoverflow.com/users/10122016", "Hao Sun")</f>
        <v>Hao Sun</v>
      </c>
      <c r="D19666" t="s">
        <v>4</v>
      </c>
      <c r="E19666">
        <v>1</v>
      </c>
    </row>
    <row r="19667" spans="1:5" x14ac:dyDescent="0.25">
      <c r="A19667">
        <v>19666</v>
      </c>
      <c r="B19667">
        <v>6488213</v>
      </c>
      <c r="C19667" s="1" t="str">
        <f>HYPERLINK("http://stackoverflow.com/users/6488213", "Cheng Jiang")</f>
        <v>Cheng Jiang</v>
      </c>
      <c r="D19667" t="s">
        <v>4</v>
      </c>
      <c r="E19667">
        <v>1</v>
      </c>
    </row>
    <row r="19668" spans="1:5" x14ac:dyDescent="0.25">
      <c r="A19668">
        <v>19667</v>
      </c>
      <c r="B19668">
        <v>6488398</v>
      </c>
      <c r="C19668" s="1" t="str">
        <f>HYPERLINK("http://stackoverflow.com/users/6488398", "筱枫泠")</f>
        <v>筱枫泠</v>
      </c>
      <c r="D19668" t="s">
        <v>28</v>
      </c>
      <c r="E19668">
        <v>1</v>
      </c>
    </row>
    <row r="19669" spans="1:5" x14ac:dyDescent="0.25">
      <c r="A19669">
        <v>19668</v>
      </c>
      <c r="B19669">
        <v>8292721</v>
      </c>
      <c r="C19669" s="1" t="str">
        <f>HYPERLINK("http://stackoverflow.com/users/8292721", "Yingfan Huang")</f>
        <v>Yingfan Huang</v>
      </c>
      <c r="D19669" t="s">
        <v>5</v>
      </c>
      <c r="E19669">
        <v>1</v>
      </c>
    </row>
    <row r="19670" spans="1:5" x14ac:dyDescent="0.25">
      <c r="A19670">
        <v>19669</v>
      </c>
      <c r="B19670">
        <v>8292746</v>
      </c>
      <c r="C19670" s="1" t="str">
        <f>HYPERLINK("http://stackoverflow.com/users/8292746", "Shengcai Hudou Daddy")</f>
        <v>Shengcai Hudou Daddy</v>
      </c>
      <c r="D19670" t="s">
        <v>1049</v>
      </c>
      <c r="E19670">
        <v>1</v>
      </c>
    </row>
    <row r="19671" spans="1:5" x14ac:dyDescent="0.25">
      <c r="A19671">
        <v>19670</v>
      </c>
      <c r="B19671">
        <v>10108559</v>
      </c>
      <c r="C19671" s="1" t="str">
        <f>HYPERLINK("http://stackoverflow.com/users/10108559", "Max Du")</f>
        <v>Max Du</v>
      </c>
      <c r="D19671" t="s">
        <v>4</v>
      </c>
      <c r="E19671">
        <v>1</v>
      </c>
    </row>
    <row r="19672" spans="1:5" x14ac:dyDescent="0.25">
      <c r="A19672">
        <v>19671</v>
      </c>
      <c r="B19672">
        <v>10108700</v>
      </c>
      <c r="C19672" s="1" t="str">
        <f>HYPERLINK("http://stackoverflow.com/users/10108700", "Yuqing Hou")</f>
        <v>Yuqing Hou</v>
      </c>
      <c r="D19672" t="s">
        <v>74</v>
      </c>
      <c r="E19672">
        <v>1</v>
      </c>
    </row>
    <row r="19673" spans="1:5" x14ac:dyDescent="0.25">
      <c r="A19673">
        <v>19672</v>
      </c>
      <c r="B19673">
        <v>868605</v>
      </c>
      <c r="C19673" s="1" t="str">
        <f>HYPERLINK("http://stackoverflow.com/users/868605", "willerce")</f>
        <v>willerce</v>
      </c>
      <c r="D19673" t="s">
        <v>17</v>
      </c>
      <c r="E19673">
        <v>1</v>
      </c>
    </row>
    <row r="19674" spans="1:5" x14ac:dyDescent="0.25">
      <c r="A19674">
        <v>19673</v>
      </c>
      <c r="B19674">
        <v>869066</v>
      </c>
      <c r="C19674" s="1" t="str">
        <f>HYPERLINK("http://stackoverflow.com/users/869066", "kevin.bo.yang")</f>
        <v>kevin.bo.yang</v>
      </c>
      <c r="D19674" t="s">
        <v>17</v>
      </c>
      <c r="E19674">
        <v>1</v>
      </c>
    </row>
    <row r="19675" spans="1:5" x14ac:dyDescent="0.25">
      <c r="A19675">
        <v>19674</v>
      </c>
      <c r="B19675">
        <v>6510019</v>
      </c>
      <c r="C19675" s="1" t="str">
        <f>HYPERLINK("http://stackoverflow.com/users/6510019", "Jo Koo")</f>
        <v>Jo Koo</v>
      </c>
      <c r="D19675" t="s">
        <v>4</v>
      </c>
      <c r="E19675">
        <v>1</v>
      </c>
    </row>
    <row r="19676" spans="1:5" x14ac:dyDescent="0.25">
      <c r="A19676">
        <v>19675</v>
      </c>
      <c r="B19676">
        <v>895308</v>
      </c>
      <c r="C19676" s="1" t="str">
        <f>HYPERLINK("http://stackoverflow.com/users/895308", "Shine")</f>
        <v>Shine</v>
      </c>
      <c r="D19676" t="s">
        <v>28</v>
      </c>
      <c r="E19676">
        <v>1</v>
      </c>
    </row>
    <row r="19677" spans="1:5" x14ac:dyDescent="0.25">
      <c r="A19677">
        <v>19676</v>
      </c>
      <c r="B19677">
        <v>902281</v>
      </c>
      <c r="C19677" s="1" t="str">
        <f>HYPERLINK("http://stackoverflow.com/users/902281", "largepuma")</f>
        <v>largepuma</v>
      </c>
      <c r="D19677" t="s">
        <v>37</v>
      </c>
      <c r="E19677">
        <v>1</v>
      </c>
    </row>
    <row r="19678" spans="1:5" x14ac:dyDescent="0.25">
      <c r="A19678">
        <v>19677</v>
      </c>
      <c r="B19678">
        <v>894504</v>
      </c>
      <c r="C19678" s="1" t="str">
        <f>HYPERLINK("http://stackoverflow.com/users/894504", "ThomsonTang")</f>
        <v>ThomsonTang</v>
      </c>
      <c r="D19678" t="s">
        <v>5</v>
      </c>
      <c r="E19678">
        <v>1</v>
      </c>
    </row>
    <row r="19679" spans="1:5" x14ac:dyDescent="0.25">
      <c r="A19679">
        <v>19678</v>
      </c>
      <c r="B19679">
        <v>2952806</v>
      </c>
      <c r="C19679" s="1" t="str">
        <f>HYPERLINK("http://stackoverflow.com/users/2952806", "Joey")</f>
        <v>Joey</v>
      </c>
      <c r="D19679" t="s">
        <v>4</v>
      </c>
      <c r="E19679">
        <v>1</v>
      </c>
    </row>
    <row r="19680" spans="1:5" x14ac:dyDescent="0.25">
      <c r="A19680">
        <v>19679</v>
      </c>
      <c r="B19680">
        <v>10126270</v>
      </c>
      <c r="C19680" s="1" t="str">
        <f>HYPERLINK("http://stackoverflow.com/users/10126270", "Hongbin Zhang")</f>
        <v>Hongbin Zhang</v>
      </c>
      <c r="D19680" t="s">
        <v>5</v>
      </c>
      <c r="E19680">
        <v>1</v>
      </c>
    </row>
    <row r="19681" spans="1:5" x14ac:dyDescent="0.25">
      <c r="A19681">
        <v>19680</v>
      </c>
      <c r="B19681">
        <v>2952193</v>
      </c>
      <c r="C19681" s="1" t="str">
        <f>HYPERLINK("http://stackoverflow.com/users/2952193", "dongsun")</f>
        <v>dongsun</v>
      </c>
      <c r="D19681" t="s">
        <v>8</v>
      </c>
      <c r="E19681">
        <v>1</v>
      </c>
    </row>
    <row r="19682" spans="1:5" x14ac:dyDescent="0.25">
      <c r="A19682">
        <v>19681</v>
      </c>
      <c r="B19682">
        <v>2952539</v>
      </c>
      <c r="C19682" s="1" t="str">
        <f>HYPERLINK("http://stackoverflow.com/users/2952539", "veryyoung")</f>
        <v>veryyoung</v>
      </c>
      <c r="D19682" t="s">
        <v>8</v>
      </c>
      <c r="E19682">
        <v>1</v>
      </c>
    </row>
    <row r="19683" spans="1:5" x14ac:dyDescent="0.25">
      <c r="A19683">
        <v>19682</v>
      </c>
      <c r="B19683">
        <v>8306092</v>
      </c>
      <c r="C19683" s="1" t="str">
        <f>HYPERLINK("http://stackoverflow.com/users/8306092", "Dennis Zhou")</f>
        <v>Dennis Zhou</v>
      </c>
      <c r="D19683" t="s">
        <v>4</v>
      </c>
      <c r="E19683">
        <v>1</v>
      </c>
    </row>
    <row r="19684" spans="1:5" x14ac:dyDescent="0.25">
      <c r="A19684">
        <v>19683</v>
      </c>
      <c r="B19684">
        <v>8306161</v>
      </c>
      <c r="C19684" s="1" t="str">
        <f>HYPERLINK("http://stackoverflow.com/users/8306161", "user8306161")</f>
        <v>user8306161</v>
      </c>
      <c r="D19684" t="s">
        <v>4</v>
      </c>
      <c r="E19684">
        <v>1</v>
      </c>
    </row>
    <row r="19685" spans="1:5" x14ac:dyDescent="0.25">
      <c r="A19685">
        <v>19684</v>
      </c>
      <c r="B19685">
        <v>870369</v>
      </c>
      <c r="C19685" s="1" t="str">
        <f>HYPERLINK("http://stackoverflow.com/users/870369", "Howtin.Gong")</f>
        <v>Howtin.Gong</v>
      </c>
      <c r="D19685" t="s">
        <v>5</v>
      </c>
      <c r="E19685">
        <v>1</v>
      </c>
    </row>
    <row r="19686" spans="1:5" x14ac:dyDescent="0.25">
      <c r="A19686">
        <v>19685</v>
      </c>
      <c r="B19686">
        <v>8305903</v>
      </c>
      <c r="C19686" s="1" t="str">
        <f>HYPERLINK("http://stackoverflow.com/users/8305903", "reve.ching")</f>
        <v>reve.ching</v>
      </c>
      <c r="D19686" t="s">
        <v>7</v>
      </c>
      <c r="E19686">
        <v>1</v>
      </c>
    </row>
    <row r="19687" spans="1:5" x14ac:dyDescent="0.25">
      <c r="A19687">
        <v>19686</v>
      </c>
      <c r="B19687">
        <v>6503516</v>
      </c>
      <c r="C19687" s="1" t="str">
        <f>HYPERLINK("http://stackoverflow.com/users/6503516", "wolfhan")</f>
        <v>wolfhan</v>
      </c>
      <c r="D19687" t="s">
        <v>55</v>
      </c>
      <c r="E19687">
        <v>1</v>
      </c>
    </row>
    <row r="19688" spans="1:5" x14ac:dyDescent="0.25">
      <c r="A19688">
        <v>19687</v>
      </c>
      <c r="B19688">
        <v>6506949</v>
      </c>
      <c r="C19688" s="1" t="str">
        <f>HYPERLINK("http://stackoverflow.com/users/6506949", "B.Zhang")</f>
        <v>B.Zhang</v>
      </c>
      <c r="D19688" t="s">
        <v>5</v>
      </c>
      <c r="E19688">
        <v>1</v>
      </c>
    </row>
    <row r="19689" spans="1:5" x14ac:dyDescent="0.25">
      <c r="A19689">
        <v>19688</v>
      </c>
      <c r="B19689">
        <v>8328763</v>
      </c>
      <c r="C19689" s="1" t="str">
        <f>HYPERLINK("http://stackoverflow.com/users/8328763", "smartzzx")</f>
        <v>smartzzx</v>
      </c>
      <c r="D19689" t="s">
        <v>131</v>
      </c>
      <c r="E19689">
        <v>1</v>
      </c>
    </row>
    <row r="19690" spans="1:5" x14ac:dyDescent="0.25">
      <c r="A19690">
        <v>19689</v>
      </c>
      <c r="B19690">
        <v>8328783</v>
      </c>
      <c r="C19690" s="1" t="str">
        <f>HYPERLINK("http://stackoverflow.com/users/8328783", "lingongbing")</f>
        <v>lingongbing</v>
      </c>
      <c r="D19690" t="s">
        <v>47</v>
      </c>
      <c r="E19690">
        <v>1</v>
      </c>
    </row>
    <row r="19691" spans="1:5" x14ac:dyDescent="0.25">
      <c r="A19691">
        <v>19690</v>
      </c>
      <c r="B19691">
        <v>8328789</v>
      </c>
      <c r="C19691" s="1" t="str">
        <f>HYPERLINK("http://stackoverflow.com/users/8328789", "yiliahair")</f>
        <v>yiliahair</v>
      </c>
      <c r="D19691" t="s">
        <v>25</v>
      </c>
      <c r="E19691">
        <v>1</v>
      </c>
    </row>
    <row r="19692" spans="1:5" x14ac:dyDescent="0.25">
      <c r="A19692">
        <v>19691</v>
      </c>
      <c r="B19692">
        <v>8328827</v>
      </c>
      <c r="C19692" s="1" t="str">
        <f>HYPERLINK("http://stackoverflow.com/users/8328827", "benl wang")</f>
        <v>benl wang</v>
      </c>
      <c r="D19692" t="s">
        <v>4</v>
      </c>
      <c r="E19692">
        <v>1</v>
      </c>
    </row>
    <row r="19693" spans="1:5" x14ac:dyDescent="0.25">
      <c r="A19693">
        <v>19692</v>
      </c>
      <c r="B19693">
        <v>8328839</v>
      </c>
      <c r="C19693" s="1" t="str">
        <f>HYPERLINK("http://stackoverflow.com/users/8328839", "carl")</f>
        <v>carl</v>
      </c>
      <c r="D19693" t="s">
        <v>7</v>
      </c>
      <c r="E19693">
        <v>1</v>
      </c>
    </row>
    <row r="19694" spans="1:5" x14ac:dyDescent="0.25">
      <c r="A19694">
        <v>19693</v>
      </c>
      <c r="B19694">
        <v>8328866</v>
      </c>
      <c r="C19694" s="1" t="str">
        <f>HYPERLINK("http://stackoverflow.com/users/8328866", "黄清淮")</f>
        <v>黄清淮</v>
      </c>
      <c r="D19694" t="s">
        <v>15</v>
      </c>
      <c r="E19694">
        <v>1</v>
      </c>
    </row>
    <row r="19695" spans="1:5" x14ac:dyDescent="0.25">
      <c r="A19695">
        <v>19694</v>
      </c>
      <c r="B19695">
        <v>8333452</v>
      </c>
      <c r="C19695" s="1" t="str">
        <f>HYPERLINK("http://stackoverflow.com/users/8333452", "刘开元")</f>
        <v>刘开元</v>
      </c>
      <c r="D19695" t="s">
        <v>16</v>
      </c>
      <c r="E19695">
        <v>1</v>
      </c>
    </row>
    <row r="19696" spans="1:5" x14ac:dyDescent="0.25">
      <c r="A19696">
        <v>19695</v>
      </c>
      <c r="B19696">
        <v>8328426</v>
      </c>
      <c r="C19696" s="1" t="str">
        <f>HYPERLINK("http://stackoverflow.com/users/8328426", "Wenlu Zhao")</f>
        <v>Wenlu Zhao</v>
      </c>
      <c r="D19696" t="s">
        <v>5</v>
      </c>
      <c r="E19696">
        <v>1</v>
      </c>
    </row>
    <row r="19697" spans="1:5" x14ac:dyDescent="0.25">
      <c r="A19697">
        <v>19696</v>
      </c>
      <c r="B19697">
        <v>8328445</v>
      </c>
      <c r="C19697" s="1" t="str">
        <f>HYPERLINK("http://stackoverflow.com/users/8328445", "Zhihuan Hu")</f>
        <v>Zhihuan Hu</v>
      </c>
      <c r="D19697" t="s">
        <v>4</v>
      </c>
      <c r="E19697">
        <v>1</v>
      </c>
    </row>
    <row r="19698" spans="1:5" x14ac:dyDescent="0.25">
      <c r="A19698">
        <v>19697</v>
      </c>
      <c r="B19698">
        <v>8328526</v>
      </c>
      <c r="C19698" s="1" t="str">
        <f>HYPERLINK("http://stackoverflow.com/users/8328526", "Wenha")</f>
        <v>Wenha</v>
      </c>
      <c r="D19698" t="s">
        <v>5</v>
      </c>
      <c r="E19698">
        <v>1</v>
      </c>
    </row>
    <row r="19699" spans="1:5" x14ac:dyDescent="0.25">
      <c r="A19699">
        <v>19698</v>
      </c>
      <c r="B19699">
        <v>8328558</v>
      </c>
      <c r="C19699" s="1" t="str">
        <f>HYPERLINK("http://stackoverflow.com/users/8328558", "Roger_HL")</f>
        <v>Roger_HL</v>
      </c>
      <c r="D19699" t="s">
        <v>4</v>
      </c>
      <c r="E19699">
        <v>1</v>
      </c>
    </row>
    <row r="19700" spans="1:5" x14ac:dyDescent="0.25">
      <c r="A19700">
        <v>19699</v>
      </c>
      <c r="B19700">
        <v>8328570</v>
      </c>
      <c r="C19700" s="1" t="str">
        <f>HYPERLINK("http://stackoverflow.com/users/8328570", "mango")</f>
        <v>mango</v>
      </c>
      <c r="D19700" t="s">
        <v>266</v>
      </c>
      <c r="E19700">
        <v>1</v>
      </c>
    </row>
    <row r="19701" spans="1:5" x14ac:dyDescent="0.25">
      <c r="A19701">
        <v>19700</v>
      </c>
      <c r="B19701">
        <v>8328668</v>
      </c>
      <c r="C19701" s="1" t="str">
        <f>HYPERLINK("http://stackoverflow.com/users/8328668", "JackHZhou")</f>
        <v>JackHZhou</v>
      </c>
      <c r="D19701" t="s">
        <v>5</v>
      </c>
      <c r="E19701">
        <v>1</v>
      </c>
    </row>
    <row r="19702" spans="1:5" x14ac:dyDescent="0.25">
      <c r="A19702">
        <v>19701</v>
      </c>
      <c r="B19702">
        <v>8328674</v>
      </c>
      <c r="C19702" s="1" t="str">
        <f>HYPERLINK("http://stackoverflow.com/users/8328674", "whispering")</f>
        <v>whispering</v>
      </c>
      <c r="D19702" t="s">
        <v>16</v>
      </c>
      <c r="E19702">
        <v>1</v>
      </c>
    </row>
    <row r="19703" spans="1:5" x14ac:dyDescent="0.25">
      <c r="A19703">
        <v>19702</v>
      </c>
      <c r="B19703">
        <v>6527589</v>
      </c>
      <c r="C19703" s="1" t="str">
        <f>HYPERLINK("http://stackoverflow.com/users/6527589", "Wei")</f>
        <v>Wei</v>
      </c>
      <c r="D19703" t="s">
        <v>28</v>
      </c>
      <c r="E19703">
        <v>1</v>
      </c>
    </row>
    <row r="19704" spans="1:5" x14ac:dyDescent="0.25">
      <c r="A19704">
        <v>19703</v>
      </c>
      <c r="B19704">
        <v>6527766</v>
      </c>
      <c r="C19704" s="1" t="str">
        <f>HYPERLINK("http://stackoverflow.com/users/6527766", "walliam")</f>
        <v>walliam</v>
      </c>
      <c r="D19704" t="s">
        <v>7</v>
      </c>
      <c r="E19704">
        <v>1</v>
      </c>
    </row>
    <row r="19705" spans="1:5" x14ac:dyDescent="0.25">
      <c r="A19705">
        <v>19704</v>
      </c>
      <c r="B19705">
        <v>4804609</v>
      </c>
      <c r="C19705" s="1" t="str">
        <f>HYPERLINK("http://stackoverflow.com/users/4804609", "Fred")</f>
        <v>Fred</v>
      </c>
      <c r="D19705" t="s">
        <v>7</v>
      </c>
      <c r="E19705">
        <v>1</v>
      </c>
    </row>
    <row r="19706" spans="1:5" x14ac:dyDescent="0.25">
      <c r="A19706">
        <v>19705</v>
      </c>
      <c r="B19706">
        <v>2977690</v>
      </c>
      <c r="C19706" s="1" t="str">
        <f>HYPERLINK("http://stackoverflow.com/users/2977690", "alienbin")</f>
        <v>alienbin</v>
      </c>
      <c r="D19706" t="s">
        <v>22</v>
      </c>
      <c r="E19706">
        <v>1</v>
      </c>
    </row>
    <row r="19707" spans="1:5" x14ac:dyDescent="0.25">
      <c r="A19707">
        <v>19706</v>
      </c>
      <c r="B19707">
        <v>2977802</v>
      </c>
      <c r="C19707" s="1" t="str">
        <f>HYPERLINK("http://stackoverflow.com/users/2977802", "shma")</f>
        <v>shma</v>
      </c>
      <c r="D19707" t="s">
        <v>7</v>
      </c>
      <c r="E19707">
        <v>1</v>
      </c>
    </row>
    <row r="19708" spans="1:5" x14ac:dyDescent="0.25">
      <c r="A19708">
        <v>19707</v>
      </c>
      <c r="B19708">
        <v>2981379</v>
      </c>
      <c r="C19708" s="1" t="str">
        <f>HYPERLINK("http://stackoverflow.com/users/2981379", "matman")</f>
        <v>matman</v>
      </c>
      <c r="D19708" t="s">
        <v>5</v>
      </c>
      <c r="E19708">
        <v>1</v>
      </c>
    </row>
    <row r="19709" spans="1:5" x14ac:dyDescent="0.25">
      <c r="A19709">
        <v>19708</v>
      </c>
      <c r="B19709">
        <v>4812977</v>
      </c>
      <c r="C19709" s="1" t="str">
        <f>HYPERLINK("http://stackoverflow.com/users/4812977", "sw55555")</f>
        <v>sw55555</v>
      </c>
      <c r="D19709" t="s">
        <v>28</v>
      </c>
      <c r="E19709">
        <v>1</v>
      </c>
    </row>
    <row r="19710" spans="1:5" x14ac:dyDescent="0.25">
      <c r="A19710">
        <v>19709</v>
      </c>
      <c r="B19710">
        <v>4813035</v>
      </c>
      <c r="C19710" s="1" t="str">
        <f>HYPERLINK("http://stackoverflow.com/users/4813035", "Aiguo")</f>
        <v>Aiguo</v>
      </c>
      <c r="D19710" t="s">
        <v>4</v>
      </c>
      <c r="E19710">
        <v>1</v>
      </c>
    </row>
    <row r="19711" spans="1:5" x14ac:dyDescent="0.25">
      <c r="A19711">
        <v>19710</v>
      </c>
      <c r="B19711">
        <v>8337225</v>
      </c>
      <c r="C19711" s="1" t="str">
        <f>HYPERLINK("http://stackoverflow.com/users/8337225", "ikangming")</f>
        <v>ikangming</v>
      </c>
      <c r="D19711" t="s">
        <v>74</v>
      </c>
      <c r="E19711">
        <v>1</v>
      </c>
    </row>
    <row r="19712" spans="1:5" x14ac:dyDescent="0.25">
      <c r="A19712">
        <v>19711</v>
      </c>
      <c r="B19712">
        <v>8337244</v>
      </c>
      <c r="C19712" s="1" t="str">
        <f>HYPERLINK("http://stackoverflow.com/users/8337244", "吴之惠")</f>
        <v>吴之惠</v>
      </c>
      <c r="D19712" t="s">
        <v>4</v>
      </c>
      <c r="E19712">
        <v>1</v>
      </c>
    </row>
    <row r="19713" spans="1:5" x14ac:dyDescent="0.25">
      <c r="A19713">
        <v>19712</v>
      </c>
      <c r="B19713">
        <v>8337728</v>
      </c>
      <c r="C19713" s="1" t="str">
        <f>HYPERLINK("http://stackoverflow.com/users/8337728", "Victor Chen")</f>
        <v>Victor Chen</v>
      </c>
      <c r="D19713" t="s">
        <v>4</v>
      </c>
      <c r="E19713">
        <v>1</v>
      </c>
    </row>
    <row r="19714" spans="1:5" x14ac:dyDescent="0.25">
      <c r="A19714">
        <v>19713</v>
      </c>
      <c r="B19714">
        <v>924504</v>
      </c>
      <c r="C19714" s="1" t="str">
        <f>HYPERLINK("http://stackoverflow.com/users/924504", "Leeall")</f>
        <v>Leeall</v>
      </c>
      <c r="D19714" t="s">
        <v>5</v>
      </c>
      <c r="E19714">
        <v>1</v>
      </c>
    </row>
    <row r="19715" spans="1:5" x14ac:dyDescent="0.25">
      <c r="A19715">
        <v>19714</v>
      </c>
      <c r="B19715">
        <v>917448</v>
      </c>
      <c r="C19715" s="1" t="str">
        <f>HYPERLINK("http://stackoverflow.com/users/917448", "Liu Yongtai")</f>
        <v>Liu Yongtai</v>
      </c>
      <c r="D19715" t="s">
        <v>56</v>
      </c>
      <c r="E19715">
        <v>1</v>
      </c>
    </row>
    <row r="19716" spans="1:5" x14ac:dyDescent="0.25">
      <c r="A19716">
        <v>19715</v>
      </c>
      <c r="B19716">
        <v>917558</v>
      </c>
      <c r="C19716" s="1" t="str">
        <f>HYPERLINK("http://stackoverflow.com/users/917558", "Bin Chen")</f>
        <v>Bin Chen</v>
      </c>
      <c r="D19716" t="s">
        <v>5</v>
      </c>
      <c r="E19716">
        <v>1</v>
      </c>
    </row>
    <row r="19717" spans="1:5" x14ac:dyDescent="0.25">
      <c r="A19717">
        <v>19716</v>
      </c>
      <c r="B19717">
        <v>917252</v>
      </c>
      <c r="C19717" s="1" t="str">
        <f>HYPERLINK("http://stackoverflow.com/users/917252", "fengzee")</f>
        <v>fengzee</v>
      </c>
      <c r="D19717" t="s">
        <v>5</v>
      </c>
      <c r="E19717">
        <v>1</v>
      </c>
    </row>
    <row r="19718" spans="1:5" x14ac:dyDescent="0.25">
      <c r="A19718">
        <v>19717</v>
      </c>
      <c r="B19718">
        <v>4792244</v>
      </c>
      <c r="C19718" s="1" t="str">
        <f>HYPERLINK("http://stackoverflow.com/users/4792244", "Ruibin Zhu")</f>
        <v>Ruibin Zhu</v>
      </c>
      <c r="D19718" t="s">
        <v>5</v>
      </c>
      <c r="E19718">
        <v>1</v>
      </c>
    </row>
    <row r="19719" spans="1:5" x14ac:dyDescent="0.25">
      <c r="A19719">
        <v>19718</v>
      </c>
      <c r="B19719">
        <v>8319524</v>
      </c>
      <c r="C19719" s="1" t="str">
        <f>HYPERLINK("http://stackoverflow.com/users/8319524", "yuan li")</f>
        <v>yuan li</v>
      </c>
      <c r="D19719" t="s">
        <v>7</v>
      </c>
      <c r="E19719">
        <v>1</v>
      </c>
    </row>
    <row r="19720" spans="1:5" x14ac:dyDescent="0.25">
      <c r="A19720">
        <v>19719</v>
      </c>
      <c r="B19720">
        <v>8319808</v>
      </c>
      <c r="C19720" s="1" t="str">
        <f>HYPERLINK("http://stackoverflow.com/users/8319808", "ErvenAries")</f>
        <v>ErvenAries</v>
      </c>
      <c r="D19720" t="s">
        <v>505</v>
      </c>
      <c r="E19720">
        <v>1</v>
      </c>
    </row>
    <row r="19721" spans="1:5" x14ac:dyDescent="0.25">
      <c r="A19721">
        <v>19720</v>
      </c>
      <c r="B19721">
        <v>8323709</v>
      </c>
      <c r="C19721" s="1" t="str">
        <f>HYPERLINK("http://stackoverflow.com/users/8323709", "user8323709")</f>
        <v>user8323709</v>
      </c>
      <c r="D19721" t="s">
        <v>28</v>
      </c>
      <c r="E19721">
        <v>1</v>
      </c>
    </row>
    <row r="19722" spans="1:5" x14ac:dyDescent="0.25">
      <c r="A19722">
        <v>19721</v>
      </c>
      <c r="B19722">
        <v>8323733</v>
      </c>
      <c r="C19722" s="1" t="str">
        <f>HYPERLINK("http://stackoverflow.com/users/8323733", "jerry_he")</f>
        <v>jerry_he</v>
      </c>
      <c r="D19722" t="s">
        <v>120</v>
      </c>
      <c r="E19722">
        <v>1</v>
      </c>
    </row>
    <row r="19723" spans="1:5" x14ac:dyDescent="0.25">
      <c r="A19723">
        <v>19722</v>
      </c>
      <c r="B19723">
        <v>8323742</v>
      </c>
      <c r="C19723" s="1" t="str">
        <f>HYPERLINK("http://stackoverflow.com/users/8323742", "Amyas Marshall")</f>
        <v>Amyas Marshall</v>
      </c>
      <c r="D19723" t="s">
        <v>5</v>
      </c>
      <c r="E19723">
        <v>1</v>
      </c>
    </row>
    <row r="19724" spans="1:5" x14ac:dyDescent="0.25">
      <c r="A19724">
        <v>19723</v>
      </c>
      <c r="B19724">
        <v>8323899</v>
      </c>
      <c r="C19724" s="1" t="str">
        <f>HYPERLINK("http://stackoverflow.com/users/8323899", "jufusong")</f>
        <v>jufusong</v>
      </c>
      <c r="D19724" t="s">
        <v>5</v>
      </c>
      <c r="E19724">
        <v>1</v>
      </c>
    </row>
    <row r="19725" spans="1:5" x14ac:dyDescent="0.25">
      <c r="A19725">
        <v>19724</v>
      </c>
      <c r="B19725">
        <v>917096</v>
      </c>
      <c r="C19725" s="1" t="str">
        <f>HYPERLINK("http://stackoverflow.com/users/917096", "lyteee")</f>
        <v>lyteee</v>
      </c>
      <c r="D19725" t="s">
        <v>56</v>
      </c>
      <c r="E19725">
        <v>1</v>
      </c>
    </row>
    <row r="19726" spans="1:5" x14ac:dyDescent="0.25">
      <c r="A19726">
        <v>19725</v>
      </c>
      <c r="B19726">
        <v>8322688</v>
      </c>
      <c r="C19726" s="1" t="str">
        <f>HYPERLINK("http://stackoverflow.com/users/8322688", "周王春澍")</f>
        <v>周王春澍</v>
      </c>
      <c r="D19726" t="s">
        <v>5</v>
      </c>
      <c r="E19726">
        <v>1</v>
      </c>
    </row>
    <row r="19727" spans="1:5" x14ac:dyDescent="0.25">
      <c r="A19727">
        <v>19726</v>
      </c>
      <c r="B19727">
        <v>8322722</v>
      </c>
      <c r="C19727" s="1" t="str">
        <f>HYPERLINK("http://stackoverflow.com/users/8322722", "Jeffry")</f>
        <v>Jeffry</v>
      </c>
      <c r="D19727" t="s">
        <v>22</v>
      </c>
      <c r="E19727">
        <v>1</v>
      </c>
    </row>
    <row r="19728" spans="1:5" x14ac:dyDescent="0.25">
      <c r="A19728">
        <v>19727</v>
      </c>
      <c r="B19728">
        <v>8322767</v>
      </c>
      <c r="C19728" s="1" t="str">
        <f>HYPERLINK("http://stackoverflow.com/users/8322767", "叶琼州")</f>
        <v>叶琼州</v>
      </c>
      <c r="D19728" t="s">
        <v>266</v>
      </c>
      <c r="E19728">
        <v>1</v>
      </c>
    </row>
    <row r="19729" spans="1:5" x14ac:dyDescent="0.25">
      <c r="A19729">
        <v>19728</v>
      </c>
      <c r="B19729">
        <v>8322839</v>
      </c>
      <c r="C19729" s="1" t="str">
        <f>HYPERLINK("http://stackoverflow.com/users/8322839", "Viosn Cook")</f>
        <v>Viosn Cook</v>
      </c>
      <c r="D19729" t="s">
        <v>15</v>
      </c>
      <c r="E19729">
        <v>1</v>
      </c>
    </row>
    <row r="19730" spans="1:5" x14ac:dyDescent="0.25">
      <c r="A19730">
        <v>19729</v>
      </c>
      <c r="B19730">
        <v>8322846</v>
      </c>
      <c r="C19730" s="1" t="str">
        <f>HYPERLINK("http://stackoverflow.com/users/8322846", "Jacky Wang")</f>
        <v>Jacky Wang</v>
      </c>
      <c r="D19730" t="s">
        <v>5</v>
      </c>
      <c r="E19730">
        <v>1</v>
      </c>
    </row>
    <row r="19731" spans="1:5" x14ac:dyDescent="0.25">
      <c r="A19731">
        <v>19730</v>
      </c>
      <c r="B19731">
        <v>8323325</v>
      </c>
      <c r="C19731" s="1" t="str">
        <f>HYPERLINK("http://stackoverflow.com/users/8323325", "Anne")</f>
        <v>Anne</v>
      </c>
      <c r="D19731" t="s">
        <v>7</v>
      </c>
      <c r="E19731">
        <v>1</v>
      </c>
    </row>
    <row r="19732" spans="1:5" x14ac:dyDescent="0.25">
      <c r="A19732">
        <v>19731</v>
      </c>
      <c r="B19732">
        <v>8314886</v>
      </c>
      <c r="C19732" s="1" t="str">
        <f>HYPERLINK("http://stackoverflow.com/users/8314886", "Tony Shen")</f>
        <v>Tony Shen</v>
      </c>
      <c r="D19732" t="s">
        <v>4</v>
      </c>
      <c r="E19732">
        <v>1</v>
      </c>
    </row>
    <row r="19733" spans="1:5" x14ac:dyDescent="0.25">
      <c r="A19733">
        <v>19732</v>
      </c>
      <c r="B19733">
        <v>8315119</v>
      </c>
      <c r="C19733" s="1" t="str">
        <f>HYPERLINK("http://stackoverflow.com/users/8315119", "Ricardo Li")</f>
        <v>Ricardo Li</v>
      </c>
      <c r="D19733" t="s">
        <v>13</v>
      </c>
      <c r="E19733">
        <v>1</v>
      </c>
    </row>
    <row r="19734" spans="1:5" x14ac:dyDescent="0.25">
      <c r="A19734">
        <v>19733</v>
      </c>
      <c r="B19734">
        <v>8315292</v>
      </c>
      <c r="C19734" s="1" t="str">
        <f>HYPERLINK("http://stackoverflow.com/users/8315292", "buniaowanfeng")</f>
        <v>buniaowanfeng</v>
      </c>
      <c r="D19734" t="s">
        <v>25</v>
      </c>
      <c r="E19734">
        <v>1</v>
      </c>
    </row>
    <row r="19735" spans="1:5" x14ac:dyDescent="0.25">
      <c r="A19735">
        <v>19734</v>
      </c>
      <c r="B19735">
        <v>8315370</v>
      </c>
      <c r="C19735" s="1" t="str">
        <f>HYPERLINK("http://stackoverflow.com/users/8315370", "fuujiro")</f>
        <v>fuujiro</v>
      </c>
      <c r="D19735" t="s">
        <v>1050</v>
      </c>
      <c r="E19735">
        <v>1</v>
      </c>
    </row>
    <row r="19736" spans="1:5" x14ac:dyDescent="0.25">
      <c r="A19736">
        <v>19735</v>
      </c>
      <c r="B19736">
        <v>8315409</v>
      </c>
      <c r="C19736" s="1" t="str">
        <f>HYPERLINK("http://stackoverflow.com/users/8315409", "finch liao")</f>
        <v>finch liao</v>
      </c>
      <c r="D19736" t="s">
        <v>266</v>
      </c>
      <c r="E19736">
        <v>1</v>
      </c>
    </row>
    <row r="19737" spans="1:5" x14ac:dyDescent="0.25">
      <c r="A19737">
        <v>19736</v>
      </c>
      <c r="B19737">
        <v>8315420</v>
      </c>
      <c r="C19737" s="1" t="str">
        <f>HYPERLINK("http://stackoverflow.com/users/8315420", "DH.heima")</f>
        <v>DH.heima</v>
      </c>
      <c r="D19737" t="s">
        <v>55</v>
      </c>
      <c r="E19737">
        <v>1</v>
      </c>
    </row>
    <row r="19738" spans="1:5" x14ac:dyDescent="0.25">
      <c r="A19738">
        <v>19737</v>
      </c>
      <c r="B19738">
        <v>8315422</v>
      </c>
      <c r="C19738" s="1" t="str">
        <f>HYPERLINK("http://stackoverflow.com/users/8315422", "Guitar mao")</f>
        <v>Guitar mao</v>
      </c>
      <c r="D19738" t="s">
        <v>5</v>
      </c>
      <c r="E19738">
        <v>1</v>
      </c>
    </row>
    <row r="19739" spans="1:5" x14ac:dyDescent="0.25">
      <c r="A19739">
        <v>19738</v>
      </c>
      <c r="B19739">
        <v>6320140</v>
      </c>
      <c r="C19739" s="1" t="str">
        <f>HYPERLINK("http://stackoverflow.com/users/6320140", "DongRui")</f>
        <v>DongRui</v>
      </c>
      <c r="D19739" t="s">
        <v>5</v>
      </c>
      <c r="E19739">
        <v>1</v>
      </c>
    </row>
    <row r="19740" spans="1:5" x14ac:dyDescent="0.25">
      <c r="A19740">
        <v>19739</v>
      </c>
      <c r="B19740">
        <v>6320160</v>
      </c>
      <c r="C19740" s="1" t="str">
        <f>HYPERLINK("http://stackoverflow.com/users/6320160", "hanwytt")</f>
        <v>hanwytt</v>
      </c>
      <c r="D19740" t="s">
        <v>5</v>
      </c>
      <c r="E19740">
        <v>1</v>
      </c>
    </row>
    <row r="19741" spans="1:5" x14ac:dyDescent="0.25">
      <c r="A19741">
        <v>19740</v>
      </c>
      <c r="B19741">
        <v>6319498</v>
      </c>
      <c r="C19741" s="1" t="str">
        <f>HYPERLINK("http://stackoverflow.com/users/6319498", "easilyzhang")</f>
        <v>easilyzhang</v>
      </c>
      <c r="D19741" t="s">
        <v>114</v>
      </c>
      <c r="E19741">
        <v>1</v>
      </c>
    </row>
    <row r="19742" spans="1:5" x14ac:dyDescent="0.25">
      <c r="A19742">
        <v>19741</v>
      </c>
      <c r="B19742">
        <v>568861</v>
      </c>
      <c r="C19742" s="1" t="str">
        <f>HYPERLINK("http://stackoverflow.com/users/568861", "Hao Fu")</f>
        <v>Hao Fu</v>
      </c>
      <c r="D19742" t="s">
        <v>4</v>
      </c>
      <c r="E19742">
        <v>1</v>
      </c>
    </row>
    <row r="19743" spans="1:5" x14ac:dyDescent="0.25">
      <c r="A19743">
        <v>19742</v>
      </c>
      <c r="B19743">
        <v>9929067</v>
      </c>
      <c r="C19743" s="1" t="str">
        <f>HYPERLINK("http://stackoverflow.com/users/9929067", "Liam Zee")</f>
        <v>Liam Zee</v>
      </c>
      <c r="D19743" t="s">
        <v>54</v>
      </c>
      <c r="E19743">
        <v>1</v>
      </c>
    </row>
    <row r="19744" spans="1:5" x14ac:dyDescent="0.25">
      <c r="A19744">
        <v>19743</v>
      </c>
      <c r="B19744">
        <v>9925813</v>
      </c>
      <c r="C19744" s="1" t="str">
        <f>HYPERLINK("http://stackoverflow.com/users/9925813", "Zhengqing Yang")</f>
        <v>Zhengqing Yang</v>
      </c>
      <c r="D19744" t="s">
        <v>5</v>
      </c>
      <c r="E19744">
        <v>1</v>
      </c>
    </row>
    <row r="19745" spans="1:5" x14ac:dyDescent="0.25">
      <c r="A19745">
        <v>19744</v>
      </c>
      <c r="B19745">
        <v>8112106</v>
      </c>
      <c r="C19745" s="1" t="str">
        <f>HYPERLINK("http://stackoverflow.com/users/8112106", "Jay.Zhang")</f>
        <v>Jay.Zhang</v>
      </c>
      <c r="D19745" t="s">
        <v>43</v>
      </c>
      <c r="E19745">
        <v>1</v>
      </c>
    </row>
    <row r="19746" spans="1:5" x14ac:dyDescent="0.25">
      <c r="A19746">
        <v>19745</v>
      </c>
      <c r="B19746">
        <v>6323311</v>
      </c>
      <c r="C19746" s="1" t="str">
        <f>HYPERLINK("http://stackoverflow.com/users/6323311", "Hu.YY")</f>
        <v>Hu.YY</v>
      </c>
      <c r="D19746" t="s">
        <v>118</v>
      </c>
      <c r="E19746">
        <v>1</v>
      </c>
    </row>
    <row r="19747" spans="1:5" x14ac:dyDescent="0.25">
      <c r="A19747">
        <v>19746</v>
      </c>
      <c r="B19747">
        <v>6323487</v>
      </c>
      <c r="C19747" s="1" t="str">
        <f>HYPERLINK("http://stackoverflow.com/users/6323487", "贾老板.Jason")</f>
        <v>贾老板.Jason</v>
      </c>
      <c r="D19747" t="s">
        <v>5</v>
      </c>
      <c r="E19747">
        <v>1</v>
      </c>
    </row>
    <row r="19748" spans="1:5" x14ac:dyDescent="0.25">
      <c r="A19748">
        <v>19747</v>
      </c>
      <c r="B19748">
        <v>6323564</v>
      </c>
      <c r="C19748" s="1" t="str">
        <f>HYPERLINK("http://stackoverflow.com/users/6323564", "Walter Wang")</f>
        <v>Walter Wang</v>
      </c>
      <c r="D19748" t="s">
        <v>5</v>
      </c>
      <c r="E19748">
        <v>1</v>
      </c>
    </row>
    <row r="19749" spans="1:5" x14ac:dyDescent="0.25">
      <c r="A19749">
        <v>19748</v>
      </c>
      <c r="B19749">
        <v>2765559</v>
      </c>
      <c r="C19749" s="1" t="str">
        <f>HYPERLINK("http://stackoverflow.com/users/2765559", "daddy in LA")</f>
        <v>daddy in LA</v>
      </c>
      <c r="D19749" t="s">
        <v>17</v>
      </c>
      <c r="E19749">
        <v>1</v>
      </c>
    </row>
    <row r="19750" spans="1:5" x14ac:dyDescent="0.25">
      <c r="A19750">
        <v>19749</v>
      </c>
      <c r="B19750">
        <v>6332154</v>
      </c>
      <c r="C19750" s="1" t="str">
        <f>HYPERLINK("http://stackoverflow.com/users/6332154", "carl.zk")</f>
        <v>carl.zk</v>
      </c>
      <c r="D19750" t="s">
        <v>4</v>
      </c>
      <c r="E19750">
        <v>1</v>
      </c>
    </row>
    <row r="19751" spans="1:5" x14ac:dyDescent="0.25">
      <c r="A19751">
        <v>19750</v>
      </c>
      <c r="B19751">
        <v>9934841</v>
      </c>
      <c r="C19751" s="1" t="str">
        <f>HYPERLINK("http://stackoverflow.com/users/9934841", "杨建刚")</f>
        <v>杨建刚</v>
      </c>
      <c r="D19751" t="s">
        <v>5</v>
      </c>
      <c r="E19751">
        <v>1</v>
      </c>
    </row>
    <row r="19752" spans="1:5" x14ac:dyDescent="0.25">
      <c r="A19752">
        <v>19751</v>
      </c>
      <c r="B19752">
        <v>8120221</v>
      </c>
      <c r="C19752" s="1" t="str">
        <f>HYPERLINK("http://stackoverflow.com/users/8120221", "吴言之")</f>
        <v>吴言之</v>
      </c>
      <c r="D19752" t="s">
        <v>872</v>
      </c>
      <c r="E19752">
        <v>1</v>
      </c>
    </row>
    <row r="19753" spans="1:5" x14ac:dyDescent="0.25">
      <c r="A19753">
        <v>19752</v>
      </c>
      <c r="B19753">
        <v>8124292</v>
      </c>
      <c r="C19753" s="1" t="str">
        <f>HYPERLINK("http://stackoverflow.com/users/8124292", "zhangxiaoyuan")</f>
        <v>zhangxiaoyuan</v>
      </c>
      <c r="D19753" t="s">
        <v>7</v>
      </c>
      <c r="E19753">
        <v>1</v>
      </c>
    </row>
    <row r="19754" spans="1:5" x14ac:dyDescent="0.25">
      <c r="A19754">
        <v>19753</v>
      </c>
      <c r="B19754">
        <v>8124537</v>
      </c>
      <c r="C19754" s="1" t="str">
        <f>HYPERLINK("http://stackoverflow.com/users/8124537", "znr1995")</f>
        <v>znr1995</v>
      </c>
      <c r="D19754" t="s">
        <v>131</v>
      </c>
      <c r="E19754">
        <v>1</v>
      </c>
    </row>
    <row r="19755" spans="1:5" x14ac:dyDescent="0.25">
      <c r="A19755">
        <v>19754</v>
      </c>
      <c r="B19755">
        <v>8124692</v>
      </c>
      <c r="C19755" s="1" t="str">
        <f>HYPERLINK("http://stackoverflow.com/users/8124692", "RahulMujnani")</f>
        <v>RahulMujnani</v>
      </c>
      <c r="D19755" t="s">
        <v>7</v>
      </c>
      <c r="E19755">
        <v>1</v>
      </c>
    </row>
    <row r="19756" spans="1:5" x14ac:dyDescent="0.25">
      <c r="A19756">
        <v>19755</v>
      </c>
      <c r="B19756">
        <v>6336015</v>
      </c>
      <c r="C19756" s="1" t="str">
        <f>HYPERLINK("http://stackoverflow.com/users/6336015", "ZhangWei")</f>
        <v>ZhangWei</v>
      </c>
      <c r="D19756" t="s">
        <v>4</v>
      </c>
      <c r="E19756">
        <v>1</v>
      </c>
    </row>
    <row r="19757" spans="1:5" x14ac:dyDescent="0.25">
      <c r="A19757">
        <v>19756</v>
      </c>
      <c r="B19757">
        <v>6336090</v>
      </c>
      <c r="C19757" s="1" t="str">
        <f>HYPERLINK("http://stackoverflow.com/users/6336090", "Liangmin Li")</f>
        <v>Liangmin Li</v>
      </c>
      <c r="D19757" t="s">
        <v>5</v>
      </c>
      <c r="E19757">
        <v>1</v>
      </c>
    </row>
    <row r="19758" spans="1:5" x14ac:dyDescent="0.25">
      <c r="A19758">
        <v>19757</v>
      </c>
      <c r="B19758">
        <v>6336153</v>
      </c>
      <c r="C19758" s="1" t="str">
        <f>HYPERLINK("http://stackoverflow.com/users/6336153", "leo")</f>
        <v>leo</v>
      </c>
      <c r="D19758" t="s">
        <v>43</v>
      </c>
      <c r="E19758">
        <v>1</v>
      </c>
    </row>
    <row r="19759" spans="1:5" x14ac:dyDescent="0.25">
      <c r="A19759">
        <v>19758</v>
      </c>
      <c r="B19759">
        <v>9939164</v>
      </c>
      <c r="C19759" s="1" t="str">
        <f>HYPERLINK("http://stackoverflow.com/users/9939164", "CodeLoam")</f>
        <v>CodeLoam</v>
      </c>
      <c r="D19759" t="s">
        <v>5</v>
      </c>
      <c r="E19759">
        <v>1</v>
      </c>
    </row>
    <row r="19760" spans="1:5" x14ac:dyDescent="0.25">
      <c r="A19760">
        <v>19759</v>
      </c>
      <c r="B19760">
        <v>9939211</v>
      </c>
      <c r="C19760" s="1" t="str">
        <f>HYPERLINK("http://stackoverflow.com/users/9939211", "Xiang Weng")</f>
        <v>Xiang Weng</v>
      </c>
      <c r="D19760" t="s">
        <v>131</v>
      </c>
      <c r="E19760">
        <v>1</v>
      </c>
    </row>
    <row r="19761" spans="1:5" x14ac:dyDescent="0.25">
      <c r="A19761">
        <v>19760</v>
      </c>
      <c r="B19761">
        <v>9939277</v>
      </c>
      <c r="C19761" s="1" t="str">
        <f>HYPERLINK("http://stackoverflow.com/users/9939277", "Ez Chan")</f>
        <v>Ez Chan</v>
      </c>
      <c r="D19761" t="s">
        <v>4</v>
      </c>
      <c r="E19761">
        <v>1</v>
      </c>
    </row>
    <row r="19762" spans="1:5" x14ac:dyDescent="0.25">
      <c r="A19762">
        <v>19761</v>
      </c>
      <c r="B19762">
        <v>9939357</v>
      </c>
      <c r="C19762" s="1" t="str">
        <f>HYPERLINK("http://stackoverflow.com/users/9939357", "P.Neil")</f>
        <v>P.Neil</v>
      </c>
      <c r="D19762" t="s">
        <v>7</v>
      </c>
      <c r="E19762">
        <v>1</v>
      </c>
    </row>
    <row r="19763" spans="1:5" x14ac:dyDescent="0.25">
      <c r="A19763">
        <v>19762</v>
      </c>
      <c r="B19763">
        <v>2748885</v>
      </c>
      <c r="C19763" s="1" t="str">
        <f>HYPERLINK("http://stackoverflow.com/users/2748885", "matthew")</f>
        <v>matthew</v>
      </c>
      <c r="D19763" t="s">
        <v>22</v>
      </c>
      <c r="E19763">
        <v>1</v>
      </c>
    </row>
    <row r="19764" spans="1:5" x14ac:dyDescent="0.25">
      <c r="A19764">
        <v>19763</v>
      </c>
      <c r="B19764">
        <v>2748936</v>
      </c>
      <c r="C19764" s="1" t="str">
        <f>HYPERLINK("http://stackoverflow.com/users/2748936", "mithen_ji")</f>
        <v>mithen_ji</v>
      </c>
      <c r="D19764" t="s">
        <v>1051</v>
      </c>
      <c r="E19764">
        <v>1</v>
      </c>
    </row>
    <row r="19765" spans="1:5" x14ac:dyDescent="0.25">
      <c r="A19765">
        <v>19764</v>
      </c>
      <c r="B19765">
        <v>2753027</v>
      </c>
      <c r="C19765" s="1" t="str">
        <f>HYPERLINK("http://stackoverflow.com/users/2753027", "John zee")</f>
        <v>John zee</v>
      </c>
      <c r="D19765" t="s">
        <v>5</v>
      </c>
      <c r="E19765">
        <v>1</v>
      </c>
    </row>
    <row r="19766" spans="1:5" x14ac:dyDescent="0.25">
      <c r="A19766">
        <v>19765</v>
      </c>
      <c r="B19766">
        <v>2749062</v>
      </c>
      <c r="C19766" s="1" t="str">
        <f>HYPERLINK("http://stackoverflow.com/users/2749062", "lakersyaofan")</f>
        <v>lakersyaofan</v>
      </c>
      <c r="D19766" t="s">
        <v>4</v>
      </c>
      <c r="E19766">
        <v>1</v>
      </c>
    </row>
    <row r="19767" spans="1:5" x14ac:dyDescent="0.25">
      <c r="A19767">
        <v>19766</v>
      </c>
      <c r="B19767">
        <v>569642</v>
      </c>
      <c r="C19767" s="1" t="str">
        <f>HYPERLINK("http://stackoverflow.com/users/569642", "Randy")</f>
        <v>Randy</v>
      </c>
      <c r="D19767" t="s">
        <v>4</v>
      </c>
      <c r="E19767">
        <v>1</v>
      </c>
    </row>
    <row r="19768" spans="1:5" x14ac:dyDescent="0.25">
      <c r="A19768">
        <v>19767</v>
      </c>
      <c r="B19768">
        <v>9916779</v>
      </c>
      <c r="C19768" s="1" t="str">
        <f>HYPERLINK("http://stackoverflow.com/users/9916779", "Aivros")</f>
        <v>Aivros</v>
      </c>
      <c r="D19768" t="s">
        <v>7</v>
      </c>
      <c r="E19768">
        <v>1</v>
      </c>
    </row>
    <row r="19769" spans="1:5" x14ac:dyDescent="0.25">
      <c r="A19769">
        <v>19768</v>
      </c>
      <c r="B19769">
        <v>8102309</v>
      </c>
      <c r="C19769" s="1" t="str">
        <f>HYPERLINK("http://stackoverflow.com/users/8102309", "user8102309")</f>
        <v>user8102309</v>
      </c>
      <c r="D19769" t="s">
        <v>28</v>
      </c>
      <c r="E19769">
        <v>1</v>
      </c>
    </row>
    <row r="19770" spans="1:5" x14ac:dyDescent="0.25">
      <c r="A19770">
        <v>19769</v>
      </c>
      <c r="B19770">
        <v>9921314</v>
      </c>
      <c r="C19770" s="1" t="str">
        <f>HYPERLINK("http://stackoverflow.com/users/9921314", "jian.zhu")</f>
        <v>jian.zhu</v>
      </c>
      <c r="D19770" t="s">
        <v>1052</v>
      </c>
      <c r="E19770">
        <v>1</v>
      </c>
    </row>
    <row r="19771" spans="1:5" x14ac:dyDescent="0.25">
      <c r="A19771">
        <v>19770</v>
      </c>
      <c r="B19771">
        <v>8107207</v>
      </c>
      <c r="C19771" s="1" t="str">
        <f>HYPERLINK("http://stackoverflow.com/users/8107207", "Young Deng")</f>
        <v>Young Deng</v>
      </c>
      <c r="D19771" t="s">
        <v>52</v>
      </c>
      <c r="E19771">
        <v>1</v>
      </c>
    </row>
    <row r="19772" spans="1:5" x14ac:dyDescent="0.25">
      <c r="A19772">
        <v>19771</v>
      </c>
      <c r="B19772">
        <v>8107264</v>
      </c>
      <c r="C19772" s="1" t="str">
        <f>HYPERLINK("http://stackoverflow.com/users/8107264", "Emily Liu")</f>
        <v>Emily Liu</v>
      </c>
      <c r="D19772" t="s">
        <v>5</v>
      </c>
      <c r="E19772">
        <v>1</v>
      </c>
    </row>
    <row r="19773" spans="1:5" x14ac:dyDescent="0.25">
      <c r="A19773">
        <v>19772</v>
      </c>
      <c r="B19773">
        <v>8107325</v>
      </c>
      <c r="C19773" s="1" t="str">
        <f>HYPERLINK("http://stackoverflow.com/users/8107325", "joannes")</f>
        <v>joannes</v>
      </c>
      <c r="D19773" t="s">
        <v>4</v>
      </c>
      <c r="E19773">
        <v>1</v>
      </c>
    </row>
    <row r="19774" spans="1:5" x14ac:dyDescent="0.25">
      <c r="A19774">
        <v>19773</v>
      </c>
      <c r="B19774">
        <v>8107553</v>
      </c>
      <c r="C19774" s="1" t="str">
        <f>HYPERLINK("http://stackoverflow.com/users/8107553", "zhaoj833")</f>
        <v>zhaoj833</v>
      </c>
      <c r="D19774" t="s">
        <v>78</v>
      </c>
      <c r="E19774">
        <v>1</v>
      </c>
    </row>
    <row r="19775" spans="1:5" x14ac:dyDescent="0.25">
      <c r="A19775">
        <v>19774</v>
      </c>
      <c r="B19775">
        <v>563351</v>
      </c>
      <c r="C19775" s="1" t="str">
        <f>HYPERLINK("http://stackoverflow.com/users/563351", "kiluyar")</f>
        <v>kiluyar</v>
      </c>
      <c r="D19775" t="s">
        <v>4</v>
      </c>
      <c r="E19775">
        <v>1</v>
      </c>
    </row>
    <row r="19776" spans="1:5" x14ac:dyDescent="0.25">
      <c r="A19776">
        <v>19775</v>
      </c>
      <c r="B19776">
        <v>563468</v>
      </c>
      <c r="C19776" s="1" t="str">
        <f>HYPERLINK("http://stackoverflow.com/users/563468", "qmigh")</f>
        <v>qmigh</v>
      </c>
      <c r="D19776" t="s">
        <v>17</v>
      </c>
      <c r="E19776">
        <v>1</v>
      </c>
    </row>
    <row r="19777" spans="1:5" x14ac:dyDescent="0.25">
      <c r="A19777">
        <v>19776</v>
      </c>
      <c r="B19777">
        <v>2745145</v>
      </c>
      <c r="C19777" s="1" t="str">
        <f>HYPERLINK("http://stackoverflow.com/users/2745145", "Purewhite")</f>
        <v>Purewhite</v>
      </c>
      <c r="D19777" t="s">
        <v>17</v>
      </c>
      <c r="E19777">
        <v>1</v>
      </c>
    </row>
    <row r="19778" spans="1:5" x14ac:dyDescent="0.25">
      <c r="A19778">
        <v>19777</v>
      </c>
      <c r="B19778">
        <v>9912715</v>
      </c>
      <c r="C19778" s="1" t="str">
        <f>HYPERLINK("http://stackoverflow.com/users/9912715", "Gabriel Tocusar")</f>
        <v>Gabriel Tocusar</v>
      </c>
      <c r="D19778" t="s">
        <v>52</v>
      </c>
      <c r="E19778">
        <v>1</v>
      </c>
    </row>
    <row r="19779" spans="1:5" x14ac:dyDescent="0.25">
      <c r="A19779">
        <v>19778</v>
      </c>
      <c r="B19779">
        <v>9912726</v>
      </c>
      <c r="C19779" s="1" t="str">
        <f>HYPERLINK("http://stackoverflow.com/users/9912726", "J. Wang")</f>
        <v>J. Wang</v>
      </c>
      <c r="D19779" t="s">
        <v>57</v>
      </c>
      <c r="E19779">
        <v>1</v>
      </c>
    </row>
    <row r="19780" spans="1:5" x14ac:dyDescent="0.25">
      <c r="A19780">
        <v>19779</v>
      </c>
      <c r="B19780">
        <v>9912740</v>
      </c>
      <c r="C19780" s="1" t="str">
        <f>HYPERLINK("http://stackoverflow.com/users/9912740", "Zahid Mayo")</f>
        <v>Zahid Mayo</v>
      </c>
      <c r="D19780" t="s">
        <v>4</v>
      </c>
      <c r="E19780">
        <v>1</v>
      </c>
    </row>
    <row r="19781" spans="1:5" x14ac:dyDescent="0.25">
      <c r="A19781">
        <v>19780</v>
      </c>
      <c r="B19781">
        <v>8097931</v>
      </c>
      <c r="C19781" s="1" t="str">
        <f>HYPERLINK("http://stackoverflow.com/users/8097931", "韩中睿")</f>
        <v>韩中睿</v>
      </c>
      <c r="D19781" t="s">
        <v>5</v>
      </c>
      <c r="E19781">
        <v>1</v>
      </c>
    </row>
    <row r="19782" spans="1:5" x14ac:dyDescent="0.25">
      <c r="A19782">
        <v>19781</v>
      </c>
      <c r="B19782">
        <v>8098328</v>
      </c>
      <c r="C19782" s="1" t="str">
        <f>HYPERLINK("http://stackoverflow.com/users/8098328", "kotomei zhang")</f>
        <v>kotomei zhang</v>
      </c>
      <c r="D19782" t="s">
        <v>5</v>
      </c>
      <c r="E19782">
        <v>1</v>
      </c>
    </row>
    <row r="19783" spans="1:5" x14ac:dyDescent="0.25">
      <c r="A19783">
        <v>19782</v>
      </c>
      <c r="B19783">
        <v>8086039</v>
      </c>
      <c r="C19783" s="1" t="str">
        <f>HYPERLINK("http://stackoverflow.com/users/8086039", "gentryhuang")</f>
        <v>gentryhuang</v>
      </c>
      <c r="D19783" t="s">
        <v>1053</v>
      </c>
      <c r="E19783">
        <v>1</v>
      </c>
    </row>
    <row r="19784" spans="1:5" x14ac:dyDescent="0.25">
      <c r="A19784">
        <v>19783</v>
      </c>
      <c r="B19784">
        <v>550013</v>
      </c>
      <c r="C19784" s="1" t="str">
        <f>HYPERLINK("http://stackoverflow.com/users/550013", "semio")</f>
        <v>semio</v>
      </c>
      <c r="D19784" t="s">
        <v>1054</v>
      </c>
      <c r="E19784">
        <v>1</v>
      </c>
    </row>
    <row r="19785" spans="1:5" x14ac:dyDescent="0.25">
      <c r="A19785">
        <v>19784</v>
      </c>
      <c r="B19785">
        <v>550069</v>
      </c>
      <c r="C19785" s="1" t="str">
        <f>HYPERLINK("http://stackoverflow.com/users/550069", "delo")</f>
        <v>delo</v>
      </c>
      <c r="D19785" t="s">
        <v>12</v>
      </c>
      <c r="E19785">
        <v>1</v>
      </c>
    </row>
    <row r="19786" spans="1:5" x14ac:dyDescent="0.25">
      <c r="A19786">
        <v>19785</v>
      </c>
      <c r="B19786">
        <v>8089436</v>
      </c>
      <c r="C19786" s="1" t="str">
        <f>HYPERLINK("http://stackoverflow.com/users/8089436", "Hao Wu")</f>
        <v>Hao Wu</v>
      </c>
      <c r="D19786" t="s">
        <v>5</v>
      </c>
      <c r="E19786">
        <v>1</v>
      </c>
    </row>
    <row r="19787" spans="1:5" x14ac:dyDescent="0.25">
      <c r="A19787">
        <v>19786</v>
      </c>
      <c r="B19787">
        <v>8089527</v>
      </c>
      <c r="C19787" s="1" t="str">
        <f>HYPERLINK("http://stackoverflow.com/users/8089527", "cxdx2006")</f>
        <v>cxdx2006</v>
      </c>
      <c r="D19787" t="s">
        <v>4</v>
      </c>
      <c r="E19787">
        <v>1</v>
      </c>
    </row>
    <row r="19788" spans="1:5" x14ac:dyDescent="0.25">
      <c r="A19788">
        <v>19787</v>
      </c>
      <c r="B19788">
        <v>8089771</v>
      </c>
      <c r="C19788" s="1" t="str">
        <f>HYPERLINK("http://stackoverflow.com/users/8089771", "prabhu")</f>
        <v>prabhu</v>
      </c>
      <c r="D19788" t="s">
        <v>4</v>
      </c>
      <c r="E19788">
        <v>1</v>
      </c>
    </row>
    <row r="19789" spans="1:5" x14ac:dyDescent="0.25">
      <c r="A19789">
        <v>19788</v>
      </c>
      <c r="B19789">
        <v>8089782</v>
      </c>
      <c r="C19789" s="1" t="str">
        <f>HYPERLINK("http://stackoverflow.com/users/8089782", "Huayichao")</f>
        <v>Huayichao</v>
      </c>
      <c r="D19789" t="s">
        <v>52</v>
      </c>
      <c r="E19789">
        <v>1</v>
      </c>
    </row>
    <row r="19790" spans="1:5" x14ac:dyDescent="0.25">
      <c r="A19790">
        <v>19789</v>
      </c>
      <c r="B19790">
        <v>6302761</v>
      </c>
      <c r="C19790" s="1" t="str">
        <f>HYPERLINK("http://stackoverflow.com/users/6302761", "rovast")</f>
        <v>rovast</v>
      </c>
      <c r="D19790" t="s">
        <v>55</v>
      </c>
      <c r="E19790">
        <v>1</v>
      </c>
    </row>
    <row r="19791" spans="1:5" x14ac:dyDescent="0.25">
      <c r="A19791">
        <v>19790</v>
      </c>
      <c r="B19791">
        <v>2744958</v>
      </c>
      <c r="C19791" s="1" t="str">
        <f>HYPERLINK("http://stackoverflow.com/users/2744958", "tunzao")</f>
        <v>tunzao</v>
      </c>
      <c r="D19791" t="s">
        <v>5</v>
      </c>
      <c r="E19791">
        <v>1</v>
      </c>
    </row>
    <row r="19792" spans="1:5" x14ac:dyDescent="0.25">
      <c r="A19792">
        <v>19791</v>
      </c>
      <c r="B19792">
        <v>9878782</v>
      </c>
      <c r="C19792" s="1" t="str">
        <f>HYPERLINK("http://stackoverflow.com/users/9878782", "jason jason")</f>
        <v>jason jason</v>
      </c>
      <c r="D19792" t="s">
        <v>28</v>
      </c>
      <c r="E19792">
        <v>1</v>
      </c>
    </row>
    <row r="19793" spans="1:5" x14ac:dyDescent="0.25">
      <c r="A19793">
        <v>19792</v>
      </c>
      <c r="B19793">
        <v>9883663</v>
      </c>
      <c r="C19793" s="1" t="str">
        <f>HYPERLINK("http://stackoverflow.com/users/9883663", "Yingzi")</f>
        <v>Yingzi</v>
      </c>
      <c r="D19793" t="s">
        <v>16</v>
      </c>
      <c r="E19793">
        <v>1</v>
      </c>
    </row>
    <row r="19794" spans="1:5" x14ac:dyDescent="0.25">
      <c r="A19794">
        <v>19793</v>
      </c>
      <c r="B19794">
        <v>8072956</v>
      </c>
      <c r="C19794" s="1" t="str">
        <f>HYPERLINK("http://stackoverflow.com/users/8072956", "Alex")</f>
        <v>Alex</v>
      </c>
      <c r="D19794" t="s">
        <v>43</v>
      </c>
      <c r="E19794">
        <v>1</v>
      </c>
    </row>
    <row r="19795" spans="1:5" x14ac:dyDescent="0.25">
      <c r="A19795">
        <v>19794</v>
      </c>
      <c r="B19795">
        <v>8073081</v>
      </c>
      <c r="C19795" s="1" t="str">
        <f>HYPERLINK("http://stackoverflow.com/users/8073081", "Hui Zhang")</f>
        <v>Hui Zhang</v>
      </c>
      <c r="D19795" t="s">
        <v>4</v>
      </c>
      <c r="E19795">
        <v>1</v>
      </c>
    </row>
    <row r="19796" spans="1:5" x14ac:dyDescent="0.25">
      <c r="A19796">
        <v>19795</v>
      </c>
      <c r="B19796">
        <v>8073470</v>
      </c>
      <c r="C19796" s="1" t="str">
        <f>HYPERLINK("http://stackoverflow.com/users/8073470", "李兆麟")</f>
        <v>李兆麟</v>
      </c>
      <c r="D19796" t="s">
        <v>4</v>
      </c>
      <c r="E19796">
        <v>1</v>
      </c>
    </row>
    <row r="19797" spans="1:5" x14ac:dyDescent="0.25">
      <c r="A19797">
        <v>19796</v>
      </c>
      <c r="B19797">
        <v>9886878</v>
      </c>
      <c r="C19797" s="1" t="str">
        <f>HYPERLINK("http://stackoverflow.com/users/9886878", "Steven Fung")</f>
        <v>Steven Fung</v>
      </c>
      <c r="D19797" t="s">
        <v>16</v>
      </c>
      <c r="E19797">
        <v>1</v>
      </c>
    </row>
    <row r="19798" spans="1:5" x14ac:dyDescent="0.25">
      <c r="A19798">
        <v>19797</v>
      </c>
      <c r="B19798">
        <v>6288642</v>
      </c>
      <c r="C19798" s="1" t="str">
        <f>HYPERLINK("http://stackoverflow.com/users/6288642", "Dadu_cc")</f>
        <v>Dadu_cc</v>
      </c>
      <c r="D19798" t="s">
        <v>47</v>
      </c>
      <c r="E19798">
        <v>1</v>
      </c>
    </row>
    <row r="19799" spans="1:5" x14ac:dyDescent="0.25">
      <c r="A19799">
        <v>19798</v>
      </c>
      <c r="B19799">
        <v>6288654</v>
      </c>
      <c r="C19799" s="1" t="str">
        <f>HYPERLINK("http://stackoverflow.com/users/6288654", "Karl")</f>
        <v>Karl</v>
      </c>
      <c r="D19799" t="s">
        <v>5</v>
      </c>
      <c r="E19799">
        <v>1</v>
      </c>
    </row>
    <row r="19800" spans="1:5" x14ac:dyDescent="0.25">
      <c r="A19800">
        <v>19799</v>
      </c>
      <c r="B19800">
        <v>6288933</v>
      </c>
      <c r="C19800" s="1" t="str">
        <f>HYPERLINK("http://stackoverflow.com/users/6288933", "Chen.Wei")</f>
        <v>Chen.Wei</v>
      </c>
      <c r="D19800" t="s">
        <v>4</v>
      </c>
      <c r="E19800">
        <v>1</v>
      </c>
    </row>
    <row r="19801" spans="1:5" x14ac:dyDescent="0.25">
      <c r="A19801">
        <v>19800</v>
      </c>
      <c r="B19801">
        <v>6288946</v>
      </c>
      <c r="C19801" s="1" t="str">
        <f>HYPERLINK("http://stackoverflow.com/users/6288946", "ZHUO Zeng-si")</f>
        <v>ZHUO Zeng-si</v>
      </c>
      <c r="D19801" t="s">
        <v>4</v>
      </c>
      <c r="E19801">
        <v>1</v>
      </c>
    </row>
    <row r="19802" spans="1:5" x14ac:dyDescent="0.25">
      <c r="A19802">
        <v>19801</v>
      </c>
      <c r="B19802">
        <v>9891480</v>
      </c>
      <c r="C19802" s="1" t="str">
        <f>HYPERLINK("http://stackoverflow.com/users/9891480", "Paul Wang")</f>
        <v>Paul Wang</v>
      </c>
      <c r="D19802" t="s">
        <v>184</v>
      </c>
      <c r="E19802">
        <v>1</v>
      </c>
    </row>
    <row r="19803" spans="1:5" x14ac:dyDescent="0.25">
      <c r="A19803">
        <v>19802</v>
      </c>
      <c r="B19803">
        <v>2727432</v>
      </c>
      <c r="C19803" s="1" t="str">
        <f>HYPERLINK("http://stackoverflow.com/users/2727432", "wisteria")</f>
        <v>wisteria</v>
      </c>
      <c r="D19803" t="s">
        <v>4</v>
      </c>
      <c r="E19803">
        <v>1</v>
      </c>
    </row>
    <row r="19804" spans="1:5" x14ac:dyDescent="0.25">
      <c r="A19804">
        <v>19803</v>
      </c>
      <c r="B19804">
        <v>2727654</v>
      </c>
      <c r="C19804" s="1" t="str">
        <f>HYPERLINK("http://stackoverflow.com/users/2727654", "brian")</f>
        <v>brian</v>
      </c>
      <c r="D19804" t="s">
        <v>1055</v>
      </c>
      <c r="E19804">
        <v>1</v>
      </c>
    </row>
    <row r="19805" spans="1:5" x14ac:dyDescent="0.25">
      <c r="A19805">
        <v>19804</v>
      </c>
      <c r="B19805">
        <v>2727681</v>
      </c>
      <c r="C19805" s="1" t="str">
        <f>HYPERLINK("http://stackoverflow.com/users/2727681", "DrizzleWang")</f>
        <v>DrizzleWang</v>
      </c>
      <c r="D19805" t="s">
        <v>5</v>
      </c>
      <c r="E19805">
        <v>1</v>
      </c>
    </row>
    <row r="19806" spans="1:5" x14ac:dyDescent="0.25">
      <c r="A19806">
        <v>19805</v>
      </c>
      <c r="B19806">
        <v>6298776</v>
      </c>
      <c r="C19806" s="1" t="str">
        <f>HYPERLINK("http://stackoverflow.com/users/6298776", "Jack")</f>
        <v>Jack</v>
      </c>
      <c r="D19806" t="s">
        <v>4</v>
      </c>
      <c r="E19806">
        <v>1</v>
      </c>
    </row>
    <row r="19807" spans="1:5" x14ac:dyDescent="0.25">
      <c r="A19807">
        <v>19806</v>
      </c>
      <c r="B19807">
        <v>6298887</v>
      </c>
      <c r="C19807" s="1" t="str">
        <f>HYPERLINK("http://stackoverflow.com/users/6298887", "jianli")</f>
        <v>jianli</v>
      </c>
      <c r="D19807" t="s">
        <v>5</v>
      </c>
      <c r="E19807">
        <v>1</v>
      </c>
    </row>
    <row r="19808" spans="1:5" x14ac:dyDescent="0.25">
      <c r="A19808">
        <v>19807</v>
      </c>
      <c r="B19808">
        <v>6298957</v>
      </c>
      <c r="C19808" s="1" t="str">
        <f>HYPERLINK("http://stackoverflow.com/users/6298957", "hui")</f>
        <v>hui</v>
      </c>
      <c r="D19808" t="s">
        <v>5</v>
      </c>
      <c r="E19808">
        <v>1</v>
      </c>
    </row>
    <row r="19809" spans="1:5" x14ac:dyDescent="0.25">
      <c r="A19809">
        <v>19808</v>
      </c>
      <c r="B19809">
        <v>6299007</v>
      </c>
      <c r="C19809" s="1" t="str">
        <f>HYPERLINK("http://stackoverflow.com/users/6299007", "zhang wanyummy")</f>
        <v>zhang wanyummy</v>
      </c>
      <c r="D19809" t="s">
        <v>114</v>
      </c>
      <c r="E19809">
        <v>1</v>
      </c>
    </row>
    <row r="19810" spans="1:5" x14ac:dyDescent="0.25">
      <c r="A19810">
        <v>19809</v>
      </c>
      <c r="B19810">
        <v>6299130</v>
      </c>
      <c r="C19810" s="1" t="str">
        <f>HYPERLINK("http://stackoverflow.com/users/6299130", "Lyon0804")</f>
        <v>Lyon0804</v>
      </c>
      <c r="D19810" t="s">
        <v>16</v>
      </c>
      <c r="E19810">
        <v>1</v>
      </c>
    </row>
    <row r="19811" spans="1:5" x14ac:dyDescent="0.25">
      <c r="A19811">
        <v>19810</v>
      </c>
      <c r="B19811">
        <v>6298479</v>
      </c>
      <c r="C19811" s="1" t="str">
        <f>HYPERLINK("http://stackoverflow.com/users/6298479", "吉卓林")</f>
        <v>吉卓林</v>
      </c>
      <c r="D19811" t="s">
        <v>4</v>
      </c>
      <c r="E19811">
        <v>1</v>
      </c>
    </row>
    <row r="19812" spans="1:5" x14ac:dyDescent="0.25">
      <c r="A19812">
        <v>19811</v>
      </c>
      <c r="B19812">
        <v>2731767</v>
      </c>
      <c r="C19812" s="1" t="str">
        <f>HYPERLINK("http://stackoverflow.com/users/2731767", "Thomas Liu")</f>
        <v>Thomas Liu</v>
      </c>
      <c r="D19812" t="s">
        <v>5</v>
      </c>
      <c r="E19812">
        <v>1</v>
      </c>
    </row>
    <row r="19813" spans="1:5" x14ac:dyDescent="0.25">
      <c r="A19813">
        <v>19812</v>
      </c>
      <c r="B19813">
        <v>2728026</v>
      </c>
      <c r="C19813" s="1" t="str">
        <f>HYPERLINK("http://stackoverflow.com/users/2728026", "Bufonid")</f>
        <v>Bufonid</v>
      </c>
      <c r="D19813" t="s">
        <v>4</v>
      </c>
      <c r="E19813">
        <v>1</v>
      </c>
    </row>
    <row r="19814" spans="1:5" x14ac:dyDescent="0.25">
      <c r="A19814">
        <v>19813</v>
      </c>
      <c r="B19814">
        <v>2728038</v>
      </c>
      <c r="C19814" s="1" t="str">
        <f>HYPERLINK("http://stackoverflow.com/users/2728038", "carlos2013")</f>
        <v>carlos2013</v>
      </c>
      <c r="D19814" t="s">
        <v>1056</v>
      </c>
      <c r="E19814">
        <v>1</v>
      </c>
    </row>
    <row r="19815" spans="1:5" x14ac:dyDescent="0.25">
      <c r="A19815">
        <v>19814</v>
      </c>
      <c r="B19815">
        <v>8077650</v>
      </c>
      <c r="C19815" s="1" t="str">
        <f>HYPERLINK("http://stackoverflow.com/users/8077650", "Mutrix")</f>
        <v>Mutrix</v>
      </c>
      <c r="D19815" t="s">
        <v>28</v>
      </c>
      <c r="E19815">
        <v>1</v>
      </c>
    </row>
    <row r="19816" spans="1:5" x14ac:dyDescent="0.25">
      <c r="A19816">
        <v>19815</v>
      </c>
      <c r="B19816">
        <v>8077799</v>
      </c>
      <c r="C19816" s="1" t="str">
        <f>HYPERLINK("http://stackoverflow.com/users/8077799", "vayne")</f>
        <v>vayne</v>
      </c>
      <c r="D19816" t="s">
        <v>131</v>
      </c>
      <c r="E19816">
        <v>1</v>
      </c>
    </row>
    <row r="19817" spans="1:5" x14ac:dyDescent="0.25">
      <c r="A19817">
        <v>19816</v>
      </c>
      <c r="B19817">
        <v>6295175</v>
      </c>
      <c r="C19817" s="1" t="str">
        <f>HYPERLINK("http://stackoverflow.com/users/6295175", "ZhangyanfengGIS")</f>
        <v>ZhangyanfengGIS</v>
      </c>
      <c r="D19817" t="s">
        <v>5</v>
      </c>
      <c r="E19817">
        <v>1</v>
      </c>
    </row>
    <row r="19818" spans="1:5" x14ac:dyDescent="0.25">
      <c r="A19818">
        <v>19817</v>
      </c>
      <c r="B19818">
        <v>6295381</v>
      </c>
      <c r="C19818" s="1" t="str">
        <f>HYPERLINK("http://stackoverflow.com/users/6295381", "Jiehua Ou")</f>
        <v>Jiehua Ou</v>
      </c>
      <c r="D19818" t="s">
        <v>1057</v>
      </c>
      <c r="E19818">
        <v>1</v>
      </c>
    </row>
    <row r="19819" spans="1:5" x14ac:dyDescent="0.25">
      <c r="A19819">
        <v>19818</v>
      </c>
      <c r="B19819">
        <v>8082396</v>
      </c>
      <c r="C19819" s="1" t="str">
        <f>HYPERLINK("http://stackoverflow.com/users/8082396", "Kyle")</f>
        <v>Kyle</v>
      </c>
      <c r="D19819" t="s">
        <v>4</v>
      </c>
      <c r="E19819">
        <v>1</v>
      </c>
    </row>
    <row r="19820" spans="1:5" x14ac:dyDescent="0.25">
      <c r="A19820">
        <v>19819</v>
      </c>
      <c r="B19820">
        <v>9895759</v>
      </c>
      <c r="C19820" s="1" t="str">
        <f>HYPERLINK("http://stackoverflow.com/users/9895759", "EveryTian")</f>
        <v>EveryTian</v>
      </c>
      <c r="D19820" t="s">
        <v>16</v>
      </c>
      <c r="E19820">
        <v>1</v>
      </c>
    </row>
    <row r="19821" spans="1:5" x14ac:dyDescent="0.25">
      <c r="A19821">
        <v>19820</v>
      </c>
      <c r="B19821">
        <v>9895788</v>
      </c>
      <c r="C19821" s="1" t="str">
        <f>HYPERLINK("http://stackoverflow.com/users/9895788", "jianfeng zhai")</f>
        <v>jianfeng zhai</v>
      </c>
      <c r="D19821" t="s">
        <v>5</v>
      </c>
      <c r="E19821">
        <v>1</v>
      </c>
    </row>
    <row r="19822" spans="1:5" x14ac:dyDescent="0.25">
      <c r="A19822">
        <v>19821</v>
      </c>
      <c r="B19822">
        <v>6298308</v>
      </c>
      <c r="C19822" s="1" t="str">
        <f>HYPERLINK("http://stackoverflow.com/users/6298308", "J.Messi")</f>
        <v>J.Messi</v>
      </c>
      <c r="D19822" t="s">
        <v>4</v>
      </c>
      <c r="E19822">
        <v>1</v>
      </c>
    </row>
    <row r="19823" spans="1:5" x14ac:dyDescent="0.25">
      <c r="A19823">
        <v>19822</v>
      </c>
      <c r="B19823">
        <v>2706086</v>
      </c>
      <c r="C19823" s="1" t="str">
        <f>HYPERLINK("http://stackoverflow.com/users/2706086", "qiken")</f>
        <v>qiken</v>
      </c>
      <c r="D19823" t="s">
        <v>5</v>
      </c>
      <c r="E19823">
        <v>1</v>
      </c>
    </row>
    <row r="19824" spans="1:5" x14ac:dyDescent="0.25">
      <c r="A19824">
        <v>19823</v>
      </c>
      <c r="B19824">
        <v>8062541</v>
      </c>
      <c r="C19824" s="1" t="str">
        <f>HYPERLINK("http://stackoverflow.com/users/8062541", "David.M")</f>
        <v>David.M</v>
      </c>
      <c r="D19824" t="s">
        <v>25</v>
      </c>
      <c r="E19824">
        <v>1</v>
      </c>
    </row>
    <row r="19825" spans="1:5" x14ac:dyDescent="0.25">
      <c r="A19825">
        <v>19824</v>
      </c>
      <c r="B19825">
        <v>9875523</v>
      </c>
      <c r="C19825" s="1" t="str">
        <f>HYPERLINK("http://stackoverflow.com/users/9875523", "Scott Zhang")</f>
        <v>Scott Zhang</v>
      </c>
      <c r="D19825" t="s">
        <v>43</v>
      </c>
      <c r="E19825">
        <v>1</v>
      </c>
    </row>
    <row r="19826" spans="1:5" x14ac:dyDescent="0.25">
      <c r="A19826">
        <v>19825</v>
      </c>
      <c r="B19826">
        <v>9875607</v>
      </c>
      <c r="C19826" s="1" t="str">
        <f>HYPERLINK("http://stackoverflow.com/users/9875607", "user9875607")</f>
        <v>user9875607</v>
      </c>
      <c r="D19826" t="s">
        <v>217</v>
      </c>
      <c r="E19826">
        <v>1</v>
      </c>
    </row>
    <row r="19827" spans="1:5" x14ac:dyDescent="0.25">
      <c r="A19827">
        <v>19826</v>
      </c>
      <c r="B19827">
        <v>2715297</v>
      </c>
      <c r="C19827" s="1" t="str">
        <f>HYPERLINK("http://stackoverflow.com/users/2715297", "plummoon")</f>
        <v>plummoon</v>
      </c>
      <c r="D19827" t="s">
        <v>25</v>
      </c>
      <c r="E19827">
        <v>1</v>
      </c>
    </row>
    <row r="19828" spans="1:5" x14ac:dyDescent="0.25">
      <c r="A19828">
        <v>19827</v>
      </c>
      <c r="B19828">
        <v>2715408</v>
      </c>
      <c r="C19828" s="1" t="str">
        <f>HYPERLINK("http://stackoverflow.com/users/2715408", "Palm Tale")</f>
        <v>Palm Tale</v>
      </c>
      <c r="D19828" t="s">
        <v>4</v>
      </c>
      <c r="E19828">
        <v>1</v>
      </c>
    </row>
    <row r="19829" spans="1:5" x14ac:dyDescent="0.25">
      <c r="A19829">
        <v>19828</v>
      </c>
      <c r="B19829">
        <v>2715459</v>
      </c>
      <c r="C19829" s="1" t="str">
        <f>HYPERLINK("http://stackoverflow.com/users/2715459", "Sky JIA")</f>
        <v>Sky JIA</v>
      </c>
      <c r="D19829" t="s">
        <v>5</v>
      </c>
      <c r="E19829">
        <v>1</v>
      </c>
    </row>
    <row r="19830" spans="1:5" x14ac:dyDescent="0.25">
      <c r="A19830">
        <v>19829</v>
      </c>
      <c r="B19830">
        <v>2715592</v>
      </c>
      <c r="C19830" s="1" t="str">
        <f>HYPERLINK("http://stackoverflow.com/users/2715592", "Chien")</f>
        <v>Chien</v>
      </c>
      <c r="D19830" t="s">
        <v>4</v>
      </c>
      <c r="E19830">
        <v>1</v>
      </c>
    </row>
    <row r="19831" spans="1:5" x14ac:dyDescent="0.25">
      <c r="A19831">
        <v>19830</v>
      </c>
      <c r="B19831">
        <v>8069481</v>
      </c>
      <c r="C19831" s="1" t="str">
        <f>HYPERLINK("http://stackoverflow.com/users/8069481", "Mahoon Alex")</f>
        <v>Mahoon Alex</v>
      </c>
      <c r="D19831" t="s">
        <v>91</v>
      </c>
      <c r="E19831">
        <v>1</v>
      </c>
    </row>
    <row r="19832" spans="1:5" x14ac:dyDescent="0.25">
      <c r="A19832">
        <v>19831</v>
      </c>
      <c r="B19832">
        <v>4558425</v>
      </c>
      <c r="C19832" s="1" t="str">
        <f>HYPERLINK("http://stackoverflow.com/users/4558425", "Gavin Sheng")</f>
        <v>Gavin Sheng</v>
      </c>
      <c r="D19832" t="s">
        <v>5</v>
      </c>
      <c r="E19832">
        <v>1</v>
      </c>
    </row>
    <row r="19833" spans="1:5" x14ac:dyDescent="0.25">
      <c r="A19833">
        <v>19832</v>
      </c>
      <c r="B19833">
        <v>2698277</v>
      </c>
      <c r="C19833" s="1" t="str">
        <f>HYPERLINK("http://stackoverflow.com/users/2698277", "kiwi")</f>
        <v>kiwi</v>
      </c>
      <c r="D19833" t="s">
        <v>4</v>
      </c>
      <c r="E19833">
        <v>1</v>
      </c>
    </row>
    <row r="19834" spans="1:5" x14ac:dyDescent="0.25">
      <c r="A19834">
        <v>19833</v>
      </c>
      <c r="B19834">
        <v>2698361</v>
      </c>
      <c r="C19834" s="1" t="str">
        <f>HYPERLINK("http://stackoverflow.com/users/2698361", "Jinliang Liu")</f>
        <v>Jinliang Liu</v>
      </c>
      <c r="D19834" t="s">
        <v>4</v>
      </c>
      <c r="E19834">
        <v>1</v>
      </c>
    </row>
    <row r="19835" spans="1:5" x14ac:dyDescent="0.25">
      <c r="A19835">
        <v>19834</v>
      </c>
      <c r="B19835">
        <v>2698473</v>
      </c>
      <c r="C19835" s="1" t="str">
        <f>HYPERLINK("http://stackoverflow.com/users/2698473", "Vic Ren")</f>
        <v>Vic Ren</v>
      </c>
      <c r="D19835" t="s">
        <v>48</v>
      </c>
      <c r="E19835">
        <v>1</v>
      </c>
    </row>
    <row r="19836" spans="1:5" x14ac:dyDescent="0.25">
      <c r="A19836">
        <v>19835</v>
      </c>
      <c r="B19836">
        <v>8048798</v>
      </c>
      <c r="C19836" s="1" t="str">
        <f>HYPERLINK("http://stackoverflow.com/users/8048798", "RobotSir010")</f>
        <v>RobotSir010</v>
      </c>
      <c r="D19836" t="s">
        <v>1058</v>
      </c>
      <c r="E19836">
        <v>1</v>
      </c>
    </row>
    <row r="19837" spans="1:5" x14ac:dyDescent="0.25">
      <c r="A19837">
        <v>19836</v>
      </c>
      <c r="B19837">
        <v>8048889</v>
      </c>
      <c r="C19837" s="1" t="str">
        <f>HYPERLINK("http://stackoverflow.com/users/8048889", "gbvaq")</f>
        <v>gbvaq</v>
      </c>
      <c r="D19837" t="s">
        <v>888</v>
      </c>
      <c r="E19837">
        <v>1</v>
      </c>
    </row>
    <row r="19838" spans="1:5" x14ac:dyDescent="0.25">
      <c r="A19838">
        <v>19837</v>
      </c>
      <c r="B19838">
        <v>8048960</v>
      </c>
      <c r="C19838" s="1" t="str">
        <f>HYPERLINK("http://stackoverflow.com/users/8048960", "O.xu")</f>
        <v>O.xu</v>
      </c>
      <c r="D19838" t="s">
        <v>10</v>
      </c>
      <c r="E19838">
        <v>1</v>
      </c>
    </row>
    <row r="19839" spans="1:5" x14ac:dyDescent="0.25">
      <c r="A19839">
        <v>19838</v>
      </c>
      <c r="B19839">
        <v>8049221</v>
      </c>
      <c r="C19839" s="1" t="str">
        <f>HYPERLINK("http://stackoverflow.com/users/8049221", "sky91")</f>
        <v>sky91</v>
      </c>
      <c r="D19839" t="s">
        <v>4</v>
      </c>
      <c r="E19839">
        <v>1</v>
      </c>
    </row>
    <row r="19840" spans="1:5" x14ac:dyDescent="0.25">
      <c r="A19840">
        <v>19839</v>
      </c>
      <c r="B19840">
        <v>6271176</v>
      </c>
      <c r="C19840" s="1" t="str">
        <f>HYPERLINK("http://stackoverflow.com/users/6271176", "weichangdong")</f>
        <v>weichangdong</v>
      </c>
      <c r="D19840" t="s">
        <v>5</v>
      </c>
      <c r="E19840">
        <v>1</v>
      </c>
    </row>
    <row r="19841" spans="1:5" x14ac:dyDescent="0.25">
      <c r="A19841">
        <v>19840</v>
      </c>
      <c r="B19841">
        <v>8054585</v>
      </c>
      <c r="C19841" s="1" t="str">
        <f>HYPERLINK("http://stackoverflow.com/users/8054585", "Snownee")</f>
        <v>Snownee</v>
      </c>
      <c r="D19841" t="s">
        <v>1059</v>
      </c>
      <c r="E19841">
        <v>1</v>
      </c>
    </row>
    <row r="19842" spans="1:5" x14ac:dyDescent="0.25">
      <c r="A19842">
        <v>19841</v>
      </c>
      <c r="B19842">
        <v>9867397</v>
      </c>
      <c r="C19842" s="1" t="str">
        <f>HYPERLINK("http://stackoverflow.com/users/9867397", "whynotme")</f>
        <v>whynotme</v>
      </c>
      <c r="D19842" t="s">
        <v>1060</v>
      </c>
      <c r="E19842">
        <v>1</v>
      </c>
    </row>
    <row r="19843" spans="1:5" x14ac:dyDescent="0.25">
      <c r="A19843">
        <v>19842</v>
      </c>
      <c r="B19843">
        <v>9867407</v>
      </c>
      <c r="C19843" s="1" t="str">
        <f>HYPERLINK("http://stackoverflow.com/users/9867407", "agnes")</f>
        <v>agnes</v>
      </c>
      <c r="D19843" t="s">
        <v>5</v>
      </c>
      <c r="E19843">
        <v>1</v>
      </c>
    </row>
    <row r="19844" spans="1:5" x14ac:dyDescent="0.25">
      <c r="A19844">
        <v>19843</v>
      </c>
      <c r="B19844">
        <v>9867606</v>
      </c>
      <c r="C19844" s="1" t="str">
        <f>HYPERLINK("http://stackoverflow.com/users/9867606", "He Kai")</f>
        <v>He Kai</v>
      </c>
      <c r="D19844" t="s">
        <v>37</v>
      </c>
      <c r="E19844">
        <v>1</v>
      </c>
    </row>
    <row r="19845" spans="1:5" x14ac:dyDescent="0.25">
      <c r="A19845">
        <v>19844</v>
      </c>
      <c r="B19845">
        <v>9867742</v>
      </c>
      <c r="C19845" s="1" t="str">
        <f>HYPERLINK("http://stackoverflow.com/users/9867742", "yulan")</f>
        <v>yulan</v>
      </c>
      <c r="D19845" t="s">
        <v>4</v>
      </c>
      <c r="E19845">
        <v>1</v>
      </c>
    </row>
    <row r="19846" spans="1:5" x14ac:dyDescent="0.25">
      <c r="A19846">
        <v>19845</v>
      </c>
      <c r="B19846">
        <v>9867820</v>
      </c>
      <c r="C19846" s="1" t="str">
        <f>HYPERLINK("http://stackoverflow.com/users/9867820", "万子奇")</f>
        <v>万子奇</v>
      </c>
      <c r="D19846" t="s">
        <v>4</v>
      </c>
      <c r="E19846">
        <v>1</v>
      </c>
    </row>
    <row r="19847" spans="1:5" x14ac:dyDescent="0.25">
      <c r="A19847">
        <v>19846</v>
      </c>
      <c r="B19847">
        <v>2704099</v>
      </c>
      <c r="C19847" s="1" t="str">
        <f>HYPERLINK("http://stackoverflow.com/users/2704099", "Jerry")</f>
        <v>Jerry</v>
      </c>
      <c r="D19847" t="s">
        <v>17</v>
      </c>
      <c r="E19847">
        <v>1</v>
      </c>
    </row>
    <row r="19848" spans="1:5" x14ac:dyDescent="0.25">
      <c r="A19848">
        <v>19847</v>
      </c>
      <c r="B19848">
        <v>2704268</v>
      </c>
      <c r="C19848" s="1" t="str">
        <f>HYPERLINK("http://stackoverflow.com/users/2704268", "miles")</f>
        <v>miles</v>
      </c>
      <c r="D19848" t="s">
        <v>37</v>
      </c>
      <c r="E19848">
        <v>1</v>
      </c>
    </row>
    <row r="19849" spans="1:5" x14ac:dyDescent="0.25">
      <c r="A19849">
        <v>19848</v>
      </c>
      <c r="B19849">
        <v>8057534</v>
      </c>
      <c r="C19849" s="1" t="str">
        <f>HYPERLINK("http://stackoverflow.com/users/8057534", "jeanron100")</f>
        <v>jeanron100</v>
      </c>
      <c r="D19849" t="s">
        <v>5</v>
      </c>
      <c r="E19849">
        <v>1</v>
      </c>
    </row>
    <row r="19850" spans="1:5" x14ac:dyDescent="0.25">
      <c r="A19850">
        <v>19849</v>
      </c>
      <c r="B19850">
        <v>8057909</v>
      </c>
      <c r="C19850" s="1" t="str">
        <f>HYPERLINK("http://stackoverflow.com/users/8057909", "Jason Zhao")</f>
        <v>Jason Zhao</v>
      </c>
      <c r="D19850" t="s">
        <v>5</v>
      </c>
      <c r="E19850">
        <v>1</v>
      </c>
    </row>
    <row r="19851" spans="1:5" x14ac:dyDescent="0.25">
      <c r="A19851">
        <v>19850</v>
      </c>
      <c r="B19851">
        <v>2821786</v>
      </c>
      <c r="C19851" s="1" t="str">
        <f>HYPERLINK("http://stackoverflow.com/users/2821786", "meloncrashed")</f>
        <v>meloncrashed</v>
      </c>
      <c r="D19851" t="s">
        <v>396</v>
      </c>
      <c r="E19851">
        <v>1</v>
      </c>
    </row>
    <row r="19852" spans="1:5" x14ac:dyDescent="0.25">
      <c r="A19852">
        <v>19851</v>
      </c>
      <c r="B19852">
        <v>2821791</v>
      </c>
      <c r="C19852" s="1" t="str">
        <f>HYPERLINK("http://stackoverflow.com/users/2821791", "Qii")</f>
        <v>Qii</v>
      </c>
      <c r="D19852" t="s">
        <v>4</v>
      </c>
      <c r="E19852">
        <v>1</v>
      </c>
    </row>
    <row r="19853" spans="1:5" x14ac:dyDescent="0.25">
      <c r="A19853">
        <v>19852</v>
      </c>
      <c r="B19853">
        <v>2821821</v>
      </c>
      <c r="C19853" s="1" t="str">
        <f>HYPERLINK("http://stackoverflow.com/users/2821821", "tapeout")</f>
        <v>tapeout</v>
      </c>
      <c r="D19853" t="s">
        <v>4</v>
      </c>
      <c r="E19853">
        <v>1</v>
      </c>
    </row>
    <row r="19854" spans="1:5" x14ac:dyDescent="0.25">
      <c r="A19854">
        <v>19853</v>
      </c>
      <c r="B19854">
        <v>2821836</v>
      </c>
      <c r="C19854" s="1" t="str">
        <f>HYPERLINK("http://stackoverflow.com/users/2821836", "Silly Man")</f>
        <v>Silly Man</v>
      </c>
      <c r="D19854" t="s">
        <v>35</v>
      </c>
      <c r="E19854">
        <v>1</v>
      </c>
    </row>
    <row r="19855" spans="1:5" x14ac:dyDescent="0.25">
      <c r="A19855">
        <v>19854</v>
      </c>
      <c r="B19855">
        <v>644312</v>
      </c>
      <c r="C19855" s="1" t="str">
        <f>HYPERLINK("http://stackoverflow.com/users/644312", "Calvin")</f>
        <v>Calvin</v>
      </c>
      <c r="D19855" t="s">
        <v>12</v>
      </c>
      <c r="E19855">
        <v>1</v>
      </c>
    </row>
    <row r="19856" spans="1:5" x14ac:dyDescent="0.25">
      <c r="A19856">
        <v>19855</v>
      </c>
      <c r="B19856">
        <v>8171412</v>
      </c>
      <c r="C19856" s="1" t="str">
        <f>HYPERLINK("http://stackoverflow.com/users/8171412", "宋汗山")</f>
        <v>宋汗山</v>
      </c>
      <c r="D19856" t="s">
        <v>7</v>
      </c>
      <c r="E19856">
        <v>1</v>
      </c>
    </row>
    <row r="19857" spans="1:5" x14ac:dyDescent="0.25">
      <c r="A19857">
        <v>19856</v>
      </c>
      <c r="B19857">
        <v>4653121</v>
      </c>
      <c r="C19857" s="1" t="str">
        <f>HYPERLINK("http://stackoverflow.com/users/4653121", "Jacky")</f>
        <v>Jacky</v>
      </c>
      <c r="D19857" t="s">
        <v>131</v>
      </c>
      <c r="E19857">
        <v>1</v>
      </c>
    </row>
    <row r="19858" spans="1:5" x14ac:dyDescent="0.25">
      <c r="A19858">
        <v>19857</v>
      </c>
      <c r="B19858">
        <v>4653658</v>
      </c>
      <c r="C19858" s="1" t="str">
        <f>HYPERLINK("http://stackoverflow.com/users/4653658", "Jianjun Zhang")</f>
        <v>Jianjun Zhang</v>
      </c>
      <c r="D19858" t="s">
        <v>5</v>
      </c>
      <c r="E19858">
        <v>1</v>
      </c>
    </row>
    <row r="19859" spans="1:5" x14ac:dyDescent="0.25">
      <c r="A19859">
        <v>19858</v>
      </c>
      <c r="B19859">
        <v>6378602</v>
      </c>
      <c r="C19859" s="1" t="str">
        <f>HYPERLINK("http://stackoverflow.com/users/6378602", "Jack Wong")</f>
        <v>Jack Wong</v>
      </c>
      <c r="D19859" t="s">
        <v>28</v>
      </c>
      <c r="E19859">
        <v>1</v>
      </c>
    </row>
    <row r="19860" spans="1:5" x14ac:dyDescent="0.25">
      <c r="A19860">
        <v>19859</v>
      </c>
      <c r="B19860">
        <v>6378814</v>
      </c>
      <c r="C19860" s="1" t="str">
        <f>HYPERLINK("http://stackoverflow.com/users/6378814", "Eric Yang")</f>
        <v>Eric Yang</v>
      </c>
      <c r="D19860" t="s">
        <v>5</v>
      </c>
      <c r="E19860">
        <v>1</v>
      </c>
    </row>
    <row r="19861" spans="1:5" x14ac:dyDescent="0.25">
      <c r="A19861">
        <v>19860</v>
      </c>
      <c r="B19861">
        <v>6378843</v>
      </c>
      <c r="C19861" s="1" t="str">
        <f>HYPERLINK("http://stackoverflow.com/users/6378843", "Youshuai Fan")</f>
        <v>Youshuai Fan</v>
      </c>
      <c r="D19861" t="s">
        <v>5</v>
      </c>
      <c r="E19861">
        <v>1</v>
      </c>
    </row>
    <row r="19862" spans="1:5" x14ac:dyDescent="0.25">
      <c r="A19862">
        <v>19861</v>
      </c>
      <c r="B19862">
        <v>676965</v>
      </c>
      <c r="C19862" s="1" t="str">
        <f>HYPERLINK("http://stackoverflow.com/users/676965", "abbuggy")</f>
        <v>abbuggy</v>
      </c>
      <c r="D19862" t="s">
        <v>5</v>
      </c>
      <c r="E19862">
        <v>1</v>
      </c>
    </row>
    <row r="19863" spans="1:5" x14ac:dyDescent="0.25">
      <c r="A19863">
        <v>19862</v>
      </c>
      <c r="B19863">
        <v>677079</v>
      </c>
      <c r="C19863" s="1" t="str">
        <f>HYPERLINK("http://stackoverflow.com/users/677079", "linsk")</f>
        <v>linsk</v>
      </c>
      <c r="D19863" t="s">
        <v>21</v>
      </c>
      <c r="E19863">
        <v>1</v>
      </c>
    </row>
    <row r="19864" spans="1:5" x14ac:dyDescent="0.25">
      <c r="A19864">
        <v>19863</v>
      </c>
      <c r="B19864">
        <v>677836</v>
      </c>
      <c r="C19864" s="1" t="str">
        <f>HYPERLINK("http://stackoverflow.com/users/677836", "Yanbo Wu")</f>
        <v>Yanbo Wu</v>
      </c>
      <c r="D19864" t="s">
        <v>5</v>
      </c>
      <c r="E19864">
        <v>1</v>
      </c>
    </row>
    <row r="19865" spans="1:5" x14ac:dyDescent="0.25">
      <c r="A19865">
        <v>19864</v>
      </c>
      <c r="B19865">
        <v>6374246</v>
      </c>
      <c r="C19865" s="1" t="str">
        <f>HYPERLINK("http://stackoverflow.com/users/6374246", "CatsAction")</f>
        <v>CatsAction</v>
      </c>
      <c r="D19865" t="s">
        <v>5</v>
      </c>
      <c r="E19865">
        <v>1</v>
      </c>
    </row>
    <row r="19866" spans="1:5" x14ac:dyDescent="0.25">
      <c r="A19866">
        <v>19865</v>
      </c>
      <c r="B19866">
        <v>6374406</v>
      </c>
      <c r="C19866" s="1" t="str">
        <f>HYPERLINK("http://stackoverflow.com/users/6374406", "KEVIN.CJ")</f>
        <v>KEVIN.CJ</v>
      </c>
      <c r="D19866" t="s">
        <v>43</v>
      </c>
      <c r="E19866">
        <v>1</v>
      </c>
    </row>
    <row r="19867" spans="1:5" x14ac:dyDescent="0.25">
      <c r="A19867">
        <v>19866</v>
      </c>
      <c r="B19867">
        <v>6374562</v>
      </c>
      <c r="C19867" s="1" t="str">
        <f>HYPERLINK("http://stackoverflow.com/users/6374562", "zhaofei")</f>
        <v>zhaofei</v>
      </c>
      <c r="D19867" t="s">
        <v>5</v>
      </c>
      <c r="E19867">
        <v>1</v>
      </c>
    </row>
    <row r="19868" spans="1:5" x14ac:dyDescent="0.25">
      <c r="A19868">
        <v>19867</v>
      </c>
      <c r="B19868">
        <v>6374737</v>
      </c>
      <c r="C19868" s="1" t="str">
        <f>HYPERLINK("http://stackoverflow.com/users/6374737", "JasonYu")</f>
        <v>JasonYu</v>
      </c>
      <c r="D19868" t="s">
        <v>5</v>
      </c>
      <c r="E19868">
        <v>1</v>
      </c>
    </row>
    <row r="19869" spans="1:5" x14ac:dyDescent="0.25">
      <c r="A19869">
        <v>19868</v>
      </c>
      <c r="B19869">
        <v>8166963</v>
      </c>
      <c r="C19869" s="1" t="str">
        <f>HYPERLINK("http://stackoverflow.com/users/8166963", "Jay_Z")</f>
        <v>Jay_Z</v>
      </c>
      <c r="D19869" t="s">
        <v>55</v>
      </c>
      <c r="E19869">
        <v>1</v>
      </c>
    </row>
    <row r="19870" spans="1:5" x14ac:dyDescent="0.25">
      <c r="A19870">
        <v>19869</v>
      </c>
      <c r="B19870">
        <v>8170891</v>
      </c>
      <c r="C19870" s="1" t="str">
        <f>HYPERLINK("http://stackoverflow.com/users/8170891", "Swapnil")</f>
        <v>Swapnil</v>
      </c>
      <c r="D19870" t="s">
        <v>7</v>
      </c>
      <c r="E19870">
        <v>1</v>
      </c>
    </row>
    <row r="19871" spans="1:5" x14ac:dyDescent="0.25">
      <c r="A19871">
        <v>19870</v>
      </c>
      <c r="B19871">
        <v>8170924</v>
      </c>
      <c r="C19871" s="1" t="str">
        <f>HYPERLINK("http://stackoverflow.com/users/8170924", "user8170924")</f>
        <v>user8170924</v>
      </c>
      <c r="D19871" t="s">
        <v>52</v>
      </c>
      <c r="E19871">
        <v>1</v>
      </c>
    </row>
    <row r="19872" spans="1:5" x14ac:dyDescent="0.25">
      <c r="A19872">
        <v>19871</v>
      </c>
      <c r="B19872">
        <v>665639</v>
      </c>
      <c r="C19872" s="1" t="str">
        <f>HYPERLINK("http://stackoverflow.com/users/665639", "olachan")</f>
        <v>olachan</v>
      </c>
      <c r="D19872" t="s">
        <v>4</v>
      </c>
      <c r="E19872">
        <v>1</v>
      </c>
    </row>
    <row r="19873" spans="1:5" x14ac:dyDescent="0.25">
      <c r="A19873">
        <v>19872</v>
      </c>
      <c r="B19873">
        <v>665724</v>
      </c>
      <c r="C19873" s="1" t="str">
        <f>HYPERLINK("http://stackoverflow.com/users/665724", "Xiaochun Shen")</f>
        <v>Xiaochun Shen</v>
      </c>
      <c r="D19873" t="s">
        <v>3</v>
      </c>
      <c r="E19873">
        <v>1</v>
      </c>
    </row>
    <row r="19874" spans="1:5" x14ac:dyDescent="0.25">
      <c r="A19874">
        <v>19873</v>
      </c>
      <c r="B19874">
        <v>9981463</v>
      </c>
      <c r="C19874" s="1" t="str">
        <f>HYPERLINK("http://stackoverflow.com/users/9981463", "hzaolida")</f>
        <v>hzaolida</v>
      </c>
      <c r="D19874" t="s">
        <v>1061</v>
      </c>
      <c r="E19874">
        <v>1</v>
      </c>
    </row>
    <row r="19875" spans="1:5" x14ac:dyDescent="0.25">
      <c r="A19875">
        <v>19874</v>
      </c>
      <c r="B19875">
        <v>9981576</v>
      </c>
      <c r="C19875" s="1" t="str">
        <f>HYPERLINK("http://stackoverflow.com/users/9981576", "Eram")</f>
        <v>Eram</v>
      </c>
      <c r="D19875" t="s">
        <v>5</v>
      </c>
      <c r="E19875">
        <v>1</v>
      </c>
    </row>
    <row r="19876" spans="1:5" x14ac:dyDescent="0.25">
      <c r="A19876">
        <v>19875</v>
      </c>
      <c r="B19876">
        <v>644780</v>
      </c>
      <c r="C19876" s="1" t="str">
        <f>HYPERLINK("http://stackoverflow.com/users/644780", "Vietor Liu")</f>
        <v>Vietor Liu</v>
      </c>
      <c r="D19876" t="s">
        <v>5</v>
      </c>
      <c r="E19876">
        <v>1</v>
      </c>
    </row>
    <row r="19877" spans="1:5" x14ac:dyDescent="0.25">
      <c r="A19877">
        <v>19876</v>
      </c>
      <c r="B19877">
        <v>644798</v>
      </c>
      <c r="C19877" s="1" t="str">
        <f>HYPERLINK("http://stackoverflow.com/users/644798", "janphelee")</f>
        <v>janphelee</v>
      </c>
      <c r="D19877" t="s">
        <v>23</v>
      </c>
      <c r="E19877">
        <v>1</v>
      </c>
    </row>
    <row r="19878" spans="1:5" x14ac:dyDescent="0.25">
      <c r="A19878">
        <v>19877</v>
      </c>
      <c r="B19878">
        <v>9965030</v>
      </c>
      <c r="C19878" s="1" t="str">
        <f>HYPERLINK("http://stackoverflow.com/users/9965030", "Wu Harry")</f>
        <v>Wu Harry</v>
      </c>
      <c r="D19878" t="s">
        <v>4</v>
      </c>
      <c r="E19878">
        <v>1</v>
      </c>
    </row>
    <row r="19879" spans="1:5" x14ac:dyDescent="0.25">
      <c r="A19879">
        <v>19878</v>
      </c>
      <c r="B19879">
        <v>9965044</v>
      </c>
      <c r="C19879" s="1" t="str">
        <f>HYPERLINK("http://stackoverflow.com/users/9965044", "Super16")</f>
        <v>Super16</v>
      </c>
      <c r="D19879" t="s">
        <v>5</v>
      </c>
      <c r="E19879">
        <v>1</v>
      </c>
    </row>
    <row r="19880" spans="1:5" x14ac:dyDescent="0.25">
      <c r="A19880">
        <v>19879</v>
      </c>
      <c r="B19880">
        <v>2798132</v>
      </c>
      <c r="C19880" s="1" t="str">
        <f>HYPERLINK("http://stackoverflow.com/users/2798132", "clare")</f>
        <v>clare</v>
      </c>
      <c r="D19880" t="s">
        <v>4</v>
      </c>
      <c r="E19880">
        <v>1</v>
      </c>
    </row>
    <row r="19881" spans="1:5" x14ac:dyDescent="0.25">
      <c r="A19881">
        <v>19880</v>
      </c>
      <c r="B19881">
        <v>707227</v>
      </c>
      <c r="C19881" s="1" t="str">
        <f>HYPERLINK("http://stackoverflow.com/users/707227", "friskfly")</f>
        <v>friskfly</v>
      </c>
      <c r="D19881" t="s">
        <v>3</v>
      </c>
      <c r="E19881">
        <v>1</v>
      </c>
    </row>
    <row r="19882" spans="1:5" x14ac:dyDescent="0.25">
      <c r="A19882">
        <v>19881</v>
      </c>
      <c r="B19882">
        <v>707524</v>
      </c>
      <c r="C19882" s="1" t="str">
        <f>HYPERLINK("http://stackoverflow.com/users/707524", "danoprey")</f>
        <v>danoprey</v>
      </c>
      <c r="D19882" t="s">
        <v>5</v>
      </c>
      <c r="E19882">
        <v>1</v>
      </c>
    </row>
    <row r="19883" spans="1:5" x14ac:dyDescent="0.25">
      <c r="A19883">
        <v>19882</v>
      </c>
      <c r="B19883">
        <v>2833986</v>
      </c>
      <c r="C19883" s="1" t="str">
        <f>HYPERLINK("http://stackoverflow.com/users/2833986", "JasonChen")</f>
        <v>JasonChen</v>
      </c>
      <c r="D19883" t="s">
        <v>17</v>
      </c>
      <c r="E19883">
        <v>1</v>
      </c>
    </row>
    <row r="19884" spans="1:5" x14ac:dyDescent="0.25">
      <c r="A19884">
        <v>19883</v>
      </c>
      <c r="B19884">
        <v>8187150</v>
      </c>
      <c r="C19884" s="1" t="str">
        <f>HYPERLINK("http://stackoverflow.com/users/8187150", "yungsem")</f>
        <v>yungsem</v>
      </c>
      <c r="D19884" t="s">
        <v>3</v>
      </c>
      <c r="E19884">
        <v>1</v>
      </c>
    </row>
    <row r="19885" spans="1:5" x14ac:dyDescent="0.25">
      <c r="A19885">
        <v>19884</v>
      </c>
      <c r="B19885">
        <v>8187424</v>
      </c>
      <c r="C19885" s="1" t="str">
        <f>HYPERLINK("http://stackoverflow.com/users/8187424", "fangchao")</f>
        <v>fangchao</v>
      </c>
      <c r="D19885" t="s">
        <v>1062</v>
      </c>
      <c r="E19885">
        <v>1</v>
      </c>
    </row>
    <row r="19886" spans="1:5" x14ac:dyDescent="0.25">
      <c r="A19886">
        <v>19885</v>
      </c>
      <c r="B19886">
        <v>6394175</v>
      </c>
      <c r="C19886" s="1" t="str">
        <f>HYPERLINK("http://stackoverflow.com/users/6394175", "Joe")</f>
        <v>Joe</v>
      </c>
      <c r="D19886" t="s">
        <v>4</v>
      </c>
      <c r="E19886">
        <v>1</v>
      </c>
    </row>
    <row r="19887" spans="1:5" x14ac:dyDescent="0.25">
      <c r="A19887">
        <v>19886</v>
      </c>
      <c r="B19887">
        <v>4672196</v>
      </c>
      <c r="C19887" s="1" t="str">
        <f>HYPERLINK("http://stackoverflow.com/users/4672196", "l1Dan")</f>
        <v>l1Dan</v>
      </c>
      <c r="D19887" t="s">
        <v>7</v>
      </c>
      <c r="E19887">
        <v>1</v>
      </c>
    </row>
    <row r="19888" spans="1:5" x14ac:dyDescent="0.25">
      <c r="A19888">
        <v>19887</v>
      </c>
      <c r="B19888">
        <v>4672272</v>
      </c>
      <c r="C19888" s="1" t="str">
        <f>HYPERLINK("http://stackoverflow.com/users/4672272", "Jerome Chan")</f>
        <v>Jerome Chan</v>
      </c>
      <c r="D19888" t="s">
        <v>55</v>
      </c>
      <c r="E19888">
        <v>1</v>
      </c>
    </row>
    <row r="19889" spans="1:5" x14ac:dyDescent="0.25">
      <c r="A19889">
        <v>19888</v>
      </c>
      <c r="B19889">
        <v>6382214</v>
      </c>
      <c r="C19889" s="1" t="str">
        <f>HYPERLINK("http://stackoverflow.com/users/6382214", "Ryan Li")</f>
        <v>Ryan Li</v>
      </c>
      <c r="D19889" t="s">
        <v>4</v>
      </c>
      <c r="E19889">
        <v>1</v>
      </c>
    </row>
    <row r="19890" spans="1:5" x14ac:dyDescent="0.25">
      <c r="A19890">
        <v>19889</v>
      </c>
      <c r="B19890">
        <v>8175985</v>
      </c>
      <c r="C19890" s="1" t="str">
        <f>HYPERLINK("http://stackoverflow.com/users/8175985", "Mike Gao")</f>
        <v>Mike Gao</v>
      </c>
      <c r="D19890" t="s">
        <v>4</v>
      </c>
      <c r="E19890">
        <v>1</v>
      </c>
    </row>
    <row r="19891" spans="1:5" x14ac:dyDescent="0.25">
      <c r="A19891">
        <v>19890</v>
      </c>
      <c r="B19891">
        <v>696943</v>
      </c>
      <c r="C19891" s="1" t="str">
        <f>HYPERLINK("http://stackoverflow.com/users/696943", "cuiaoxiang")</f>
        <v>cuiaoxiang</v>
      </c>
      <c r="D19891" t="s">
        <v>4</v>
      </c>
      <c r="E19891">
        <v>1</v>
      </c>
    </row>
    <row r="19892" spans="1:5" x14ac:dyDescent="0.25">
      <c r="A19892">
        <v>19891</v>
      </c>
      <c r="B19892">
        <v>2829709</v>
      </c>
      <c r="C19892" s="1" t="str">
        <f>HYPERLINK("http://stackoverflow.com/users/2829709", "xinqiao.yang")</f>
        <v>xinqiao.yang</v>
      </c>
      <c r="D19892" t="s">
        <v>4</v>
      </c>
      <c r="E19892">
        <v>1</v>
      </c>
    </row>
    <row r="19893" spans="1:5" x14ac:dyDescent="0.25">
      <c r="A19893">
        <v>19892</v>
      </c>
      <c r="B19893">
        <v>2829792</v>
      </c>
      <c r="C19893" s="1" t="str">
        <f>HYPERLINK("http://stackoverflow.com/users/2829792", "user2829792")</f>
        <v>user2829792</v>
      </c>
      <c r="D19893" t="s">
        <v>5</v>
      </c>
      <c r="E19893">
        <v>1</v>
      </c>
    </row>
    <row r="19894" spans="1:5" x14ac:dyDescent="0.25">
      <c r="A19894">
        <v>19893</v>
      </c>
      <c r="B19894">
        <v>4657697</v>
      </c>
      <c r="C19894" s="1" t="str">
        <f>HYPERLINK("http://stackoverflow.com/users/4657697", "Gavin YANG")</f>
        <v>Gavin YANG</v>
      </c>
      <c r="D19894" t="s">
        <v>4</v>
      </c>
      <c r="E19894">
        <v>1</v>
      </c>
    </row>
    <row r="19895" spans="1:5" x14ac:dyDescent="0.25">
      <c r="A19895">
        <v>19894</v>
      </c>
      <c r="B19895">
        <v>2826033</v>
      </c>
      <c r="C19895" s="1" t="str">
        <f>HYPERLINK("http://stackoverflow.com/users/2826033", "Amos Zhu")</f>
        <v>Amos Zhu</v>
      </c>
      <c r="D19895" t="s">
        <v>4</v>
      </c>
      <c r="E19895">
        <v>1</v>
      </c>
    </row>
    <row r="19896" spans="1:5" x14ac:dyDescent="0.25">
      <c r="A19896">
        <v>19895</v>
      </c>
      <c r="B19896">
        <v>8179169</v>
      </c>
      <c r="C19896" s="1" t="str">
        <f>HYPERLINK("http://stackoverflow.com/users/8179169", "wangqi")</f>
        <v>wangqi</v>
      </c>
      <c r="D19896" t="s">
        <v>15</v>
      </c>
      <c r="E19896">
        <v>1</v>
      </c>
    </row>
    <row r="19897" spans="1:5" x14ac:dyDescent="0.25">
      <c r="A19897">
        <v>19896</v>
      </c>
      <c r="B19897">
        <v>8179322</v>
      </c>
      <c r="C19897" s="1" t="str">
        <f>HYPERLINK("http://stackoverflow.com/users/8179322", "YanChao")</f>
        <v>YanChao</v>
      </c>
      <c r="D19897" t="s">
        <v>5</v>
      </c>
      <c r="E19897">
        <v>1</v>
      </c>
    </row>
    <row r="19898" spans="1:5" x14ac:dyDescent="0.25">
      <c r="A19898">
        <v>19897</v>
      </c>
      <c r="B19898">
        <v>612395</v>
      </c>
      <c r="C19898" s="1" t="str">
        <f>HYPERLINK("http://stackoverflow.com/users/612395", "Xie Shaohu")</f>
        <v>Xie Shaohu</v>
      </c>
      <c r="D19898" t="s">
        <v>5</v>
      </c>
      <c r="E19898">
        <v>1</v>
      </c>
    </row>
    <row r="19899" spans="1:5" x14ac:dyDescent="0.25">
      <c r="A19899">
        <v>19898</v>
      </c>
      <c r="B19899">
        <v>6343280</v>
      </c>
      <c r="C19899" s="1" t="str">
        <f>HYPERLINK("http://stackoverflow.com/users/6343280", "DStealer")</f>
        <v>DStealer</v>
      </c>
      <c r="D19899" t="s">
        <v>5</v>
      </c>
      <c r="E19899">
        <v>1</v>
      </c>
    </row>
    <row r="19900" spans="1:5" x14ac:dyDescent="0.25">
      <c r="A19900">
        <v>19899</v>
      </c>
      <c r="B19900">
        <v>6343295</v>
      </c>
      <c r="C19900" s="1" t="str">
        <f>HYPERLINK("http://stackoverflow.com/users/6343295", "JohnHow")</f>
        <v>JohnHow</v>
      </c>
      <c r="D19900" t="s">
        <v>11</v>
      </c>
      <c r="E19900">
        <v>1</v>
      </c>
    </row>
    <row r="19901" spans="1:5" x14ac:dyDescent="0.25">
      <c r="A19901">
        <v>19900</v>
      </c>
      <c r="B19901">
        <v>6343449</v>
      </c>
      <c r="C19901" s="1" t="str">
        <f>HYPERLINK("http://stackoverflow.com/users/6343449", "zmh")</f>
        <v>zmh</v>
      </c>
      <c r="D19901" t="s">
        <v>16</v>
      </c>
      <c r="E19901">
        <v>1</v>
      </c>
    </row>
    <row r="19902" spans="1:5" x14ac:dyDescent="0.25">
      <c r="A19902">
        <v>19901</v>
      </c>
      <c r="B19902">
        <v>6343484</v>
      </c>
      <c r="C19902" s="1" t="str">
        <f>HYPERLINK("http://stackoverflow.com/users/6343484", "Simon.Hoo")</f>
        <v>Simon.Hoo</v>
      </c>
      <c r="D19902" t="s">
        <v>7</v>
      </c>
      <c r="E19902">
        <v>1</v>
      </c>
    </row>
    <row r="19903" spans="1:5" x14ac:dyDescent="0.25">
      <c r="A19903">
        <v>19902</v>
      </c>
      <c r="B19903">
        <v>6343540</v>
      </c>
      <c r="C19903" s="1" t="str">
        <f>HYPERLINK("http://stackoverflow.com/users/6343540", "John Sun")</f>
        <v>John Sun</v>
      </c>
      <c r="D19903" t="s">
        <v>4</v>
      </c>
      <c r="E19903">
        <v>1</v>
      </c>
    </row>
    <row r="19904" spans="1:5" x14ac:dyDescent="0.25">
      <c r="A19904">
        <v>19903</v>
      </c>
      <c r="B19904">
        <v>6343634</v>
      </c>
      <c r="C19904" s="1" t="str">
        <f>HYPERLINK("http://stackoverflow.com/users/6343634", "G.Luke")</f>
        <v>G.Luke</v>
      </c>
      <c r="D19904" t="s">
        <v>35</v>
      </c>
      <c r="E19904">
        <v>1</v>
      </c>
    </row>
    <row r="19905" spans="1:5" x14ac:dyDescent="0.25">
      <c r="A19905">
        <v>19904</v>
      </c>
      <c r="B19905">
        <v>4612953</v>
      </c>
      <c r="C19905" s="1" t="str">
        <f>HYPERLINK("http://stackoverflow.com/users/4612953", "Jiulin Hu")</f>
        <v>Jiulin Hu</v>
      </c>
      <c r="D19905" t="s">
        <v>5</v>
      </c>
      <c r="E19905">
        <v>1</v>
      </c>
    </row>
    <row r="19906" spans="1:5" x14ac:dyDescent="0.25">
      <c r="A19906">
        <v>19905</v>
      </c>
      <c r="B19906">
        <v>4613671</v>
      </c>
      <c r="C19906" s="1" t="str">
        <f>HYPERLINK("http://stackoverflow.com/users/4613671", "Juno HO")</f>
        <v>Juno HO</v>
      </c>
      <c r="D19906" t="s">
        <v>4</v>
      </c>
      <c r="E19906">
        <v>1</v>
      </c>
    </row>
    <row r="19907" spans="1:5" x14ac:dyDescent="0.25">
      <c r="A19907">
        <v>19906</v>
      </c>
      <c r="B19907">
        <v>4617959</v>
      </c>
      <c r="C19907" s="1" t="str">
        <f>HYPERLINK("http://stackoverflow.com/users/4617959", "Quantin")</f>
        <v>Quantin</v>
      </c>
      <c r="D19907" t="s">
        <v>17</v>
      </c>
      <c r="E19907">
        <v>1</v>
      </c>
    </row>
    <row r="19908" spans="1:5" x14ac:dyDescent="0.25">
      <c r="A19908">
        <v>19907</v>
      </c>
      <c r="B19908">
        <v>9952431</v>
      </c>
      <c r="C19908" s="1" t="str">
        <f>HYPERLINK("http://stackoverflow.com/users/9952431", "Sonic Zhang")</f>
        <v>Sonic Zhang</v>
      </c>
      <c r="D19908" t="s">
        <v>11</v>
      </c>
      <c r="E19908">
        <v>1</v>
      </c>
    </row>
    <row r="19909" spans="1:5" x14ac:dyDescent="0.25">
      <c r="A19909">
        <v>19908</v>
      </c>
      <c r="B19909">
        <v>6348371</v>
      </c>
      <c r="C19909" s="1" t="str">
        <f>HYPERLINK("http://stackoverflow.com/users/6348371", "隔壁老王")</f>
        <v>隔壁老王</v>
      </c>
      <c r="D19909" t="s">
        <v>5</v>
      </c>
      <c r="E19909">
        <v>1</v>
      </c>
    </row>
    <row r="19910" spans="1:5" x14ac:dyDescent="0.25">
      <c r="A19910">
        <v>19909</v>
      </c>
      <c r="B19910">
        <v>619582</v>
      </c>
      <c r="C19910" s="1" t="str">
        <f>HYPERLINK("http://stackoverflow.com/users/619582", "Sokos Lee")</f>
        <v>Sokos Lee</v>
      </c>
      <c r="D19910" t="s">
        <v>17</v>
      </c>
      <c r="E19910">
        <v>1</v>
      </c>
    </row>
    <row r="19911" spans="1:5" x14ac:dyDescent="0.25">
      <c r="A19911">
        <v>19910</v>
      </c>
      <c r="B19911">
        <v>6343706</v>
      </c>
      <c r="C19911" s="1" t="str">
        <f>HYPERLINK("http://stackoverflow.com/users/6343706", "little fireball")</f>
        <v>little fireball</v>
      </c>
      <c r="D19911" t="s">
        <v>5</v>
      </c>
      <c r="E19911">
        <v>1</v>
      </c>
    </row>
    <row r="19912" spans="1:5" x14ac:dyDescent="0.25">
      <c r="A19912">
        <v>19911</v>
      </c>
      <c r="B19912">
        <v>6343735</v>
      </c>
      <c r="C19912" s="1" t="str">
        <f>HYPERLINK("http://stackoverflow.com/users/6343735", "ZLeopard")</f>
        <v>ZLeopard</v>
      </c>
      <c r="D19912" t="s">
        <v>415</v>
      </c>
      <c r="E19912">
        <v>1</v>
      </c>
    </row>
    <row r="19913" spans="1:5" x14ac:dyDescent="0.25">
      <c r="A19913">
        <v>19912</v>
      </c>
      <c r="B19913">
        <v>612552</v>
      </c>
      <c r="C19913" s="1" t="str">
        <f>HYPERLINK("http://stackoverflow.com/users/612552", "kinas")</f>
        <v>kinas</v>
      </c>
      <c r="D19913" t="s">
        <v>5</v>
      </c>
      <c r="E19913">
        <v>1</v>
      </c>
    </row>
    <row r="19914" spans="1:5" x14ac:dyDescent="0.25">
      <c r="A19914">
        <v>19913</v>
      </c>
      <c r="B19914">
        <v>2782511</v>
      </c>
      <c r="C19914" s="1" t="str">
        <f>HYPERLINK("http://stackoverflow.com/users/2782511", "chanlion")</f>
        <v>chanlion</v>
      </c>
      <c r="D19914" t="s">
        <v>21</v>
      </c>
      <c r="E19914">
        <v>1</v>
      </c>
    </row>
    <row r="19915" spans="1:5" x14ac:dyDescent="0.25">
      <c r="A19915">
        <v>19914</v>
      </c>
      <c r="B19915">
        <v>619219</v>
      </c>
      <c r="C19915" s="1" t="str">
        <f>HYPERLINK("http://stackoverflow.com/users/619219", "rocky")</f>
        <v>rocky</v>
      </c>
      <c r="D19915" t="s">
        <v>5</v>
      </c>
      <c r="E19915">
        <v>1</v>
      </c>
    </row>
    <row r="19916" spans="1:5" x14ac:dyDescent="0.25">
      <c r="A19916">
        <v>19915</v>
      </c>
      <c r="B19916">
        <v>619654</v>
      </c>
      <c r="C19916" s="1" t="str">
        <f>HYPERLINK("http://stackoverflow.com/users/619654", "zhxl")</f>
        <v>zhxl</v>
      </c>
      <c r="D19916" t="s">
        <v>47</v>
      </c>
      <c r="E19916">
        <v>1</v>
      </c>
    </row>
    <row r="19917" spans="1:5" x14ac:dyDescent="0.25">
      <c r="A19917">
        <v>19916</v>
      </c>
      <c r="B19917">
        <v>4625833</v>
      </c>
      <c r="C19917" s="1" t="str">
        <f>HYPERLINK("http://stackoverflow.com/users/4625833", "朱金贺")</f>
        <v>朱金贺</v>
      </c>
      <c r="D19917" t="s">
        <v>5</v>
      </c>
      <c r="E19917">
        <v>1</v>
      </c>
    </row>
    <row r="19918" spans="1:5" x14ac:dyDescent="0.25">
      <c r="A19918">
        <v>19917</v>
      </c>
      <c r="B19918">
        <v>6355707</v>
      </c>
      <c r="C19918" s="1" t="str">
        <f>HYPERLINK("http://stackoverflow.com/users/6355707", "Huang")</f>
        <v>Huang</v>
      </c>
      <c r="D19918" t="s">
        <v>5</v>
      </c>
      <c r="E19918">
        <v>1</v>
      </c>
    </row>
    <row r="19919" spans="1:5" x14ac:dyDescent="0.25">
      <c r="A19919">
        <v>19918</v>
      </c>
      <c r="B19919">
        <v>2793776</v>
      </c>
      <c r="C19919" s="1" t="str">
        <f>HYPERLINK("http://stackoverflow.com/users/2793776", "xpxstar")</f>
        <v>xpxstar</v>
      </c>
      <c r="D19919" t="s">
        <v>57</v>
      </c>
      <c r="E19919">
        <v>1</v>
      </c>
    </row>
    <row r="19920" spans="1:5" x14ac:dyDescent="0.25">
      <c r="A19920">
        <v>19919</v>
      </c>
      <c r="B19920">
        <v>6359485</v>
      </c>
      <c r="C19920" s="1" t="str">
        <f>HYPERLINK("http://stackoverflow.com/users/6359485", "user6359485")</f>
        <v>user6359485</v>
      </c>
      <c r="D19920" t="s">
        <v>5</v>
      </c>
      <c r="E19920">
        <v>1</v>
      </c>
    </row>
    <row r="19921" spans="1:5" x14ac:dyDescent="0.25">
      <c r="A19921">
        <v>19920</v>
      </c>
      <c r="B19921">
        <v>6359725</v>
      </c>
      <c r="C19921" s="1" t="str">
        <f>HYPERLINK("http://stackoverflow.com/users/6359725", "Evariste")</f>
        <v>Evariste</v>
      </c>
      <c r="D19921" t="s">
        <v>4</v>
      </c>
      <c r="E19921">
        <v>1</v>
      </c>
    </row>
    <row r="19922" spans="1:5" x14ac:dyDescent="0.25">
      <c r="A19922">
        <v>19921</v>
      </c>
      <c r="B19922">
        <v>8154233</v>
      </c>
      <c r="C19922" s="1" t="str">
        <f>HYPERLINK("http://stackoverflow.com/users/8154233", "John")</f>
        <v>John</v>
      </c>
      <c r="D19922" t="s">
        <v>7</v>
      </c>
      <c r="E19922">
        <v>1</v>
      </c>
    </row>
    <row r="19923" spans="1:5" x14ac:dyDescent="0.25">
      <c r="A19923">
        <v>19922</v>
      </c>
      <c r="B19923">
        <v>8157891</v>
      </c>
      <c r="C19923" s="1" t="str">
        <f>HYPERLINK("http://stackoverflow.com/users/8157891", "C. Xu")</f>
        <v>C. Xu</v>
      </c>
      <c r="D19923" t="s">
        <v>180</v>
      </c>
      <c r="E19923">
        <v>1</v>
      </c>
    </row>
    <row r="19924" spans="1:5" x14ac:dyDescent="0.25">
      <c r="A19924">
        <v>19923</v>
      </c>
      <c r="B19924">
        <v>8157903</v>
      </c>
      <c r="C19924" s="1" t="str">
        <f>HYPERLINK("http://stackoverflow.com/users/8157903", "centri")</f>
        <v>centri</v>
      </c>
      <c r="D19924" t="s">
        <v>91</v>
      </c>
      <c r="E19924">
        <v>1</v>
      </c>
    </row>
    <row r="19925" spans="1:5" x14ac:dyDescent="0.25">
      <c r="A19925">
        <v>19924</v>
      </c>
      <c r="B19925">
        <v>8157949</v>
      </c>
      <c r="C19925" s="1" t="str">
        <f>HYPERLINK("http://stackoverflow.com/users/8157949", "Danny Wu")</f>
        <v>Danny Wu</v>
      </c>
      <c r="D19925" t="s">
        <v>7</v>
      </c>
      <c r="E19925">
        <v>1</v>
      </c>
    </row>
    <row r="19926" spans="1:5" x14ac:dyDescent="0.25">
      <c r="A19926">
        <v>19925</v>
      </c>
      <c r="B19926">
        <v>8157968</v>
      </c>
      <c r="C19926" s="1" t="str">
        <f>HYPERLINK("http://stackoverflow.com/users/8157968", "Mumukshu D.C.")</f>
        <v>Mumukshu D.C.</v>
      </c>
      <c r="D19926" t="s">
        <v>455</v>
      </c>
      <c r="E19926">
        <v>1</v>
      </c>
    </row>
    <row r="19927" spans="1:5" x14ac:dyDescent="0.25">
      <c r="A19927">
        <v>19926</v>
      </c>
      <c r="B19927">
        <v>8158021</v>
      </c>
      <c r="C19927" s="1" t="str">
        <f>HYPERLINK("http://stackoverflow.com/users/8158021", "Dede")</f>
        <v>Dede</v>
      </c>
      <c r="D19927" t="s">
        <v>75</v>
      </c>
      <c r="E19927">
        <v>1</v>
      </c>
    </row>
    <row r="19928" spans="1:5" x14ac:dyDescent="0.25">
      <c r="A19928">
        <v>19927</v>
      </c>
      <c r="B19928">
        <v>2807019</v>
      </c>
      <c r="C19928" s="1" t="str">
        <f>HYPERLINK("http://stackoverflow.com/users/2807019", "zhangchao")</f>
        <v>zhangchao</v>
      </c>
      <c r="D19928" t="s">
        <v>37</v>
      </c>
      <c r="E19928">
        <v>1</v>
      </c>
    </row>
    <row r="19929" spans="1:5" x14ac:dyDescent="0.25">
      <c r="A19929">
        <v>19928</v>
      </c>
      <c r="B19929">
        <v>2807426</v>
      </c>
      <c r="C19929" s="1" t="str">
        <f>HYPERLINK("http://stackoverflow.com/users/2807426", "timdclee")</f>
        <v>timdclee</v>
      </c>
      <c r="D19929" t="s">
        <v>17</v>
      </c>
      <c r="E19929">
        <v>1</v>
      </c>
    </row>
    <row r="19930" spans="1:5" x14ac:dyDescent="0.25">
      <c r="A19930">
        <v>19929</v>
      </c>
      <c r="B19930">
        <v>9972956</v>
      </c>
      <c r="C19930" s="1" t="str">
        <f>HYPERLINK("http://stackoverflow.com/users/9972956", "Kristen Yang")</f>
        <v>Kristen Yang</v>
      </c>
      <c r="D19930" t="s">
        <v>43</v>
      </c>
      <c r="E19930">
        <v>1</v>
      </c>
    </row>
    <row r="19931" spans="1:5" x14ac:dyDescent="0.25">
      <c r="A19931">
        <v>19930</v>
      </c>
      <c r="B19931">
        <v>8158428</v>
      </c>
      <c r="C19931" s="1" t="str">
        <f>HYPERLINK("http://stackoverflow.com/users/8158428", "Jason Wang")</f>
        <v>Jason Wang</v>
      </c>
      <c r="D19931" t="s">
        <v>4</v>
      </c>
      <c r="E19931">
        <v>1</v>
      </c>
    </row>
    <row r="19932" spans="1:5" x14ac:dyDescent="0.25">
      <c r="A19932">
        <v>19931</v>
      </c>
      <c r="B19932">
        <v>8158635</v>
      </c>
      <c r="C19932" s="1" t="str">
        <f>HYPERLINK("http://stackoverflow.com/users/8158635", "Paul Gudu")</f>
        <v>Paul Gudu</v>
      </c>
      <c r="D19932" t="s">
        <v>52</v>
      </c>
      <c r="E19932">
        <v>1</v>
      </c>
    </row>
    <row r="19933" spans="1:5" x14ac:dyDescent="0.25">
      <c r="A19933">
        <v>19932</v>
      </c>
      <c r="B19933">
        <v>8158827</v>
      </c>
      <c r="C19933" s="1" t="str">
        <f>HYPERLINK("http://stackoverflow.com/users/8158827", "Mussay")</f>
        <v>Mussay</v>
      </c>
      <c r="D19933" t="s">
        <v>501</v>
      </c>
      <c r="E19933">
        <v>1</v>
      </c>
    </row>
    <row r="19934" spans="1:5" x14ac:dyDescent="0.25">
      <c r="A19934">
        <v>19933</v>
      </c>
      <c r="B19934">
        <v>6366383</v>
      </c>
      <c r="C19934" s="1" t="str">
        <f>HYPERLINK("http://stackoverflow.com/users/6366383", "Stephen")</f>
        <v>Stephen</v>
      </c>
      <c r="D19934" t="s">
        <v>4</v>
      </c>
      <c r="E19934">
        <v>1</v>
      </c>
    </row>
    <row r="19935" spans="1:5" x14ac:dyDescent="0.25">
      <c r="A19935">
        <v>19934</v>
      </c>
      <c r="B19935">
        <v>2810946</v>
      </c>
      <c r="C19935" s="1" t="str">
        <f>HYPERLINK("http://stackoverflow.com/users/2810946", "zuzu")</f>
        <v>zuzu</v>
      </c>
      <c r="D19935" t="s">
        <v>4</v>
      </c>
      <c r="E19935">
        <v>1</v>
      </c>
    </row>
    <row r="19936" spans="1:5" x14ac:dyDescent="0.25">
      <c r="A19936">
        <v>19935</v>
      </c>
      <c r="B19936">
        <v>2811408</v>
      </c>
      <c r="C19936" s="1" t="str">
        <f>HYPERLINK("http://stackoverflow.com/users/2811408", "ppzzss")</f>
        <v>ppzzss</v>
      </c>
      <c r="D19936" t="s">
        <v>5</v>
      </c>
      <c r="E19936">
        <v>1</v>
      </c>
    </row>
    <row r="19937" spans="1:5" x14ac:dyDescent="0.25">
      <c r="A19937">
        <v>19936</v>
      </c>
      <c r="B19937">
        <v>6369722</v>
      </c>
      <c r="C19937" s="1" t="str">
        <f>HYPERLINK("http://stackoverflow.com/users/6369722", "jack wang")</f>
        <v>jack wang</v>
      </c>
      <c r="D19937" t="s">
        <v>4</v>
      </c>
      <c r="E19937">
        <v>1</v>
      </c>
    </row>
    <row r="19938" spans="1:5" x14ac:dyDescent="0.25">
      <c r="A19938">
        <v>19937</v>
      </c>
      <c r="B19938">
        <v>6369811</v>
      </c>
      <c r="C19938" s="1" t="str">
        <f>HYPERLINK("http://stackoverflow.com/users/6369811", "bubble78225")</f>
        <v>bubble78225</v>
      </c>
      <c r="D19938" t="s">
        <v>5</v>
      </c>
      <c r="E19938">
        <v>1</v>
      </c>
    </row>
    <row r="19939" spans="1:5" x14ac:dyDescent="0.25">
      <c r="A19939">
        <v>19938</v>
      </c>
      <c r="B19939">
        <v>6370093</v>
      </c>
      <c r="C19939" s="1" t="str">
        <f>HYPERLINK("http://stackoverflow.com/users/6370093", "youxuanxue")</f>
        <v>youxuanxue</v>
      </c>
      <c r="D19939" t="s">
        <v>5</v>
      </c>
      <c r="E19939">
        <v>1</v>
      </c>
    </row>
    <row r="19940" spans="1:5" x14ac:dyDescent="0.25">
      <c r="A19940">
        <v>19939</v>
      </c>
      <c r="B19940">
        <v>6207175</v>
      </c>
      <c r="C19940" s="1" t="str">
        <f>HYPERLINK("http://stackoverflow.com/users/6207175", "cai")</f>
        <v>cai</v>
      </c>
      <c r="D19940" t="s">
        <v>25</v>
      </c>
      <c r="E19940">
        <v>1</v>
      </c>
    </row>
    <row r="19941" spans="1:5" x14ac:dyDescent="0.25">
      <c r="A19941">
        <v>19940</v>
      </c>
      <c r="B19941">
        <v>6207593</v>
      </c>
      <c r="C19941" s="1" t="str">
        <f>HYPERLINK("http://stackoverflow.com/users/6207593", "Jankin")</f>
        <v>Jankin</v>
      </c>
      <c r="D19941" t="s">
        <v>5</v>
      </c>
      <c r="E19941">
        <v>1</v>
      </c>
    </row>
    <row r="19942" spans="1:5" x14ac:dyDescent="0.25">
      <c r="A19942">
        <v>19941</v>
      </c>
      <c r="B19942">
        <v>6207702</v>
      </c>
      <c r="C19942" s="1" t="str">
        <f>HYPERLINK("http://stackoverflow.com/users/6207702", "chongfeng")</f>
        <v>chongfeng</v>
      </c>
      <c r="D19942" t="s">
        <v>4</v>
      </c>
      <c r="E19942">
        <v>1</v>
      </c>
    </row>
    <row r="19943" spans="1:5" x14ac:dyDescent="0.25">
      <c r="A19943">
        <v>19942</v>
      </c>
      <c r="B19943">
        <v>6209601</v>
      </c>
      <c r="C19943" s="1" t="str">
        <f>HYPERLINK("http://stackoverflow.com/users/6209601", "kaishen")</f>
        <v>kaishen</v>
      </c>
      <c r="D19943" t="s">
        <v>7</v>
      </c>
      <c r="E19943">
        <v>1</v>
      </c>
    </row>
    <row r="19944" spans="1:5" x14ac:dyDescent="0.25">
      <c r="A19944">
        <v>19943</v>
      </c>
      <c r="B19944">
        <v>9798359</v>
      </c>
      <c r="C19944" s="1" t="str">
        <f>HYPERLINK("http://stackoverflow.com/users/9798359", "Mars")</f>
        <v>Mars</v>
      </c>
      <c r="D19944" t="s">
        <v>4</v>
      </c>
      <c r="E19944">
        <v>1</v>
      </c>
    </row>
    <row r="19945" spans="1:5" x14ac:dyDescent="0.25">
      <c r="A19945">
        <v>19944</v>
      </c>
      <c r="B19945">
        <v>9798406</v>
      </c>
      <c r="C19945" s="1" t="str">
        <f>HYPERLINK("http://stackoverflow.com/users/9798406", "AlamPanah")</f>
        <v>AlamPanah</v>
      </c>
      <c r="D19945" t="s">
        <v>55</v>
      </c>
      <c r="E19945">
        <v>1</v>
      </c>
    </row>
    <row r="19946" spans="1:5" x14ac:dyDescent="0.25">
      <c r="A19946">
        <v>19945</v>
      </c>
      <c r="B19946">
        <v>6212460</v>
      </c>
      <c r="C19946" s="1" t="str">
        <f>HYPERLINK("http://stackoverflow.com/users/6212460", "chengxulvtu")</f>
        <v>chengxulvtu</v>
      </c>
      <c r="D19946" t="s">
        <v>79</v>
      </c>
      <c r="E19946">
        <v>1</v>
      </c>
    </row>
    <row r="19947" spans="1:5" x14ac:dyDescent="0.25">
      <c r="A19947">
        <v>19946</v>
      </c>
      <c r="B19947">
        <v>6213172</v>
      </c>
      <c r="C19947" s="1" t="str">
        <f>HYPERLINK("http://stackoverflow.com/users/6213172", "Deng Bin-Tao")</f>
        <v>Deng Bin-Tao</v>
      </c>
      <c r="D19947" t="s">
        <v>28</v>
      </c>
      <c r="E19947">
        <v>1</v>
      </c>
    </row>
    <row r="19948" spans="1:5" x14ac:dyDescent="0.25">
      <c r="A19948">
        <v>19947</v>
      </c>
      <c r="B19948">
        <v>9805022</v>
      </c>
      <c r="C19948" s="1" t="str">
        <f>HYPERLINK("http://stackoverflow.com/users/9805022", "zhiwei wang")</f>
        <v>zhiwei wang</v>
      </c>
      <c r="D19948" t="s">
        <v>7</v>
      </c>
      <c r="E19948">
        <v>1</v>
      </c>
    </row>
    <row r="19949" spans="1:5" x14ac:dyDescent="0.25">
      <c r="A19949">
        <v>19948</v>
      </c>
      <c r="B19949">
        <v>6215437</v>
      </c>
      <c r="C19949" s="1" t="str">
        <f>HYPERLINK("http://stackoverflow.com/users/6215437", "classTC")</f>
        <v>classTC</v>
      </c>
      <c r="D19949" t="s">
        <v>5</v>
      </c>
      <c r="E19949">
        <v>1</v>
      </c>
    </row>
    <row r="19950" spans="1:5" x14ac:dyDescent="0.25">
      <c r="A19950">
        <v>19949</v>
      </c>
      <c r="B19950">
        <v>2637801</v>
      </c>
      <c r="C19950" s="1" t="str">
        <f>HYPERLINK("http://stackoverflow.com/users/2637801", "zdhxiong")</f>
        <v>zdhxiong</v>
      </c>
      <c r="D19950" t="s">
        <v>16</v>
      </c>
      <c r="E19950">
        <v>1</v>
      </c>
    </row>
    <row r="19951" spans="1:5" x14ac:dyDescent="0.25">
      <c r="A19951">
        <v>19950</v>
      </c>
      <c r="B19951">
        <v>4490042</v>
      </c>
      <c r="C19951" s="1" t="str">
        <f>HYPERLINK("http://stackoverflow.com/users/4490042", "lxdlam")</f>
        <v>lxdlam</v>
      </c>
      <c r="D19951" t="s">
        <v>215</v>
      </c>
      <c r="E19951">
        <v>1</v>
      </c>
    </row>
    <row r="19952" spans="1:5" x14ac:dyDescent="0.25">
      <c r="A19952">
        <v>19951</v>
      </c>
      <c r="B19952">
        <v>2645694</v>
      </c>
      <c r="C19952" s="1" t="str">
        <f>HYPERLINK("http://stackoverflow.com/users/2645694", "williamhust")</f>
        <v>williamhust</v>
      </c>
      <c r="D19952" t="s">
        <v>4</v>
      </c>
      <c r="E19952">
        <v>1</v>
      </c>
    </row>
    <row r="19953" spans="1:5" x14ac:dyDescent="0.25">
      <c r="A19953">
        <v>19952</v>
      </c>
      <c r="B19953">
        <v>6215654</v>
      </c>
      <c r="C19953" s="1" t="str">
        <f>HYPERLINK("http://stackoverflow.com/users/6215654", "Yuqing Ji")</f>
        <v>Yuqing Ji</v>
      </c>
      <c r="D19953" t="s">
        <v>4</v>
      </c>
      <c r="E19953">
        <v>1</v>
      </c>
    </row>
    <row r="19954" spans="1:5" x14ac:dyDescent="0.25">
      <c r="A19954">
        <v>19953</v>
      </c>
      <c r="B19954">
        <v>6215871</v>
      </c>
      <c r="C19954" s="1" t="str">
        <f>HYPERLINK("http://stackoverflow.com/users/6215871", "mrjoechen")</f>
        <v>mrjoechen</v>
      </c>
      <c r="D19954" t="s">
        <v>7</v>
      </c>
      <c r="E19954">
        <v>1</v>
      </c>
    </row>
    <row r="19955" spans="1:5" x14ac:dyDescent="0.25">
      <c r="A19955">
        <v>19954</v>
      </c>
      <c r="B19955">
        <v>8000293</v>
      </c>
      <c r="C19955" s="1" t="str">
        <f>HYPERLINK("http://stackoverflow.com/users/8000293", "WildCrab")</f>
        <v>WildCrab</v>
      </c>
      <c r="D19955" t="s">
        <v>52</v>
      </c>
      <c r="E19955">
        <v>1</v>
      </c>
    </row>
    <row r="19956" spans="1:5" x14ac:dyDescent="0.25">
      <c r="A19956">
        <v>19955</v>
      </c>
      <c r="B19956">
        <v>8000330</v>
      </c>
      <c r="C19956" s="1" t="str">
        <f>HYPERLINK("http://stackoverflow.com/users/8000330", "yalong")</f>
        <v>yalong</v>
      </c>
      <c r="D19956" t="s">
        <v>5</v>
      </c>
      <c r="E19956">
        <v>1</v>
      </c>
    </row>
    <row r="19957" spans="1:5" x14ac:dyDescent="0.25">
      <c r="A19957">
        <v>19956</v>
      </c>
      <c r="B19957">
        <v>8000354</v>
      </c>
      <c r="C19957" s="1" t="str">
        <f>HYPERLINK("http://stackoverflow.com/users/8000354", "Eric Chen")</f>
        <v>Eric Chen</v>
      </c>
      <c r="D19957" t="s">
        <v>5</v>
      </c>
      <c r="E19957">
        <v>1</v>
      </c>
    </row>
    <row r="19958" spans="1:5" x14ac:dyDescent="0.25">
      <c r="A19958">
        <v>19957</v>
      </c>
      <c r="B19958">
        <v>8000525</v>
      </c>
      <c r="C19958" s="1" t="str">
        <f>HYPERLINK("http://stackoverflow.com/users/8000525", "Big Cash")</f>
        <v>Big Cash</v>
      </c>
      <c r="D19958" t="s">
        <v>5</v>
      </c>
      <c r="E19958">
        <v>1</v>
      </c>
    </row>
    <row r="19959" spans="1:5" x14ac:dyDescent="0.25">
      <c r="A19959">
        <v>19958</v>
      </c>
      <c r="B19959">
        <v>8000539</v>
      </c>
      <c r="C19959" s="1" t="str">
        <f>HYPERLINK("http://stackoverflow.com/users/8000539", "Lu Peter")</f>
        <v>Lu Peter</v>
      </c>
      <c r="D19959" t="s">
        <v>4</v>
      </c>
      <c r="E19959">
        <v>1</v>
      </c>
    </row>
    <row r="19960" spans="1:5" x14ac:dyDescent="0.25">
      <c r="A19960">
        <v>19959</v>
      </c>
      <c r="B19960">
        <v>8000674</v>
      </c>
      <c r="C19960" s="1" t="str">
        <f>HYPERLINK("http://stackoverflow.com/users/8000674", "吴亦歌")</f>
        <v>吴亦歌</v>
      </c>
      <c r="D19960" t="s">
        <v>154</v>
      </c>
      <c r="E19960">
        <v>1</v>
      </c>
    </row>
    <row r="19961" spans="1:5" x14ac:dyDescent="0.25">
      <c r="A19961">
        <v>19960</v>
      </c>
      <c r="B19961">
        <v>2646264</v>
      </c>
      <c r="C19961" s="1" t="str">
        <f>HYPERLINK("http://stackoverflow.com/users/2646264", "nicekwell")</f>
        <v>nicekwell</v>
      </c>
      <c r="D19961" t="s">
        <v>31</v>
      </c>
      <c r="E19961">
        <v>1</v>
      </c>
    </row>
    <row r="19962" spans="1:5" x14ac:dyDescent="0.25">
      <c r="A19962">
        <v>19961</v>
      </c>
      <c r="B19962">
        <v>9809512</v>
      </c>
      <c r="C19962" s="1" t="str">
        <f>HYPERLINK("http://stackoverflow.com/users/9809512", "Sisi Epubor")</f>
        <v>Sisi Epubor</v>
      </c>
      <c r="D19962" t="s">
        <v>52</v>
      </c>
      <c r="E19962">
        <v>1</v>
      </c>
    </row>
    <row r="19963" spans="1:5" x14ac:dyDescent="0.25">
      <c r="A19963">
        <v>19962</v>
      </c>
      <c r="B19963">
        <v>9809704</v>
      </c>
      <c r="C19963" s="1" t="str">
        <f>HYPERLINK("http://stackoverflow.com/users/9809704", "LeiLei Yu")</f>
        <v>LeiLei Yu</v>
      </c>
      <c r="D19963" t="s">
        <v>4</v>
      </c>
      <c r="E19963">
        <v>1</v>
      </c>
    </row>
    <row r="19964" spans="1:5" x14ac:dyDescent="0.25">
      <c r="A19964">
        <v>19963</v>
      </c>
      <c r="B19964">
        <v>2649652</v>
      </c>
      <c r="C19964" s="1" t="str">
        <f>HYPERLINK("http://stackoverflow.com/users/2649652", "Go-Faraman")</f>
        <v>Go-Faraman</v>
      </c>
      <c r="D19964" t="s">
        <v>22</v>
      </c>
      <c r="E19964">
        <v>1</v>
      </c>
    </row>
    <row r="19965" spans="1:5" x14ac:dyDescent="0.25">
      <c r="A19965">
        <v>19964</v>
      </c>
      <c r="B19965">
        <v>2650043</v>
      </c>
      <c r="C19965" s="1" t="str">
        <f>HYPERLINK("http://stackoverflow.com/users/2650043", "stormzhang")</f>
        <v>stormzhang</v>
      </c>
      <c r="D19965" t="s">
        <v>4</v>
      </c>
      <c r="E19965">
        <v>1</v>
      </c>
    </row>
    <row r="19966" spans="1:5" x14ac:dyDescent="0.25">
      <c r="A19966">
        <v>19965</v>
      </c>
      <c r="B19966">
        <v>8011946</v>
      </c>
      <c r="C19966" s="1" t="str">
        <f>HYPERLINK("http://stackoverflow.com/users/8011946", "hjw")</f>
        <v>hjw</v>
      </c>
      <c r="D19966" t="s">
        <v>19</v>
      </c>
      <c r="E19966">
        <v>1</v>
      </c>
    </row>
    <row r="19967" spans="1:5" x14ac:dyDescent="0.25">
      <c r="A19967">
        <v>19966</v>
      </c>
      <c r="B19967">
        <v>8011996</v>
      </c>
      <c r="C19967" s="1" t="str">
        <f>HYPERLINK("http://stackoverflow.com/users/8011996", "changrui0608")</f>
        <v>changrui0608</v>
      </c>
      <c r="D19967" t="s">
        <v>5</v>
      </c>
      <c r="E19967">
        <v>1</v>
      </c>
    </row>
    <row r="19968" spans="1:5" x14ac:dyDescent="0.25">
      <c r="A19968">
        <v>19967</v>
      </c>
      <c r="B19968">
        <v>6231377</v>
      </c>
      <c r="C19968" s="1" t="str">
        <f>HYPERLINK("http://stackoverflow.com/users/6231377", "Toni Chan")</f>
        <v>Toni Chan</v>
      </c>
      <c r="D19968" t="s">
        <v>988</v>
      </c>
      <c r="E19968">
        <v>1</v>
      </c>
    </row>
    <row r="19969" spans="1:5" x14ac:dyDescent="0.25">
      <c r="A19969">
        <v>19968</v>
      </c>
      <c r="B19969">
        <v>420937</v>
      </c>
      <c r="C19969" s="1" t="str">
        <f>HYPERLINK("http://stackoverflow.com/users/420937", "Scott")</f>
        <v>Scott</v>
      </c>
      <c r="D19969" t="s">
        <v>5</v>
      </c>
      <c r="E19969">
        <v>1</v>
      </c>
    </row>
    <row r="19970" spans="1:5" x14ac:dyDescent="0.25">
      <c r="A19970">
        <v>19969</v>
      </c>
      <c r="B19970">
        <v>427727</v>
      </c>
      <c r="C19970" s="1" t="str">
        <f>HYPERLINK("http://stackoverflow.com/users/427727", "flywhale")</f>
        <v>flywhale</v>
      </c>
      <c r="D19970" t="s">
        <v>5</v>
      </c>
      <c r="E19970">
        <v>1</v>
      </c>
    </row>
    <row r="19971" spans="1:5" x14ac:dyDescent="0.25">
      <c r="A19971">
        <v>19970</v>
      </c>
      <c r="B19971">
        <v>9828022</v>
      </c>
      <c r="C19971" s="1" t="str">
        <f>HYPERLINK("http://stackoverflow.com/users/9828022", "wesley")</f>
        <v>wesley</v>
      </c>
      <c r="D19971" t="s">
        <v>4</v>
      </c>
      <c r="E19971">
        <v>1</v>
      </c>
    </row>
    <row r="19972" spans="1:5" x14ac:dyDescent="0.25">
      <c r="A19972">
        <v>19971</v>
      </c>
      <c r="B19972">
        <v>427420</v>
      </c>
      <c r="C19972" s="1" t="str">
        <f>HYPERLINK("http://stackoverflow.com/users/427420", "dzhou")</f>
        <v>dzhou</v>
      </c>
      <c r="D19972" t="s">
        <v>5</v>
      </c>
      <c r="E19972">
        <v>1</v>
      </c>
    </row>
    <row r="19973" spans="1:5" x14ac:dyDescent="0.25">
      <c r="A19973">
        <v>19972</v>
      </c>
      <c r="B19973">
        <v>9854428</v>
      </c>
      <c r="C19973" s="1" t="str">
        <f>HYPERLINK("http://stackoverflow.com/users/9854428", "高兴地小摩托")</f>
        <v>高兴地小摩托</v>
      </c>
      <c r="D19973" t="s">
        <v>7</v>
      </c>
      <c r="E19973">
        <v>1</v>
      </c>
    </row>
    <row r="19974" spans="1:5" x14ac:dyDescent="0.25">
      <c r="A19974">
        <v>19973</v>
      </c>
      <c r="B19974">
        <v>8041064</v>
      </c>
      <c r="C19974" s="1" t="str">
        <f>HYPERLINK("http://stackoverflow.com/users/8041064", "moonwalk")</f>
        <v>moonwalk</v>
      </c>
      <c r="D19974" t="s">
        <v>16</v>
      </c>
      <c r="E19974">
        <v>1</v>
      </c>
    </row>
    <row r="19975" spans="1:5" x14ac:dyDescent="0.25">
      <c r="A19975">
        <v>19974</v>
      </c>
      <c r="B19975">
        <v>4531454</v>
      </c>
      <c r="C19975" s="1" t="str">
        <f>HYPERLINK("http://stackoverflow.com/users/4531454", "Zahi Wei")</f>
        <v>Zahi Wei</v>
      </c>
      <c r="D19975" t="s">
        <v>4</v>
      </c>
      <c r="E19975">
        <v>1</v>
      </c>
    </row>
    <row r="19976" spans="1:5" x14ac:dyDescent="0.25">
      <c r="A19976">
        <v>19975</v>
      </c>
      <c r="B19976">
        <v>2693993</v>
      </c>
      <c r="C19976" s="1" t="str">
        <f>HYPERLINK("http://stackoverflow.com/users/2693993", "yuanwei")</f>
        <v>yuanwei</v>
      </c>
      <c r="D19976" t="s">
        <v>27</v>
      </c>
      <c r="E19976">
        <v>1</v>
      </c>
    </row>
    <row r="19977" spans="1:5" x14ac:dyDescent="0.25">
      <c r="A19977">
        <v>19976</v>
      </c>
      <c r="B19977">
        <v>2694082</v>
      </c>
      <c r="C19977" s="1" t="str">
        <f>HYPERLINK("http://stackoverflow.com/users/2694082", "Jayin")</f>
        <v>Jayin</v>
      </c>
      <c r="D19977" t="s">
        <v>293</v>
      </c>
      <c r="E19977">
        <v>1</v>
      </c>
    </row>
    <row r="19978" spans="1:5" x14ac:dyDescent="0.25">
      <c r="A19978">
        <v>19977</v>
      </c>
      <c r="B19978">
        <v>6262023</v>
      </c>
      <c r="C19978" s="1" t="str">
        <f>HYPERLINK("http://stackoverflow.com/users/6262023", "Owen Ye")</f>
        <v>Owen Ye</v>
      </c>
      <c r="D19978" t="s">
        <v>5</v>
      </c>
      <c r="E19978">
        <v>1</v>
      </c>
    </row>
    <row r="19979" spans="1:5" x14ac:dyDescent="0.25">
      <c r="A19979">
        <v>19978</v>
      </c>
      <c r="B19979">
        <v>8044439</v>
      </c>
      <c r="C19979" s="1" t="str">
        <f>HYPERLINK("http://stackoverflow.com/users/8044439", "Burgess")</f>
        <v>Burgess</v>
      </c>
      <c r="D19979" t="s">
        <v>131</v>
      </c>
      <c r="E19979">
        <v>1</v>
      </c>
    </row>
    <row r="19980" spans="1:5" x14ac:dyDescent="0.25">
      <c r="A19980">
        <v>19979</v>
      </c>
      <c r="B19980">
        <v>9857562</v>
      </c>
      <c r="C19980" s="1" t="str">
        <f>HYPERLINK("http://stackoverflow.com/users/9857562", "cao jian")</f>
        <v>cao jian</v>
      </c>
      <c r="D19980" t="s">
        <v>4</v>
      </c>
      <c r="E19980">
        <v>1</v>
      </c>
    </row>
    <row r="19981" spans="1:5" x14ac:dyDescent="0.25">
      <c r="A19981">
        <v>19980</v>
      </c>
      <c r="B19981">
        <v>9857769</v>
      </c>
      <c r="C19981" s="1" t="str">
        <f>HYPERLINK("http://stackoverflow.com/users/9857769", "Luminosa")</f>
        <v>Luminosa</v>
      </c>
      <c r="D19981" t="s">
        <v>5</v>
      </c>
      <c r="E19981">
        <v>1</v>
      </c>
    </row>
    <row r="19982" spans="1:5" x14ac:dyDescent="0.25">
      <c r="A19982">
        <v>19981</v>
      </c>
      <c r="B19982">
        <v>2693857</v>
      </c>
      <c r="C19982" s="1" t="str">
        <f>HYPERLINK("http://stackoverflow.com/users/2693857", "Mickey")</f>
        <v>Mickey</v>
      </c>
      <c r="D19982" t="s">
        <v>185</v>
      </c>
      <c r="E19982">
        <v>1</v>
      </c>
    </row>
    <row r="19983" spans="1:5" x14ac:dyDescent="0.25">
      <c r="A19983">
        <v>19982</v>
      </c>
      <c r="B19983">
        <v>6254526</v>
      </c>
      <c r="C19983" s="1" t="str">
        <f>HYPERLINK("http://stackoverflow.com/users/6254526", "Yuanjie Shi")</f>
        <v>Yuanjie Shi</v>
      </c>
      <c r="D19983" t="s">
        <v>91</v>
      </c>
      <c r="E19983">
        <v>1</v>
      </c>
    </row>
    <row r="19984" spans="1:5" x14ac:dyDescent="0.25">
      <c r="A19984">
        <v>19983</v>
      </c>
      <c r="B19984">
        <v>8040566</v>
      </c>
      <c r="C19984" s="1" t="str">
        <f>HYPERLINK("http://stackoverflow.com/users/8040566", "Alexander Ceasar")</f>
        <v>Alexander Ceasar</v>
      </c>
      <c r="D19984" t="s">
        <v>28</v>
      </c>
      <c r="E19984">
        <v>1</v>
      </c>
    </row>
    <row r="19985" spans="1:5" x14ac:dyDescent="0.25">
      <c r="A19985">
        <v>19984</v>
      </c>
      <c r="B19985">
        <v>6254714</v>
      </c>
      <c r="C19985" s="1" t="str">
        <f>HYPERLINK("http://stackoverflow.com/users/6254714", "Phil Zhao")</f>
        <v>Phil Zhao</v>
      </c>
      <c r="D19985" t="s">
        <v>4</v>
      </c>
      <c r="E19985">
        <v>1</v>
      </c>
    </row>
    <row r="19986" spans="1:5" x14ac:dyDescent="0.25">
      <c r="A19986">
        <v>19985</v>
      </c>
      <c r="B19986">
        <v>6254727</v>
      </c>
      <c r="C19986" s="1" t="str">
        <f>HYPERLINK("http://stackoverflow.com/users/6254727", "xianlihua")</f>
        <v>xianlihua</v>
      </c>
      <c r="D19986" t="s">
        <v>5</v>
      </c>
      <c r="E19986">
        <v>1</v>
      </c>
    </row>
    <row r="19987" spans="1:5" x14ac:dyDescent="0.25">
      <c r="A19987">
        <v>19986</v>
      </c>
      <c r="B19987">
        <v>6254769</v>
      </c>
      <c r="C19987" s="1" t="str">
        <f>HYPERLINK("http://stackoverflow.com/users/6254769", "Xuelin Sun")</f>
        <v>Xuelin Sun</v>
      </c>
      <c r="D19987" t="s">
        <v>4</v>
      </c>
      <c r="E19987">
        <v>1</v>
      </c>
    </row>
    <row r="19988" spans="1:5" x14ac:dyDescent="0.25">
      <c r="A19988">
        <v>19987</v>
      </c>
      <c r="B19988">
        <v>4527074</v>
      </c>
      <c r="C19988" s="1" t="str">
        <f>HYPERLINK("http://stackoverflow.com/users/4527074", "heumchul")</f>
        <v>heumchul</v>
      </c>
      <c r="D19988" t="s">
        <v>340</v>
      </c>
      <c r="E19988">
        <v>1</v>
      </c>
    </row>
    <row r="19989" spans="1:5" x14ac:dyDescent="0.25">
      <c r="A19989">
        <v>19988</v>
      </c>
      <c r="B19989">
        <v>4527165</v>
      </c>
      <c r="C19989" s="1" t="str">
        <f>HYPERLINK("http://stackoverflow.com/users/4527165", "antony_wong")</f>
        <v>antony_wong</v>
      </c>
      <c r="D19989" t="s">
        <v>3</v>
      </c>
      <c r="E19989">
        <v>1</v>
      </c>
    </row>
    <row r="19990" spans="1:5" x14ac:dyDescent="0.25">
      <c r="A19990">
        <v>19989</v>
      </c>
      <c r="B19990">
        <v>6254181</v>
      </c>
      <c r="C19990" s="1" t="str">
        <f>HYPERLINK("http://stackoverflow.com/users/6254181", "Tao  Dong")</f>
        <v>Tao  Dong</v>
      </c>
      <c r="D19990" t="s">
        <v>15</v>
      </c>
      <c r="E19990">
        <v>1</v>
      </c>
    </row>
    <row r="19991" spans="1:5" x14ac:dyDescent="0.25">
      <c r="A19991">
        <v>19990</v>
      </c>
      <c r="B19991">
        <v>6254388</v>
      </c>
      <c r="C19991" s="1" t="str">
        <f>HYPERLINK("http://stackoverflow.com/users/6254388", "chizhu")</f>
        <v>chizhu</v>
      </c>
      <c r="D19991" t="s">
        <v>62</v>
      </c>
      <c r="E19991">
        <v>1</v>
      </c>
    </row>
    <row r="19992" spans="1:5" x14ac:dyDescent="0.25">
      <c r="A19992">
        <v>19991</v>
      </c>
      <c r="B19992">
        <v>2680819</v>
      </c>
      <c r="C19992" s="1" t="str">
        <f>HYPERLINK("http://stackoverflow.com/users/2680819", "AugLost")</f>
        <v>AugLost</v>
      </c>
      <c r="D19992" t="s">
        <v>4</v>
      </c>
      <c r="E19992">
        <v>1</v>
      </c>
    </row>
    <row r="19993" spans="1:5" x14ac:dyDescent="0.25">
      <c r="A19993">
        <v>19992</v>
      </c>
      <c r="B19993">
        <v>455049</v>
      </c>
      <c r="C19993" s="1" t="str">
        <f>HYPERLINK("http://stackoverflow.com/users/455049", "escray")</f>
        <v>escray</v>
      </c>
      <c r="D19993" t="s">
        <v>5</v>
      </c>
      <c r="E19993">
        <v>1</v>
      </c>
    </row>
    <row r="19994" spans="1:5" x14ac:dyDescent="0.25">
      <c r="A19994">
        <v>19993</v>
      </c>
      <c r="B19994">
        <v>4523438</v>
      </c>
      <c r="C19994" s="1" t="str">
        <f>HYPERLINK("http://stackoverflow.com/users/4523438", "super5723")</f>
        <v>super5723</v>
      </c>
      <c r="D19994" t="s">
        <v>4</v>
      </c>
      <c r="E19994">
        <v>1</v>
      </c>
    </row>
    <row r="19995" spans="1:5" x14ac:dyDescent="0.25">
      <c r="A19995">
        <v>19994</v>
      </c>
      <c r="B19995">
        <v>4523491</v>
      </c>
      <c r="C19995" s="1" t="str">
        <f>HYPERLINK("http://stackoverflow.com/users/4523491", "BrianWu")</f>
        <v>BrianWu</v>
      </c>
      <c r="D19995" t="s">
        <v>5</v>
      </c>
      <c r="E19995">
        <v>1</v>
      </c>
    </row>
    <row r="19996" spans="1:5" x14ac:dyDescent="0.25">
      <c r="A19996">
        <v>19995</v>
      </c>
      <c r="B19996">
        <v>2683042</v>
      </c>
      <c r="C19996" s="1" t="str">
        <f>HYPERLINK("http://stackoverflow.com/users/2683042", "Jeremy")</f>
        <v>Jeremy</v>
      </c>
      <c r="D19996" t="s">
        <v>4</v>
      </c>
      <c r="E19996">
        <v>1</v>
      </c>
    </row>
    <row r="19997" spans="1:5" x14ac:dyDescent="0.25">
      <c r="A19997">
        <v>19996</v>
      </c>
      <c r="B19997">
        <v>8033765</v>
      </c>
      <c r="C19997" s="1" t="str">
        <f>HYPERLINK("http://stackoverflow.com/users/8033765", "JeffZhang2017")</f>
        <v>JeffZhang2017</v>
      </c>
      <c r="D19997" t="s">
        <v>42</v>
      </c>
      <c r="E19997">
        <v>1</v>
      </c>
    </row>
    <row r="19998" spans="1:5" x14ac:dyDescent="0.25">
      <c r="A19998">
        <v>19997</v>
      </c>
      <c r="B19998">
        <v>2666988</v>
      </c>
      <c r="C19998" s="1" t="str">
        <f>HYPERLINK("http://stackoverflow.com/users/2666988", "wangxm")</f>
        <v>wangxm</v>
      </c>
      <c r="D19998" t="s">
        <v>4</v>
      </c>
      <c r="E19998">
        <v>1</v>
      </c>
    </row>
    <row r="19999" spans="1:5" x14ac:dyDescent="0.25">
      <c r="A19999">
        <v>19998</v>
      </c>
      <c r="B19999">
        <v>2667128</v>
      </c>
      <c r="C19999" s="1" t="str">
        <f>HYPERLINK("http://stackoverflow.com/users/2667128", "Leo")</f>
        <v>Leo</v>
      </c>
      <c r="D19999" t="s">
        <v>37</v>
      </c>
      <c r="E19999">
        <v>1</v>
      </c>
    </row>
    <row r="20000" spans="1:5" x14ac:dyDescent="0.25">
      <c r="A20000">
        <v>19999</v>
      </c>
      <c r="B20000">
        <v>429143</v>
      </c>
      <c r="C20000" s="1" t="str">
        <f>HYPERLINK("http://stackoverflow.com/users/429143", "Wousser")</f>
        <v>Wousser</v>
      </c>
      <c r="D20000" t="s">
        <v>5</v>
      </c>
      <c r="E20000">
        <v>1</v>
      </c>
    </row>
    <row r="20001" spans="1:5" x14ac:dyDescent="0.25">
      <c r="A20001">
        <v>20000</v>
      </c>
      <c r="B20001">
        <v>2666435</v>
      </c>
      <c r="C20001" s="1" t="str">
        <f>HYPERLINK("http://stackoverflow.com/users/2666435", "aromazyl")</f>
        <v>aromazyl</v>
      </c>
      <c r="D20001" t="s">
        <v>5</v>
      </c>
      <c r="E20001">
        <v>1</v>
      </c>
    </row>
    <row r="20002" spans="1:5" x14ac:dyDescent="0.25">
      <c r="A20002">
        <v>20001</v>
      </c>
      <c r="B20002">
        <v>2666489</v>
      </c>
      <c r="C20002" s="1" t="str">
        <f>HYPERLINK("http://stackoverflow.com/users/2666489", "hanqw")</f>
        <v>hanqw</v>
      </c>
      <c r="D20002" t="s">
        <v>5</v>
      </c>
      <c r="E20002">
        <v>1</v>
      </c>
    </row>
    <row r="20003" spans="1:5" x14ac:dyDescent="0.25">
      <c r="A20003">
        <v>20002</v>
      </c>
      <c r="B20003">
        <v>6235252</v>
      </c>
      <c r="C20003" s="1" t="str">
        <f>HYPERLINK("http://stackoverflow.com/users/6235252", "Alexander_Wu")</f>
        <v>Alexander_Wu</v>
      </c>
      <c r="D20003" t="s">
        <v>15</v>
      </c>
      <c r="E20003">
        <v>1</v>
      </c>
    </row>
    <row r="20004" spans="1:5" x14ac:dyDescent="0.25">
      <c r="A20004">
        <v>20003</v>
      </c>
      <c r="B20004">
        <v>6235592</v>
      </c>
      <c r="C20004" s="1" t="str">
        <f>HYPERLINK("http://stackoverflow.com/users/6235592", "sandman wu")</f>
        <v>sandman wu</v>
      </c>
      <c r="D20004" t="s">
        <v>4</v>
      </c>
      <c r="E20004">
        <v>1</v>
      </c>
    </row>
    <row r="20005" spans="1:5" x14ac:dyDescent="0.25">
      <c r="A20005">
        <v>20004</v>
      </c>
      <c r="B20005">
        <v>2670853</v>
      </c>
      <c r="C20005" s="1" t="str">
        <f>HYPERLINK("http://stackoverflow.com/users/2670853", "ming")</f>
        <v>ming</v>
      </c>
      <c r="D20005" t="s">
        <v>5</v>
      </c>
      <c r="E20005">
        <v>1</v>
      </c>
    </row>
    <row r="20006" spans="1:5" x14ac:dyDescent="0.25">
      <c r="A20006">
        <v>20005</v>
      </c>
      <c r="B20006">
        <v>4511267</v>
      </c>
      <c r="C20006" s="1" t="str">
        <f>HYPERLINK("http://stackoverflow.com/users/4511267", "Huaqian Lee")</f>
        <v>Huaqian Lee</v>
      </c>
      <c r="D20006" t="s">
        <v>17</v>
      </c>
      <c r="E20006">
        <v>1</v>
      </c>
    </row>
    <row r="20007" spans="1:5" x14ac:dyDescent="0.25">
      <c r="A20007">
        <v>20006</v>
      </c>
      <c r="B20007">
        <v>4511900</v>
      </c>
      <c r="C20007" s="1" t="str">
        <f>HYPERLINK("http://stackoverflow.com/users/4511900", "viosey")</f>
        <v>viosey</v>
      </c>
      <c r="D20007" t="s">
        <v>38</v>
      </c>
      <c r="E20007">
        <v>1</v>
      </c>
    </row>
    <row r="20008" spans="1:5" x14ac:dyDescent="0.25">
      <c r="A20008">
        <v>20007</v>
      </c>
      <c r="B20008">
        <v>9832155</v>
      </c>
      <c r="C20008" s="1" t="str">
        <f>HYPERLINK("http://stackoverflow.com/users/9832155", "shen li")</f>
        <v>shen li</v>
      </c>
      <c r="D20008" t="s">
        <v>415</v>
      </c>
      <c r="E20008">
        <v>1</v>
      </c>
    </row>
    <row r="20009" spans="1:5" x14ac:dyDescent="0.25">
      <c r="A20009">
        <v>20008</v>
      </c>
      <c r="B20009">
        <v>9832373</v>
      </c>
      <c r="C20009" s="1" t="str">
        <f>HYPERLINK("http://stackoverflow.com/users/9832373", "郭忠浩")</f>
        <v>郭忠浩</v>
      </c>
      <c r="D20009" t="s">
        <v>13</v>
      </c>
      <c r="E20009">
        <v>1</v>
      </c>
    </row>
    <row r="20010" spans="1:5" x14ac:dyDescent="0.25">
      <c r="A20010">
        <v>20009</v>
      </c>
      <c r="B20010">
        <v>9832389</v>
      </c>
      <c r="C20010" s="1" t="str">
        <f>HYPERLINK("http://stackoverflow.com/users/9832389", "zzzz")</f>
        <v>zzzz</v>
      </c>
      <c r="D20010" t="s">
        <v>1022</v>
      </c>
      <c r="E20010">
        <v>1</v>
      </c>
    </row>
    <row r="20011" spans="1:5" x14ac:dyDescent="0.25">
      <c r="A20011">
        <v>20010</v>
      </c>
      <c r="B20011">
        <v>6238848</v>
      </c>
      <c r="C20011" s="1" t="str">
        <f>HYPERLINK("http://stackoverflow.com/users/6238848", "Zhous")</f>
        <v>Zhous</v>
      </c>
      <c r="D20011" t="s">
        <v>184</v>
      </c>
      <c r="E20011">
        <v>1</v>
      </c>
    </row>
    <row r="20012" spans="1:5" x14ac:dyDescent="0.25">
      <c r="A20012">
        <v>20011</v>
      </c>
      <c r="B20012">
        <v>8023655</v>
      </c>
      <c r="C20012" s="1" t="str">
        <f>HYPERLINK("http://stackoverflow.com/users/8023655", "Memphis Wang")</f>
        <v>Memphis Wang</v>
      </c>
      <c r="D20012" t="s">
        <v>4</v>
      </c>
      <c r="E20012">
        <v>1</v>
      </c>
    </row>
    <row r="20013" spans="1:5" x14ac:dyDescent="0.25">
      <c r="A20013">
        <v>20012</v>
      </c>
      <c r="B20013">
        <v>6244948</v>
      </c>
      <c r="C20013" s="1" t="str">
        <f>HYPERLINK("http://stackoverflow.com/users/6244948", "zhichaolu")</f>
        <v>zhichaolu</v>
      </c>
      <c r="D20013" t="s">
        <v>12</v>
      </c>
      <c r="E20013">
        <v>1</v>
      </c>
    </row>
    <row r="20014" spans="1:5" x14ac:dyDescent="0.25">
      <c r="A20014">
        <v>20013</v>
      </c>
      <c r="B20014">
        <v>6245020</v>
      </c>
      <c r="C20014" s="1" t="str">
        <f>HYPERLINK("http://stackoverflow.com/users/6245020", "杨培文")</f>
        <v>杨培文</v>
      </c>
      <c r="D20014" t="s">
        <v>5</v>
      </c>
      <c r="E20014">
        <v>1</v>
      </c>
    </row>
    <row r="20015" spans="1:5" x14ac:dyDescent="0.25">
      <c r="A20015">
        <v>20014</v>
      </c>
      <c r="B20015">
        <v>2676886</v>
      </c>
      <c r="C20015" s="1" t="str">
        <f>HYPERLINK("http://stackoverflow.com/users/2676886", "Jimersy Lee")</f>
        <v>Jimersy Lee</v>
      </c>
      <c r="D20015" t="s">
        <v>12</v>
      </c>
      <c r="E20015">
        <v>1</v>
      </c>
    </row>
    <row r="20016" spans="1:5" x14ac:dyDescent="0.25">
      <c r="A20016">
        <v>20015</v>
      </c>
      <c r="B20016">
        <v>2677110</v>
      </c>
      <c r="C20016" s="1" t="str">
        <f>HYPERLINK("http://stackoverflow.com/users/2677110", "xavier_wu")</f>
        <v>xavier_wu</v>
      </c>
      <c r="D20016" t="s">
        <v>59</v>
      </c>
      <c r="E20016">
        <v>1</v>
      </c>
    </row>
    <row r="20017" spans="1:5" x14ac:dyDescent="0.25">
      <c r="A20017">
        <v>20016</v>
      </c>
      <c r="B20017">
        <v>2677175</v>
      </c>
      <c r="C20017" s="1" t="str">
        <f>HYPERLINK("http://stackoverflow.com/users/2677175", "zhujun")</f>
        <v>zhujun</v>
      </c>
      <c r="D20017" t="s">
        <v>5</v>
      </c>
      <c r="E20017">
        <v>1</v>
      </c>
    </row>
    <row r="20018" spans="1:5" x14ac:dyDescent="0.25">
      <c r="A20018">
        <v>20017</v>
      </c>
      <c r="B20018">
        <v>2677207</v>
      </c>
      <c r="C20018" s="1" t="str">
        <f>HYPERLINK("http://stackoverflow.com/users/2677207", "David Jia")</f>
        <v>David Jia</v>
      </c>
      <c r="D20018" t="s">
        <v>5</v>
      </c>
      <c r="E20018">
        <v>1</v>
      </c>
    </row>
    <row r="20019" spans="1:5" x14ac:dyDescent="0.25">
      <c r="A20019">
        <v>20018</v>
      </c>
      <c r="B20019">
        <v>9838520</v>
      </c>
      <c r="C20019" s="1" t="str">
        <f>HYPERLINK("http://stackoverflow.com/users/9838520", "Jin Xin")</f>
        <v>Jin Xin</v>
      </c>
      <c r="D20019" t="s">
        <v>74</v>
      </c>
      <c r="E20019">
        <v>1</v>
      </c>
    </row>
    <row r="20020" spans="1:5" x14ac:dyDescent="0.25">
      <c r="A20020">
        <v>20019</v>
      </c>
      <c r="B20020">
        <v>2674432</v>
      </c>
      <c r="C20020" s="1" t="str">
        <f>HYPERLINK("http://stackoverflow.com/users/2674432", "Fred")</f>
        <v>Fred</v>
      </c>
      <c r="D20020" t="s">
        <v>4</v>
      </c>
      <c r="E20020">
        <v>1</v>
      </c>
    </row>
    <row r="20021" spans="1:5" x14ac:dyDescent="0.25">
      <c r="A20021">
        <v>20020</v>
      </c>
      <c r="B20021">
        <v>9737143</v>
      </c>
      <c r="C20021" s="1" t="str">
        <f>HYPERLINK("http://stackoverflow.com/users/9737143", "Graz Gunn H.")</f>
        <v>Graz Gunn H.</v>
      </c>
      <c r="D20021" t="s">
        <v>4</v>
      </c>
      <c r="E20021">
        <v>1</v>
      </c>
    </row>
    <row r="20022" spans="1:5" x14ac:dyDescent="0.25">
      <c r="A20022">
        <v>20021</v>
      </c>
      <c r="B20022">
        <v>285318</v>
      </c>
      <c r="C20022" s="1" t="str">
        <f>HYPERLINK("http://stackoverflow.com/users/285318", "sharper")</f>
        <v>sharper</v>
      </c>
      <c r="D20022" t="s">
        <v>37</v>
      </c>
      <c r="E20022">
        <v>1</v>
      </c>
    </row>
    <row r="20023" spans="1:5" x14ac:dyDescent="0.25">
      <c r="A20023">
        <v>20022</v>
      </c>
      <c r="B20023">
        <v>6155841</v>
      </c>
      <c r="C20023" s="1" t="str">
        <f>HYPERLINK("http://stackoverflow.com/users/6155841", "Jerry Lau")</f>
        <v>Jerry Lau</v>
      </c>
      <c r="D20023" t="s">
        <v>131</v>
      </c>
      <c r="E20023">
        <v>1</v>
      </c>
    </row>
    <row r="20024" spans="1:5" x14ac:dyDescent="0.25">
      <c r="A20024">
        <v>20023</v>
      </c>
      <c r="B20024">
        <v>4427826</v>
      </c>
      <c r="C20024" s="1" t="str">
        <f>HYPERLINK("http://stackoverflow.com/users/4427826", "Simon")</f>
        <v>Simon</v>
      </c>
      <c r="D20024" t="s">
        <v>4</v>
      </c>
      <c r="E20024">
        <v>1</v>
      </c>
    </row>
    <row r="20025" spans="1:5" x14ac:dyDescent="0.25">
      <c r="A20025">
        <v>20024</v>
      </c>
      <c r="B20025">
        <v>4427940</v>
      </c>
      <c r="C20025" s="1" t="str">
        <f>HYPERLINK("http://stackoverflow.com/users/4427940", "Yang Zhang")</f>
        <v>Yang Zhang</v>
      </c>
      <c r="D20025" t="s">
        <v>4</v>
      </c>
      <c r="E20025">
        <v>1</v>
      </c>
    </row>
    <row r="20026" spans="1:5" x14ac:dyDescent="0.25">
      <c r="A20026">
        <v>20025</v>
      </c>
      <c r="B20026">
        <v>4428170</v>
      </c>
      <c r="C20026" s="1" t="str">
        <f>HYPERLINK("http://stackoverflow.com/users/4428170", "whisperaven")</f>
        <v>whisperaven</v>
      </c>
      <c r="D20026" t="s">
        <v>5</v>
      </c>
      <c r="E20026">
        <v>1</v>
      </c>
    </row>
    <row r="20027" spans="1:5" x14ac:dyDescent="0.25">
      <c r="A20027">
        <v>20026</v>
      </c>
      <c r="B20027">
        <v>7926634</v>
      </c>
      <c r="C20027" s="1" t="str">
        <f>HYPERLINK("http://stackoverflow.com/users/7926634", "Zhenghao Yin")</f>
        <v>Zhenghao Yin</v>
      </c>
      <c r="D20027" t="s">
        <v>55</v>
      </c>
      <c r="E20027">
        <v>1</v>
      </c>
    </row>
    <row r="20028" spans="1:5" x14ac:dyDescent="0.25">
      <c r="A20028">
        <v>20027</v>
      </c>
      <c r="B20028">
        <v>2574837</v>
      </c>
      <c r="C20028" s="1" t="str">
        <f>HYPERLINK("http://stackoverflow.com/users/2574837", "Iterator")</f>
        <v>Iterator</v>
      </c>
      <c r="D20028" t="s">
        <v>4</v>
      </c>
      <c r="E20028">
        <v>1</v>
      </c>
    </row>
    <row r="20029" spans="1:5" x14ac:dyDescent="0.25">
      <c r="A20029">
        <v>20028</v>
      </c>
      <c r="B20029">
        <v>2575020</v>
      </c>
      <c r="C20029" s="1" t="str">
        <f>HYPERLINK("http://stackoverflow.com/users/2575020", "yas_boy")</f>
        <v>yas_boy</v>
      </c>
      <c r="D20029" t="s">
        <v>5</v>
      </c>
      <c r="E20029">
        <v>1</v>
      </c>
    </row>
    <row r="20030" spans="1:5" x14ac:dyDescent="0.25">
      <c r="A20030">
        <v>20029</v>
      </c>
      <c r="B20030">
        <v>2574899</v>
      </c>
      <c r="C20030" s="1" t="str">
        <f>HYPERLINK("http://stackoverflow.com/users/2574899", "tauruswu")</f>
        <v>tauruswu</v>
      </c>
      <c r="D20030" t="s">
        <v>21</v>
      </c>
      <c r="E20030">
        <v>1</v>
      </c>
    </row>
    <row r="20031" spans="1:5" x14ac:dyDescent="0.25">
      <c r="A20031">
        <v>20030</v>
      </c>
      <c r="B20031">
        <v>7929928</v>
      </c>
      <c r="C20031" s="1" t="str">
        <f>HYPERLINK("http://stackoverflow.com/users/7929928", "mr.chen")</f>
        <v>mr.chen</v>
      </c>
      <c r="D20031" t="s">
        <v>550</v>
      </c>
      <c r="E20031">
        <v>1</v>
      </c>
    </row>
    <row r="20032" spans="1:5" x14ac:dyDescent="0.25">
      <c r="A20032">
        <v>20031</v>
      </c>
      <c r="B20032">
        <v>7930036</v>
      </c>
      <c r="C20032" s="1" t="str">
        <f>HYPERLINK("http://stackoverflow.com/users/7930036", "Hugh Wen")</f>
        <v>Hugh Wen</v>
      </c>
      <c r="D20032" t="s">
        <v>7</v>
      </c>
      <c r="E20032">
        <v>1</v>
      </c>
    </row>
    <row r="20033" spans="1:5" x14ac:dyDescent="0.25">
      <c r="A20033">
        <v>20032</v>
      </c>
      <c r="B20033">
        <v>7930048</v>
      </c>
      <c r="C20033" s="1" t="str">
        <f>HYPERLINK("http://stackoverflow.com/users/7930048", "linbin")</f>
        <v>linbin</v>
      </c>
      <c r="D20033" t="s">
        <v>5</v>
      </c>
      <c r="E20033">
        <v>1</v>
      </c>
    </row>
    <row r="20034" spans="1:5" x14ac:dyDescent="0.25">
      <c r="A20034">
        <v>20033</v>
      </c>
      <c r="B20034">
        <v>7930265</v>
      </c>
      <c r="C20034" s="1" t="str">
        <f>HYPERLINK("http://stackoverflow.com/users/7930265", "SGRyang")</f>
        <v>SGRyang</v>
      </c>
      <c r="D20034" t="s">
        <v>7</v>
      </c>
      <c r="E20034">
        <v>1</v>
      </c>
    </row>
    <row r="20035" spans="1:5" x14ac:dyDescent="0.25">
      <c r="A20035">
        <v>20034</v>
      </c>
      <c r="B20035">
        <v>6158844</v>
      </c>
      <c r="C20035" s="1" t="str">
        <f>HYPERLINK("http://stackoverflow.com/users/6158844", "allen zhang")</f>
        <v>allen zhang</v>
      </c>
      <c r="D20035" t="s">
        <v>4</v>
      </c>
      <c r="E20035">
        <v>1</v>
      </c>
    </row>
    <row r="20036" spans="1:5" x14ac:dyDescent="0.25">
      <c r="A20036">
        <v>20035</v>
      </c>
      <c r="B20036">
        <v>6158963</v>
      </c>
      <c r="C20036" s="1" t="str">
        <f>HYPERLINK("http://stackoverflow.com/users/6158963", "JasonSCUT")</f>
        <v>JasonSCUT</v>
      </c>
      <c r="D20036" t="s">
        <v>25</v>
      </c>
      <c r="E20036">
        <v>1</v>
      </c>
    </row>
    <row r="20037" spans="1:5" x14ac:dyDescent="0.25">
      <c r="A20037">
        <v>20036</v>
      </c>
      <c r="B20037">
        <v>4431244</v>
      </c>
      <c r="C20037" s="1" t="str">
        <f>HYPERLINK("http://stackoverflow.com/users/4431244", "bangge")</f>
        <v>bangge</v>
      </c>
      <c r="D20037" t="s">
        <v>17</v>
      </c>
      <c r="E20037">
        <v>1</v>
      </c>
    </row>
    <row r="20038" spans="1:5" x14ac:dyDescent="0.25">
      <c r="A20038">
        <v>20037</v>
      </c>
      <c r="B20038">
        <v>324937</v>
      </c>
      <c r="C20038" s="1" t="str">
        <f>HYPERLINK("http://stackoverflow.com/users/324937", "Chance")</f>
        <v>Chance</v>
      </c>
      <c r="D20038" t="s">
        <v>4</v>
      </c>
      <c r="E20038">
        <v>1</v>
      </c>
    </row>
    <row r="20039" spans="1:5" x14ac:dyDescent="0.25">
      <c r="A20039">
        <v>20038</v>
      </c>
      <c r="B20039">
        <v>314349</v>
      </c>
      <c r="C20039" s="1" t="str">
        <f>HYPERLINK("http://stackoverflow.com/users/314349", "William Fu")</f>
        <v>William Fu</v>
      </c>
      <c r="D20039" t="s">
        <v>4</v>
      </c>
      <c r="E20039">
        <v>1</v>
      </c>
    </row>
    <row r="20040" spans="1:5" x14ac:dyDescent="0.25">
      <c r="A20040">
        <v>20039</v>
      </c>
      <c r="B20040">
        <v>6161766</v>
      </c>
      <c r="C20040" s="1" t="str">
        <f>HYPERLINK("http://stackoverflow.com/users/6161766", "Y. Zhao")</f>
        <v>Y. Zhao</v>
      </c>
      <c r="D20040" t="s">
        <v>320</v>
      </c>
      <c r="E20040">
        <v>1</v>
      </c>
    </row>
    <row r="20041" spans="1:5" x14ac:dyDescent="0.25">
      <c r="A20041">
        <v>20040</v>
      </c>
      <c r="B20041">
        <v>2578420</v>
      </c>
      <c r="C20041" s="1" t="str">
        <f>HYPERLINK("http://stackoverflow.com/users/2578420", "Putt")</f>
        <v>Putt</v>
      </c>
      <c r="D20041" t="s">
        <v>439</v>
      </c>
      <c r="E20041">
        <v>1</v>
      </c>
    </row>
    <row r="20042" spans="1:5" x14ac:dyDescent="0.25">
      <c r="A20042">
        <v>20041</v>
      </c>
      <c r="B20042">
        <v>9755875</v>
      </c>
      <c r="C20042" s="1" t="str">
        <f>HYPERLINK("http://stackoverflow.com/users/9755875", "mapleXia")</f>
        <v>mapleXia</v>
      </c>
      <c r="D20042" t="s">
        <v>108</v>
      </c>
      <c r="E20042">
        <v>1</v>
      </c>
    </row>
    <row r="20043" spans="1:5" x14ac:dyDescent="0.25">
      <c r="A20043">
        <v>20042</v>
      </c>
      <c r="B20043">
        <v>2586592</v>
      </c>
      <c r="C20043" s="1" t="str">
        <f>HYPERLINK("http://stackoverflow.com/users/2586592", "upblue")</f>
        <v>upblue</v>
      </c>
      <c r="D20043" t="s">
        <v>5</v>
      </c>
      <c r="E20043">
        <v>1</v>
      </c>
    </row>
    <row r="20044" spans="1:5" x14ac:dyDescent="0.25">
      <c r="A20044">
        <v>20043</v>
      </c>
      <c r="B20044">
        <v>2586775</v>
      </c>
      <c r="C20044" s="1" t="str">
        <f>HYPERLINK("http://stackoverflow.com/users/2586775", "stronglee1346")</f>
        <v>stronglee1346</v>
      </c>
      <c r="D20044" t="s">
        <v>5</v>
      </c>
      <c r="E20044">
        <v>1</v>
      </c>
    </row>
    <row r="20045" spans="1:5" x14ac:dyDescent="0.25">
      <c r="A20045">
        <v>20044</v>
      </c>
      <c r="B20045">
        <v>2587191</v>
      </c>
      <c r="C20045" s="1" t="str">
        <f>HYPERLINK("http://stackoverflow.com/users/2587191", "Usher")</f>
        <v>Usher</v>
      </c>
      <c r="D20045" t="s">
        <v>5</v>
      </c>
      <c r="E20045">
        <v>1</v>
      </c>
    </row>
    <row r="20046" spans="1:5" x14ac:dyDescent="0.25">
      <c r="A20046">
        <v>20045</v>
      </c>
      <c r="B20046">
        <v>6175752</v>
      </c>
      <c r="C20046" s="1" t="str">
        <f>HYPERLINK("http://stackoverflow.com/users/6175752", "Janhwa")</f>
        <v>Janhwa</v>
      </c>
      <c r="D20046" t="s">
        <v>93</v>
      </c>
      <c r="E20046">
        <v>1</v>
      </c>
    </row>
    <row r="20047" spans="1:5" x14ac:dyDescent="0.25">
      <c r="A20047">
        <v>20046</v>
      </c>
      <c r="B20047">
        <v>4446507</v>
      </c>
      <c r="C20047" s="1" t="str">
        <f>HYPERLINK("http://stackoverflow.com/users/4446507", "Jat")</f>
        <v>Jat</v>
      </c>
      <c r="D20047" t="s">
        <v>7</v>
      </c>
      <c r="E20047">
        <v>1</v>
      </c>
    </row>
    <row r="20048" spans="1:5" x14ac:dyDescent="0.25">
      <c r="A20048">
        <v>20047</v>
      </c>
      <c r="B20048">
        <v>9747871</v>
      </c>
      <c r="C20048" s="1" t="str">
        <f>HYPERLINK("http://stackoverflow.com/users/9747871", "FanFanD Yun")</f>
        <v>FanFanD Yun</v>
      </c>
      <c r="D20048" t="s">
        <v>21</v>
      </c>
      <c r="E20048">
        <v>1</v>
      </c>
    </row>
    <row r="20049" spans="1:5" x14ac:dyDescent="0.25">
      <c r="A20049">
        <v>20048</v>
      </c>
      <c r="B20049">
        <v>9747983</v>
      </c>
      <c r="C20049" s="1" t="str">
        <f>HYPERLINK("http://stackoverflow.com/users/9747983", "Zhenyuan Lau")</f>
        <v>Zhenyuan Lau</v>
      </c>
      <c r="D20049" t="s">
        <v>5</v>
      </c>
      <c r="E20049">
        <v>1</v>
      </c>
    </row>
    <row r="20050" spans="1:5" x14ac:dyDescent="0.25">
      <c r="A20050">
        <v>20049</v>
      </c>
      <c r="B20050">
        <v>7937211</v>
      </c>
      <c r="C20050" s="1" t="str">
        <f>HYPERLINK("http://stackoverflow.com/users/7937211", "NiuGenen")</f>
        <v>NiuGenen</v>
      </c>
      <c r="D20050" t="s">
        <v>15</v>
      </c>
      <c r="E20050">
        <v>1</v>
      </c>
    </row>
    <row r="20051" spans="1:5" x14ac:dyDescent="0.25">
      <c r="A20051">
        <v>20050</v>
      </c>
      <c r="B20051">
        <v>7937318</v>
      </c>
      <c r="C20051" s="1" t="str">
        <f>HYPERLINK("http://stackoverflow.com/users/7937318", "陈日天")</f>
        <v>陈日天</v>
      </c>
      <c r="D20051" t="s">
        <v>1063</v>
      </c>
      <c r="E20051">
        <v>1</v>
      </c>
    </row>
    <row r="20052" spans="1:5" x14ac:dyDescent="0.25">
      <c r="A20052">
        <v>20051</v>
      </c>
      <c r="B20052">
        <v>9751466</v>
      </c>
      <c r="C20052" s="1" t="str">
        <f>HYPERLINK("http://stackoverflow.com/users/9751466", "pubomould")</f>
        <v>pubomould</v>
      </c>
      <c r="D20052" t="s">
        <v>1064</v>
      </c>
      <c r="E20052">
        <v>1</v>
      </c>
    </row>
    <row r="20053" spans="1:5" x14ac:dyDescent="0.25">
      <c r="A20053">
        <v>20052</v>
      </c>
      <c r="B20053">
        <v>4441384</v>
      </c>
      <c r="C20053" s="1" t="str">
        <f>HYPERLINK("http://stackoverflow.com/users/4441384", "ta_shuo")</f>
        <v>ta_shuo</v>
      </c>
      <c r="D20053" t="s">
        <v>38</v>
      </c>
      <c r="E20053">
        <v>1</v>
      </c>
    </row>
    <row r="20054" spans="1:5" x14ac:dyDescent="0.25">
      <c r="A20054">
        <v>20053</v>
      </c>
      <c r="B20054">
        <v>6169297</v>
      </c>
      <c r="C20054" s="1" t="str">
        <f>HYPERLINK("http://stackoverflow.com/users/6169297", "scripter")</f>
        <v>scripter</v>
      </c>
      <c r="D20054" t="s">
        <v>91</v>
      </c>
      <c r="E20054">
        <v>1</v>
      </c>
    </row>
    <row r="20055" spans="1:5" x14ac:dyDescent="0.25">
      <c r="A20055">
        <v>20054</v>
      </c>
      <c r="B20055">
        <v>9751796</v>
      </c>
      <c r="C20055" s="1" t="str">
        <f>HYPERLINK("http://stackoverflow.com/users/9751796", "Michael Hu")</f>
        <v>Michael Hu</v>
      </c>
      <c r="D20055" t="s">
        <v>4</v>
      </c>
      <c r="E20055">
        <v>1</v>
      </c>
    </row>
    <row r="20056" spans="1:5" x14ac:dyDescent="0.25">
      <c r="A20056">
        <v>20055</v>
      </c>
      <c r="B20056">
        <v>2575083</v>
      </c>
      <c r="C20056" s="1" t="str">
        <f>HYPERLINK("http://stackoverflow.com/users/2575083", "ian")</f>
        <v>ian</v>
      </c>
      <c r="D20056" t="s">
        <v>17</v>
      </c>
      <c r="E20056">
        <v>1</v>
      </c>
    </row>
    <row r="20057" spans="1:5" x14ac:dyDescent="0.25">
      <c r="A20057">
        <v>20056</v>
      </c>
      <c r="B20057">
        <v>2575191</v>
      </c>
      <c r="C20057" s="1" t="str">
        <f>HYPERLINK("http://stackoverflow.com/users/2575191", "allbutone")</f>
        <v>allbutone</v>
      </c>
      <c r="D20057" t="s">
        <v>5</v>
      </c>
      <c r="E20057">
        <v>1</v>
      </c>
    </row>
    <row r="20058" spans="1:5" x14ac:dyDescent="0.25">
      <c r="A20058">
        <v>20057</v>
      </c>
      <c r="B20058">
        <v>2575457</v>
      </c>
      <c r="C20058" s="1" t="str">
        <f>HYPERLINK("http://stackoverflow.com/users/2575457", "Hill.GAO")</f>
        <v>Hill.GAO</v>
      </c>
      <c r="D20058" t="s">
        <v>12</v>
      </c>
      <c r="E20058">
        <v>1</v>
      </c>
    </row>
    <row r="20059" spans="1:5" x14ac:dyDescent="0.25">
      <c r="A20059">
        <v>20058</v>
      </c>
      <c r="B20059">
        <v>294715</v>
      </c>
      <c r="C20059" s="1" t="str">
        <f>HYPERLINK("http://stackoverflow.com/users/294715", "liuyehui")</f>
        <v>liuyehui</v>
      </c>
      <c r="D20059" t="s">
        <v>17</v>
      </c>
      <c r="E20059">
        <v>1</v>
      </c>
    </row>
    <row r="20060" spans="1:5" x14ac:dyDescent="0.25">
      <c r="A20060">
        <v>20059</v>
      </c>
      <c r="B20060">
        <v>295442</v>
      </c>
      <c r="C20060" s="1" t="str">
        <f>HYPERLINK("http://stackoverflow.com/users/295442", "Johnny Deng")</f>
        <v>Johnny Deng</v>
      </c>
      <c r="D20060" t="s">
        <v>12</v>
      </c>
      <c r="E20060">
        <v>1</v>
      </c>
    </row>
    <row r="20061" spans="1:5" x14ac:dyDescent="0.25">
      <c r="A20061">
        <v>20060</v>
      </c>
      <c r="B20061">
        <v>7983853</v>
      </c>
      <c r="C20061" s="1" t="str">
        <f>HYPERLINK("http://stackoverflow.com/users/7983853", "Chunyan")</f>
        <v>Chunyan</v>
      </c>
      <c r="D20061" t="s">
        <v>5</v>
      </c>
      <c r="E20061">
        <v>1</v>
      </c>
    </row>
    <row r="20062" spans="1:5" x14ac:dyDescent="0.25">
      <c r="A20062">
        <v>20061</v>
      </c>
      <c r="B20062">
        <v>7984150</v>
      </c>
      <c r="C20062" s="1" t="str">
        <f>HYPERLINK("http://stackoverflow.com/users/7984150", "代文韬")</f>
        <v>代文韬</v>
      </c>
      <c r="D20062" t="s">
        <v>5</v>
      </c>
      <c r="E20062">
        <v>1</v>
      </c>
    </row>
    <row r="20063" spans="1:5" x14ac:dyDescent="0.25">
      <c r="A20063">
        <v>20062</v>
      </c>
      <c r="B20063">
        <v>7983710</v>
      </c>
      <c r="C20063" s="1" t="str">
        <f>HYPERLINK("http://stackoverflow.com/users/7983710", "Chunxu.Liu")</f>
        <v>Chunxu.Liu</v>
      </c>
      <c r="D20063" t="s">
        <v>84</v>
      </c>
      <c r="E20063">
        <v>1</v>
      </c>
    </row>
    <row r="20064" spans="1:5" x14ac:dyDescent="0.25">
      <c r="A20064">
        <v>20063</v>
      </c>
      <c r="B20064">
        <v>7983715</v>
      </c>
      <c r="C20064" s="1" t="str">
        <f>HYPERLINK("http://stackoverflow.com/users/7983715", "Eric Yao")</f>
        <v>Eric Yao</v>
      </c>
      <c r="D20064" t="s">
        <v>16</v>
      </c>
      <c r="E20064">
        <v>1</v>
      </c>
    </row>
    <row r="20065" spans="1:5" x14ac:dyDescent="0.25">
      <c r="A20065">
        <v>20064</v>
      </c>
      <c r="B20065">
        <v>7980763</v>
      </c>
      <c r="C20065" s="1" t="str">
        <f>HYPERLINK("http://stackoverflow.com/users/7980763", "Yuanzhe Shi")</f>
        <v>Yuanzhe Shi</v>
      </c>
      <c r="D20065" t="s">
        <v>43</v>
      </c>
      <c r="E20065">
        <v>1</v>
      </c>
    </row>
    <row r="20066" spans="1:5" x14ac:dyDescent="0.25">
      <c r="A20066">
        <v>20065</v>
      </c>
      <c r="B20066">
        <v>6207016</v>
      </c>
      <c r="C20066" s="1" t="str">
        <f>HYPERLINK("http://stackoverflow.com/users/6207016", "kai")</f>
        <v>kai</v>
      </c>
      <c r="D20066" t="s">
        <v>5</v>
      </c>
      <c r="E20066">
        <v>1</v>
      </c>
    </row>
    <row r="20067" spans="1:5" x14ac:dyDescent="0.25">
      <c r="A20067">
        <v>20066</v>
      </c>
      <c r="B20067">
        <v>2624927</v>
      </c>
      <c r="C20067" s="1" t="str">
        <f>HYPERLINK("http://stackoverflow.com/users/2624927", "cb002274")</f>
        <v>cb002274</v>
      </c>
      <c r="D20067" t="s">
        <v>5</v>
      </c>
      <c r="E20067">
        <v>1</v>
      </c>
    </row>
    <row r="20068" spans="1:5" x14ac:dyDescent="0.25">
      <c r="A20068">
        <v>20067</v>
      </c>
      <c r="B20068">
        <v>2625059</v>
      </c>
      <c r="C20068" s="1" t="str">
        <f>HYPERLINK("http://stackoverflow.com/users/2625059", "Rolf Zhang")</f>
        <v>Rolf Zhang</v>
      </c>
      <c r="D20068" t="s">
        <v>17</v>
      </c>
      <c r="E20068">
        <v>1</v>
      </c>
    </row>
    <row r="20069" spans="1:5" x14ac:dyDescent="0.25">
      <c r="A20069">
        <v>20068</v>
      </c>
      <c r="B20069">
        <v>2619445</v>
      </c>
      <c r="C20069" s="1" t="str">
        <f>HYPERLINK("http://stackoverflow.com/users/2619445", "liujx")</f>
        <v>liujx</v>
      </c>
      <c r="D20069" t="s">
        <v>8</v>
      </c>
      <c r="E20069">
        <v>1</v>
      </c>
    </row>
    <row r="20070" spans="1:5" x14ac:dyDescent="0.25">
      <c r="A20070">
        <v>20069</v>
      </c>
      <c r="B20070">
        <v>6203337</v>
      </c>
      <c r="C20070" s="1" t="str">
        <f>HYPERLINK("http://stackoverflow.com/users/6203337", "Roy.Peng")</f>
        <v>Roy.Peng</v>
      </c>
      <c r="D20070" t="s">
        <v>4</v>
      </c>
      <c r="E20070">
        <v>1</v>
      </c>
    </row>
    <row r="20071" spans="1:5" x14ac:dyDescent="0.25">
      <c r="A20071">
        <v>20070</v>
      </c>
      <c r="B20071">
        <v>7972556</v>
      </c>
      <c r="C20071" s="1" t="str">
        <f>HYPERLINK("http://stackoverflow.com/users/7972556", "user7972556")</f>
        <v>user7972556</v>
      </c>
      <c r="D20071" t="s">
        <v>728</v>
      </c>
      <c r="E20071">
        <v>1</v>
      </c>
    </row>
    <row r="20072" spans="1:5" x14ac:dyDescent="0.25">
      <c r="A20072">
        <v>20071</v>
      </c>
      <c r="B20072">
        <v>6200413</v>
      </c>
      <c r="C20072" s="1" t="str">
        <f>HYPERLINK("http://stackoverflow.com/users/6200413", "LarrySue")</f>
        <v>LarrySue</v>
      </c>
      <c r="D20072" t="s">
        <v>7</v>
      </c>
      <c r="E20072">
        <v>1</v>
      </c>
    </row>
    <row r="20073" spans="1:5" x14ac:dyDescent="0.25">
      <c r="A20073">
        <v>20072</v>
      </c>
      <c r="B20073">
        <v>9791838</v>
      </c>
      <c r="C20073" s="1" t="str">
        <f>HYPERLINK("http://stackoverflow.com/users/9791838", "Serge")</f>
        <v>Serge</v>
      </c>
      <c r="D20073" t="s">
        <v>5</v>
      </c>
      <c r="E20073">
        <v>1</v>
      </c>
    </row>
    <row r="20074" spans="1:5" x14ac:dyDescent="0.25">
      <c r="A20074">
        <v>20073</v>
      </c>
      <c r="B20074">
        <v>9792021</v>
      </c>
      <c r="C20074" s="1" t="str">
        <f>HYPERLINK("http://stackoverflow.com/users/9792021", "mdai")</f>
        <v>mdai</v>
      </c>
      <c r="D20074" t="s">
        <v>5</v>
      </c>
      <c r="E20074">
        <v>1</v>
      </c>
    </row>
    <row r="20075" spans="1:5" x14ac:dyDescent="0.25">
      <c r="A20075">
        <v>20074</v>
      </c>
      <c r="B20075">
        <v>6193044</v>
      </c>
      <c r="C20075" s="1" t="str">
        <f>HYPERLINK("http://stackoverflow.com/users/6193044", "huihoo")</f>
        <v>huihoo</v>
      </c>
      <c r="D20075" t="s">
        <v>25</v>
      </c>
      <c r="E20075">
        <v>1</v>
      </c>
    </row>
    <row r="20076" spans="1:5" x14ac:dyDescent="0.25">
      <c r="A20076">
        <v>20075</v>
      </c>
      <c r="B20076">
        <v>7968597</v>
      </c>
      <c r="C20076" s="1" t="str">
        <f>HYPERLINK("http://stackoverflow.com/users/7968597", "River Wang")</f>
        <v>River Wang</v>
      </c>
      <c r="D20076" t="s">
        <v>5</v>
      </c>
      <c r="E20076">
        <v>1</v>
      </c>
    </row>
    <row r="20077" spans="1:5" x14ac:dyDescent="0.25">
      <c r="A20077">
        <v>20076</v>
      </c>
      <c r="B20077">
        <v>7969036</v>
      </c>
      <c r="C20077" s="1" t="str">
        <f>HYPERLINK("http://stackoverflow.com/users/7969036", "jack2006")</f>
        <v>jack2006</v>
      </c>
      <c r="D20077" t="s">
        <v>25</v>
      </c>
      <c r="E20077">
        <v>1</v>
      </c>
    </row>
    <row r="20078" spans="1:5" x14ac:dyDescent="0.25">
      <c r="A20078">
        <v>20077</v>
      </c>
      <c r="B20078">
        <v>2611421</v>
      </c>
      <c r="C20078" s="1" t="str">
        <f>HYPERLINK("http://stackoverflow.com/users/2611421", "Iniyk Frost")</f>
        <v>Iniyk Frost</v>
      </c>
      <c r="D20078" t="s">
        <v>131</v>
      </c>
      <c r="E20078">
        <v>1</v>
      </c>
    </row>
    <row r="20079" spans="1:5" x14ac:dyDescent="0.25">
      <c r="A20079">
        <v>20078</v>
      </c>
      <c r="B20079">
        <v>2614970</v>
      </c>
      <c r="C20079" s="1" t="str">
        <f>HYPERLINK("http://stackoverflow.com/users/2614970", "Benny Shi")</f>
        <v>Benny Shi</v>
      </c>
      <c r="D20079" t="s">
        <v>5</v>
      </c>
      <c r="E20079">
        <v>1</v>
      </c>
    </row>
    <row r="20080" spans="1:5" x14ac:dyDescent="0.25">
      <c r="A20080">
        <v>20079</v>
      </c>
      <c r="B20080">
        <v>7956579</v>
      </c>
      <c r="C20080" s="1" t="str">
        <f>HYPERLINK("http://stackoverflow.com/users/7956579", "feng")</f>
        <v>feng</v>
      </c>
      <c r="D20080" t="s">
        <v>16</v>
      </c>
      <c r="E20080">
        <v>1</v>
      </c>
    </row>
    <row r="20081" spans="1:5" x14ac:dyDescent="0.25">
      <c r="A20081">
        <v>20080</v>
      </c>
      <c r="B20081">
        <v>7956718</v>
      </c>
      <c r="C20081" s="1" t="str">
        <f>HYPERLINK("http://stackoverflow.com/users/7956718", "andy wong")</f>
        <v>andy wong</v>
      </c>
      <c r="D20081" t="s">
        <v>7</v>
      </c>
      <c r="E20081">
        <v>1</v>
      </c>
    </row>
    <row r="20082" spans="1:5" x14ac:dyDescent="0.25">
      <c r="A20082">
        <v>20081</v>
      </c>
      <c r="B20082">
        <v>7956736</v>
      </c>
      <c r="C20082" s="1" t="str">
        <f>HYPERLINK("http://stackoverflow.com/users/7956736", "Shuangquan Huang")</f>
        <v>Shuangquan Huang</v>
      </c>
      <c r="D20082" t="s">
        <v>5</v>
      </c>
      <c r="E20082">
        <v>1</v>
      </c>
    </row>
    <row r="20083" spans="1:5" x14ac:dyDescent="0.25">
      <c r="A20083">
        <v>20082</v>
      </c>
      <c r="B20083">
        <v>7956737</v>
      </c>
      <c r="C20083" s="1" t="str">
        <f>HYPERLINK("http://stackoverflow.com/users/7956737", "Ceiphied")</f>
        <v>Ceiphied</v>
      </c>
      <c r="D20083" t="s">
        <v>4</v>
      </c>
      <c r="E20083">
        <v>1</v>
      </c>
    </row>
    <row r="20084" spans="1:5" x14ac:dyDescent="0.25">
      <c r="A20084">
        <v>20083</v>
      </c>
      <c r="B20084">
        <v>9768300</v>
      </c>
      <c r="C20084" s="1" t="str">
        <f>HYPERLINK("http://stackoverflow.com/users/9768300", "Y.Liu")</f>
        <v>Y.Liu</v>
      </c>
      <c r="D20084" t="s">
        <v>5</v>
      </c>
      <c r="E20084">
        <v>1</v>
      </c>
    </row>
    <row r="20085" spans="1:5" x14ac:dyDescent="0.25">
      <c r="A20085">
        <v>20084</v>
      </c>
      <c r="B20085">
        <v>9768534</v>
      </c>
      <c r="C20085" s="1" t="str">
        <f>HYPERLINK("http://stackoverflow.com/users/9768534", "OnniArto")</f>
        <v>OnniArto</v>
      </c>
      <c r="D20085" t="s">
        <v>5</v>
      </c>
      <c r="E20085">
        <v>1</v>
      </c>
    </row>
    <row r="20086" spans="1:5" x14ac:dyDescent="0.25">
      <c r="A20086">
        <v>20085</v>
      </c>
      <c r="B20086">
        <v>6183731</v>
      </c>
      <c r="C20086" s="1" t="str">
        <f>HYPERLINK("http://stackoverflow.com/users/6183731", "Kaffa")</f>
        <v>Kaffa</v>
      </c>
      <c r="D20086" t="s">
        <v>7</v>
      </c>
      <c r="E20086">
        <v>1</v>
      </c>
    </row>
    <row r="20087" spans="1:5" x14ac:dyDescent="0.25">
      <c r="A20087">
        <v>20086</v>
      </c>
      <c r="B20087">
        <v>9763018</v>
      </c>
      <c r="C20087" s="1" t="str">
        <f>HYPERLINK("http://stackoverflow.com/users/9763018", "TianxiangSun")</f>
        <v>TianxiangSun</v>
      </c>
      <c r="D20087" t="s">
        <v>4</v>
      </c>
      <c r="E20087">
        <v>1</v>
      </c>
    </row>
    <row r="20088" spans="1:5" x14ac:dyDescent="0.25">
      <c r="A20088">
        <v>20087</v>
      </c>
      <c r="B20088">
        <v>2599402</v>
      </c>
      <c r="C20088" s="1" t="str">
        <f>HYPERLINK("http://stackoverflow.com/users/2599402", "Gang Wu")</f>
        <v>Gang Wu</v>
      </c>
      <c r="D20088" t="s">
        <v>5</v>
      </c>
      <c r="E20088">
        <v>1</v>
      </c>
    </row>
    <row r="20089" spans="1:5" x14ac:dyDescent="0.25">
      <c r="A20089">
        <v>20088</v>
      </c>
      <c r="B20089">
        <v>2607464</v>
      </c>
      <c r="C20089" s="1" t="str">
        <f>HYPERLINK("http://stackoverflow.com/users/2607464", "minejo")</f>
        <v>minejo</v>
      </c>
      <c r="D20089" t="s">
        <v>22</v>
      </c>
      <c r="E20089">
        <v>1</v>
      </c>
    </row>
    <row r="20090" spans="1:5" x14ac:dyDescent="0.25">
      <c r="A20090">
        <v>20089</v>
      </c>
      <c r="B20090">
        <v>9779600</v>
      </c>
      <c r="C20090" s="1" t="str">
        <f>HYPERLINK("http://stackoverflow.com/users/9779600", "李贝贝")</f>
        <v>李贝贝</v>
      </c>
      <c r="D20090" t="s">
        <v>5</v>
      </c>
      <c r="E20090">
        <v>1</v>
      </c>
    </row>
    <row r="20091" spans="1:5" x14ac:dyDescent="0.25">
      <c r="A20091">
        <v>20090</v>
      </c>
      <c r="B20091">
        <v>9779784</v>
      </c>
      <c r="C20091" s="1" t="str">
        <f>HYPERLINK("http://stackoverflow.com/users/9779784", "Zhou Mu")</f>
        <v>Zhou Mu</v>
      </c>
      <c r="D20091" t="s">
        <v>28</v>
      </c>
      <c r="E20091">
        <v>1</v>
      </c>
    </row>
    <row r="20092" spans="1:5" x14ac:dyDescent="0.25">
      <c r="A20092">
        <v>20091</v>
      </c>
      <c r="B20092">
        <v>2604005</v>
      </c>
      <c r="C20092" s="1" t="str">
        <f>HYPERLINK("http://stackoverflow.com/users/2604005", "Martin Z.")</f>
        <v>Martin Z.</v>
      </c>
      <c r="D20092" t="s">
        <v>17</v>
      </c>
      <c r="E20092">
        <v>1</v>
      </c>
    </row>
    <row r="20093" spans="1:5" x14ac:dyDescent="0.25">
      <c r="A20093">
        <v>20092</v>
      </c>
      <c r="B20093">
        <v>7960736</v>
      </c>
      <c r="C20093" s="1" t="str">
        <f>HYPERLINK("http://stackoverflow.com/users/7960736", "user7960736")</f>
        <v>user7960736</v>
      </c>
      <c r="D20093" t="s">
        <v>5</v>
      </c>
      <c r="E20093">
        <v>1</v>
      </c>
    </row>
    <row r="20094" spans="1:5" x14ac:dyDescent="0.25">
      <c r="A20094">
        <v>20093</v>
      </c>
      <c r="B20094">
        <v>7960787</v>
      </c>
      <c r="C20094" s="1" t="str">
        <f>HYPERLINK("http://stackoverflow.com/users/7960787", "Yuan")</f>
        <v>Yuan</v>
      </c>
      <c r="D20094" t="s">
        <v>4</v>
      </c>
      <c r="E20094">
        <v>1</v>
      </c>
    </row>
    <row r="20095" spans="1:5" x14ac:dyDescent="0.25">
      <c r="A20095">
        <v>20094</v>
      </c>
      <c r="B20095">
        <v>7960876</v>
      </c>
      <c r="C20095" s="1" t="str">
        <f>HYPERLINK("http://stackoverflow.com/users/7960876", "Cookie Liu")</f>
        <v>Cookie Liu</v>
      </c>
      <c r="D20095" t="s">
        <v>25</v>
      </c>
      <c r="E20095">
        <v>1</v>
      </c>
    </row>
    <row r="20096" spans="1:5" x14ac:dyDescent="0.25">
      <c r="A20096">
        <v>20095</v>
      </c>
      <c r="B20096">
        <v>7961236</v>
      </c>
      <c r="C20096" s="1" t="str">
        <f>HYPERLINK("http://stackoverflow.com/users/7961236", "Singllord")</f>
        <v>Singllord</v>
      </c>
      <c r="D20096" t="s">
        <v>28</v>
      </c>
      <c r="E20096">
        <v>1</v>
      </c>
    </row>
    <row r="20097" spans="1:5" x14ac:dyDescent="0.25">
      <c r="A20097">
        <v>20096</v>
      </c>
      <c r="B20097">
        <v>6187023</v>
      </c>
      <c r="C20097" s="1" t="str">
        <f>HYPERLINK("http://stackoverflow.com/users/6187023", "xwalking")</f>
        <v>xwalking</v>
      </c>
      <c r="D20097" t="s">
        <v>118</v>
      </c>
      <c r="E20097">
        <v>1</v>
      </c>
    </row>
    <row r="20098" spans="1:5" x14ac:dyDescent="0.25">
      <c r="A20098">
        <v>20097</v>
      </c>
      <c r="B20098">
        <v>6187041</v>
      </c>
      <c r="C20098" s="1" t="str">
        <f>HYPERLINK("http://stackoverflow.com/users/6187041", "Danny Dong")</f>
        <v>Danny Dong</v>
      </c>
      <c r="D20098" t="s">
        <v>25</v>
      </c>
      <c r="E20098">
        <v>1</v>
      </c>
    </row>
    <row r="20099" spans="1:5" x14ac:dyDescent="0.25">
      <c r="A20099">
        <v>20098</v>
      </c>
      <c r="B20099">
        <v>2603388</v>
      </c>
      <c r="C20099" s="1" t="str">
        <f>HYPERLINK("http://stackoverflow.com/users/2603388", "Qinglin Ye")</f>
        <v>Qinglin Ye</v>
      </c>
      <c r="D20099" t="s">
        <v>17</v>
      </c>
      <c r="E20099">
        <v>1</v>
      </c>
    </row>
    <row r="20100" spans="1:5" x14ac:dyDescent="0.25">
      <c r="A20100">
        <v>20099</v>
      </c>
      <c r="B20100">
        <v>7795776</v>
      </c>
      <c r="C20100" s="1" t="str">
        <f>HYPERLINK("http://stackoverflow.com/users/7795776", "David.Lee")</f>
        <v>David.Lee</v>
      </c>
      <c r="D20100" t="s">
        <v>1065</v>
      </c>
      <c r="E20100">
        <v>1</v>
      </c>
    </row>
    <row r="20101" spans="1:5" x14ac:dyDescent="0.25">
      <c r="A20101">
        <v>20100</v>
      </c>
      <c r="B20101">
        <v>6038793</v>
      </c>
      <c r="C20101" s="1" t="str">
        <f>HYPERLINK("http://stackoverflow.com/users/6038793", "Shawn Sun")</f>
        <v>Shawn Sun</v>
      </c>
      <c r="D20101" t="s">
        <v>1066</v>
      </c>
      <c r="E20101">
        <v>1</v>
      </c>
    </row>
    <row r="20102" spans="1:5" x14ac:dyDescent="0.25">
      <c r="A20102">
        <v>20101</v>
      </c>
      <c r="B20102">
        <v>6039381</v>
      </c>
      <c r="C20102" s="1" t="str">
        <f>HYPERLINK("http://stackoverflow.com/users/6039381", "Jx Zhang")</f>
        <v>Jx Zhang</v>
      </c>
      <c r="D20102" t="s">
        <v>16</v>
      </c>
      <c r="E20102">
        <v>1</v>
      </c>
    </row>
    <row r="20103" spans="1:5" x14ac:dyDescent="0.25">
      <c r="A20103">
        <v>20102</v>
      </c>
      <c r="B20103">
        <v>6039549</v>
      </c>
      <c r="C20103" s="1" t="str">
        <f>HYPERLINK("http://stackoverflow.com/users/6039549", "Jiangfeng Yang")</f>
        <v>Jiangfeng Yang</v>
      </c>
      <c r="D20103" t="s">
        <v>25</v>
      </c>
      <c r="E20103">
        <v>1</v>
      </c>
    </row>
    <row r="20104" spans="1:5" x14ac:dyDescent="0.25">
      <c r="A20104">
        <v>20103</v>
      </c>
      <c r="B20104">
        <v>6039556</v>
      </c>
      <c r="C20104" s="1" t="str">
        <f>HYPERLINK("http://stackoverflow.com/users/6039556", "MAXXXBaby")</f>
        <v>MAXXXBaby</v>
      </c>
      <c r="D20104" t="s">
        <v>5</v>
      </c>
      <c r="E20104">
        <v>1</v>
      </c>
    </row>
    <row r="20105" spans="1:5" x14ac:dyDescent="0.25">
      <c r="A20105">
        <v>20104</v>
      </c>
      <c r="B20105">
        <v>6041174</v>
      </c>
      <c r="C20105" s="1" t="str">
        <f>HYPERLINK("http://stackoverflow.com/users/6041174", "Chuan-Peng Hu")</f>
        <v>Chuan-Peng Hu</v>
      </c>
      <c r="D20105" t="s">
        <v>5</v>
      </c>
      <c r="E20105">
        <v>1</v>
      </c>
    </row>
    <row r="20106" spans="1:5" x14ac:dyDescent="0.25">
      <c r="A20106">
        <v>20105</v>
      </c>
      <c r="B20106">
        <v>9614577</v>
      </c>
      <c r="C20106" s="1" t="str">
        <f>HYPERLINK("http://stackoverflow.com/users/9614577", "Keenkid Mao")</f>
        <v>Keenkid Mao</v>
      </c>
      <c r="D20106" t="s">
        <v>4</v>
      </c>
      <c r="E20106">
        <v>1</v>
      </c>
    </row>
    <row r="20107" spans="1:5" x14ac:dyDescent="0.25">
      <c r="A20107">
        <v>20106</v>
      </c>
      <c r="B20107">
        <v>9615254</v>
      </c>
      <c r="C20107" s="1" t="str">
        <f>HYPERLINK("http://stackoverflow.com/users/9615254", "user9615254")</f>
        <v>user9615254</v>
      </c>
      <c r="D20107" t="s">
        <v>320</v>
      </c>
      <c r="E20107">
        <v>1</v>
      </c>
    </row>
    <row r="20108" spans="1:5" x14ac:dyDescent="0.25">
      <c r="A20108">
        <v>20107</v>
      </c>
      <c r="B20108">
        <v>9615369</v>
      </c>
      <c r="C20108" s="1" t="str">
        <f>HYPERLINK("http://stackoverflow.com/users/9615369", "William Huo")</f>
        <v>William Huo</v>
      </c>
      <c r="D20108" t="s">
        <v>5</v>
      </c>
      <c r="E20108">
        <v>1</v>
      </c>
    </row>
    <row r="20109" spans="1:5" x14ac:dyDescent="0.25">
      <c r="A20109">
        <v>20108</v>
      </c>
      <c r="B20109">
        <v>7806405</v>
      </c>
      <c r="C20109" s="1" t="str">
        <f>HYPERLINK("http://stackoverflow.com/users/7806405", "hansen wang")</f>
        <v>hansen wang</v>
      </c>
      <c r="D20109" t="s">
        <v>7</v>
      </c>
      <c r="E20109">
        <v>1</v>
      </c>
    </row>
    <row r="20110" spans="1:5" x14ac:dyDescent="0.25">
      <c r="A20110">
        <v>20109</v>
      </c>
      <c r="B20110">
        <v>7806411</v>
      </c>
      <c r="C20110" s="1" t="str">
        <f>HYPERLINK("http://stackoverflow.com/users/7806411", "Ming")</f>
        <v>Ming</v>
      </c>
      <c r="D20110" t="s">
        <v>7</v>
      </c>
      <c r="E20110">
        <v>1</v>
      </c>
    </row>
    <row r="20111" spans="1:5" x14ac:dyDescent="0.25">
      <c r="A20111">
        <v>20110</v>
      </c>
      <c r="B20111">
        <v>7806833</v>
      </c>
      <c r="C20111" s="1" t="str">
        <f>HYPERLINK("http://stackoverflow.com/users/7806833", "鹿的角")</f>
        <v>鹿的角</v>
      </c>
      <c r="D20111" t="s">
        <v>3</v>
      </c>
      <c r="E20111">
        <v>1</v>
      </c>
    </row>
    <row r="20112" spans="1:5" x14ac:dyDescent="0.25">
      <c r="A20112">
        <v>20111</v>
      </c>
      <c r="B20112">
        <v>2434685</v>
      </c>
      <c r="C20112" s="1" t="str">
        <f>HYPERLINK("http://stackoverflow.com/users/2434685", "Kevin")</f>
        <v>Kevin</v>
      </c>
      <c r="D20112" t="s">
        <v>37</v>
      </c>
      <c r="E20112">
        <v>1</v>
      </c>
    </row>
    <row r="20113" spans="1:5" x14ac:dyDescent="0.25">
      <c r="A20113">
        <v>20112</v>
      </c>
      <c r="B20113">
        <v>2439361</v>
      </c>
      <c r="C20113" s="1" t="str">
        <f>HYPERLINK("http://stackoverflow.com/users/2439361", "karp")</f>
        <v>karp</v>
      </c>
      <c r="D20113" t="s">
        <v>5</v>
      </c>
      <c r="E20113">
        <v>1</v>
      </c>
    </row>
    <row r="20114" spans="1:5" x14ac:dyDescent="0.25">
      <c r="A20114">
        <v>20113</v>
      </c>
      <c r="B20114">
        <v>2439815</v>
      </c>
      <c r="C20114" s="1" t="str">
        <f>HYPERLINK("http://stackoverflow.com/users/2439815", "Tbeck Zhang")</f>
        <v>Tbeck Zhang</v>
      </c>
      <c r="D20114" t="s">
        <v>4</v>
      </c>
      <c r="E20114">
        <v>1</v>
      </c>
    </row>
    <row r="20115" spans="1:5" x14ac:dyDescent="0.25">
      <c r="A20115">
        <v>20114</v>
      </c>
      <c r="B20115">
        <v>6048538</v>
      </c>
      <c r="C20115" s="1" t="str">
        <f>HYPERLINK("http://stackoverflow.com/users/6048538", "Jason")</f>
        <v>Jason</v>
      </c>
      <c r="D20115" t="s">
        <v>4</v>
      </c>
      <c r="E20115">
        <v>1</v>
      </c>
    </row>
    <row r="20116" spans="1:5" x14ac:dyDescent="0.25">
      <c r="A20116">
        <v>20115</v>
      </c>
      <c r="B20116">
        <v>6048634</v>
      </c>
      <c r="C20116" s="1" t="str">
        <f>HYPERLINK("http://stackoverflow.com/users/6048634", "pengwang9")</f>
        <v>pengwang9</v>
      </c>
      <c r="D20116" t="s">
        <v>4</v>
      </c>
      <c r="E20116">
        <v>1</v>
      </c>
    </row>
    <row r="20117" spans="1:5" x14ac:dyDescent="0.25">
      <c r="A20117">
        <v>20116</v>
      </c>
      <c r="B20117">
        <v>6048909</v>
      </c>
      <c r="C20117" s="1" t="str">
        <f>HYPERLINK("http://stackoverflow.com/users/6048909", "Wei")</f>
        <v>Wei</v>
      </c>
      <c r="D20117" t="s">
        <v>4</v>
      </c>
      <c r="E20117">
        <v>1</v>
      </c>
    </row>
    <row r="20118" spans="1:5" x14ac:dyDescent="0.25">
      <c r="A20118">
        <v>20117</v>
      </c>
      <c r="B20118">
        <v>6048943</v>
      </c>
      <c r="C20118" s="1" t="str">
        <f>HYPERLINK("http://stackoverflow.com/users/6048943", "dake")</f>
        <v>dake</v>
      </c>
      <c r="D20118" t="s">
        <v>5</v>
      </c>
      <c r="E20118">
        <v>1</v>
      </c>
    </row>
    <row r="20119" spans="1:5" x14ac:dyDescent="0.25">
      <c r="A20119">
        <v>20118</v>
      </c>
      <c r="B20119">
        <v>7795433</v>
      </c>
      <c r="C20119" s="1" t="str">
        <f>HYPERLINK("http://stackoverflow.com/users/7795433", "Darren Li")</f>
        <v>Darren Li</v>
      </c>
      <c r="D20119" t="s">
        <v>5</v>
      </c>
      <c r="E20119">
        <v>1</v>
      </c>
    </row>
    <row r="20120" spans="1:5" x14ac:dyDescent="0.25">
      <c r="A20120">
        <v>20119</v>
      </c>
      <c r="B20120">
        <v>2438843</v>
      </c>
      <c r="C20120" s="1" t="str">
        <f>HYPERLINK("http://stackoverflow.com/users/2438843", "chence")</f>
        <v>chence</v>
      </c>
      <c r="D20120" t="s">
        <v>1067</v>
      </c>
      <c r="E20120">
        <v>1</v>
      </c>
    </row>
    <row r="20121" spans="1:5" x14ac:dyDescent="0.25">
      <c r="A20121">
        <v>20120</v>
      </c>
      <c r="B20121">
        <v>2442941</v>
      </c>
      <c r="C20121" s="1" t="str">
        <f>HYPERLINK("http://stackoverflow.com/users/2442941", "yiyezhiqiu")</f>
        <v>yiyezhiqiu</v>
      </c>
      <c r="D20121" t="s">
        <v>5</v>
      </c>
      <c r="E20121">
        <v>1</v>
      </c>
    </row>
    <row r="20122" spans="1:5" x14ac:dyDescent="0.25">
      <c r="A20122">
        <v>20121</v>
      </c>
      <c r="B20122">
        <v>7813022</v>
      </c>
      <c r="C20122" s="1" t="str">
        <f>HYPERLINK("http://stackoverflow.com/users/7813022", "ExplorerNW")</f>
        <v>ExplorerNW</v>
      </c>
      <c r="D20122" t="s">
        <v>969</v>
      </c>
      <c r="E20122">
        <v>1</v>
      </c>
    </row>
    <row r="20123" spans="1:5" x14ac:dyDescent="0.25">
      <c r="A20123">
        <v>20122</v>
      </c>
      <c r="B20123">
        <v>7813764</v>
      </c>
      <c r="C20123" s="1" t="str">
        <f>HYPERLINK("http://stackoverflow.com/users/7813764", "guangjun")</f>
        <v>guangjun</v>
      </c>
      <c r="D20123" t="s">
        <v>4</v>
      </c>
      <c r="E20123">
        <v>1</v>
      </c>
    </row>
    <row r="20124" spans="1:5" x14ac:dyDescent="0.25">
      <c r="A20124">
        <v>20123</v>
      </c>
      <c r="B20124">
        <v>2446748</v>
      </c>
      <c r="C20124" s="1" t="str">
        <f>HYPERLINK("http://stackoverflow.com/users/2446748", "necrazy")</f>
        <v>necrazy</v>
      </c>
      <c r="D20124" t="s">
        <v>5</v>
      </c>
      <c r="E20124">
        <v>1</v>
      </c>
    </row>
    <row r="20125" spans="1:5" x14ac:dyDescent="0.25">
      <c r="A20125">
        <v>20124</v>
      </c>
      <c r="B20125">
        <v>2446976</v>
      </c>
      <c r="C20125" s="1" t="str">
        <f>HYPERLINK("http://stackoverflow.com/users/2446976", "xukeek")</f>
        <v>xukeek</v>
      </c>
      <c r="D20125" t="s">
        <v>4</v>
      </c>
      <c r="E20125">
        <v>1</v>
      </c>
    </row>
    <row r="20126" spans="1:5" x14ac:dyDescent="0.25">
      <c r="A20126">
        <v>20125</v>
      </c>
      <c r="B20126">
        <v>4323242</v>
      </c>
      <c r="C20126" s="1" t="str">
        <f>HYPERLINK("http://stackoverflow.com/users/4323242", "magicalne")</f>
        <v>magicalne</v>
      </c>
      <c r="D20126" t="s">
        <v>4</v>
      </c>
      <c r="E20126">
        <v>1</v>
      </c>
    </row>
    <row r="20127" spans="1:5" x14ac:dyDescent="0.25">
      <c r="A20127">
        <v>20126</v>
      </c>
      <c r="B20127">
        <v>4323803</v>
      </c>
      <c r="C20127" s="1" t="str">
        <f>HYPERLINK("http://stackoverflow.com/users/4323803", "chenhu")</f>
        <v>chenhu</v>
      </c>
      <c r="D20127" t="s">
        <v>28</v>
      </c>
      <c r="E20127">
        <v>1</v>
      </c>
    </row>
    <row r="20128" spans="1:5" x14ac:dyDescent="0.25">
      <c r="A20128">
        <v>20127</v>
      </c>
      <c r="B20128">
        <v>9639096</v>
      </c>
      <c r="C20128" s="1" t="str">
        <f>HYPERLINK("http://stackoverflow.com/users/9639096", "FinchMan")</f>
        <v>FinchMan</v>
      </c>
      <c r="D20128" t="s">
        <v>4</v>
      </c>
      <c r="E20128">
        <v>1</v>
      </c>
    </row>
    <row r="20129" spans="1:5" x14ac:dyDescent="0.25">
      <c r="A20129">
        <v>20128</v>
      </c>
      <c r="B20129">
        <v>91580</v>
      </c>
      <c r="C20129" s="1" t="str">
        <f>HYPERLINK("http://stackoverflow.com/users/91580", "ussballantyne")</f>
        <v>ussballantyne</v>
      </c>
      <c r="D20129" t="s">
        <v>4</v>
      </c>
      <c r="E20129">
        <v>1</v>
      </c>
    </row>
    <row r="20130" spans="1:5" x14ac:dyDescent="0.25">
      <c r="A20130">
        <v>20129</v>
      </c>
      <c r="B20130">
        <v>7833008</v>
      </c>
      <c r="C20130" s="1" t="str">
        <f>HYPERLINK("http://stackoverflow.com/users/7833008", "Tree")</f>
        <v>Tree</v>
      </c>
      <c r="D20130" t="s">
        <v>353</v>
      </c>
      <c r="E20130">
        <v>1</v>
      </c>
    </row>
    <row r="20131" spans="1:5" x14ac:dyDescent="0.25">
      <c r="A20131">
        <v>20130</v>
      </c>
      <c r="B20131">
        <v>6065758</v>
      </c>
      <c r="C20131" s="1" t="str">
        <f>HYPERLINK("http://stackoverflow.com/users/6065758", "deney")</f>
        <v>deney</v>
      </c>
      <c r="D20131" t="s">
        <v>4</v>
      </c>
      <c r="E20131">
        <v>1</v>
      </c>
    </row>
    <row r="20132" spans="1:5" x14ac:dyDescent="0.25">
      <c r="A20132">
        <v>20131</v>
      </c>
      <c r="B20132">
        <v>4335735</v>
      </c>
      <c r="C20132" s="1" t="str">
        <f>HYPERLINK("http://stackoverflow.com/users/4335735", "Shuanpeng Liu")</f>
        <v>Shuanpeng Liu</v>
      </c>
      <c r="D20132" t="s">
        <v>4</v>
      </c>
      <c r="E20132">
        <v>1</v>
      </c>
    </row>
    <row r="20133" spans="1:5" x14ac:dyDescent="0.25">
      <c r="A20133">
        <v>20132</v>
      </c>
      <c r="B20133">
        <v>7830123</v>
      </c>
      <c r="C20133" s="1" t="str">
        <f>HYPERLINK("http://stackoverflow.com/users/7830123", "卢鹏宇")</f>
        <v>卢鹏宇</v>
      </c>
      <c r="D20133" t="s">
        <v>131</v>
      </c>
      <c r="E20133">
        <v>1</v>
      </c>
    </row>
    <row r="20134" spans="1:5" x14ac:dyDescent="0.25">
      <c r="A20134">
        <v>20133</v>
      </c>
      <c r="B20134">
        <v>7830211</v>
      </c>
      <c r="C20134" s="1" t="str">
        <f>HYPERLINK("http://stackoverflow.com/users/7830211", "Jailall")</f>
        <v>Jailall</v>
      </c>
      <c r="D20134" t="s">
        <v>1068</v>
      </c>
      <c r="E20134">
        <v>1</v>
      </c>
    </row>
    <row r="20135" spans="1:5" x14ac:dyDescent="0.25">
      <c r="A20135">
        <v>20134</v>
      </c>
      <c r="B20135">
        <v>7830254</v>
      </c>
      <c r="C20135" s="1" t="str">
        <f>HYPERLINK("http://stackoverflow.com/users/7830254", "Jonny")</f>
        <v>Jonny</v>
      </c>
      <c r="D20135" t="s">
        <v>4</v>
      </c>
      <c r="E20135">
        <v>1</v>
      </c>
    </row>
    <row r="20136" spans="1:5" x14ac:dyDescent="0.25">
      <c r="A20136">
        <v>20135</v>
      </c>
      <c r="B20136">
        <v>7830373</v>
      </c>
      <c r="C20136" s="1" t="str">
        <f>HYPERLINK("http://stackoverflow.com/users/7830373", "moliang")</f>
        <v>moliang</v>
      </c>
      <c r="D20136" t="s">
        <v>25</v>
      </c>
      <c r="E20136">
        <v>1</v>
      </c>
    </row>
    <row r="20137" spans="1:5" x14ac:dyDescent="0.25">
      <c r="A20137">
        <v>20136</v>
      </c>
      <c r="B20137">
        <v>7830392</v>
      </c>
      <c r="C20137" s="1" t="str">
        <f>HYPERLINK("http://stackoverflow.com/users/7830392", "loywong")</f>
        <v>loywong</v>
      </c>
      <c r="D20137" t="s">
        <v>4</v>
      </c>
      <c r="E20137">
        <v>1</v>
      </c>
    </row>
    <row r="20138" spans="1:5" x14ac:dyDescent="0.25">
      <c r="A20138">
        <v>20137</v>
      </c>
      <c r="B20138">
        <v>7823854</v>
      </c>
      <c r="C20138" s="1" t="str">
        <f>HYPERLINK("http://stackoverflow.com/users/7823854", "Donald")</f>
        <v>Donald</v>
      </c>
      <c r="D20138" t="s">
        <v>25</v>
      </c>
      <c r="E20138">
        <v>1</v>
      </c>
    </row>
    <row r="20139" spans="1:5" x14ac:dyDescent="0.25">
      <c r="A20139">
        <v>20138</v>
      </c>
      <c r="B20139">
        <v>6060423</v>
      </c>
      <c r="C20139" s="1" t="str">
        <f>HYPERLINK("http://stackoverflow.com/users/6060423", "Jason Wang")</f>
        <v>Jason Wang</v>
      </c>
      <c r="D20139" t="s">
        <v>5</v>
      </c>
      <c r="E20139">
        <v>1</v>
      </c>
    </row>
    <row r="20140" spans="1:5" x14ac:dyDescent="0.25">
      <c r="A20140">
        <v>20139</v>
      </c>
      <c r="B20140">
        <v>6060637</v>
      </c>
      <c r="C20140" s="1" t="str">
        <f>HYPERLINK("http://stackoverflow.com/users/6060637", "Alan Ackart")</f>
        <v>Alan Ackart</v>
      </c>
      <c r="D20140" t="s">
        <v>4</v>
      </c>
      <c r="E20140">
        <v>1</v>
      </c>
    </row>
    <row r="20141" spans="1:5" x14ac:dyDescent="0.25">
      <c r="A20141">
        <v>20140</v>
      </c>
      <c r="B20141">
        <v>6064061</v>
      </c>
      <c r="C20141" s="1" t="str">
        <f>HYPERLINK("http://stackoverflow.com/users/6064061", "vgsir")</f>
        <v>vgsir</v>
      </c>
      <c r="D20141" t="s">
        <v>5</v>
      </c>
      <c r="E20141">
        <v>1</v>
      </c>
    </row>
    <row r="20142" spans="1:5" x14ac:dyDescent="0.25">
      <c r="A20142">
        <v>20141</v>
      </c>
      <c r="B20142">
        <v>6064229</v>
      </c>
      <c r="C20142" s="1" t="str">
        <f>HYPERLINK("http://stackoverflow.com/users/6064229", "Serifx")</f>
        <v>Serifx</v>
      </c>
      <c r="D20142" t="s">
        <v>12</v>
      </c>
      <c r="E20142">
        <v>1</v>
      </c>
    </row>
    <row r="20143" spans="1:5" x14ac:dyDescent="0.25">
      <c r="A20143">
        <v>20142</v>
      </c>
      <c r="B20143">
        <v>6064279</v>
      </c>
      <c r="C20143" s="1" t="str">
        <f>HYPERLINK("http://stackoverflow.com/users/6064279", "lorin zhang")</f>
        <v>lorin zhang</v>
      </c>
      <c r="D20143" t="s">
        <v>4</v>
      </c>
      <c r="E20143">
        <v>1</v>
      </c>
    </row>
    <row r="20144" spans="1:5" x14ac:dyDescent="0.25">
      <c r="A20144">
        <v>20143</v>
      </c>
      <c r="B20144">
        <v>4333487</v>
      </c>
      <c r="C20144" s="1" t="str">
        <f>HYPERLINK("http://stackoverflow.com/users/4333487", "Haoooooofeng")</f>
        <v>Haoooooofeng</v>
      </c>
      <c r="D20144" t="s">
        <v>5</v>
      </c>
      <c r="E20144">
        <v>1</v>
      </c>
    </row>
    <row r="20145" spans="1:5" x14ac:dyDescent="0.25">
      <c r="A20145">
        <v>20144</v>
      </c>
      <c r="B20145">
        <v>2450721</v>
      </c>
      <c r="C20145" s="1" t="str">
        <f>HYPERLINK("http://stackoverflow.com/users/2450721", "bfyycdi")</f>
        <v>bfyycdi</v>
      </c>
      <c r="D20145" t="s">
        <v>22</v>
      </c>
      <c r="E20145">
        <v>1</v>
      </c>
    </row>
    <row r="20146" spans="1:5" x14ac:dyDescent="0.25">
      <c r="A20146">
        <v>20145</v>
      </c>
      <c r="B20146">
        <v>7819916</v>
      </c>
      <c r="C20146" s="1" t="str">
        <f>HYPERLINK("http://stackoverflow.com/users/7819916", "Yifan Zhang")</f>
        <v>Yifan Zhang</v>
      </c>
      <c r="D20146" t="s">
        <v>5</v>
      </c>
      <c r="E20146">
        <v>1</v>
      </c>
    </row>
    <row r="20147" spans="1:5" x14ac:dyDescent="0.25">
      <c r="A20147">
        <v>20146</v>
      </c>
      <c r="B20147">
        <v>7819942</v>
      </c>
      <c r="C20147" s="1" t="str">
        <f>HYPERLINK("http://stackoverflow.com/users/7819942", "Xu Weisheng")</f>
        <v>Xu Weisheng</v>
      </c>
      <c r="D20147" t="s">
        <v>25</v>
      </c>
      <c r="E20147">
        <v>1</v>
      </c>
    </row>
    <row r="20148" spans="1:5" x14ac:dyDescent="0.25">
      <c r="A20148">
        <v>20147</v>
      </c>
      <c r="B20148">
        <v>7820246</v>
      </c>
      <c r="C20148" s="1" t="str">
        <f>HYPERLINK("http://stackoverflow.com/users/7820246", "AnalogLamb")</f>
        <v>AnalogLamb</v>
      </c>
      <c r="D20148" t="s">
        <v>1069</v>
      </c>
      <c r="E20148">
        <v>1</v>
      </c>
    </row>
    <row r="20149" spans="1:5" x14ac:dyDescent="0.25">
      <c r="A20149">
        <v>20148</v>
      </c>
      <c r="B20149">
        <v>7820668</v>
      </c>
      <c r="C20149" s="1" t="str">
        <f>HYPERLINK("http://stackoverflow.com/users/7820668", "Wei Dai")</f>
        <v>Wei Dai</v>
      </c>
      <c r="D20149" t="s">
        <v>4</v>
      </c>
      <c r="E20149">
        <v>1</v>
      </c>
    </row>
    <row r="20150" spans="1:5" x14ac:dyDescent="0.25">
      <c r="A20150">
        <v>20149</v>
      </c>
      <c r="B20150">
        <v>7820698</v>
      </c>
      <c r="C20150" s="1" t="str">
        <f>HYPERLINK("http://stackoverflow.com/users/7820698", "money")</f>
        <v>money</v>
      </c>
      <c r="D20150" t="s">
        <v>728</v>
      </c>
      <c r="E20150">
        <v>1</v>
      </c>
    </row>
    <row r="20151" spans="1:5" x14ac:dyDescent="0.25">
      <c r="A20151">
        <v>20150</v>
      </c>
      <c r="B20151">
        <v>9652611</v>
      </c>
      <c r="C20151" s="1" t="str">
        <f>HYPERLINK("http://stackoverflow.com/users/9652611", "Siona")</f>
        <v>Siona</v>
      </c>
      <c r="D20151" t="s">
        <v>13</v>
      </c>
      <c r="E20151">
        <v>1</v>
      </c>
    </row>
    <row r="20152" spans="1:5" x14ac:dyDescent="0.25">
      <c r="A20152">
        <v>20151</v>
      </c>
      <c r="B20152">
        <v>6078068</v>
      </c>
      <c r="C20152" s="1" t="str">
        <f>HYPERLINK("http://stackoverflow.com/users/6078068", "Dipto Roy")</f>
        <v>Dipto Roy</v>
      </c>
      <c r="D20152" t="s">
        <v>348</v>
      </c>
      <c r="E20152">
        <v>1</v>
      </c>
    </row>
    <row r="20153" spans="1:5" x14ac:dyDescent="0.25">
      <c r="A20153">
        <v>20152</v>
      </c>
      <c r="B20153">
        <v>9655830</v>
      </c>
      <c r="C20153" s="1" t="str">
        <f>HYPERLINK("http://stackoverflow.com/users/9655830", "W.Zheng")</f>
        <v>W.Zheng</v>
      </c>
      <c r="D20153" t="s">
        <v>33</v>
      </c>
      <c r="E20153">
        <v>1</v>
      </c>
    </row>
    <row r="20154" spans="1:5" x14ac:dyDescent="0.25">
      <c r="A20154">
        <v>20153</v>
      </c>
      <c r="B20154">
        <v>9656131</v>
      </c>
      <c r="C20154" s="1" t="str">
        <f>HYPERLINK("http://stackoverflow.com/users/9656131", "zhiwei ai")</f>
        <v>zhiwei ai</v>
      </c>
      <c r="D20154" t="s">
        <v>28</v>
      </c>
      <c r="E20154">
        <v>1</v>
      </c>
    </row>
    <row r="20155" spans="1:5" x14ac:dyDescent="0.25">
      <c r="A20155">
        <v>20154</v>
      </c>
      <c r="B20155">
        <v>6081792</v>
      </c>
      <c r="C20155" s="1" t="str">
        <f>HYPERLINK("http://stackoverflow.com/users/6081792", "joey Chou")</f>
        <v>joey Chou</v>
      </c>
      <c r="D20155" t="s">
        <v>29</v>
      </c>
      <c r="E20155">
        <v>1</v>
      </c>
    </row>
    <row r="20156" spans="1:5" x14ac:dyDescent="0.25">
      <c r="A20156">
        <v>20155</v>
      </c>
      <c r="B20156">
        <v>4348228</v>
      </c>
      <c r="C20156" s="1" t="str">
        <f>HYPERLINK("http://stackoverflow.com/users/4348228", "Peter Han")</f>
        <v>Peter Han</v>
      </c>
      <c r="D20156" t="s">
        <v>5</v>
      </c>
      <c r="E20156">
        <v>1</v>
      </c>
    </row>
    <row r="20157" spans="1:5" x14ac:dyDescent="0.25">
      <c r="A20157">
        <v>20156</v>
      </c>
      <c r="B20157">
        <v>9651923</v>
      </c>
      <c r="C20157" s="1" t="str">
        <f>HYPERLINK("http://stackoverflow.com/users/9651923", "ivanscai")</f>
        <v>ivanscai</v>
      </c>
      <c r="D20157" t="s">
        <v>5</v>
      </c>
      <c r="E20157">
        <v>1</v>
      </c>
    </row>
    <row r="20158" spans="1:5" x14ac:dyDescent="0.25">
      <c r="A20158">
        <v>20157</v>
      </c>
      <c r="B20158">
        <v>6075217</v>
      </c>
      <c r="C20158" s="1" t="str">
        <f>HYPERLINK("http://stackoverflow.com/users/6075217", "100pah")</f>
        <v>100pah</v>
      </c>
      <c r="D20158" t="s">
        <v>5</v>
      </c>
      <c r="E20158">
        <v>1</v>
      </c>
    </row>
    <row r="20159" spans="1:5" x14ac:dyDescent="0.25">
      <c r="A20159">
        <v>20158</v>
      </c>
      <c r="B20159">
        <v>2481850</v>
      </c>
      <c r="C20159" s="1" t="str">
        <f>HYPERLINK("http://stackoverflow.com/users/2481850", "huajiahen")</f>
        <v>huajiahen</v>
      </c>
      <c r="D20159" t="s">
        <v>17</v>
      </c>
      <c r="E20159">
        <v>1</v>
      </c>
    </row>
    <row r="20160" spans="1:5" x14ac:dyDescent="0.25">
      <c r="A20160">
        <v>20159</v>
      </c>
      <c r="B20160">
        <v>7847951</v>
      </c>
      <c r="C20160" s="1" t="str">
        <f>HYPERLINK("http://stackoverflow.com/users/7847951", "Sean Zhang")</f>
        <v>Sean Zhang</v>
      </c>
      <c r="D20160" t="s">
        <v>7</v>
      </c>
      <c r="E20160">
        <v>1</v>
      </c>
    </row>
    <row r="20161" spans="1:5" x14ac:dyDescent="0.25">
      <c r="A20161">
        <v>20160</v>
      </c>
      <c r="B20161">
        <v>7847961</v>
      </c>
      <c r="C20161" s="1" t="str">
        <f>HYPERLINK("http://stackoverflow.com/users/7847961", "ZL Wang")</f>
        <v>ZL Wang</v>
      </c>
      <c r="D20161" t="s">
        <v>16</v>
      </c>
      <c r="E20161">
        <v>1</v>
      </c>
    </row>
    <row r="20162" spans="1:5" x14ac:dyDescent="0.25">
      <c r="A20162">
        <v>20161</v>
      </c>
      <c r="B20162">
        <v>7847990</v>
      </c>
      <c r="C20162" s="1" t="str">
        <f>HYPERLINK("http://stackoverflow.com/users/7847990", "dr_wu")</f>
        <v>dr_wu</v>
      </c>
      <c r="D20162" t="s">
        <v>4</v>
      </c>
      <c r="E20162">
        <v>1</v>
      </c>
    </row>
    <row r="20163" spans="1:5" x14ac:dyDescent="0.25">
      <c r="A20163">
        <v>20162</v>
      </c>
      <c r="B20163">
        <v>7848009</v>
      </c>
      <c r="C20163" s="1" t="str">
        <f>HYPERLINK("http://stackoverflow.com/users/7848009", "Cauchy")</f>
        <v>Cauchy</v>
      </c>
      <c r="D20163" t="s">
        <v>131</v>
      </c>
      <c r="E20163">
        <v>1</v>
      </c>
    </row>
    <row r="20164" spans="1:5" x14ac:dyDescent="0.25">
      <c r="A20164">
        <v>20163</v>
      </c>
      <c r="B20164">
        <v>7848030</v>
      </c>
      <c r="C20164" s="1" t="str">
        <f>HYPERLINK("http://stackoverflow.com/users/7848030", "Andyyang")</f>
        <v>Andyyang</v>
      </c>
      <c r="D20164" t="s">
        <v>4</v>
      </c>
      <c r="E20164">
        <v>1</v>
      </c>
    </row>
    <row r="20165" spans="1:5" x14ac:dyDescent="0.25">
      <c r="A20165">
        <v>20164</v>
      </c>
      <c r="B20165">
        <v>7836631</v>
      </c>
      <c r="C20165" s="1" t="str">
        <f>HYPERLINK("http://stackoverflow.com/users/7836631", "MZ.Feng")</f>
        <v>MZ.Feng</v>
      </c>
      <c r="D20165" t="s">
        <v>16</v>
      </c>
      <c r="E20165">
        <v>1</v>
      </c>
    </row>
    <row r="20166" spans="1:5" x14ac:dyDescent="0.25">
      <c r="A20166">
        <v>20165</v>
      </c>
      <c r="B20166">
        <v>7836759</v>
      </c>
      <c r="C20166" s="1" t="str">
        <f>HYPERLINK("http://stackoverflow.com/users/7836759", "IamAusername")</f>
        <v>IamAusername</v>
      </c>
      <c r="D20166" t="s">
        <v>25</v>
      </c>
      <c r="E20166">
        <v>1</v>
      </c>
    </row>
    <row r="20167" spans="1:5" x14ac:dyDescent="0.25">
      <c r="A20167">
        <v>20166</v>
      </c>
      <c r="B20167">
        <v>4341768</v>
      </c>
      <c r="C20167" s="1" t="str">
        <f>HYPERLINK("http://stackoverflow.com/users/4341768", "singchao")</f>
        <v>singchao</v>
      </c>
      <c r="D20167" t="s">
        <v>5</v>
      </c>
      <c r="E20167">
        <v>1</v>
      </c>
    </row>
    <row r="20168" spans="1:5" x14ac:dyDescent="0.25">
      <c r="A20168">
        <v>20167</v>
      </c>
      <c r="B20168">
        <v>9645064</v>
      </c>
      <c r="C20168" s="1" t="str">
        <f>HYPERLINK("http://stackoverflow.com/users/9645064", "Chalone Rochester")</f>
        <v>Chalone Rochester</v>
      </c>
      <c r="D20168" t="s">
        <v>4</v>
      </c>
      <c r="E20168">
        <v>1</v>
      </c>
    </row>
    <row r="20169" spans="1:5" x14ac:dyDescent="0.25">
      <c r="A20169">
        <v>20168</v>
      </c>
      <c r="B20169">
        <v>7840661</v>
      </c>
      <c r="C20169" s="1" t="str">
        <f>HYPERLINK("http://stackoverflow.com/users/7840661", "Cherry")</f>
        <v>Cherry</v>
      </c>
      <c r="D20169" t="s">
        <v>5</v>
      </c>
      <c r="E20169">
        <v>1</v>
      </c>
    </row>
    <row r="20170" spans="1:5" x14ac:dyDescent="0.25">
      <c r="A20170">
        <v>20169</v>
      </c>
      <c r="B20170">
        <v>6075510</v>
      </c>
      <c r="C20170" s="1" t="str">
        <f>HYPERLINK("http://stackoverflow.com/users/6075510", "Peter Cao")</f>
        <v>Peter Cao</v>
      </c>
      <c r="D20170" t="s">
        <v>4</v>
      </c>
      <c r="E20170">
        <v>1</v>
      </c>
    </row>
    <row r="20171" spans="1:5" x14ac:dyDescent="0.25">
      <c r="A20171">
        <v>20170</v>
      </c>
      <c r="B20171">
        <v>6075872</v>
      </c>
      <c r="C20171" s="1" t="str">
        <f>HYPERLINK("http://stackoverflow.com/users/6075872", "Ziyang Xu")</f>
        <v>Ziyang Xu</v>
      </c>
      <c r="D20171" t="s">
        <v>5</v>
      </c>
      <c r="E20171">
        <v>1</v>
      </c>
    </row>
    <row r="20172" spans="1:5" x14ac:dyDescent="0.25">
      <c r="A20172">
        <v>20171</v>
      </c>
      <c r="B20172">
        <v>7843484</v>
      </c>
      <c r="C20172" s="1" t="str">
        <f>HYPERLINK("http://stackoverflow.com/users/7843484", "Michael Derstroff")</f>
        <v>Michael Derstroff</v>
      </c>
      <c r="D20172" t="s">
        <v>4</v>
      </c>
      <c r="E20172">
        <v>1</v>
      </c>
    </row>
    <row r="20173" spans="1:5" x14ac:dyDescent="0.25">
      <c r="A20173">
        <v>20172</v>
      </c>
      <c r="B20173">
        <v>6069701</v>
      </c>
      <c r="C20173" s="1" t="str">
        <f>HYPERLINK("http://stackoverflow.com/users/6069701", "Joy Tang")</f>
        <v>Joy Tang</v>
      </c>
      <c r="D20173" t="s">
        <v>28</v>
      </c>
      <c r="E20173">
        <v>1</v>
      </c>
    </row>
    <row r="20174" spans="1:5" x14ac:dyDescent="0.25">
      <c r="A20174">
        <v>20173</v>
      </c>
      <c r="B20174">
        <v>6069104</v>
      </c>
      <c r="C20174" s="1" t="str">
        <f>HYPERLINK("http://stackoverflow.com/users/6069104", "YANG")</f>
        <v>YANG</v>
      </c>
      <c r="D20174" t="s">
        <v>16</v>
      </c>
      <c r="E20174">
        <v>1</v>
      </c>
    </row>
    <row r="20175" spans="1:5" x14ac:dyDescent="0.25">
      <c r="A20175">
        <v>20174</v>
      </c>
      <c r="B20175">
        <v>6069208</v>
      </c>
      <c r="C20175" s="1" t="str">
        <f>HYPERLINK("http://stackoverflow.com/users/6069208", "Luke Du")</f>
        <v>Luke Du</v>
      </c>
      <c r="D20175" t="s">
        <v>28</v>
      </c>
      <c r="E20175">
        <v>1</v>
      </c>
    </row>
    <row r="20176" spans="1:5" x14ac:dyDescent="0.25">
      <c r="A20176">
        <v>20175</v>
      </c>
      <c r="B20176">
        <v>7835529</v>
      </c>
      <c r="C20176" s="1" t="str">
        <f>HYPERLINK("http://stackoverflow.com/users/7835529", "Stephen King")</f>
        <v>Stephen King</v>
      </c>
      <c r="D20176" t="s">
        <v>7</v>
      </c>
      <c r="E20176">
        <v>1</v>
      </c>
    </row>
    <row r="20177" spans="1:5" x14ac:dyDescent="0.25">
      <c r="A20177">
        <v>20176</v>
      </c>
      <c r="B20177">
        <v>2466258</v>
      </c>
      <c r="C20177" s="1" t="str">
        <f>HYPERLINK("http://stackoverflow.com/users/2466258", "Ring Wang")</f>
        <v>Ring Wang</v>
      </c>
      <c r="D20177" t="s">
        <v>5</v>
      </c>
      <c r="E20177">
        <v>1</v>
      </c>
    </row>
    <row r="20178" spans="1:5" x14ac:dyDescent="0.25">
      <c r="A20178">
        <v>20177</v>
      </c>
      <c r="B20178">
        <v>2466286</v>
      </c>
      <c r="C20178" s="1" t="str">
        <f>HYPERLINK("http://stackoverflow.com/users/2466286", "sleenake")</f>
        <v>sleenake</v>
      </c>
      <c r="D20178" t="s">
        <v>5</v>
      </c>
      <c r="E20178">
        <v>1</v>
      </c>
    </row>
    <row r="20179" spans="1:5" x14ac:dyDescent="0.25">
      <c r="A20179">
        <v>20178</v>
      </c>
      <c r="B20179">
        <v>6085146</v>
      </c>
      <c r="C20179" s="1" t="str">
        <f>HYPERLINK("http://stackoverflow.com/users/6085146", "Augus")</f>
        <v>Augus</v>
      </c>
      <c r="D20179" t="s">
        <v>184</v>
      </c>
      <c r="E20179">
        <v>1</v>
      </c>
    </row>
    <row r="20180" spans="1:5" x14ac:dyDescent="0.25">
      <c r="A20180">
        <v>20179</v>
      </c>
      <c r="B20180">
        <v>7859405</v>
      </c>
      <c r="C20180" s="1" t="str">
        <f>HYPERLINK("http://stackoverflow.com/users/7859405", "Xi Luo")</f>
        <v>Xi Luo</v>
      </c>
      <c r="D20180" t="s">
        <v>25</v>
      </c>
      <c r="E20180">
        <v>1</v>
      </c>
    </row>
    <row r="20181" spans="1:5" x14ac:dyDescent="0.25">
      <c r="A20181">
        <v>20180</v>
      </c>
      <c r="B20181">
        <v>7859632</v>
      </c>
      <c r="C20181" s="1" t="str">
        <f>HYPERLINK("http://stackoverflow.com/users/7859632", "QingChang Li")</f>
        <v>QingChang Li</v>
      </c>
      <c r="D20181" t="s">
        <v>7</v>
      </c>
      <c r="E20181">
        <v>1</v>
      </c>
    </row>
    <row r="20182" spans="1:5" x14ac:dyDescent="0.25">
      <c r="A20182">
        <v>20181</v>
      </c>
      <c r="B20182">
        <v>7859637</v>
      </c>
      <c r="C20182" s="1" t="str">
        <f>HYPERLINK("http://stackoverflow.com/users/7859637", "Cameron Lee")</f>
        <v>Cameron Lee</v>
      </c>
      <c r="D20182" t="s">
        <v>5</v>
      </c>
      <c r="E20182">
        <v>1</v>
      </c>
    </row>
    <row r="20183" spans="1:5" x14ac:dyDescent="0.25">
      <c r="A20183">
        <v>20182</v>
      </c>
      <c r="B20183">
        <v>7855611</v>
      </c>
      <c r="C20183" s="1" t="str">
        <f>HYPERLINK("http://stackoverflow.com/users/7855611", "MathactwFX")</f>
        <v>MathactwFX</v>
      </c>
      <c r="D20183" t="s">
        <v>4</v>
      </c>
      <c r="E20183">
        <v>1</v>
      </c>
    </row>
    <row r="20184" spans="1:5" x14ac:dyDescent="0.25">
      <c r="A20184">
        <v>20183</v>
      </c>
      <c r="B20184">
        <v>7856215</v>
      </c>
      <c r="C20184" s="1" t="str">
        <f>HYPERLINK("http://stackoverflow.com/users/7856215", "WHU.ZYC")</f>
        <v>WHU.ZYC</v>
      </c>
      <c r="D20184" t="s">
        <v>266</v>
      </c>
      <c r="E20184">
        <v>1</v>
      </c>
    </row>
    <row r="20185" spans="1:5" x14ac:dyDescent="0.25">
      <c r="A20185">
        <v>20184</v>
      </c>
      <c r="B20185">
        <v>6089654</v>
      </c>
      <c r="C20185" s="1" t="str">
        <f>HYPERLINK("http://stackoverflow.com/users/6089654", "Jason Tao")</f>
        <v>Jason Tao</v>
      </c>
      <c r="D20185" t="s">
        <v>4</v>
      </c>
      <c r="E20185">
        <v>1</v>
      </c>
    </row>
    <row r="20186" spans="1:5" x14ac:dyDescent="0.25">
      <c r="A20186">
        <v>20185</v>
      </c>
      <c r="B20186">
        <v>6089695</v>
      </c>
      <c r="C20186" s="1" t="str">
        <f>HYPERLINK("http://stackoverflow.com/users/6089695", "Yi Xiao yuan")</f>
        <v>Yi Xiao yuan</v>
      </c>
      <c r="D20186" t="s">
        <v>91</v>
      </c>
      <c r="E20186">
        <v>1</v>
      </c>
    </row>
    <row r="20187" spans="1:5" x14ac:dyDescent="0.25">
      <c r="A20187">
        <v>20186</v>
      </c>
      <c r="B20187">
        <v>6089794</v>
      </c>
      <c r="C20187" s="1" t="str">
        <f>HYPERLINK("http://stackoverflow.com/users/6089794", "Hui F")</f>
        <v>Hui F</v>
      </c>
      <c r="D20187" t="s">
        <v>5</v>
      </c>
      <c r="E20187">
        <v>1</v>
      </c>
    </row>
    <row r="20188" spans="1:5" x14ac:dyDescent="0.25">
      <c r="A20188">
        <v>20187</v>
      </c>
      <c r="B20188">
        <v>6089931</v>
      </c>
      <c r="C20188" s="1" t="str">
        <f>HYPERLINK("http://stackoverflow.com/users/6089931", "Liuonion")</f>
        <v>Liuonion</v>
      </c>
      <c r="D20188" t="s">
        <v>5</v>
      </c>
      <c r="E20188">
        <v>1</v>
      </c>
    </row>
    <row r="20189" spans="1:5" x14ac:dyDescent="0.25">
      <c r="A20189">
        <v>20188</v>
      </c>
      <c r="B20189">
        <v>9664874</v>
      </c>
      <c r="C20189" s="1" t="str">
        <f>HYPERLINK("http://stackoverflow.com/users/9664874", "JIAWEI ZHANG")</f>
        <v>JIAWEI ZHANG</v>
      </c>
      <c r="D20189" t="s">
        <v>5</v>
      </c>
      <c r="E20189">
        <v>1</v>
      </c>
    </row>
    <row r="20190" spans="1:5" x14ac:dyDescent="0.25">
      <c r="A20190">
        <v>20189</v>
      </c>
      <c r="B20190">
        <v>9665029</v>
      </c>
      <c r="C20190" s="1" t="str">
        <f>HYPERLINK("http://stackoverflow.com/users/9665029", "Tianlong Li")</f>
        <v>Tianlong Li</v>
      </c>
      <c r="D20190" t="s">
        <v>133</v>
      </c>
      <c r="E20190">
        <v>1</v>
      </c>
    </row>
    <row r="20191" spans="1:5" x14ac:dyDescent="0.25">
      <c r="A20191">
        <v>20190</v>
      </c>
      <c r="B20191">
        <v>138648</v>
      </c>
      <c r="C20191" s="1" t="str">
        <f>HYPERLINK("http://stackoverflow.com/users/138648", "Marc Dong")</f>
        <v>Marc Dong</v>
      </c>
      <c r="D20191" t="s">
        <v>4</v>
      </c>
      <c r="E20191">
        <v>1</v>
      </c>
    </row>
    <row r="20192" spans="1:5" x14ac:dyDescent="0.25">
      <c r="A20192">
        <v>20191</v>
      </c>
      <c r="B20192">
        <v>9668371</v>
      </c>
      <c r="C20192" s="1" t="str">
        <f>HYPERLINK("http://stackoverflow.com/users/9668371", "JustNeedCoffee")</f>
        <v>JustNeedCoffee</v>
      </c>
      <c r="D20192" t="s">
        <v>1070</v>
      </c>
      <c r="E20192">
        <v>1</v>
      </c>
    </row>
    <row r="20193" spans="1:5" x14ac:dyDescent="0.25">
      <c r="A20193">
        <v>20192</v>
      </c>
      <c r="B20193">
        <v>9668552</v>
      </c>
      <c r="C20193" s="1" t="str">
        <f>HYPERLINK("http://stackoverflow.com/users/9668552", "D.Guo")</f>
        <v>D.Guo</v>
      </c>
      <c r="D20193" t="s">
        <v>546</v>
      </c>
      <c r="E20193">
        <v>1</v>
      </c>
    </row>
    <row r="20194" spans="1:5" x14ac:dyDescent="0.25">
      <c r="A20194">
        <v>20193</v>
      </c>
      <c r="B20194">
        <v>9668569</v>
      </c>
      <c r="C20194" s="1" t="str">
        <f>HYPERLINK("http://stackoverflow.com/users/9668569", "MoogleAndChocobo")</f>
        <v>MoogleAndChocobo</v>
      </c>
      <c r="D20194" t="s">
        <v>25</v>
      </c>
      <c r="E20194">
        <v>1</v>
      </c>
    </row>
    <row r="20195" spans="1:5" x14ac:dyDescent="0.25">
      <c r="A20195">
        <v>20194</v>
      </c>
      <c r="B20195">
        <v>6093622</v>
      </c>
      <c r="C20195" s="1" t="str">
        <f>HYPERLINK("http://stackoverflow.com/users/6093622", "Huayin Pan")</f>
        <v>Huayin Pan</v>
      </c>
      <c r="D20195" t="s">
        <v>16</v>
      </c>
      <c r="E20195">
        <v>1</v>
      </c>
    </row>
    <row r="20196" spans="1:5" x14ac:dyDescent="0.25">
      <c r="A20196">
        <v>20195</v>
      </c>
      <c r="B20196">
        <v>6093753</v>
      </c>
      <c r="C20196" s="1" t="str">
        <f>HYPERLINK("http://stackoverflow.com/users/6093753", "Bingo Zhang")</f>
        <v>Bingo Zhang</v>
      </c>
      <c r="D20196" t="s">
        <v>4</v>
      </c>
      <c r="E20196">
        <v>1</v>
      </c>
    </row>
    <row r="20197" spans="1:5" x14ac:dyDescent="0.25">
      <c r="A20197">
        <v>20196</v>
      </c>
      <c r="B20197">
        <v>6114235</v>
      </c>
      <c r="C20197" s="1" t="str">
        <f>HYPERLINK("http://stackoverflow.com/users/6114235", "Useree")</f>
        <v>Useree</v>
      </c>
      <c r="D20197" t="s">
        <v>4</v>
      </c>
      <c r="E20197">
        <v>1</v>
      </c>
    </row>
    <row r="20198" spans="1:5" x14ac:dyDescent="0.25">
      <c r="A20198">
        <v>20197</v>
      </c>
      <c r="B20198">
        <v>6114591</v>
      </c>
      <c r="C20198" s="1" t="str">
        <f>HYPERLINK("http://stackoverflow.com/users/6114591", "Ocean Xu")</f>
        <v>Ocean Xu</v>
      </c>
      <c r="D20198" t="s">
        <v>19</v>
      </c>
      <c r="E20198">
        <v>1</v>
      </c>
    </row>
    <row r="20199" spans="1:5" x14ac:dyDescent="0.25">
      <c r="A20199">
        <v>20198</v>
      </c>
      <c r="B20199">
        <v>9695837</v>
      </c>
      <c r="C20199" s="1" t="str">
        <f>HYPERLINK("http://stackoverflow.com/users/9695837", "Carra Zhou")</f>
        <v>Carra Zhou</v>
      </c>
      <c r="D20199" t="s">
        <v>4</v>
      </c>
      <c r="E20199">
        <v>1</v>
      </c>
    </row>
    <row r="20200" spans="1:5" x14ac:dyDescent="0.25">
      <c r="A20200">
        <v>20199</v>
      </c>
      <c r="B20200">
        <v>7886620</v>
      </c>
      <c r="C20200" s="1" t="str">
        <f>HYPERLINK("http://stackoverflow.com/users/7886620", "kinw Wong")</f>
        <v>kinw Wong</v>
      </c>
      <c r="D20200" t="s">
        <v>135</v>
      </c>
      <c r="E20200">
        <v>1</v>
      </c>
    </row>
    <row r="20201" spans="1:5" x14ac:dyDescent="0.25">
      <c r="A20201">
        <v>20200</v>
      </c>
      <c r="B20201">
        <v>4388089</v>
      </c>
      <c r="C20201" s="1" t="str">
        <f>HYPERLINK("http://stackoverflow.com/users/4388089", "Chen")</f>
        <v>Chen</v>
      </c>
      <c r="D20201" t="s">
        <v>5</v>
      </c>
      <c r="E20201">
        <v>1</v>
      </c>
    </row>
    <row r="20202" spans="1:5" x14ac:dyDescent="0.25">
      <c r="A20202">
        <v>20201</v>
      </c>
      <c r="B20202">
        <v>7879326</v>
      </c>
      <c r="C20202" s="1" t="str">
        <f>HYPERLINK("http://stackoverflow.com/users/7879326", "Liang Tang - flagman")</f>
        <v>Liang Tang - flagman</v>
      </c>
      <c r="D20202" t="s">
        <v>4</v>
      </c>
      <c r="E20202">
        <v>1</v>
      </c>
    </row>
    <row r="20203" spans="1:5" x14ac:dyDescent="0.25">
      <c r="A20203">
        <v>20202</v>
      </c>
      <c r="B20203">
        <v>4382645</v>
      </c>
      <c r="C20203" s="1" t="str">
        <f>HYPERLINK("http://stackoverflow.com/users/4382645", "LZG")</f>
        <v>LZG</v>
      </c>
      <c r="D20203" t="s">
        <v>5</v>
      </c>
      <c r="E20203">
        <v>1</v>
      </c>
    </row>
    <row r="20204" spans="1:5" x14ac:dyDescent="0.25">
      <c r="A20204">
        <v>20203</v>
      </c>
      <c r="B20204">
        <v>9689027</v>
      </c>
      <c r="C20204" s="1" t="str">
        <f>HYPERLINK("http://stackoverflow.com/users/9689027", "Kremata")</f>
        <v>Kremata</v>
      </c>
      <c r="D20204" t="s">
        <v>4</v>
      </c>
      <c r="E20204">
        <v>1</v>
      </c>
    </row>
    <row r="20205" spans="1:5" x14ac:dyDescent="0.25">
      <c r="A20205">
        <v>20204</v>
      </c>
      <c r="B20205">
        <v>9689354</v>
      </c>
      <c r="C20205" s="1" t="str">
        <f>HYPERLINK("http://stackoverflow.com/users/9689354", "Gary.Z")</f>
        <v>Gary.Z</v>
      </c>
      <c r="D20205" t="s">
        <v>5</v>
      </c>
      <c r="E20205">
        <v>1</v>
      </c>
    </row>
    <row r="20206" spans="1:5" x14ac:dyDescent="0.25">
      <c r="A20206">
        <v>20205</v>
      </c>
      <c r="B20206">
        <v>9689536</v>
      </c>
      <c r="C20206" s="1" t="str">
        <f>HYPERLINK("http://stackoverflow.com/users/9689536", "KindMan")</f>
        <v>KindMan</v>
      </c>
      <c r="D20206" t="s">
        <v>4</v>
      </c>
      <c r="E20206">
        <v>1</v>
      </c>
    </row>
    <row r="20207" spans="1:5" x14ac:dyDescent="0.25">
      <c r="A20207">
        <v>20206</v>
      </c>
      <c r="B20207">
        <v>9701219</v>
      </c>
      <c r="C20207" s="1" t="str">
        <f>HYPERLINK("http://stackoverflow.com/users/9701219", "陈迪茂")</f>
        <v>陈迪茂</v>
      </c>
      <c r="D20207" t="s">
        <v>52</v>
      </c>
      <c r="E20207">
        <v>1</v>
      </c>
    </row>
    <row r="20208" spans="1:5" x14ac:dyDescent="0.25">
      <c r="A20208">
        <v>20207</v>
      </c>
      <c r="B20208">
        <v>9701332</v>
      </c>
      <c r="C20208" s="1" t="str">
        <f>HYPERLINK("http://stackoverflow.com/users/9701332", "huoyin")</f>
        <v>huoyin</v>
      </c>
      <c r="D20208" t="s">
        <v>5</v>
      </c>
      <c r="E20208">
        <v>1</v>
      </c>
    </row>
    <row r="20209" spans="1:5" x14ac:dyDescent="0.25">
      <c r="A20209">
        <v>20208</v>
      </c>
      <c r="B20209">
        <v>6123999</v>
      </c>
      <c r="C20209" s="1" t="str">
        <f>HYPERLINK("http://stackoverflow.com/users/6123999", "Jingcheng Zhang")</f>
        <v>Jingcheng Zhang</v>
      </c>
      <c r="D20209" t="s">
        <v>5</v>
      </c>
      <c r="E20209">
        <v>1</v>
      </c>
    </row>
    <row r="20210" spans="1:5" x14ac:dyDescent="0.25">
      <c r="A20210">
        <v>20209</v>
      </c>
      <c r="B20210">
        <v>6124124</v>
      </c>
      <c r="C20210" s="1" t="str">
        <f>HYPERLINK("http://stackoverflow.com/users/6124124", "黄朝辉")</f>
        <v>黄朝辉</v>
      </c>
      <c r="D20210" t="s">
        <v>1071</v>
      </c>
      <c r="E20210">
        <v>1</v>
      </c>
    </row>
    <row r="20211" spans="1:5" x14ac:dyDescent="0.25">
      <c r="A20211">
        <v>20210</v>
      </c>
      <c r="B20211">
        <v>4394772</v>
      </c>
      <c r="C20211" s="1" t="str">
        <f>HYPERLINK("http://stackoverflow.com/users/4394772", "Jack Zhang")</f>
        <v>Jack Zhang</v>
      </c>
      <c r="D20211" t="s">
        <v>5</v>
      </c>
      <c r="E20211">
        <v>1</v>
      </c>
    </row>
    <row r="20212" spans="1:5" x14ac:dyDescent="0.25">
      <c r="A20212">
        <v>20211</v>
      </c>
      <c r="B20212">
        <v>9696505</v>
      </c>
      <c r="C20212" s="1" t="str">
        <f>HYPERLINK("http://stackoverflow.com/users/9696505", "空灵入耳")</f>
        <v>空灵入耳</v>
      </c>
      <c r="D20212" t="s">
        <v>118</v>
      </c>
      <c r="E20212">
        <v>1</v>
      </c>
    </row>
    <row r="20213" spans="1:5" x14ac:dyDescent="0.25">
      <c r="A20213">
        <v>20212</v>
      </c>
      <c r="B20213">
        <v>2526375</v>
      </c>
      <c r="C20213" s="1" t="str">
        <f>HYPERLINK("http://stackoverflow.com/users/2526375", "Vian")</f>
        <v>Vian</v>
      </c>
      <c r="D20213" t="s">
        <v>38</v>
      </c>
      <c r="E20213">
        <v>1</v>
      </c>
    </row>
    <row r="20214" spans="1:5" x14ac:dyDescent="0.25">
      <c r="A20214">
        <v>20213</v>
      </c>
      <c r="B20214">
        <v>2526387</v>
      </c>
      <c r="C20214" s="1" t="str">
        <f>HYPERLINK("http://stackoverflow.com/users/2526387", "Yanhui Ma")</f>
        <v>Yanhui Ma</v>
      </c>
      <c r="D20214" t="s">
        <v>5</v>
      </c>
      <c r="E20214">
        <v>1</v>
      </c>
    </row>
    <row r="20215" spans="1:5" x14ac:dyDescent="0.25">
      <c r="A20215">
        <v>20214</v>
      </c>
      <c r="B20215">
        <v>9704231</v>
      </c>
      <c r="C20215" s="1" t="str">
        <f>HYPERLINK("http://stackoverflow.com/users/9704231", "yao tao")</f>
        <v>yao tao</v>
      </c>
      <c r="D20215" t="s">
        <v>4</v>
      </c>
      <c r="E20215">
        <v>1</v>
      </c>
    </row>
    <row r="20216" spans="1:5" x14ac:dyDescent="0.25">
      <c r="A20216">
        <v>20215</v>
      </c>
      <c r="B20216">
        <v>7893885</v>
      </c>
      <c r="C20216" s="1" t="str">
        <f>HYPERLINK("http://stackoverflow.com/users/7893885", "di jiang")</f>
        <v>di jiang</v>
      </c>
      <c r="D20216" t="s">
        <v>55</v>
      </c>
      <c r="E20216">
        <v>1</v>
      </c>
    </row>
    <row r="20217" spans="1:5" x14ac:dyDescent="0.25">
      <c r="A20217">
        <v>20216</v>
      </c>
      <c r="B20217">
        <v>7894044</v>
      </c>
      <c r="C20217" s="1" t="str">
        <f>HYPERLINK("http://stackoverflow.com/users/7894044", "Justin Wu")</f>
        <v>Justin Wu</v>
      </c>
      <c r="D20217" t="s">
        <v>1072</v>
      </c>
      <c r="E20217">
        <v>1</v>
      </c>
    </row>
    <row r="20218" spans="1:5" x14ac:dyDescent="0.25">
      <c r="A20218">
        <v>20217</v>
      </c>
      <c r="B20218">
        <v>7894083</v>
      </c>
      <c r="C20218" s="1" t="str">
        <f>HYPERLINK("http://stackoverflow.com/users/7894083", "A.liang")</f>
        <v>A.liang</v>
      </c>
      <c r="D20218" t="s">
        <v>5</v>
      </c>
      <c r="E20218">
        <v>1</v>
      </c>
    </row>
    <row r="20219" spans="1:5" x14ac:dyDescent="0.25">
      <c r="A20219">
        <v>20218</v>
      </c>
      <c r="B20219">
        <v>7894143</v>
      </c>
      <c r="C20219" s="1" t="str">
        <f>HYPERLINK("http://stackoverflow.com/users/7894143", "Chao Huang")</f>
        <v>Chao Huang</v>
      </c>
      <c r="D20219" t="s">
        <v>25</v>
      </c>
      <c r="E20219">
        <v>1</v>
      </c>
    </row>
    <row r="20220" spans="1:5" x14ac:dyDescent="0.25">
      <c r="A20220">
        <v>20219</v>
      </c>
      <c r="B20220">
        <v>7894439</v>
      </c>
      <c r="C20220" s="1" t="str">
        <f>HYPERLINK("http://stackoverflow.com/users/7894439", "user7894439")</f>
        <v>user7894439</v>
      </c>
      <c r="D20220" t="s">
        <v>389</v>
      </c>
      <c r="E20220">
        <v>1</v>
      </c>
    </row>
    <row r="20221" spans="1:5" x14ac:dyDescent="0.25">
      <c r="A20221">
        <v>20220</v>
      </c>
      <c r="B20221">
        <v>7894515</v>
      </c>
      <c r="C20221" s="1" t="str">
        <f>HYPERLINK("http://stackoverflow.com/users/7894515", "Joan Jia")</f>
        <v>Joan Jia</v>
      </c>
      <c r="D20221" t="s">
        <v>4</v>
      </c>
      <c r="E20221">
        <v>1</v>
      </c>
    </row>
    <row r="20222" spans="1:5" x14ac:dyDescent="0.25">
      <c r="A20222">
        <v>20221</v>
      </c>
      <c r="B20222">
        <v>6107499</v>
      </c>
      <c r="C20222" s="1" t="str">
        <f>HYPERLINK("http://stackoverflow.com/users/6107499", "CoolYvonne")</f>
        <v>CoolYvonne</v>
      </c>
      <c r="D20222" t="s">
        <v>4</v>
      </c>
      <c r="E20222">
        <v>1</v>
      </c>
    </row>
    <row r="20223" spans="1:5" x14ac:dyDescent="0.25">
      <c r="A20223">
        <v>20222</v>
      </c>
      <c r="B20223">
        <v>6107593</v>
      </c>
      <c r="C20223" s="1" t="str">
        <f>HYPERLINK("http://stackoverflow.com/users/6107593", "杨延生")</f>
        <v>杨延生</v>
      </c>
      <c r="D20223" t="s">
        <v>7</v>
      </c>
      <c r="E20223">
        <v>1</v>
      </c>
    </row>
    <row r="20224" spans="1:5" x14ac:dyDescent="0.25">
      <c r="A20224">
        <v>20223</v>
      </c>
      <c r="B20224">
        <v>6107792</v>
      </c>
      <c r="C20224" s="1" t="str">
        <f>HYPERLINK("http://stackoverflow.com/users/6107792", "Michael Heisenberg")</f>
        <v>Michael Heisenberg</v>
      </c>
      <c r="D20224" t="s">
        <v>5</v>
      </c>
      <c r="E20224">
        <v>1</v>
      </c>
    </row>
    <row r="20225" spans="1:5" x14ac:dyDescent="0.25">
      <c r="A20225">
        <v>20224</v>
      </c>
      <c r="B20225">
        <v>7876350</v>
      </c>
      <c r="C20225" s="1" t="str">
        <f>HYPERLINK("http://stackoverflow.com/users/7876350", "zcwcjj")</f>
        <v>zcwcjj</v>
      </c>
      <c r="D20225" t="s">
        <v>55</v>
      </c>
      <c r="E20225">
        <v>1</v>
      </c>
    </row>
    <row r="20226" spans="1:5" x14ac:dyDescent="0.25">
      <c r="A20226">
        <v>20225</v>
      </c>
      <c r="B20226">
        <v>7876380</v>
      </c>
      <c r="C20226" s="1" t="str">
        <f>HYPERLINK("http://stackoverflow.com/users/7876380", "Kai Xie")</f>
        <v>Kai Xie</v>
      </c>
      <c r="D20226" t="s">
        <v>131</v>
      </c>
      <c r="E20226">
        <v>1</v>
      </c>
    </row>
    <row r="20227" spans="1:5" x14ac:dyDescent="0.25">
      <c r="A20227">
        <v>20226</v>
      </c>
      <c r="B20227">
        <v>7876399</v>
      </c>
      <c r="C20227" s="1" t="str">
        <f>HYPERLINK("http://stackoverflow.com/users/7876399", "jiwon kam")</f>
        <v>jiwon kam</v>
      </c>
      <c r="D20227" t="s">
        <v>33</v>
      </c>
      <c r="E20227">
        <v>1</v>
      </c>
    </row>
    <row r="20228" spans="1:5" x14ac:dyDescent="0.25">
      <c r="A20228">
        <v>20227</v>
      </c>
      <c r="B20228">
        <v>7876613</v>
      </c>
      <c r="C20228" s="1" t="str">
        <f>HYPERLINK("http://stackoverflow.com/users/7876613", "LeeJiangLee")</f>
        <v>LeeJiangLee</v>
      </c>
      <c r="D20228" t="s">
        <v>4</v>
      </c>
      <c r="E20228">
        <v>1</v>
      </c>
    </row>
    <row r="20229" spans="1:5" x14ac:dyDescent="0.25">
      <c r="A20229">
        <v>20228</v>
      </c>
      <c r="B20229">
        <v>9685398</v>
      </c>
      <c r="C20229" s="1" t="str">
        <f>HYPERLINK("http://stackoverflow.com/users/9685398", "anthony hoo")</f>
        <v>anthony hoo</v>
      </c>
      <c r="D20229" t="s">
        <v>29</v>
      </c>
      <c r="E20229">
        <v>1</v>
      </c>
    </row>
    <row r="20230" spans="1:5" x14ac:dyDescent="0.25">
      <c r="A20230">
        <v>20229</v>
      </c>
      <c r="B20230">
        <v>9685403</v>
      </c>
      <c r="C20230" s="1" t="str">
        <f>HYPERLINK("http://stackoverflow.com/users/9685403", "Huang Iris")</f>
        <v>Huang Iris</v>
      </c>
      <c r="D20230" t="s">
        <v>4</v>
      </c>
      <c r="E20230">
        <v>1</v>
      </c>
    </row>
    <row r="20231" spans="1:5" x14ac:dyDescent="0.25">
      <c r="A20231">
        <v>20230</v>
      </c>
      <c r="B20231">
        <v>9685418</v>
      </c>
      <c r="C20231" s="1" t="str">
        <f>HYPERLINK("http://stackoverflow.com/users/9685418", "Vicky Lu")</f>
        <v>Vicky Lu</v>
      </c>
      <c r="D20231" t="s">
        <v>4</v>
      </c>
      <c r="E20231">
        <v>1</v>
      </c>
    </row>
    <row r="20232" spans="1:5" x14ac:dyDescent="0.25">
      <c r="A20232">
        <v>20231</v>
      </c>
      <c r="B20232">
        <v>6104578</v>
      </c>
      <c r="C20232" s="1" t="str">
        <f>HYPERLINK("http://stackoverflow.com/users/6104578", "colbydaly")</f>
        <v>colbydaly</v>
      </c>
      <c r="D20232" t="s">
        <v>1073</v>
      </c>
      <c r="E20232">
        <v>1</v>
      </c>
    </row>
    <row r="20233" spans="1:5" x14ac:dyDescent="0.25">
      <c r="A20233">
        <v>20232</v>
      </c>
      <c r="B20233">
        <v>6107327</v>
      </c>
      <c r="C20233" s="1" t="str">
        <f>HYPERLINK("http://stackoverflow.com/users/6107327", "KKK")</f>
        <v>KKK</v>
      </c>
      <c r="D20233" t="s">
        <v>7</v>
      </c>
      <c r="E20233">
        <v>1</v>
      </c>
    </row>
    <row r="20234" spans="1:5" x14ac:dyDescent="0.25">
      <c r="A20234">
        <v>20233</v>
      </c>
      <c r="B20234">
        <v>7869941</v>
      </c>
      <c r="C20234" s="1" t="str">
        <f>HYPERLINK("http://stackoverflow.com/users/7869941", "sunranlb")</f>
        <v>sunranlb</v>
      </c>
      <c r="D20234" t="s">
        <v>5</v>
      </c>
      <c r="E20234">
        <v>1</v>
      </c>
    </row>
    <row r="20235" spans="1:5" x14ac:dyDescent="0.25">
      <c r="A20235">
        <v>20234</v>
      </c>
      <c r="B20235">
        <v>7870045</v>
      </c>
      <c r="C20235" s="1" t="str">
        <f>HYPERLINK("http://stackoverflow.com/users/7870045", "WBY_chinese")</f>
        <v>WBY_chinese</v>
      </c>
      <c r="D20235" t="s">
        <v>55</v>
      </c>
      <c r="E20235">
        <v>1</v>
      </c>
    </row>
    <row r="20236" spans="1:5" x14ac:dyDescent="0.25">
      <c r="A20236">
        <v>20235</v>
      </c>
      <c r="B20236">
        <v>7870142</v>
      </c>
      <c r="C20236" s="1" t="str">
        <f>HYPERLINK("http://stackoverflow.com/users/7870142", "Hance Wu")</f>
        <v>Hance Wu</v>
      </c>
      <c r="D20236" t="s">
        <v>118</v>
      </c>
      <c r="E20236">
        <v>1</v>
      </c>
    </row>
    <row r="20237" spans="1:5" x14ac:dyDescent="0.25">
      <c r="A20237">
        <v>20236</v>
      </c>
      <c r="B20237">
        <v>9681426</v>
      </c>
      <c r="C20237" s="1" t="str">
        <f>HYPERLINK("http://stackoverflow.com/users/9681426", "邢林冬")</f>
        <v>邢林冬</v>
      </c>
      <c r="D20237" t="s">
        <v>5</v>
      </c>
      <c r="E20237">
        <v>1</v>
      </c>
    </row>
    <row r="20238" spans="1:5" x14ac:dyDescent="0.25">
      <c r="A20238">
        <v>20237</v>
      </c>
      <c r="B20238">
        <v>9681878</v>
      </c>
      <c r="C20238" s="1" t="str">
        <f>HYPERLINK("http://stackoverflow.com/users/9681878", "Sticker")</f>
        <v>Sticker</v>
      </c>
      <c r="D20238" t="s">
        <v>5</v>
      </c>
      <c r="E20238">
        <v>1</v>
      </c>
    </row>
    <row r="20239" spans="1:5" x14ac:dyDescent="0.25">
      <c r="A20239">
        <v>20238</v>
      </c>
      <c r="B20239">
        <v>7872900</v>
      </c>
      <c r="C20239" s="1" t="str">
        <f>HYPERLINK("http://stackoverflow.com/users/7872900", "王建平")</f>
        <v>王建平</v>
      </c>
      <c r="D20239" t="s">
        <v>5</v>
      </c>
      <c r="E20239">
        <v>1</v>
      </c>
    </row>
    <row r="20240" spans="1:5" x14ac:dyDescent="0.25">
      <c r="A20240">
        <v>20239</v>
      </c>
      <c r="B20240">
        <v>2499386</v>
      </c>
      <c r="C20240" s="1" t="str">
        <f>HYPERLINK("http://stackoverflow.com/users/2499386", "Wenlong Luo")</f>
        <v>Wenlong Luo</v>
      </c>
      <c r="D20240" t="s">
        <v>5</v>
      </c>
      <c r="E20240">
        <v>1</v>
      </c>
    </row>
    <row r="20241" spans="1:5" x14ac:dyDescent="0.25">
      <c r="A20241">
        <v>20240</v>
      </c>
      <c r="B20241">
        <v>2499394</v>
      </c>
      <c r="C20241" s="1" t="str">
        <f>HYPERLINK("http://stackoverflow.com/users/2499394", "smartshallot")</f>
        <v>smartshallot</v>
      </c>
      <c r="D20241" t="s">
        <v>5</v>
      </c>
      <c r="E20241">
        <v>1</v>
      </c>
    </row>
    <row r="20242" spans="1:5" x14ac:dyDescent="0.25">
      <c r="A20242">
        <v>20241</v>
      </c>
      <c r="B20242">
        <v>2499516</v>
      </c>
      <c r="C20242" s="1" t="str">
        <f>HYPERLINK("http://stackoverflow.com/users/2499516", "Elliott")</f>
        <v>Elliott</v>
      </c>
      <c r="D20242" t="s">
        <v>5</v>
      </c>
      <c r="E20242">
        <v>1</v>
      </c>
    </row>
    <row r="20243" spans="1:5" x14ac:dyDescent="0.25">
      <c r="A20243">
        <v>20242</v>
      </c>
      <c r="B20243">
        <v>4373683</v>
      </c>
      <c r="C20243" s="1" t="str">
        <f>HYPERLINK("http://stackoverflow.com/users/4373683", "jie91")</f>
        <v>jie91</v>
      </c>
      <c r="D20243" t="s">
        <v>25</v>
      </c>
      <c r="E20243">
        <v>1</v>
      </c>
    </row>
    <row r="20244" spans="1:5" x14ac:dyDescent="0.25">
      <c r="A20244">
        <v>20243</v>
      </c>
      <c r="B20244">
        <v>4373690</v>
      </c>
      <c r="C20244" s="1" t="str">
        <f>HYPERLINK("http://stackoverflow.com/users/4373690", "Wang Xu")</f>
        <v>Wang Xu</v>
      </c>
      <c r="D20244" t="s">
        <v>66</v>
      </c>
      <c r="E20244">
        <v>1</v>
      </c>
    </row>
    <row r="20245" spans="1:5" x14ac:dyDescent="0.25">
      <c r="A20245">
        <v>20244</v>
      </c>
      <c r="B20245">
        <v>7865836</v>
      </c>
      <c r="C20245" s="1" t="str">
        <f>HYPERLINK("http://stackoverflow.com/users/7865836", "D. Shi")</f>
        <v>D. Shi</v>
      </c>
      <c r="D20245" t="s">
        <v>4</v>
      </c>
      <c r="E20245">
        <v>1</v>
      </c>
    </row>
    <row r="20246" spans="1:5" x14ac:dyDescent="0.25">
      <c r="A20246">
        <v>20245</v>
      </c>
      <c r="B20246">
        <v>7865980</v>
      </c>
      <c r="C20246" s="1" t="str">
        <f>HYPERLINK("http://stackoverflow.com/users/7865980", "Yang Yingrao")</f>
        <v>Yang Yingrao</v>
      </c>
      <c r="D20246" t="s">
        <v>114</v>
      </c>
      <c r="E20246">
        <v>1</v>
      </c>
    </row>
    <row r="20247" spans="1:5" x14ac:dyDescent="0.25">
      <c r="A20247">
        <v>20246</v>
      </c>
      <c r="B20247">
        <v>7866091</v>
      </c>
      <c r="C20247" s="1" t="str">
        <f>HYPERLINK("http://stackoverflow.com/users/7866091", "lucia_gaga")</f>
        <v>lucia_gaga</v>
      </c>
      <c r="D20247" t="s">
        <v>1074</v>
      </c>
      <c r="E20247">
        <v>1</v>
      </c>
    </row>
    <row r="20248" spans="1:5" x14ac:dyDescent="0.25">
      <c r="A20248">
        <v>20247</v>
      </c>
      <c r="B20248">
        <v>7866112</v>
      </c>
      <c r="C20248" s="1" t="str">
        <f>HYPERLINK("http://stackoverflow.com/users/7866112", "storm lei")</f>
        <v>storm lei</v>
      </c>
      <c r="D20248" t="s">
        <v>16</v>
      </c>
      <c r="E20248">
        <v>1</v>
      </c>
    </row>
    <row r="20249" spans="1:5" x14ac:dyDescent="0.25">
      <c r="A20249">
        <v>20248</v>
      </c>
      <c r="B20249">
        <v>7866123</v>
      </c>
      <c r="C20249" s="1" t="str">
        <f>HYPERLINK("http://stackoverflow.com/users/7866123", "seven7")</f>
        <v>seven7</v>
      </c>
      <c r="D20249" t="s">
        <v>7</v>
      </c>
      <c r="E20249">
        <v>1</v>
      </c>
    </row>
    <row r="20250" spans="1:5" x14ac:dyDescent="0.25">
      <c r="A20250">
        <v>20249</v>
      </c>
      <c r="B20250">
        <v>4369517</v>
      </c>
      <c r="C20250" s="1" t="str">
        <f>HYPERLINK("http://stackoverflow.com/users/4369517", "Cloud Shen")</f>
        <v>Cloud Shen</v>
      </c>
      <c r="D20250" t="s">
        <v>4</v>
      </c>
      <c r="E20250">
        <v>1</v>
      </c>
    </row>
    <row r="20251" spans="1:5" x14ac:dyDescent="0.25">
      <c r="A20251">
        <v>20250</v>
      </c>
      <c r="B20251">
        <v>6098623</v>
      </c>
      <c r="C20251" s="1" t="str">
        <f>HYPERLINK("http://stackoverflow.com/users/6098623", "Volodymyr Slipak")</f>
        <v>Volodymyr Slipak</v>
      </c>
      <c r="D20251" t="s">
        <v>4</v>
      </c>
      <c r="E20251">
        <v>1</v>
      </c>
    </row>
    <row r="20252" spans="1:5" x14ac:dyDescent="0.25">
      <c r="A20252">
        <v>20251</v>
      </c>
      <c r="B20252">
        <v>7920535</v>
      </c>
      <c r="C20252" s="1" t="str">
        <f>HYPERLINK("http://stackoverflow.com/users/7920535", "Kentaro Mori")</f>
        <v>Kentaro Mori</v>
      </c>
      <c r="D20252" t="s">
        <v>7</v>
      </c>
      <c r="E20252">
        <v>1</v>
      </c>
    </row>
    <row r="20253" spans="1:5" x14ac:dyDescent="0.25">
      <c r="A20253">
        <v>20252</v>
      </c>
      <c r="B20253">
        <v>7920916</v>
      </c>
      <c r="C20253" s="1" t="str">
        <f>HYPERLINK("http://stackoverflow.com/users/7920916", "王光绪")</f>
        <v>王光绪</v>
      </c>
      <c r="D20253" t="s">
        <v>27</v>
      </c>
      <c r="E20253">
        <v>1</v>
      </c>
    </row>
    <row r="20254" spans="1:5" x14ac:dyDescent="0.25">
      <c r="A20254">
        <v>20253</v>
      </c>
      <c r="B20254">
        <v>2551024</v>
      </c>
      <c r="C20254" s="1" t="str">
        <f>HYPERLINK("http://stackoverflow.com/users/2551024", "rory j")</f>
        <v>rory j</v>
      </c>
      <c r="D20254" t="s">
        <v>35</v>
      </c>
      <c r="E20254">
        <v>1</v>
      </c>
    </row>
    <row r="20255" spans="1:5" x14ac:dyDescent="0.25">
      <c r="A20255">
        <v>20254</v>
      </c>
      <c r="B20255">
        <v>279291</v>
      </c>
      <c r="C20255" s="1" t="str">
        <f>HYPERLINK("http://stackoverflow.com/users/279291", "lnsoso")</f>
        <v>lnsoso</v>
      </c>
      <c r="D20255" t="s">
        <v>5</v>
      </c>
      <c r="E20255">
        <v>1</v>
      </c>
    </row>
    <row r="20256" spans="1:5" x14ac:dyDescent="0.25">
      <c r="A20256">
        <v>20255</v>
      </c>
      <c r="B20256">
        <v>6152597</v>
      </c>
      <c r="C20256" s="1" t="str">
        <f>HYPERLINK("http://stackoverflow.com/users/6152597", "kexi lee")</f>
        <v>kexi lee</v>
      </c>
      <c r="D20256" t="s">
        <v>15</v>
      </c>
      <c r="E20256">
        <v>1</v>
      </c>
    </row>
    <row r="20257" spans="1:5" x14ac:dyDescent="0.25">
      <c r="A20257">
        <v>20256</v>
      </c>
      <c r="B20257">
        <v>9734289</v>
      </c>
      <c r="C20257" s="1" t="str">
        <f>HYPERLINK("http://stackoverflow.com/users/9734289", "Tianrun Wang")</f>
        <v>Tianrun Wang</v>
      </c>
      <c r="D20257" t="s">
        <v>5</v>
      </c>
      <c r="E20257">
        <v>1</v>
      </c>
    </row>
    <row r="20258" spans="1:5" x14ac:dyDescent="0.25">
      <c r="A20258">
        <v>20257</v>
      </c>
      <c r="B20258">
        <v>9734324</v>
      </c>
      <c r="C20258" s="1" t="str">
        <f>HYPERLINK("http://stackoverflow.com/users/9734324", "sky3721")</f>
        <v>sky3721</v>
      </c>
      <c r="D20258" t="s">
        <v>215</v>
      </c>
      <c r="E20258">
        <v>1</v>
      </c>
    </row>
    <row r="20259" spans="1:5" x14ac:dyDescent="0.25">
      <c r="A20259">
        <v>20258</v>
      </c>
      <c r="B20259">
        <v>6145784</v>
      </c>
      <c r="C20259" s="1" t="str">
        <f>HYPERLINK("http://stackoverflow.com/users/6145784", "Jpfeng")</f>
        <v>Jpfeng</v>
      </c>
      <c r="D20259" t="s">
        <v>5</v>
      </c>
      <c r="E20259">
        <v>1</v>
      </c>
    </row>
    <row r="20260" spans="1:5" x14ac:dyDescent="0.25">
      <c r="A20260">
        <v>20259</v>
      </c>
      <c r="B20260">
        <v>4417033</v>
      </c>
      <c r="C20260" s="1" t="str">
        <f>HYPERLINK("http://stackoverflow.com/users/4417033", "HowardLiu")</f>
        <v>HowardLiu</v>
      </c>
      <c r="D20260" t="s">
        <v>5</v>
      </c>
      <c r="E20260">
        <v>1</v>
      </c>
    </row>
    <row r="20261" spans="1:5" x14ac:dyDescent="0.25">
      <c r="A20261">
        <v>20260</v>
      </c>
      <c r="B20261">
        <v>7913527</v>
      </c>
      <c r="C20261" s="1" t="str">
        <f>HYPERLINK("http://stackoverflow.com/users/7913527", "OAA")</f>
        <v>OAA</v>
      </c>
      <c r="D20261" t="s">
        <v>4</v>
      </c>
      <c r="E20261">
        <v>1</v>
      </c>
    </row>
    <row r="20262" spans="1:5" x14ac:dyDescent="0.25">
      <c r="A20262">
        <v>20261</v>
      </c>
      <c r="B20262">
        <v>2553603</v>
      </c>
      <c r="C20262" s="1" t="str">
        <f>HYPERLINK("http://stackoverflow.com/users/2553603", "allelujava")</f>
        <v>allelujava</v>
      </c>
      <c r="D20262" t="s">
        <v>12</v>
      </c>
      <c r="E20262">
        <v>1</v>
      </c>
    </row>
    <row r="20263" spans="1:5" x14ac:dyDescent="0.25">
      <c r="A20263">
        <v>20262</v>
      </c>
      <c r="B20263">
        <v>2554257</v>
      </c>
      <c r="C20263" s="1" t="str">
        <f>HYPERLINK("http://stackoverflow.com/users/2554257", "Leonardo")</f>
        <v>Leonardo</v>
      </c>
      <c r="D20263" t="s">
        <v>4</v>
      </c>
      <c r="E20263">
        <v>1</v>
      </c>
    </row>
    <row r="20264" spans="1:5" x14ac:dyDescent="0.25">
      <c r="A20264">
        <v>20263</v>
      </c>
      <c r="B20264">
        <v>2554259</v>
      </c>
      <c r="C20264" s="1" t="str">
        <f>HYPERLINK("http://stackoverflow.com/users/2554259", "Hotspring")</f>
        <v>Hotspring</v>
      </c>
      <c r="D20264" t="s">
        <v>4</v>
      </c>
      <c r="E20264">
        <v>1</v>
      </c>
    </row>
    <row r="20265" spans="1:5" x14ac:dyDescent="0.25">
      <c r="A20265">
        <v>20264</v>
      </c>
      <c r="B20265">
        <v>2549206</v>
      </c>
      <c r="C20265" s="1" t="str">
        <f>HYPERLINK("http://stackoverflow.com/users/2549206", "Hillson Song")</f>
        <v>Hillson Song</v>
      </c>
      <c r="D20265" t="s">
        <v>17</v>
      </c>
      <c r="E20265">
        <v>1</v>
      </c>
    </row>
    <row r="20266" spans="1:5" x14ac:dyDescent="0.25">
      <c r="A20266">
        <v>20265</v>
      </c>
      <c r="B20266">
        <v>2549220</v>
      </c>
      <c r="C20266" s="1" t="str">
        <f>HYPERLINK("http://stackoverflow.com/users/2549220", "merlin.qi")</f>
        <v>merlin.qi</v>
      </c>
      <c r="D20266" t="s">
        <v>4</v>
      </c>
      <c r="E20266">
        <v>1</v>
      </c>
    </row>
    <row r="20267" spans="1:5" x14ac:dyDescent="0.25">
      <c r="A20267">
        <v>20266</v>
      </c>
      <c r="B20267">
        <v>9719602</v>
      </c>
      <c r="C20267" s="1" t="str">
        <f>HYPERLINK("http://stackoverflow.com/users/9719602", "chenbo")</f>
        <v>chenbo</v>
      </c>
      <c r="D20267" t="s">
        <v>168</v>
      </c>
      <c r="E20267">
        <v>1</v>
      </c>
    </row>
    <row r="20268" spans="1:5" x14ac:dyDescent="0.25">
      <c r="A20268">
        <v>20267</v>
      </c>
      <c r="B20268">
        <v>7909166</v>
      </c>
      <c r="C20268" s="1" t="str">
        <f>HYPERLINK("http://stackoverflow.com/users/7909166", "leon")</f>
        <v>leon</v>
      </c>
      <c r="D20268" t="s">
        <v>1075</v>
      </c>
      <c r="E20268">
        <v>1</v>
      </c>
    </row>
    <row r="20269" spans="1:5" x14ac:dyDescent="0.25">
      <c r="A20269">
        <v>20268</v>
      </c>
      <c r="B20269">
        <v>9712719</v>
      </c>
      <c r="C20269" s="1" t="str">
        <f>HYPERLINK("http://stackoverflow.com/users/9712719", "Jianyu Wu")</f>
        <v>Jianyu Wu</v>
      </c>
      <c r="D20269" t="s">
        <v>320</v>
      </c>
      <c r="E20269">
        <v>1</v>
      </c>
    </row>
    <row r="20270" spans="1:5" x14ac:dyDescent="0.25">
      <c r="A20270">
        <v>20269</v>
      </c>
      <c r="B20270">
        <v>7905950</v>
      </c>
      <c r="C20270" s="1" t="str">
        <f>HYPERLINK("http://stackoverflow.com/users/7905950", "Attan Wu")</f>
        <v>Attan Wu</v>
      </c>
      <c r="D20270" t="s">
        <v>55</v>
      </c>
      <c r="E20270">
        <v>1</v>
      </c>
    </row>
    <row r="20271" spans="1:5" x14ac:dyDescent="0.25">
      <c r="A20271">
        <v>20270</v>
      </c>
      <c r="B20271">
        <v>6135261</v>
      </c>
      <c r="C20271" s="1" t="str">
        <f>HYPERLINK("http://stackoverflow.com/users/6135261", "jinglingtuan")</f>
        <v>jinglingtuan</v>
      </c>
      <c r="D20271" t="s">
        <v>5</v>
      </c>
      <c r="E20271">
        <v>1</v>
      </c>
    </row>
    <row r="20272" spans="1:5" x14ac:dyDescent="0.25">
      <c r="A20272">
        <v>20271</v>
      </c>
      <c r="B20272">
        <v>9716172</v>
      </c>
      <c r="C20272" s="1" t="str">
        <f>HYPERLINK("http://stackoverflow.com/users/9716172", "uhomelee")</f>
        <v>uhomelee</v>
      </c>
      <c r="D20272" t="s">
        <v>15</v>
      </c>
      <c r="E20272">
        <v>1</v>
      </c>
    </row>
    <row r="20273" spans="1:5" x14ac:dyDescent="0.25">
      <c r="A20273">
        <v>20272</v>
      </c>
      <c r="B20273">
        <v>9719183</v>
      </c>
      <c r="C20273" s="1" t="str">
        <f>HYPERLINK("http://stackoverflow.com/users/9719183", "chenqing lee")</f>
        <v>chenqing lee</v>
      </c>
      <c r="D20273" t="s">
        <v>5</v>
      </c>
      <c r="E20273">
        <v>1</v>
      </c>
    </row>
    <row r="20274" spans="1:5" x14ac:dyDescent="0.25">
      <c r="A20274">
        <v>20273</v>
      </c>
      <c r="B20274">
        <v>9719197</v>
      </c>
      <c r="C20274" s="1" t="str">
        <f>HYPERLINK("http://stackoverflow.com/users/9719197", "Jan")</f>
        <v>Jan</v>
      </c>
      <c r="D20274" t="s">
        <v>5</v>
      </c>
      <c r="E20274">
        <v>1</v>
      </c>
    </row>
    <row r="20275" spans="1:5" x14ac:dyDescent="0.25">
      <c r="A20275">
        <v>20274</v>
      </c>
      <c r="B20275">
        <v>9719409</v>
      </c>
      <c r="C20275" s="1" t="str">
        <f>HYPERLINK("http://stackoverflow.com/users/9719409", "Chenjia Liu")</f>
        <v>Chenjia Liu</v>
      </c>
      <c r="D20275" t="s">
        <v>921</v>
      </c>
      <c r="E20275">
        <v>1</v>
      </c>
    </row>
    <row r="20276" spans="1:5" x14ac:dyDescent="0.25">
      <c r="A20276">
        <v>20275</v>
      </c>
      <c r="B20276">
        <v>2537930</v>
      </c>
      <c r="C20276" s="1" t="str">
        <f>HYPERLINK("http://stackoverflow.com/users/2537930", "hansy")</f>
        <v>hansy</v>
      </c>
      <c r="D20276" t="s">
        <v>54</v>
      </c>
      <c r="E20276">
        <v>1</v>
      </c>
    </row>
    <row r="20277" spans="1:5" x14ac:dyDescent="0.25">
      <c r="A20277">
        <v>20276</v>
      </c>
      <c r="B20277">
        <v>2538061</v>
      </c>
      <c r="C20277" s="1" t="str">
        <f>HYPERLINK("http://stackoverflow.com/users/2538061", "Jason")</f>
        <v>Jason</v>
      </c>
      <c r="D20277" t="s">
        <v>5</v>
      </c>
      <c r="E20277">
        <v>1</v>
      </c>
    </row>
    <row r="20278" spans="1:5" x14ac:dyDescent="0.25">
      <c r="A20278">
        <v>20277</v>
      </c>
      <c r="B20278">
        <v>2538197</v>
      </c>
      <c r="C20278" s="1" t="str">
        <f>HYPERLINK("http://stackoverflow.com/users/2538197", "Diego Rojas")</f>
        <v>Diego Rojas</v>
      </c>
      <c r="D20278" t="s">
        <v>4</v>
      </c>
      <c r="E20278">
        <v>1</v>
      </c>
    </row>
    <row r="20279" spans="1:5" x14ac:dyDescent="0.25">
      <c r="A20279">
        <v>20278</v>
      </c>
      <c r="B20279">
        <v>6132166</v>
      </c>
      <c r="C20279" s="1" t="str">
        <f>HYPERLINK("http://stackoverflow.com/users/6132166", "C.J.YOU")</f>
        <v>C.J.YOU</v>
      </c>
      <c r="D20279" t="s">
        <v>4</v>
      </c>
      <c r="E20279">
        <v>1</v>
      </c>
    </row>
    <row r="20280" spans="1:5" x14ac:dyDescent="0.25">
      <c r="A20280">
        <v>20279</v>
      </c>
      <c r="B20280">
        <v>6132200</v>
      </c>
      <c r="C20280" s="1" t="str">
        <f>HYPERLINK("http://stackoverflow.com/users/6132200", "Zhen37")</f>
        <v>Zhen37</v>
      </c>
      <c r="D20280" t="s">
        <v>7</v>
      </c>
      <c r="E20280">
        <v>1</v>
      </c>
    </row>
    <row r="20281" spans="1:5" x14ac:dyDescent="0.25">
      <c r="A20281">
        <v>20280</v>
      </c>
      <c r="B20281">
        <v>6132239</v>
      </c>
      <c r="C20281" s="1" t="str">
        <f>HYPERLINK("http://stackoverflow.com/users/6132239", "zero lu")</f>
        <v>zero lu</v>
      </c>
      <c r="D20281" t="s">
        <v>55</v>
      </c>
      <c r="E20281">
        <v>1</v>
      </c>
    </row>
    <row r="20282" spans="1:5" x14ac:dyDescent="0.25">
      <c r="A20282">
        <v>20281</v>
      </c>
      <c r="B20282">
        <v>6132468</v>
      </c>
      <c r="C20282" s="1" t="str">
        <f>HYPERLINK("http://stackoverflow.com/users/6132468", "vincent.cheng")</f>
        <v>vincent.cheng</v>
      </c>
      <c r="D20282" t="s">
        <v>4</v>
      </c>
      <c r="E20282">
        <v>1</v>
      </c>
    </row>
    <row r="20283" spans="1:5" x14ac:dyDescent="0.25">
      <c r="A20283">
        <v>20282</v>
      </c>
      <c r="B20283">
        <v>9707954</v>
      </c>
      <c r="C20283" s="1" t="str">
        <f>HYPERLINK("http://stackoverflow.com/users/9707954", "郑印平")</f>
        <v>郑印平</v>
      </c>
      <c r="D20283" t="s">
        <v>28</v>
      </c>
      <c r="E20283">
        <v>1</v>
      </c>
    </row>
    <row r="20284" spans="1:5" x14ac:dyDescent="0.25">
      <c r="A20284">
        <v>20283</v>
      </c>
      <c r="B20284">
        <v>9708141</v>
      </c>
      <c r="C20284" s="1" t="str">
        <f>HYPERLINK("http://stackoverflow.com/users/9708141", "Graham")</f>
        <v>Graham</v>
      </c>
      <c r="D20284" t="s">
        <v>7</v>
      </c>
      <c r="E20284">
        <v>1</v>
      </c>
    </row>
    <row r="20285" spans="1:5" x14ac:dyDescent="0.25">
      <c r="A20285">
        <v>20284</v>
      </c>
      <c r="B20285">
        <v>9708397</v>
      </c>
      <c r="C20285" s="1" t="str">
        <f>HYPERLINK("http://stackoverflow.com/users/9708397", "xty")</f>
        <v>xty</v>
      </c>
      <c r="D20285" t="s">
        <v>4</v>
      </c>
      <c r="E20285">
        <v>1</v>
      </c>
    </row>
    <row r="20286" spans="1:5" x14ac:dyDescent="0.25">
      <c r="A20286">
        <v>20285</v>
      </c>
      <c r="B20286">
        <v>2537142</v>
      </c>
      <c r="C20286" s="1" t="str">
        <f>HYPERLINK("http://stackoverflow.com/users/2537142", "Jason Ludden")</f>
        <v>Jason Ludden</v>
      </c>
      <c r="D20286" t="s">
        <v>16</v>
      </c>
      <c r="E20286">
        <v>1</v>
      </c>
    </row>
    <row r="20287" spans="1:5" x14ac:dyDescent="0.25">
      <c r="A20287">
        <v>20286</v>
      </c>
      <c r="B20287">
        <v>2537589</v>
      </c>
      <c r="C20287" s="1" t="str">
        <f>HYPERLINK("http://stackoverflow.com/users/2537589", "layrong")</f>
        <v>layrong</v>
      </c>
      <c r="D20287" t="s">
        <v>5</v>
      </c>
      <c r="E20287">
        <v>1</v>
      </c>
    </row>
    <row r="20288" spans="1:5" x14ac:dyDescent="0.25">
      <c r="A20288">
        <v>20287</v>
      </c>
      <c r="B20288">
        <v>2533705</v>
      </c>
      <c r="C20288" s="1" t="str">
        <f>HYPERLINK("http://stackoverflow.com/users/2533705", "Kay Guo")</f>
        <v>Kay Guo</v>
      </c>
      <c r="D20288" t="s">
        <v>8</v>
      </c>
      <c r="E20288">
        <v>1</v>
      </c>
    </row>
    <row r="20289" spans="1:5" x14ac:dyDescent="0.25">
      <c r="A20289">
        <v>20288</v>
      </c>
      <c r="B20289">
        <v>2518774</v>
      </c>
      <c r="C20289" s="1" t="str">
        <f>HYPERLINK("http://stackoverflow.com/users/2518774", "shunner")</f>
        <v>shunner</v>
      </c>
      <c r="D20289" t="s">
        <v>5</v>
      </c>
      <c r="E20289">
        <v>1</v>
      </c>
    </row>
    <row r="20290" spans="1:5" x14ac:dyDescent="0.25">
      <c r="A20290">
        <v>20289</v>
      </c>
      <c r="B20290">
        <v>6117205</v>
      </c>
      <c r="C20290" s="1" t="str">
        <f>HYPERLINK("http://stackoverflow.com/users/6117205", "Django Wang")</f>
        <v>Django Wang</v>
      </c>
      <c r="D20290" t="s">
        <v>19</v>
      </c>
      <c r="E20290">
        <v>1</v>
      </c>
    </row>
    <row r="20291" spans="1:5" x14ac:dyDescent="0.25">
      <c r="A20291">
        <v>20290</v>
      </c>
      <c r="B20291">
        <v>4395235</v>
      </c>
      <c r="C20291" s="1" t="str">
        <f>HYPERLINK("http://stackoverflow.com/users/4395235", "Tianyuan Liu")</f>
        <v>Tianyuan Liu</v>
      </c>
      <c r="D20291" t="s">
        <v>90</v>
      </c>
      <c r="E20291">
        <v>1</v>
      </c>
    </row>
    <row r="20292" spans="1:5" x14ac:dyDescent="0.25">
      <c r="A20292">
        <v>20291</v>
      </c>
      <c r="B20292">
        <v>8850554</v>
      </c>
      <c r="C20292" s="1" t="str">
        <f>HYPERLINK("http://stackoverflow.com/users/8850554", "Wuya Xin")</f>
        <v>Wuya Xin</v>
      </c>
      <c r="D20292" t="s">
        <v>399</v>
      </c>
      <c r="E20292">
        <v>1</v>
      </c>
    </row>
    <row r="20293" spans="1:5" x14ac:dyDescent="0.25">
      <c r="A20293">
        <v>20292</v>
      </c>
      <c r="B20293">
        <v>8850671</v>
      </c>
      <c r="C20293" s="1" t="str">
        <f>HYPERLINK("http://stackoverflow.com/users/8850671", "yanbo zeng")</f>
        <v>yanbo zeng</v>
      </c>
      <c r="D20293" t="s">
        <v>3</v>
      </c>
      <c r="E20293">
        <v>1</v>
      </c>
    </row>
    <row r="20294" spans="1:5" x14ac:dyDescent="0.25">
      <c r="A20294">
        <v>20293</v>
      </c>
      <c r="B20294">
        <v>10661594</v>
      </c>
      <c r="C20294" s="1" t="str">
        <f>HYPERLINK("http://stackoverflow.com/users/10661594", "qczoomen")</f>
        <v>qczoomen</v>
      </c>
      <c r="D20294" t="s">
        <v>118</v>
      </c>
      <c r="E20294">
        <v>1</v>
      </c>
    </row>
    <row r="20295" spans="1:5" x14ac:dyDescent="0.25">
      <c r="A20295">
        <v>20294</v>
      </c>
      <c r="B20295">
        <v>8854733</v>
      </c>
      <c r="C20295" s="1" t="str">
        <f>HYPERLINK("http://stackoverflow.com/users/8854733", "kejiazhu")</f>
        <v>kejiazhu</v>
      </c>
      <c r="D20295" t="s">
        <v>4</v>
      </c>
      <c r="E20295">
        <v>1</v>
      </c>
    </row>
    <row r="20296" spans="1:5" x14ac:dyDescent="0.25">
      <c r="A20296">
        <v>20295</v>
      </c>
      <c r="B20296">
        <v>8854877</v>
      </c>
      <c r="C20296" s="1" t="str">
        <f>HYPERLINK("http://stackoverflow.com/users/8854877", "anson")</f>
        <v>anson</v>
      </c>
      <c r="D20296" t="s">
        <v>15</v>
      </c>
      <c r="E20296">
        <v>1</v>
      </c>
    </row>
    <row r="20297" spans="1:5" x14ac:dyDescent="0.25">
      <c r="A20297">
        <v>20296</v>
      </c>
      <c r="B20297">
        <v>8854888</v>
      </c>
      <c r="C20297" s="1" t="str">
        <f>HYPERLINK("http://stackoverflow.com/users/8854888", "Charles")</f>
        <v>Charles</v>
      </c>
      <c r="D20297" t="s">
        <v>10</v>
      </c>
      <c r="E20297">
        <v>1</v>
      </c>
    </row>
    <row r="20298" spans="1:5" x14ac:dyDescent="0.25">
      <c r="A20298">
        <v>20297</v>
      </c>
      <c r="B20298">
        <v>8855010</v>
      </c>
      <c r="C20298" s="1" t="str">
        <f>HYPERLINK("http://stackoverflow.com/users/8855010", "varrtix")</f>
        <v>varrtix</v>
      </c>
      <c r="D20298" t="s">
        <v>73</v>
      </c>
      <c r="E20298">
        <v>1</v>
      </c>
    </row>
    <row r="20299" spans="1:5" x14ac:dyDescent="0.25">
      <c r="A20299">
        <v>20298</v>
      </c>
      <c r="B20299">
        <v>1618747</v>
      </c>
      <c r="C20299" s="1" t="str">
        <f>HYPERLINK("http://stackoverflow.com/users/1618747", "Martin Stallman")</f>
        <v>Martin Stallman</v>
      </c>
      <c r="D20299" t="s">
        <v>5</v>
      </c>
      <c r="E20299">
        <v>1</v>
      </c>
    </row>
    <row r="20300" spans="1:5" x14ac:dyDescent="0.25">
      <c r="A20300">
        <v>20299</v>
      </c>
      <c r="B20300">
        <v>1613761</v>
      </c>
      <c r="C20300" s="1" t="str">
        <f>HYPERLINK("http://stackoverflow.com/users/1613761", "wendachuan")</f>
        <v>wendachuan</v>
      </c>
      <c r="D20300" t="s">
        <v>22</v>
      </c>
      <c r="E20300">
        <v>1</v>
      </c>
    </row>
    <row r="20301" spans="1:5" x14ac:dyDescent="0.25">
      <c r="A20301">
        <v>20300</v>
      </c>
      <c r="B20301">
        <v>1619206</v>
      </c>
      <c r="C20301" s="1" t="str">
        <f>HYPERLINK("http://stackoverflow.com/users/1619206", "Tiger Zhang")</f>
        <v>Tiger Zhang</v>
      </c>
      <c r="D20301" t="s">
        <v>17</v>
      </c>
      <c r="E20301">
        <v>1</v>
      </c>
    </row>
    <row r="20302" spans="1:5" x14ac:dyDescent="0.25">
      <c r="A20302">
        <v>20301</v>
      </c>
      <c r="B20302">
        <v>7022214</v>
      </c>
      <c r="C20302" s="1" t="str">
        <f>HYPERLINK("http://stackoverflow.com/users/7022214", "Artistic_Zhao")</f>
        <v>Artistic_Zhao</v>
      </c>
      <c r="D20302" t="s">
        <v>19</v>
      </c>
      <c r="E20302">
        <v>1</v>
      </c>
    </row>
    <row r="20303" spans="1:5" x14ac:dyDescent="0.25">
      <c r="A20303">
        <v>20302</v>
      </c>
      <c r="B20303">
        <v>7022311</v>
      </c>
      <c r="C20303" s="1" t="str">
        <f>HYPERLINK("http://stackoverflow.com/users/7022311", "min min")</f>
        <v>min min</v>
      </c>
      <c r="D20303" t="s">
        <v>1076</v>
      </c>
      <c r="E20303">
        <v>1</v>
      </c>
    </row>
    <row r="20304" spans="1:5" x14ac:dyDescent="0.25">
      <c r="A20304">
        <v>20303</v>
      </c>
      <c r="B20304">
        <v>7022316</v>
      </c>
      <c r="C20304" s="1" t="str">
        <f>HYPERLINK("http://stackoverflow.com/users/7022316", "Wayne.DJ")</f>
        <v>Wayne.DJ</v>
      </c>
      <c r="D20304" t="s">
        <v>4</v>
      </c>
      <c r="E20304">
        <v>1</v>
      </c>
    </row>
    <row r="20305" spans="1:5" x14ac:dyDescent="0.25">
      <c r="A20305">
        <v>20304</v>
      </c>
      <c r="B20305">
        <v>7022842</v>
      </c>
      <c r="C20305" s="1" t="str">
        <f>HYPERLINK("http://stackoverflow.com/users/7022842", "Wenjie Dang")</f>
        <v>Wenjie Dang</v>
      </c>
      <c r="D20305" t="s">
        <v>19</v>
      </c>
      <c r="E20305">
        <v>1</v>
      </c>
    </row>
    <row r="20306" spans="1:5" x14ac:dyDescent="0.25">
      <c r="A20306">
        <v>20305</v>
      </c>
      <c r="B20306">
        <v>1635989</v>
      </c>
      <c r="C20306" s="1" t="str">
        <f>HYPERLINK("http://stackoverflow.com/users/1635989", "Jingo")</f>
        <v>Jingo</v>
      </c>
      <c r="D20306" t="s">
        <v>56</v>
      </c>
      <c r="E20306">
        <v>1</v>
      </c>
    </row>
    <row r="20307" spans="1:5" x14ac:dyDescent="0.25">
      <c r="A20307">
        <v>20306</v>
      </c>
      <c r="B20307">
        <v>10670623</v>
      </c>
      <c r="C20307" s="1" t="str">
        <f>HYPERLINK("http://stackoverflow.com/users/10670623", "Ярослав Кудрявцев")</f>
        <v>Ярослав Кудрявцев</v>
      </c>
      <c r="D20307" t="s">
        <v>91</v>
      </c>
      <c r="E20307">
        <v>1</v>
      </c>
    </row>
    <row r="20308" spans="1:5" x14ac:dyDescent="0.25">
      <c r="A20308">
        <v>20307</v>
      </c>
      <c r="B20308">
        <v>8859711</v>
      </c>
      <c r="C20308" s="1" t="str">
        <f>HYPERLINK("http://stackoverflow.com/users/8859711", "Luke Lau")</f>
        <v>Luke Lau</v>
      </c>
      <c r="D20308" t="s">
        <v>4</v>
      </c>
      <c r="E20308">
        <v>1</v>
      </c>
    </row>
    <row r="20309" spans="1:5" x14ac:dyDescent="0.25">
      <c r="A20309">
        <v>20308</v>
      </c>
      <c r="B20309">
        <v>7035652</v>
      </c>
      <c r="C20309" s="1" t="str">
        <f>HYPERLINK("http://stackoverflow.com/users/7035652", "Mickey Jose")</f>
        <v>Mickey Jose</v>
      </c>
      <c r="D20309" t="s">
        <v>5</v>
      </c>
      <c r="E20309">
        <v>1</v>
      </c>
    </row>
    <row r="20310" spans="1:5" x14ac:dyDescent="0.25">
      <c r="A20310">
        <v>20309</v>
      </c>
      <c r="B20310">
        <v>8865496</v>
      </c>
      <c r="C20310" s="1" t="str">
        <f>HYPERLINK("http://stackoverflow.com/users/8865496", "HanKyongIl")</f>
        <v>HanKyongIl</v>
      </c>
      <c r="D20310" t="s">
        <v>33</v>
      </c>
      <c r="E20310">
        <v>1</v>
      </c>
    </row>
    <row r="20311" spans="1:5" x14ac:dyDescent="0.25">
      <c r="A20311">
        <v>20310</v>
      </c>
      <c r="B20311">
        <v>8865717</v>
      </c>
      <c r="C20311" s="1" t="str">
        <f>HYPERLINK("http://stackoverflow.com/users/8865717", "Cheng Chang")</f>
        <v>Cheng Chang</v>
      </c>
      <c r="D20311" t="s">
        <v>5</v>
      </c>
      <c r="E20311">
        <v>1</v>
      </c>
    </row>
    <row r="20312" spans="1:5" x14ac:dyDescent="0.25">
      <c r="A20312">
        <v>20311</v>
      </c>
      <c r="B20312">
        <v>7039504</v>
      </c>
      <c r="C20312" s="1" t="str">
        <f>HYPERLINK("http://stackoverflow.com/users/7039504", "Veyron")</f>
        <v>Veyron</v>
      </c>
      <c r="D20312" t="s">
        <v>1077</v>
      </c>
      <c r="E20312">
        <v>1</v>
      </c>
    </row>
    <row r="20313" spans="1:5" x14ac:dyDescent="0.25">
      <c r="A20313">
        <v>20312</v>
      </c>
      <c r="B20313">
        <v>1630910</v>
      </c>
      <c r="C20313" s="1" t="str">
        <f>HYPERLINK("http://stackoverflow.com/users/1630910", "xsnowfall")</f>
        <v>xsnowfall</v>
      </c>
      <c r="D20313" t="s">
        <v>297</v>
      </c>
      <c r="E20313">
        <v>1</v>
      </c>
    </row>
    <row r="20314" spans="1:5" x14ac:dyDescent="0.25">
      <c r="A20314">
        <v>20313</v>
      </c>
      <c r="B20314">
        <v>10665630</v>
      </c>
      <c r="C20314" s="1" t="str">
        <f>HYPERLINK("http://stackoverflow.com/users/10665630", "Chiu t")</f>
        <v>Chiu t</v>
      </c>
      <c r="D20314" t="s">
        <v>25</v>
      </c>
      <c r="E20314">
        <v>1</v>
      </c>
    </row>
    <row r="20315" spans="1:5" x14ac:dyDescent="0.25">
      <c r="A20315">
        <v>20314</v>
      </c>
      <c r="B20315">
        <v>10665816</v>
      </c>
      <c r="C20315" s="1" t="str">
        <f>HYPERLINK("http://stackoverflow.com/users/10665816", "LiHaiDong")</f>
        <v>LiHaiDong</v>
      </c>
      <c r="D20315" t="s">
        <v>135</v>
      </c>
      <c r="E20315">
        <v>1</v>
      </c>
    </row>
    <row r="20316" spans="1:5" x14ac:dyDescent="0.25">
      <c r="A20316">
        <v>20315</v>
      </c>
      <c r="B20316">
        <v>10665931</v>
      </c>
      <c r="C20316" s="1" t="str">
        <f>HYPERLINK("http://stackoverflow.com/users/10665931", "Bromide Chemicals Co. Ltd")</f>
        <v>Bromide Chemicals Co. Ltd</v>
      </c>
      <c r="D20316" t="s">
        <v>10</v>
      </c>
      <c r="E20316">
        <v>1</v>
      </c>
    </row>
    <row r="20317" spans="1:5" x14ac:dyDescent="0.25">
      <c r="A20317">
        <v>20316</v>
      </c>
      <c r="B20317">
        <v>10665939</v>
      </c>
      <c r="C20317" s="1" t="str">
        <f>HYPERLINK("http://stackoverflow.com/users/10665939", "Callnovo")</f>
        <v>Callnovo</v>
      </c>
      <c r="D20317" t="s">
        <v>798</v>
      </c>
      <c r="E20317">
        <v>1</v>
      </c>
    </row>
    <row r="20318" spans="1:5" x14ac:dyDescent="0.25">
      <c r="A20318">
        <v>20317</v>
      </c>
      <c r="B20318">
        <v>10665962</v>
      </c>
      <c r="C20318" s="1" t="str">
        <f>HYPERLINK("http://stackoverflow.com/users/10665962", "Fukun Yang")</f>
        <v>Fukun Yang</v>
      </c>
      <c r="D20318" t="s">
        <v>5</v>
      </c>
      <c r="E20318">
        <v>1</v>
      </c>
    </row>
    <row r="20319" spans="1:5" x14ac:dyDescent="0.25">
      <c r="A20319">
        <v>20318</v>
      </c>
      <c r="B20319">
        <v>10666114</v>
      </c>
      <c r="C20319" s="1" t="str">
        <f>HYPERLINK("http://stackoverflow.com/users/10666114", "rico pierrer")</f>
        <v>rico pierrer</v>
      </c>
      <c r="D20319" t="s">
        <v>215</v>
      </c>
      <c r="E20319">
        <v>1</v>
      </c>
    </row>
    <row r="20320" spans="1:5" x14ac:dyDescent="0.25">
      <c r="A20320">
        <v>20319</v>
      </c>
      <c r="B20320">
        <v>10666249</v>
      </c>
      <c r="C20320" s="1" t="str">
        <f>HYPERLINK("http://stackoverflow.com/users/10666249", "Lei Zhang")</f>
        <v>Lei Zhang</v>
      </c>
      <c r="D20320" t="s">
        <v>5</v>
      </c>
      <c r="E20320">
        <v>1</v>
      </c>
    </row>
    <row r="20321" spans="1:5" x14ac:dyDescent="0.25">
      <c r="A20321">
        <v>20320</v>
      </c>
      <c r="B20321">
        <v>3436912</v>
      </c>
      <c r="C20321" s="1" t="str">
        <f>HYPERLINK("http://stackoverflow.com/users/3436912", "ckpeof")</f>
        <v>ckpeof</v>
      </c>
      <c r="D20321" t="s">
        <v>54</v>
      </c>
      <c r="E20321">
        <v>1</v>
      </c>
    </row>
    <row r="20322" spans="1:5" x14ac:dyDescent="0.25">
      <c r="A20322">
        <v>20321</v>
      </c>
      <c r="B20322">
        <v>10635382</v>
      </c>
      <c r="C20322" s="1" t="str">
        <f>HYPERLINK("http://stackoverflow.com/users/10635382", "Musa")</f>
        <v>Musa</v>
      </c>
      <c r="D20322" t="s">
        <v>25</v>
      </c>
      <c r="E20322">
        <v>1</v>
      </c>
    </row>
    <row r="20323" spans="1:5" x14ac:dyDescent="0.25">
      <c r="A20323">
        <v>20322</v>
      </c>
      <c r="B20323">
        <v>10635895</v>
      </c>
      <c r="C20323" s="1" t="str">
        <f>HYPERLINK("http://stackoverflow.com/users/10635895", "user10635895")</f>
        <v>user10635895</v>
      </c>
      <c r="D20323" t="s">
        <v>135</v>
      </c>
      <c r="E20323">
        <v>1</v>
      </c>
    </row>
    <row r="20324" spans="1:5" x14ac:dyDescent="0.25">
      <c r="A20324">
        <v>20323</v>
      </c>
      <c r="B20324">
        <v>7005423</v>
      </c>
      <c r="C20324" s="1" t="str">
        <f>HYPERLINK("http://stackoverflow.com/users/7005423", "Anna Su")</f>
        <v>Anna Su</v>
      </c>
      <c r="D20324" t="s">
        <v>15</v>
      </c>
      <c r="E20324">
        <v>1</v>
      </c>
    </row>
    <row r="20325" spans="1:5" x14ac:dyDescent="0.25">
      <c r="A20325">
        <v>20324</v>
      </c>
      <c r="B20325">
        <v>8828521</v>
      </c>
      <c r="C20325" s="1" t="str">
        <f>HYPERLINK("http://stackoverflow.com/users/8828521", "tianlong gao")</f>
        <v>tianlong gao</v>
      </c>
      <c r="D20325" t="s">
        <v>33</v>
      </c>
      <c r="E20325">
        <v>1</v>
      </c>
    </row>
    <row r="20326" spans="1:5" x14ac:dyDescent="0.25">
      <c r="A20326">
        <v>20325</v>
      </c>
      <c r="B20326">
        <v>5247920</v>
      </c>
      <c r="C20326" s="1" t="str">
        <f>HYPERLINK("http://stackoverflow.com/users/5247920", "Henry.K")</f>
        <v>Henry.K</v>
      </c>
      <c r="D20326" t="s">
        <v>16</v>
      </c>
      <c r="E20326">
        <v>1</v>
      </c>
    </row>
    <row r="20327" spans="1:5" x14ac:dyDescent="0.25">
      <c r="A20327">
        <v>20326</v>
      </c>
      <c r="B20327">
        <v>3440988</v>
      </c>
      <c r="C20327" s="1" t="str">
        <f>HYPERLINK("http://stackoverflow.com/users/3440988", "GeneGong")</f>
        <v>GeneGong</v>
      </c>
      <c r="D20327" t="s">
        <v>17</v>
      </c>
      <c r="E20327">
        <v>1</v>
      </c>
    </row>
    <row r="20328" spans="1:5" x14ac:dyDescent="0.25">
      <c r="A20328">
        <v>20327</v>
      </c>
      <c r="B20328">
        <v>10643511</v>
      </c>
      <c r="C20328" s="1" t="str">
        <f>HYPERLINK("http://stackoverflow.com/users/10643511", "guangzhen yang")</f>
        <v>guangzhen yang</v>
      </c>
      <c r="D20328" t="s">
        <v>4</v>
      </c>
      <c r="E20328">
        <v>1</v>
      </c>
    </row>
    <row r="20329" spans="1:5" x14ac:dyDescent="0.25">
      <c r="A20329">
        <v>20328</v>
      </c>
      <c r="B20329">
        <v>7011590</v>
      </c>
      <c r="C20329" s="1" t="str">
        <f>HYPERLINK("http://stackoverflow.com/users/7011590", "MonsterTechStudio")</f>
        <v>MonsterTechStudio</v>
      </c>
      <c r="D20329" t="s">
        <v>16</v>
      </c>
      <c r="E20329">
        <v>1</v>
      </c>
    </row>
    <row r="20330" spans="1:5" x14ac:dyDescent="0.25">
      <c r="A20330">
        <v>20329</v>
      </c>
      <c r="B20330">
        <v>7011726</v>
      </c>
      <c r="C20330" s="1" t="str">
        <f>HYPERLINK("http://stackoverflow.com/users/7011726", "Stone")</f>
        <v>Stone</v>
      </c>
      <c r="D20330" t="s">
        <v>4</v>
      </c>
      <c r="E20330">
        <v>1</v>
      </c>
    </row>
    <row r="20331" spans="1:5" x14ac:dyDescent="0.25">
      <c r="A20331">
        <v>20330</v>
      </c>
      <c r="B20331">
        <v>3444473</v>
      </c>
      <c r="C20331" s="1" t="str">
        <f>HYPERLINK("http://stackoverflow.com/users/3444473", "Jonathan Du")</f>
        <v>Jonathan Du</v>
      </c>
      <c r="D20331" t="s">
        <v>5</v>
      </c>
      <c r="E20331">
        <v>1</v>
      </c>
    </row>
    <row r="20332" spans="1:5" x14ac:dyDescent="0.25">
      <c r="A20332">
        <v>20331</v>
      </c>
      <c r="B20332">
        <v>5258411</v>
      </c>
      <c r="C20332" s="1" t="str">
        <f>HYPERLINK("http://stackoverflow.com/users/5258411", "Wayne")</f>
        <v>Wayne</v>
      </c>
      <c r="D20332" t="s">
        <v>5</v>
      </c>
      <c r="E20332">
        <v>1</v>
      </c>
    </row>
    <row r="20333" spans="1:5" x14ac:dyDescent="0.25">
      <c r="A20333">
        <v>20332</v>
      </c>
      <c r="B20333">
        <v>5258464</v>
      </c>
      <c r="C20333" s="1" t="str">
        <f>HYPERLINK("http://stackoverflow.com/users/5258464", "halcy0n")</f>
        <v>halcy0n</v>
      </c>
      <c r="D20333" t="s">
        <v>4</v>
      </c>
      <c r="E20333">
        <v>1</v>
      </c>
    </row>
    <row r="20334" spans="1:5" x14ac:dyDescent="0.25">
      <c r="A20334">
        <v>20333</v>
      </c>
      <c r="B20334">
        <v>5258527</v>
      </c>
      <c r="C20334" s="1" t="str">
        <f>HYPERLINK("http://stackoverflow.com/users/5258527", "Mingxiang Xue")</f>
        <v>Mingxiang Xue</v>
      </c>
      <c r="D20334" t="s">
        <v>5</v>
      </c>
      <c r="E20334">
        <v>1</v>
      </c>
    </row>
    <row r="20335" spans="1:5" x14ac:dyDescent="0.25">
      <c r="A20335">
        <v>20334</v>
      </c>
      <c r="B20335">
        <v>5258659</v>
      </c>
      <c r="C20335" s="1" t="str">
        <f>HYPERLINK("http://stackoverflow.com/users/5258659", "Thomas-TC")</f>
        <v>Thomas-TC</v>
      </c>
      <c r="D20335" t="s">
        <v>21</v>
      </c>
      <c r="E20335">
        <v>1</v>
      </c>
    </row>
    <row r="20336" spans="1:5" x14ac:dyDescent="0.25">
      <c r="A20336">
        <v>20335</v>
      </c>
      <c r="B20336">
        <v>5258918</v>
      </c>
      <c r="C20336" s="1" t="str">
        <f>HYPERLINK("http://stackoverflow.com/users/5258918", "bl4ckma7ch")</f>
        <v>bl4ckma7ch</v>
      </c>
      <c r="D20336" t="s">
        <v>4</v>
      </c>
      <c r="E20336">
        <v>1</v>
      </c>
    </row>
    <row r="20337" spans="1:5" x14ac:dyDescent="0.25">
      <c r="A20337">
        <v>20336</v>
      </c>
      <c r="B20337">
        <v>1608489</v>
      </c>
      <c r="C20337" s="1" t="str">
        <f>HYPERLINK("http://stackoverflow.com/users/1608489", "ByronLau")</f>
        <v>ByronLau</v>
      </c>
      <c r="D20337" t="s">
        <v>17</v>
      </c>
      <c r="E20337">
        <v>1</v>
      </c>
    </row>
    <row r="20338" spans="1:5" x14ac:dyDescent="0.25">
      <c r="A20338">
        <v>20337</v>
      </c>
      <c r="B20338">
        <v>1608858</v>
      </c>
      <c r="C20338" s="1" t="str">
        <f>HYPERLINK("http://stackoverflow.com/users/1608858", "LexDai")</f>
        <v>LexDai</v>
      </c>
      <c r="D20338" t="s">
        <v>1078</v>
      </c>
      <c r="E20338">
        <v>1</v>
      </c>
    </row>
    <row r="20339" spans="1:5" x14ac:dyDescent="0.25">
      <c r="A20339">
        <v>20338</v>
      </c>
      <c r="B20339">
        <v>1609043</v>
      </c>
      <c r="C20339" s="1" t="str">
        <f>HYPERLINK("http://stackoverflow.com/users/1609043", "Rien")</f>
        <v>Rien</v>
      </c>
      <c r="D20339" t="s">
        <v>21</v>
      </c>
      <c r="E20339">
        <v>1</v>
      </c>
    </row>
    <row r="20340" spans="1:5" x14ac:dyDescent="0.25">
      <c r="A20340">
        <v>20339</v>
      </c>
      <c r="B20340">
        <v>8835861</v>
      </c>
      <c r="C20340" s="1" t="str">
        <f>HYPERLINK("http://stackoverflow.com/users/8835861", "Glory Xiong")</f>
        <v>Glory Xiong</v>
      </c>
      <c r="D20340" t="s">
        <v>351</v>
      </c>
      <c r="E20340">
        <v>1</v>
      </c>
    </row>
    <row r="20341" spans="1:5" x14ac:dyDescent="0.25">
      <c r="A20341">
        <v>20340</v>
      </c>
      <c r="B20341">
        <v>8836252</v>
      </c>
      <c r="C20341" s="1" t="str">
        <f>HYPERLINK("http://stackoverflow.com/users/8836252", "Teoge")</f>
        <v>Teoge</v>
      </c>
      <c r="D20341" t="s">
        <v>4</v>
      </c>
      <c r="E20341">
        <v>1</v>
      </c>
    </row>
    <row r="20342" spans="1:5" x14ac:dyDescent="0.25">
      <c r="A20342">
        <v>20341</v>
      </c>
      <c r="B20342">
        <v>8836315</v>
      </c>
      <c r="C20342" s="1" t="str">
        <f>HYPERLINK("http://stackoverflow.com/users/8836315", "Silence Ronald Kugotsi")</f>
        <v>Silence Ronald Kugotsi</v>
      </c>
      <c r="D20342" t="s">
        <v>79</v>
      </c>
      <c r="E20342">
        <v>1</v>
      </c>
    </row>
    <row r="20343" spans="1:5" x14ac:dyDescent="0.25">
      <c r="A20343">
        <v>20342</v>
      </c>
      <c r="B20343">
        <v>3452016</v>
      </c>
      <c r="C20343" s="1" t="str">
        <f>HYPERLINK("http://stackoverflow.com/users/3452016", "vilisper")</f>
        <v>vilisper</v>
      </c>
      <c r="D20343" t="s">
        <v>21</v>
      </c>
      <c r="E20343">
        <v>1</v>
      </c>
    </row>
    <row r="20344" spans="1:5" x14ac:dyDescent="0.25">
      <c r="A20344">
        <v>20343</v>
      </c>
      <c r="B20344">
        <v>10650801</v>
      </c>
      <c r="C20344" s="1" t="str">
        <f>HYPERLINK("http://stackoverflow.com/users/10650801", "Clayeo")</f>
        <v>Clayeo</v>
      </c>
      <c r="D20344" t="s">
        <v>633</v>
      </c>
      <c r="E20344">
        <v>1</v>
      </c>
    </row>
    <row r="20345" spans="1:5" x14ac:dyDescent="0.25">
      <c r="A20345">
        <v>20344</v>
      </c>
      <c r="B20345">
        <v>10650834</v>
      </c>
      <c r="C20345" s="1" t="str">
        <f>HYPERLINK("http://stackoverflow.com/users/10650834", "stomeares")</f>
        <v>stomeares</v>
      </c>
      <c r="D20345" t="s">
        <v>1079</v>
      </c>
      <c r="E20345">
        <v>1</v>
      </c>
    </row>
    <row r="20346" spans="1:5" x14ac:dyDescent="0.25">
      <c r="A20346">
        <v>20345</v>
      </c>
      <c r="B20346">
        <v>10650929</v>
      </c>
      <c r="C20346" s="1" t="str">
        <f>HYPERLINK("http://stackoverflow.com/users/10650929", "NarcissusInMirror")</f>
        <v>NarcissusInMirror</v>
      </c>
      <c r="D20346" t="s">
        <v>5</v>
      </c>
      <c r="E20346">
        <v>1</v>
      </c>
    </row>
    <row r="20347" spans="1:5" x14ac:dyDescent="0.25">
      <c r="A20347">
        <v>20346</v>
      </c>
      <c r="B20347">
        <v>3436305</v>
      </c>
      <c r="C20347" s="1" t="str">
        <f>HYPERLINK("http://stackoverflow.com/users/3436305", "Joshua")</f>
        <v>Joshua</v>
      </c>
      <c r="D20347" t="s">
        <v>5</v>
      </c>
      <c r="E20347">
        <v>1</v>
      </c>
    </row>
    <row r="20348" spans="1:5" x14ac:dyDescent="0.25">
      <c r="A20348">
        <v>20347</v>
      </c>
      <c r="B20348">
        <v>1578799</v>
      </c>
      <c r="C20348" s="1" t="str">
        <f>HYPERLINK("http://stackoverflow.com/users/1578799", "rodmanwu")</f>
        <v>rodmanwu</v>
      </c>
      <c r="D20348" t="s">
        <v>21</v>
      </c>
      <c r="E20348">
        <v>1</v>
      </c>
    </row>
    <row r="20349" spans="1:5" x14ac:dyDescent="0.25">
      <c r="A20349">
        <v>20348</v>
      </c>
      <c r="B20349">
        <v>1589056</v>
      </c>
      <c r="C20349" s="1" t="str">
        <f>HYPERLINK("http://stackoverflow.com/users/1589056", "chaoswong")</f>
        <v>chaoswong</v>
      </c>
      <c r="D20349" t="s">
        <v>5</v>
      </c>
      <c r="E20349">
        <v>1</v>
      </c>
    </row>
    <row r="20350" spans="1:5" x14ac:dyDescent="0.25">
      <c r="A20350">
        <v>20349</v>
      </c>
      <c r="B20350">
        <v>1589159</v>
      </c>
      <c r="C20350" s="1" t="str">
        <f>HYPERLINK("http://stackoverflow.com/users/1589159", "sandy1890")</f>
        <v>sandy1890</v>
      </c>
      <c r="D20350" t="s">
        <v>5</v>
      </c>
      <c r="E20350">
        <v>1</v>
      </c>
    </row>
    <row r="20351" spans="1:5" x14ac:dyDescent="0.25">
      <c r="A20351">
        <v>20350</v>
      </c>
      <c r="B20351">
        <v>1579270</v>
      </c>
      <c r="C20351" s="1" t="str">
        <f>HYPERLINK("http://stackoverflow.com/users/1579270", "Kezoax")</f>
        <v>Kezoax</v>
      </c>
      <c r="D20351" t="s">
        <v>22</v>
      </c>
      <c r="E20351">
        <v>1</v>
      </c>
    </row>
    <row r="20352" spans="1:5" x14ac:dyDescent="0.25">
      <c r="A20352">
        <v>20351</v>
      </c>
      <c r="B20352">
        <v>10626632</v>
      </c>
      <c r="C20352" s="1" t="str">
        <f>HYPERLINK("http://stackoverflow.com/users/10626632", "Clin wang")</f>
        <v>Clin wang</v>
      </c>
      <c r="D20352" t="s">
        <v>28</v>
      </c>
      <c r="E20352">
        <v>1</v>
      </c>
    </row>
    <row r="20353" spans="1:5" x14ac:dyDescent="0.25">
      <c r="A20353">
        <v>20352</v>
      </c>
      <c r="B20353">
        <v>10626762</v>
      </c>
      <c r="C20353" s="1" t="str">
        <f>HYPERLINK("http://stackoverflow.com/users/10626762", "Zxnn Yang")</f>
        <v>Zxnn Yang</v>
      </c>
      <c r="D20353" t="s">
        <v>25</v>
      </c>
      <c r="E20353">
        <v>1</v>
      </c>
    </row>
    <row r="20354" spans="1:5" x14ac:dyDescent="0.25">
      <c r="A20354">
        <v>20353</v>
      </c>
      <c r="B20354">
        <v>10626916</v>
      </c>
      <c r="C20354" s="1" t="str">
        <f>HYPERLINK("http://stackoverflow.com/users/10626916", "zhang guangming")</f>
        <v>zhang guangming</v>
      </c>
      <c r="D20354" t="s">
        <v>4</v>
      </c>
      <c r="E20354">
        <v>1</v>
      </c>
    </row>
    <row r="20355" spans="1:5" x14ac:dyDescent="0.25">
      <c r="A20355">
        <v>20354</v>
      </c>
      <c r="B20355">
        <v>10626938</v>
      </c>
      <c r="C20355" s="1" t="str">
        <f>HYPERLINK("http://stackoverflow.com/users/10626938", "Neo Li")</f>
        <v>Neo Li</v>
      </c>
      <c r="D20355" t="s">
        <v>22</v>
      </c>
      <c r="E20355">
        <v>1</v>
      </c>
    </row>
    <row r="20356" spans="1:5" x14ac:dyDescent="0.25">
      <c r="A20356">
        <v>20355</v>
      </c>
      <c r="B20356">
        <v>5237563</v>
      </c>
      <c r="C20356" s="1" t="str">
        <f>HYPERLINK("http://stackoverflow.com/users/5237563", "vsooda")</f>
        <v>vsooda</v>
      </c>
      <c r="D20356" t="s">
        <v>923</v>
      </c>
      <c r="E20356">
        <v>1</v>
      </c>
    </row>
    <row r="20357" spans="1:5" x14ac:dyDescent="0.25">
      <c r="A20357">
        <v>20356</v>
      </c>
      <c r="B20357">
        <v>6998128</v>
      </c>
      <c r="C20357" s="1" t="str">
        <f>HYPERLINK("http://stackoverflow.com/users/6998128", "CodeFinger")</f>
        <v>CodeFinger</v>
      </c>
      <c r="D20357" t="s">
        <v>5</v>
      </c>
      <c r="E20357">
        <v>1</v>
      </c>
    </row>
    <row r="20358" spans="1:5" x14ac:dyDescent="0.25">
      <c r="A20358">
        <v>20357</v>
      </c>
      <c r="B20358">
        <v>6998204</v>
      </c>
      <c r="C20358" s="1" t="str">
        <f>HYPERLINK("http://stackoverflow.com/users/6998204", "Kim")</f>
        <v>Kim</v>
      </c>
      <c r="D20358" t="s">
        <v>7</v>
      </c>
      <c r="E20358">
        <v>1</v>
      </c>
    </row>
    <row r="20359" spans="1:5" x14ac:dyDescent="0.25">
      <c r="A20359">
        <v>20358</v>
      </c>
      <c r="B20359">
        <v>3428598</v>
      </c>
      <c r="C20359" s="1" t="str">
        <f>HYPERLINK("http://stackoverflow.com/users/3428598", "Lihang Liu")</f>
        <v>Lihang Liu</v>
      </c>
      <c r="D20359" t="s">
        <v>4</v>
      </c>
      <c r="E20359">
        <v>1</v>
      </c>
    </row>
    <row r="20360" spans="1:5" x14ac:dyDescent="0.25">
      <c r="A20360">
        <v>20359</v>
      </c>
      <c r="B20360">
        <v>8819898</v>
      </c>
      <c r="C20360" s="1" t="str">
        <f>HYPERLINK("http://stackoverflow.com/users/8819898", "swanf")</f>
        <v>swanf</v>
      </c>
      <c r="D20360" t="s">
        <v>21</v>
      </c>
      <c r="E20360">
        <v>1</v>
      </c>
    </row>
    <row r="20361" spans="1:5" x14ac:dyDescent="0.25">
      <c r="A20361">
        <v>20360</v>
      </c>
      <c r="B20361">
        <v>8820102</v>
      </c>
      <c r="C20361" s="1" t="str">
        <f>HYPERLINK("http://stackoverflow.com/users/8820102", "ziwei zhao")</f>
        <v>ziwei zhao</v>
      </c>
      <c r="D20361" t="s">
        <v>57</v>
      </c>
      <c r="E20361">
        <v>1</v>
      </c>
    </row>
    <row r="20362" spans="1:5" x14ac:dyDescent="0.25">
      <c r="A20362">
        <v>20361</v>
      </c>
      <c r="B20362">
        <v>1574316</v>
      </c>
      <c r="C20362" s="1" t="str">
        <f>HYPERLINK("http://stackoverflow.com/users/1574316", "Yakun Chen")</f>
        <v>Yakun Chen</v>
      </c>
      <c r="D20362" t="s">
        <v>16</v>
      </c>
      <c r="E20362">
        <v>1</v>
      </c>
    </row>
    <row r="20363" spans="1:5" x14ac:dyDescent="0.25">
      <c r="A20363">
        <v>20362</v>
      </c>
      <c r="B20363">
        <v>5229201</v>
      </c>
      <c r="C20363" s="1" t="str">
        <f>HYPERLINK("http://stackoverflow.com/users/5229201", "hai xin")</f>
        <v>hai xin</v>
      </c>
      <c r="D20363" t="s">
        <v>5</v>
      </c>
      <c r="E20363">
        <v>1</v>
      </c>
    </row>
    <row r="20364" spans="1:5" x14ac:dyDescent="0.25">
      <c r="A20364">
        <v>20363</v>
      </c>
      <c r="B20364">
        <v>3420216</v>
      </c>
      <c r="C20364" s="1" t="str">
        <f>HYPERLINK("http://stackoverflow.com/users/3420216", "流觞若水")</f>
        <v>流觞若水</v>
      </c>
      <c r="D20364" t="s">
        <v>56</v>
      </c>
      <c r="E20364">
        <v>1</v>
      </c>
    </row>
    <row r="20365" spans="1:5" x14ac:dyDescent="0.25">
      <c r="A20365">
        <v>20364</v>
      </c>
      <c r="B20365">
        <v>10617059</v>
      </c>
      <c r="C20365" s="1" t="str">
        <f>HYPERLINK("http://stackoverflow.com/users/10617059", "Emy")</f>
        <v>Emy</v>
      </c>
      <c r="D20365" t="s">
        <v>13</v>
      </c>
      <c r="E20365">
        <v>1</v>
      </c>
    </row>
    <row r="20366" spans="1:5" x14ac:dyDescent="0.25">
      <c r="A20366">
        <v>20365</v>
      </c>
      <c r="B20366">
        <v>10617113</v>
      </c>
      <c r="C20366" s="1" t="str">
        <f>HYPERLINK("http://stackoverflow.com/users/10617113", "Moli Lee")</f>
        <v>Moli Lee</v>
      </c>
      <c r="D20366" t="s">
        <v>5</v>
      </c>
      <c r="E20366">
        <v>1</v>
      </c>
    </row>
    <row r="20367" spans="1:5" x14ac:dyDescent="0.25">
      <c r="A20367">
        <v>20366</v>
      </c>
      <c r="B20367">
        <v>10617286</v>
      </c>
      <c r="C20367" s="1" t="str">
        <f>HYPERLINK("http://stackoverflow.com/users/10617286", "Jie Sen")</f>
        <v>Jie Sen</v>
      </c>
      <c r="D20367" t="s">
        <v>5</v>
      </c>
      <c r="E20367">
        <v>1</v>
      </c>
    </row>
    <row r="20368" spans="1:5" x14ac:dyDescent="0.25">
      <c r="A20368">
        <v>20367</v>
      </c>
      <c r="B20368">
        <v>10621619</v>
      </c>
      <c r="C20368" s="1" t="str">
        <f>HYPERLINK("http://stackoverflow.com/users/10621619", "wu sir")</f>
        <v>wu sir</v>
      </c>
      <c r="D20368" t="s">
        <v>7</v>
      </c>
      <c r="E20368">
        <v>1</v>
      </c>
    </row>
    <row r="20369" spans="1:5" x14ac:dyDescent="0.25">
      <c r="A20369">
        <v>20368</v>
      </c>
      <c r="B20369">
        <v>8810509</v>
      </c>
      <c r="C20369" s="1" t="str">
        <f>HYPERLINK("http://stackoverflow.com/users/8810509", "Richard Davies")</f>
        <v>Richard Davies</v>
      </c>
      <c r="D20369" t="s">
        <v>4</v>
      </c>
      <c r="E20369">
        <v>1</v>
      </c>
    </row>
    <row r="20370" spans="1:5" x14ac:dyDescent="0.25">
      <c r="A20370">
        <v>20369</v>
      </c>
      <c r="B20370">
        <v>1573000</v>
      </c>
      <c r="C20370" s="1" t="str">
        <f>HYPERLINK("http://stackoverflow.com/users/1573000", "pillar")</f>
        <v>pillar</v>
      </c>
      <c r="D20370" t="s">
        <v>37</v>
      </c>
      <c r="E20370">
        <v>1</v>
      </c>
    </row>
    <row r="20371" spans="1:5" x14ac:dyDescent="0.25">
      <c r="A20371">
        <v>20370</v>
      </c>
      <c r="B20371">
        <v>1573023</v>
      </c>
      <c r="C20371" s="1" t="str">
        <f>HYPERLINK("http://stackoverflow.com/users/1573023", "bmm")</f>
        <v>bmm</v>
      </c>
      <c r="D20371" t="s">
        <v>22</v>
      </c>
      <c r="E20371">
        <v>1</v>
      </c>
    </row>
    <row r="20372" spans="1:5" x14ac:dyDescent="0.25">
      <c r="A20372">
        <v>20371</v>
      </c>
      <c r="B20372">
        <v>1573166</v>
      </c>
      <c r="C20372" s="1" t="str">
        <f>HYPERLINK("http://stackoverflow.com/users/1573166", "Dong")</f>
        <v>Dong</v>
      </c>
      <c r="D20372" t="s">
        <v>4</v>
      </c>
      <c r="E20372">
        <v>1</v>
      </c>
    </row>
    <row r="20373" spans="1:5" x14ac:dyDescent="0.25">
      <c r="A20373">
        <v>20372</v>
      </c>
      <c r="B20373">
        <v>1573214</v>
      </c>
      <c r="C20373" s="1" t="str">
        <f>HYPERLINK("http://stackoverflow.com/users/1573214", "yuanhotel")</f>
        <v>yuanhotel</v>
      </c>
      <c r="D20373" t="s">
        <v>54</v>
      </c>
      <c r="E20373">
        <v>1</v>
      </c>
    </row>
    <row r="20374" spans="1:5" x14ac:dyDescent="0.25">
      <c r="A20374">
        <v>20373</v>
      </c>
      <c r="B20374">
        <v>8801327</v>
      </c>
      <c r="C20374" s="1" t="str">
        <f>HYPERLINK("http://stackoverflow.com/users/8801327", "Michael Chan")</f>
        <v>Michael Chan</v>
      </c>
      <c r="D20374" t="s">
        <v>33</v>
      </c>
      <c r="E20374">
        <v>1</v>
      </c>
    </row>
    <row r="20375" spans="1:5" x14ac:dyDescent="0.25">
      <c r="A20375">
        <v>20374</v>
      </c>
      <c r="B20375">
        <v>8801712</v>
      </c>
      <c r="C20375" s="1" t="str">
        <f>HYPERLINK("http://stackoverflow.com/users/8801712", "Lancelot Chen")</f>
        <v>Lancelot Chen</v>
      </c>
      <c r="D20375" t="s">
        <v>5</v>
      </c>
      <c r="E20375">
        <v>1</v>
      </c>
    </row>
    <row r="20376" spans="1:5" x14ac:dyDescent="0.25">
      <c r="A20376">
        <v>20375</v>
      </c>
      <c r="B20376">
        <v>10616866</v>
      </c>
      <c r="C20376" s="1" t="str">
        <f>HYPERLINK("http://stackoverflow.com/users/10616866", "yannmm")</f>
        <v>yannmm</v>
      </c>
      <c r="D20376" t="s">
        <v>28</v>
      </c>
      <c r="E20376">
        <v>1</v>
      </c>
    </row>
    <row r="20377" spans="1:5" x14ac:dyDescent="0.25">
      <c r="A20377">
        <v>20376</v>
      </c>
      <c r="B20377">
        <v>1572897</v>
      </c>
      <c r="C20377" s="1" t="str">
        <f>HYPERLINK("http://stackoverflow.com/users/1572897", "jiraiya")</f>
        <v>jiraiya</v>
      </c>
      <c r="D20377" t="s">
        <v>4</v>
      </c>
      <c r="E20377">
        <v>1</v>
      </c>
    </row>
    <row r="20378" spans="1:5" x14ac:dyDescent="0.25">
      <c r="A20378">
        <v>20377</v>
      </c>
      <c r="B20378">
        <v>5221532</v>
      </c>
      <c r="C20378" s="1" t="str">
        <f>HYPERLINK("http://stackoverflow.com/users/5221532", "koogua-101")</f>
        <v>koogua-101</v>
      </c>
      <c r="D20378" t="s">
        <v>17</v>
      </c>
      <c r="E20378">
        <v>1</v>
      </c>
    </row>
    <row r="20379" spans="1:5" x14ac:dyDescent="0.25">
      <c r="A20379">
        <v>20378</v>
      </c>
      <c r="B20379">
        <v>10607130</v>
      </c>
      <c r="C20379" s="1" t="str">
        <f>HYPERLINK("http://stackoverflow.com/users/10607130", "Youth Zhang")</f>
        <v>Youth Zhang</v>
      </c>
      <c r="D20379" t="s">
        <v>115</v>
      </c>
      <c r="E20379">
        <v>1</v>
      </c>
    </row>
    <row r="20380" spans="1:5" x14ac:dyDescent="0.25">
      <c r="A20380">
        <v>20379</v>
      </c>
      <c r="B20380">
        <v>10607318</v>
      </c>
      <c r="C20380" s="1" t="str">
        <f>HYPERLINK("http://stackoverflow.com/users/10607318", "Michael Tan")</f>
        <v>Michael Tan</v>
      </c>
      <c r="D20380" t="s">
        <v>28</v>
      </c>
      <c r="E20380">
        <v>1</v>
      </c>
    </row>
    <row r="20381" spans="1:5" x14ac:dyDescent="0.25">
      <c r="A20381">
        <v>20380</v>
      </c>
      <c r="B20381">
        <v>8796718</v>
      </c>
      <c r="C20381" s="1" t="str">
        <f>HYPERLINK("http://stackoverflow.com/users/8796718", "FideoJ")</f>
        <v>FideoJ</v>
      </c>
      <c r="D20381" t="s">
        <v>25</v>
      </c>
      <c r="E20381">
        <v>1</v>
      </c>
    </row>
    <row r="20382" spans="1:5" x14ac:dyDescent="0.25">
      <c r="A20382">
        <v>20381</v>
      </c>
      <c r="B20382">
        <v>1568066</v>
      </c>
      <c r="C20382" s="1" t="str">
        <f>HYPERLINK("http://stackoverflow.com/users/1568066", "Laurence")</f>
        <v>Laurence</v>
      </c>
      <c r="D20382" t="s">
        <v>17</v>
      </c>
      <c r="E20382">
        <v>1</v>
      </c>
    </row>
    <row r="20383" spans="1:5" x14ac:dyDescent="0.25">
      <c r="A20383">
        <v>20382</v>
      </c>
      <c r="B20383">
        <v>1568286</v>
      </c>
      <c r="C20383" s="1" t="str">
        <f>HYPERLINK("http://stackoverflow.com/users/1568286", "sunkj928")</f>
        <v>sunkj928</v>
      </c>
      <c r="D20383" t="s">
        <v>17</v>
      </c>
      <c r="E20383">
        <v>1</v>
      </c>
    </row>
    <row r="20384" spans="1:5" x14ac:dyDescent="0.25">
      <c r="A20384">
        <v>20383</v>
      </c>
      <c r="B20384">
        <v>8783959</v>
      </c>
      <c r="C20384" s="1" t="str">
        <f>HYPERLINK("http://stackoverflow.com/users/8783959", "V.Q")</f>
        <v>V.Q</v>
      </c>
      <c r="D20384" t="s">
        <v>4</v>
      </c>
      <c r="E20384">
        <v>1</v>
      </c>
    </row>
    <row r="20385" spans="1:5" x14ac:dyDescent="0.25">
      <c r="A20385">
        <v>20384</v>
      </c>
      <c r="B20385">
        <v>5209833</v>
      </c>
      <c r="C20385" s="1" t="str">
        <f>HYPERLINK("http://stackoverflow.com/users/5209833", "Jiaye Wu")</f>
        <v>Jiaye Wu</v>
      </c>
      <c r="D20385" t="s">
        <v>4</v>
      </c>
      <c r="E20385">
        <v>1</v>
      </c>
    </row>
    <row r="20386" spans="1:5" x14ac:dyDescent="0.25">
      <c r="A20386">
        <v>20385</v>
      </c>
      <c r="B20386">
        <v>5209845</v>
      </c>
      <c r="C20386" s="1" t="str">
        <f>HYPERLINK("http://stackoverflow.com/users/5209845", "Sirius")</f>
        <v>Sirius</v>
      </c>
      <c r="D20386" t="s">
        <v>5</v>
      </c>
      <c r="E20386">
        <v>1</v>
      </c>
    </row>
    <row r="20387" spans="1:5" x14ac:dyDescent="0.25">
      <c r="A20387">
        <v>20386</v>
      </c>
      <c r="B20387">
        <v>5209974</v>
      </c>
      <c r="C20387" s="1" t="str">
        <f>HYPERLINK("http://stackoverflow.com/users/5209974", "huachuang20")</f>
        <v>huachuang20</v>
      </c>
      <c r="D20387" t="s">
        <v>3</v>
      </c>
      <c r="E20387">
        <v>1</v>
      </c>
    </row>
    <row r="20388" spans="1:5" x14ac:dyDescent="0.25">
      <c r="A20388">
        <v>20387</v>
      </c>
      <c r="B20388">
        <v>5210008</v>
      </c>
      <c r="C20388" s="1" t="str">
        <f>HYPERLINK("http://stackoverflow.com/users/5210008", "3ricg")</f>
        <v>3ricg</v>
      </c>
      <c r="D20388" t="s">
        <v>5</v>
      </c>
      <c r="E20388">
        <v>1</v>
      </c>
    </row>
    <row r="20389" spans="1:5" x14ac:dyDescent="0.25">
      <c r="A20389">
        <v>20388</v>
      </c>
      <c r="B20389">
        <v>10594789</v>
      </c>
      <c r="C20389" s="1" t="str">
        <f>HYPERLINK("http://stackoverflow.com/users/10594789", "Siyuan Hu")</f>
        <v>Siyuan Hu</v>
      </c>
      <c r="D20389" t="s">
        <v>4</v>
      </c>
      <c r="E20389">
        <v>1</v>
      </c>
    </row>
    <row r="20390" spans="1:5" x14ac:dyDescent="0.25">
      <c r="A20390">
        <v>20389</v>
      </c>
      <c r="B20390">
        <v>10594871</v>
      </c>
      <c r="C20390" s="1" t="str">
        <f>HYPERLINK("http://stackoverflow.com/users/10594871", "Daniel Jen")</f>
        <v>Daniel Jen</v>
      </c>
      <c r="D20390" t="s">
        <v>5</v>
      </c>
      <c r="E20390">
        <v>1</v>
      </c>
    </row>
    <row r="20391" spans="1:5" x14ac:dyDescent="0.25">
      <c r="A20391">
        <v>20390</v>
      </c>
      <c r="B20391">
        <v>10595097</v>
      </c>
      <c r="C20391" s="1" t="str">
        <f>HYPERLINK("http://stackoverflow.com/users/10595097", "Andrijana")</f>
        <v>Andrijana</v>
      </c>
      <c r="D20391" t="s">
        <v>135</v>
      </c>
      <c r="E20391">
        <v>1</v>
      </c>
    </row>
    <row r="20392" spans="1:5" x14ac:dyDescent="0.25">
      <c r="A20392">
        <v>20391</v>
      </c>
      <c r="B20392">
        <v>3404181</v>
      </c>
      <c r="C20392" s="1" t="str">
        <f>HYPERLINK("http://stackoverflow.com/users/3404181", "yong.cn")</f>
        <v>yong.cn</v>
      </c>
      <c r="D20392" t="s">
        <v>5</v>
      </c>
      <c r="E20392">
        <v>1</v>
      </c>
    </row>
    <row r="20393" spans="1:5" x14ac:dyDescent="0.25">
      <c r="A20393">
        <v>20392</v>
      </c>
      <c r="B20393">
        <v>3404353</v>
      </c>
      <c r="C20393" s="1" t="str">
        <f>HYPERLINK("http://stackoverflow.com/users/3404353", "youngfu")</f>
        <v>youngfu</v>
      </c>
      <c r="D20393" t="s">
        <v>82</v>
      </c>
      <c r="E20393">
        <v>1</v>
      </c>
    </row>
    <row r="20394" spans="1:5" x14ac:dyDescent="0.25">
      <c r="A20394">
        <v>20393</v>
      </c>
      <c r="B20394">
        <v>3404410</v>
      </c>
      <c r="C20394" s="1" t="str">
        <f>HYPERLINK("http://stackoverflow.com/users/3404410", "shin-chong")</f>
        <v>shin-chong</v>
      </c>
      <c r="D20394" t="s">
        <v>4</v>
      </c>
      <c r="E20394">
        <v>1</v>
      </c>
    </row>
    <row r="20395" spans="1:5" x14ac:dyDescent="0.25">
      <c r="A20395">
        <v>20394</v>
      </c>
      <c r="B20395">
        <v>3404417</v>
      </c>
      <c r="C20395" s="1" t="str">
        <f>HYPERLINK("http://stackoverflow.com/users/3404417", "Kevin")</f>
        <v>Kevin</v>
      </c>
      <c r="D20395" t="s">
        <v>17</v>
      </c>
      <c r="E20395">
        <v>1</v>
      </c>
    </row>
    <row r="20396" spans="1:5" x14ac:dyDescent="0.25">
      <c r="A20396">
        <v>20395</v>
      </c>
      <c r="B20396">
        <v>3404569</v>
      </c>
      <c r="C20396" s="1" t="str">
        <f>HYPERLINK("http://stackoverflow.com/users/3404569", "Nemo-Sailing")</f>
        <v>Nemo-Sailing</v>
      </c>
      <c r="D20396" t="s">
        <v>22</v>
      </c>
      <c r="E20396">
        <v>1</v>
      </c>
    </row>
    <row r="20397" spans="1:5" x14ac:dyDescent="0.25">
      <c r="A20397">
        <v>20396</v>
      </c>
      <c r="B20397">
        <v>6925470</v>
      </c>
      <c r="C20397" s="1" t="str">
        <f>HYPERLINK("http://stackoverflow.com/users/6925470", "Hap Fu")</f>
        <v>Hap Fu</v>
      </c>
      <c r="D20397" t="s">
        <v>21</v>
      </c>
      <c r="E20397">
        <v>1</v>
      </c>
    </row>
    <row r="20398" spans="1:5" x14ac:dyDescent="0.25">
      <c r="A20398">
        <v>20397</v>
      </c>
      <c r="B20398">
        <v>6925723</v>
      </c>
      <c r="C20398" s="1" t="str">
        <f>HYPERLINK("http://stackoverflow.com/users/6925723", "Kolbe")</f>
        <v>Kolbe</v>
      </c>
      <c r="D20398" t="s">
        <v>7</v>
      </c>
      <c r="E20398">
        <v>1</v>
      </c>
    </row>
    <row r="20399" spans="1:5" x14ac:dyDescent="0.25">
      <c r="A20399">
        <v>20398</v>
      </c>
      <c r="B20399">
        <v>8783653</v>
      </c>
      <c r="C20399" s="1" t="str">
        <f>HYPERLINK("http://stackoverflow.com/users/8783653", "J.R")</f>
        <v>J.R</v>
      </c>
      <c r="D20399" t="s">
        <v>25</v>
      </c>
      <c r="E20399">
        <v>1</v>
      </c>
    </row>
    <row r="20400" spans="1:5" x14ac:dyDescent="0.25">
      <c r="A20400">
        <v>20399</v>
      </c>
      <c r="B20400">
        <v>1556411</v>
      </c>
      <c r="C20400" s="1" t="str">
        <f>HYPERLINK("http://stackoverflow.com/users/1556411", "spritelmn")</f>
        <v>spritelmn</v>
      </c>
      <c r="D20400" t="s">
        <v>22</v>
      </c>
      <c r="E20400">
        <v>1</v>
      </c>
    </row>
    <row r="20401" spans="1:5" x14ac:dyDescent="0.25">
      <c r="A20401">
        <v>20400</v>
      </c>
      <c r="B20401">
        <v>1556496</v>
      </c>
      <c r="C20401" s="1" t="str">
        <f>HYPERLINK("http://stackoverflow.com/users/1556496", "gaotiecheng1982")</f>
        <v>gaotiecheng1982</v>
      </c>
      <c r="D20401" t="s">
        <v>5</v>
      </c>
      <c r="E20401">
        <v>1</v>
      </c>
    </row>
    <row r="20402" spans="1:5" x14ac:dyDescent="0.25">
      <c r="A20402">
        <v>20401</v>
      </c>
      <c r="B20402">
        <v>1556537</v>
      </c>
      <c r="C20402" s="1" t="str">
        <f>HYPERLINK("http://stackoverflow.com/users/1556537", "wen0301")</f>
        <v>wen0301</v>
      </c>
      <c r="D20402" t="s">
        <v>5</v>
      </c>
      <c r="E20402">
        <v>1</v>
      </c>
    </row>
    <row r="20403" spans="1:5" x14ac:dyDescent="0.25">
      <c r="A20403">
        <v>20402</v>
      </c>
      <c r="B20403">
        <v>10702155</v>
      </c>
      <c r="C20403" s="1" t="str">
        <f>HYPERLINK("http://stackoverflow.com/users/10702155", "Tian")</f>
        <v>Tian</v>
      </c>
      <c r="D20403" t="s">
        <v>4</v>
      </c>
      <c r="E20403">
        <v>1</v>
      </c>
    </row>
    <row r="20404" spans="1:5" x14ac:dyDescent="0.25">
      <c r="A20404">
        <v>20403</v>
      </c>
      <c r="B20404">
        <v>10702248</v>
      </c>
      <c r="C20404" s="1" t="str">
        <f>HYPERLINK("http://stackoverflow.com/users/10702248", "Ryan W")</f>
        <v>Ryan W</v>
      </c>
      <c r="D20404" t="s">
        <v>5</v>
      </c>
      <c r="E20404">
        <v>1</v>
      </c>
    </row>
    <row r="20405" spans="1:5" x14ac:dyDescent="0.25">
      <c r="A20405">
        <v>20404</v>
      </c>
      <c r="B20405">
        <v>7062473</v>
      </c>
      <c r="C20405" s="1" t="str">
        <f>HYPERLINK("http://stackoverflow.com/users/7062473", "Luqman Atique Gondal")</f>
        <v>Luqman Atique Gondal</v>
      </c>
      <c r="D20405" t="s">
        <v>16</v>
      </c>
      <c r="E20405">
        <v>1</v>
      </c>
    </row>
    <row r="20406" spans="1:5" x14ac:dyDescent="0.25">
      <c r="A20406">
        <v>20405</v>
      </c>
      <c r="B20406">
        <v>5304207</v>
      </c>
      <c r="C20406" s="1" t="str">
        <f>HYPERLINK("http://stackoverflow.com/users/5304207", "Scott_Wang")</f>
        <v>Scott_Wang</v>
      </c>
      <c r="D20406" t="s">
        <v>4</v>
      </c>
      <c r="E20406">
        <v>1</v>
      </c>
    </row>
    <row r="20407" spans="1:5" x14ac:dyDescent="0.25">
      <c r="A20407">
        <v>20406</v>
      </c>
      <c r="B20407">
        <v>5307607</v>
      </c>
      <c r="C20407" s="1" t="str">
        <f>HYPERLINK("http://stackoverflow.com/users/5307607", "Zhengya Han")</f>
        <v>Zhengya Han</v>
      </c>
      <c r="D20407" t="s">
        <v>12</v>
      </c>
      <c r="E20407">
        <v>1</v>
      </c>
    </row>
    <row r="20408" spans="1:5" x14ac:dyDescent="0.25">
      <c r="A20408">
        <v>20407</v>
      </c>
      <c r="B20408">
        <v>5308109</v>
      </c>
      <c r="C20408" s="1" t="str">
        <f>HYPERLINK("http://stackoverflow.com/users/5308109", "Zhengty")</f>
        <v>Zhengty</v>
      </c>
      <c r="D20408" t="s">
        <v>17</v>
      </c>
      <c r="E20408">
        <v>1</v>
      </c>
    </row>
    <row r="20409" spans="1:5" x14ac:dyDescent="0.25">
      <c r="A20409">
        <v>20408</v>
      </c>
      <c r="B20409">
        <v>7067174</v>
      </c>
      <c r="C20409" s="1" t="str">
        <f>HYPERLINK("http://stackoverflow.com/users/7067174", "Wayne")</f>
        <v>Wayne</v>
      </c>
      <c r="D20409" t="s">
        <v>5</v>
      </c>
      <c r="E20409">
        <v>1</v>
      </c>
    </row>
    <row r="20410" spans="1:5" x14ac:dyDescent="0.25">
      <c r="A20410">
        <v>20409</v>
      </c>
      <c r="B20410">
        <v>7067232</v>
      </c>
      <c r="C20410" s="1" t="str">
        <f>HYPERLINK("http://stackoverflow.com/users/7067232", "Bob.zhao")</f>
        <v>Bob.zhao</v>
      </c>
      <c r="D20410" t="s">
        <v>131</v>
      </c>
      <c r="E20410">
        <v>1</v>
      </c>
    </row>
    <row r="20411" spans="1:5" x14ac:dyDescent="0.25">
      <c r="A20411">
        <v>20410</v>
      </c>
      <c r="B20411">
        <v>7067244</v>
      </c>
      <c r="C20411" s="1" t="str">
        <f>HYPERLINK("http://stackoverflow.com/users/7067244", "juwang.lc")</f>
        <v>juwang.lc</v>
      </c>
      <c r="D20411" t="s">
        <v>16</v>
      </c>
      <c r="E20411">
        <v>1</v>
      </c>
    </row>
    <row r="20412" spans="1:5" x14ac:dyDescent="0.25">
      <c r="A20412">
        <v>20411</v>
      </c>
      <c r="B20412">
        <v>7070136</v>
      </c>
      <c r="C20412" s="1" t="str">
        <f>HYPERLINK("http://stackoverflow.com/users/7070136", "Jerry")</f>
        <v>Jerry</v>
      </c>
      <c r="D20412" t="s">
        <v>52</v>
      </c>
      <c r="E20412">
        <v>1</v>
      </c>
    </row>
    <row r="20413" spans="1:5" x14ac:dyDescent="0.25">
      <c r="A20413">
        <v>20412</v>
      </c>
      <c r="B20413">
        <v>1661702</v>
      </c>
      <c r="C20413" s="1" t="str">
        <f>HYPERLINK("http://stackoverflow.com/users/1661702", "yinquan")</f>
        <v>yinquan</v>
      </c>
      <c r="D20413" t="s">
        <v>5</v>
      </c>
      <c r="E20413">
        <v>1</v>
      </c>
    </row>
    <row r="20414" spans="1:5" x14ac:dyDescent="0.25">
      <c r="A20414">
        <v>20413</v>
      </c>
      <c r="B20414">
        <v>1661857</v>
      </c>
      <c r="C20414" s="1" t="str">
        <f>HYPERLINK("http://stackoverflow.com/users/1661857", "oppoic")</f>
        <v>oppoic</v>
      </c>
      <c r="D20414" t="s">
        <v>1080</v>
      </c>
      <c r="E20414">
        <v>1</v>
      </c>
    </row>
    <row r="20415" spans="1:5" x14ac:dyDescent="0.25">
      <c r="A20415">
        <v>20414</v>
      </c>
      <c r="B20415">
        <v>1662012</v>
      </c>
      <c r="C20415" s="1" t="str">
        <f>HYPERLINK("http://stackoverflow.com/users/1662012", "WEI Lin")</f>
        <v>WEI Lin</v>
      </c>
      <c r="D20415" t="s">
        <v>5</v>
      </c>
      <c r="E20415">
        <v>1</v>
      </c>
    </row>
    <row r="20416" spans="1:5" x14ac:dyDescent="0.25">
      <c r="A20416">
        <v>20415</v>
      </c>
      <c r="B20416">
        <v>7059258</v>
      </c>
      <c r="C20416" s="1" t="str">
        <f>HYPERLINK("http://stackoverflow.com/users/7059258", "gjbmxy")</f>
        <v>gjbmxy</v>
      </c>
      <c r="D20416" t="s">
        <v>27</v>
      </c>
      <c r="E20416">
        <v>1</v>
      </c>
    </row>
    <row r="20417" spans="1:5" x14ac:dyDescent="0.25">
      <c r="A20417">
        <v>20416</v>
      </c>
      <c r="B20417">
        <v>10697946</v>
      </c>
      <c r="C20417" s="1" t="str">
        <f>HYPERLINK("http://stackoverflow.com/users/10697946", "Xan")</f>
        <v>Xan</v>
      </c>
      <c r="D20417" t="s">
        <v>242</v>
      </c>
      <c r="E20417">
        <v>1</v>
      </c>
    </row>
    <row r="20418" spans="1:5" x14ac:dyDescent="0.25">
      <c r="A20418">
        <v>20417</v>
      </c>
      <c r="B20418">
        <v>10698201</v>
      </c>
      <c r="C20418" s="1" t="str">
        <f>HYPERLINK("http://stackoverflow.com/users/10698201", "周章力")</f>
        <v>周章力</v>
      </c>
      <c r="D20418" t="s">
        <v>135</v>
      </c>
      <c r="E20418">
        <v>1</v>
      </c>
    </row>
    <row r="20419" spans="1:5" x14ac:dyDescent="0.25">
      <c r="A20419">
        <v>20418</v>
      </c>
      <c r="B20419">
        <v>10698237</v>
      </c>
      <c r="C20419" s="1" t="str">
        <f>HYPERLINK("http://stackoverflow.com/users/10698237", "smaldall")</f>
        <v>smaldall</v>
      </c>
      <c r="D20419" t="s">
        <v>463</v>
      </c>
      <c r="E20419">
        <v>1</v>
      </c>
    </row>
    <row r="20420" spans="1:5" x14ac:dyDescent="0.25">
      <c r="A20420">
        <v>20419</v>
      </c>
      <c r="B20420">
        <v>8891626</v>
      </c>
      <c r="C20420" s="1" t="str">
        <f>HYPERLINK("http://stackoverflow.com/users/8891626", "Eleven iOS_")</f>
        <v>Eleven iOS_</v>
      </c>
      <c r="D20420" t="s">
        <v>16</v>
      </c>
      <c r="E20420">
        <v>1</v>
      </c>
    </row>
    <row r="20421" spans="1:5" x14ac:dyDescent="0.25">
      <c r="A20421">
        <v>20420</v>
      </c>
      <c r="B20421">
        <v>8891658</v>
      </c>
      <c r="C20421" s="1" t="str">
        <f>HYPERLINK("http://stackoverflow.com/users/8891658", "Genpeng Xu")</f>
        <v>Genpeng Xu</v>
      </c>
      <c r="D20421" t="s">
        <v>25</v>
      </c>
      <c r="E20421">
        <v>1</v>
      </c>
    </row>
    <row r="20422" spans="1:5" x14ac:dyDescent="0.25">
      <c r="A20422">
        <v>20421</v>
      </c>
      <c r="B20422">
        <v>8891812</v>
      </c>
      <c r="C20422" s="1" t="str">
        <f>HYPERLINK("http://stackoverflow.com/users/8891812", "Jennifer Gao")</f>
        <v>Jennifer Gao</v>
      </c>
      <c r="D20422" t="s">
        <v>114</v>
      </c>
      <c r="E20422">
        <v>1</v>
      </c>
    </row>
    <row r="20423" spans="1:5" x14ac:dyDescent="0.25">
      <c r="A20423">
        <v>20422</v>
      </c>
      <c r="B20423">
        <v>8891831</v>
      </c>
      <c r="C20423" s="1" t="str">
        <f>HYPERLINK("http://stackoverflow.com/users/8891831", "Junxing")</f>
        <v>Junxing</v>
      </c>
      <c r="D20423" t="s">
        <v>7</v>
      </c>
      <c r="E20423">
        <v>1</v>
      </c>
    </row>
    <row r="20424" spans="1:5" x14ac:dyDescent="0.25">
      <c r="A20424">
        <v>20423</v>
      </c>
      <c r="B20424">
        <v>1666150</v>
      </c>
      <c r="C20424" s="1" t="str">
        <f>HYPERLINK("http://stackoverflow.com/users/1666150", "hobo")</f>
        <v>hobo</v>
      </c>
      <c r="D20424" t="s">
        <v>17</v>
      </c>
      <c r="E20424">
        <v>1</v>
      </c>
    </row>
    <row r="20425" spans="1:5" x14ac:dyDescent="0.25">
      <c r="A20425">
        <v>20424</v>
      </c>
      <c r="B20425">
        <v>5287985</v>
      </c>
      <c r="C20425" s="1" t="str">
        <f>HYPERLINK("http://stackoverflow.com/users/5287985", "Henry Liu")</f>
        <v>Henry Liu</v>
      </c>
      <c r="D20425" t="s">
        <v>4</v>
      </c>
      <c r="E20425">
        <v>1</v>
      </c>
    </row>
    <row r="20426" spans="1:5" x14ac:dyDescent="0.25">
      <c r="A20426">
        <v>20425</v>
      </c>
      <c r="B20426">
        <v>5288434</v>
      </c>
      <c r="C20426" s="1" t="str">
        <f>HYPERLINK("http://stackoverflow.com/users/5288434", "DDjian")</f>
        <v>DDjian</v>
      </c>
      <c r="D20426" t="s">
        <v>21</v>
      </c>
      <c r="E20426">
        <v>1</v>
      </c>
    </row>
    <row r="20427" spans="1:5" x14ac:dyDescent="0.25">
      <c r="A20427">
        <v>20426</v>
      </c>
      <c r="B20427">
        <v>5288534</v>
      </c>
      <c r="C20427" s="1" t="str">
        <f>HYPERLINK("http://stackoverflow.com/users/5288534", "evilddog")</f>
        <v>evilddog</v>
      </c>
      <c r="D20427" t="s">
        <v>12</v>
      </c>
      <c r="E20427">
        <v>1</v>
      </c>
    </row>
    <row r="20428" spans="1:5" x14ac:dyDescent="0.25">
      <c r="A20428">
        <v>20427</v>
      </c>
      <c r="B20428">
        <v>7051797</v>
      </c>
      <c r="C20428" s="1" t="str">
        <f>HYPERLINK("http://stackoverflow.com/users/7051797", "Gao Yuan")</f>
        <v>Gao Yuan</v>
      </c>
      <c r="D20428" t="s">
        <v>12</v>
      </c>
      <c r="E20428">
        <v>1</v>
      </c>
    </row>
    <row r="20429" spans="1:5" x14ac:dyDescent="0.25">
      <c r="A20429">
        <v>20428</v>
      </c>
      <c r="B20429">
        <v>5291496</v>
      </c>
      <c r="C20429" s="1" t="str">
        <f>HYPERLINK("http://stackoverflow.com/users/5291496", "wargame22")</f>
        <v>wargame22</v>
      </c>
      <c r="D20429" t="s">
        <v>16</v>
      </c>
      <c r="E20429">
        <v>1</v>
      </c>
    </row>
    <row r="20430" spans="1:5" x14ac:dyDescent="0.25">
      <c r="A20430">
        <v>20429</v>
      </c>
      <c r="B20430">
        <v>5291654</v>
      </c>
      <c r="C20430" s="1" t="str">
        <f>HYPERLINK("http://stackoverflow.com/users/5291654", "mingmings")</f>
        <v>mingmings</v>
      </c>
      <c r="D20430" t="s">
        <v>5</v>
      </c>
      <c r="E20430">
        <v>1</v>
      </c>
    </row>
    <row r="20431" spans="1:5" x14ac:dyDescent="0.25">
      <c r="A20431">
        <v>20430</v>
      </c>
      <c r="B20431">
        <v>5291786</v>
      </c>
      <c r="C20431" s="1" t="str">
        <f>HYPERLINK("http://stackoverflow.com/users/5291786", "bl_indie")</f>
        <v>bl_indie</v>
      </c>
      <c r="D20431" t="s">
        <v>12</v>
      </c>
      <c r="E20431">
        <v>1</v>
      </c>
    </row>
    <row r="20432" spans="1:5" x14ac:dyDescent="0.25">
      <c r="A20432">
        <v>20431</v>
      </c>
      <c r="B20432">
        <v>10688948</v>
      </c>
      <c r="C20432" s="1" t="str">
        <f>HYPERLINK("http://stackoverflow.com/users/10688948", "T.Chen")</f>
        <v>T.Chen</v>
      </c>
      <c r="D20432" t="s">
        <v>4</v>
      </c>
      <c r="E20432">
        <v>1</v>
      </c>
    </row>
    <row r="20433" spans="1:5" x14ac:dyDescent="0.25">
      <c r="A20433">
        <v>20432</v>
      </c>
      <c r="B20433">
        <v>10689636</v>
      </c>
      <c r="C20433" s="1" t="str">
        <f>HYPERLINK("http://stackoverflow.com/users/10689636", "谢佳淼")</f>
        <v>谢佳淼</v>
      </c>
      <c r="D20433" t="s">
        <v>7</v>
      </c>
      <c r="E20433">
        <v>1</v>
      </c>
    </row>
    <row r="20434" spans="1:5" x14ac:dyDescent="0.25">
      <c r="A20434">
        <v>20433</v>
      </c>
      <c r="B20434">
        <v>10689717</v>
      </c>
      <c r="C20434" s="1" t="str">
        <f>HYPERLINK("http://stackoverflow.com/users/10689717", "YJ Fang")</f>
        <v>YJ Fang</v>
      </c>
      <c r="D20434" t="s">
        <v>5</v>
      </c>
      <c r="E20434">
        <v>1</v>
      </c>
    </row>
    <row r="20435" spans="1:5" x14ac:dyDescent="0.25">
      <c r="A20435">
        <v>20434</v>
      </c>
      <c r="B20435">
        <v>1652360</v>
      </c>
      <c r="C20435" s="1" t="str">
        <f>HYPERLINK("http://stackoverflow.com/users/1652360", "chimneyliu")</f>
        <v>chimneyliu</v>
      </c>
      <c r="D20435" t="s">
        <v>5</v>
      </c>
      <c r="E20435">
        <v>1</v>
      </c>
    </row>
    <row r="20436" spans="1:5" x14ac:dyDescent="0.25">
      <c r="A20436">
        <v>20435</v>
      </c>
      <c r="B20436">
        <v>7039777</v>
      </c>
      <c r="C20436" s="1" t="str">
        <f>HYPERLINK("http://stackoverflow.com/users/7039777", "Bruce Alert")</f>
        <v>Bruce Alert</v>
      </c>
      <c r="D20436" t="s">
        <v>5</v>
      </c>
      <c r="E20436">
        <v>1</v>
      </c>
    </row>
    <row r="20437" spans="1:5" x14ac:dyDescent="0.25">
      <c r="A20437">
        <v>20436</v>
      </c>
      <c r="B20437">
        <v>8865867</v>
      </c>
      <c r="C20437" s="1" t="str">
        <f>HYPERLINK("http://stackoverflow.com/users/8865867", "lonny")</f>
        <v>lonny</v>
      </c>
      <c r="D20437" t="s">
        <v>4</v>
      </c>
      <c r="E20437">
        <v>1</v>
      </c>
    </row>
    <row r="20438" spans="1:5" x14ac:dyDescent="0.25">
      <c r="A20438">
        <v>20437</v>
      </c>
      <c r="B20438">
        <v>1618966</v>
      </c>
      <c r="C20438" s="1" t="str">
        <f>HYPERLINK("http://stackoverflow.com/users/1618966", "jeffreylyp")</f>
        <v>jeffreylyp</v>
      </c>
      <c r="D20438" t="s">
        <v>12</v>
      </c>
      <c r="E20438">
        <v>1</v>
      </c>
    </row>
    <row r="20439" spans="1:5" x14ac:dyDescent="0.25">
      <c r="A20439">
        <v>20438</v>
      </c>
      <c r="B20439">
        <v>1619069</v>
      </c>
      <c r="C20439" s="1" t="str">
        <f>HYPERLINK("http://stackoverflow.com/users/1619069", "king-ming")</f>
        <v>king-ming</v>
      </c>
      <c r="D20439" t="s">
        <v>5</v>
      </c>
      <c r="E20439">
        <v>1</v>
      </c>
    </row>
    <row r="20440" spans="1:5" x14ac:dyDescent="0.25">
      <c r="A20440">
        <v>20439</v>
      </c>
      <c r="B20440">
        <v>1629684</v>
      </c>
      <c r="C20440" s="1" t="str">
        <f>HYPERLINK("http://stackoverflow.com/users/1629684", "Margin")</f>
        <v>Margin</v>
      </c>
      <c r="D20440" t="s">
        <v>16</v>
      </c>
      <c r="E20440">
        <v>1</v>
      </c>
    </row>
    <row r="20441" spans="1:5" x14ac:dyDescent="0.25">
      <c r="A20441">
        <v>20440</v>
      </c>
      <c r="B20441">
        <v>1647999</v>
      </c>
      <c r="C20441" s="1" t="str">
        <f>HYPERLINK("http://stackoverflow.com/users/1647999", "Cwndmiao")</f>
        <v>Cwndmiao</v>
      </c>
      <c r="D20441" t="s">
        <v>4</v>
      </c>
      <c r="E20441">
        <v>1</v>
      </c>
    </row>
    <row r="20442" spans="1:5" x14ac:dyDescent="0.25">
      <c r="A20442">
        <v>20441</v>
      </c>
      <c r="B20442">
        <v>1647666</v>
      </c>
      <c r="C20442" s="1" t="str">
        <f>HYPERLINK("http://stackoverflow.com/users/1647666", "iamroody")</f>
        <v>iamroody</v>
      </c>
      <c r="D20442" t="s">
        <v>54</v>
      </c>
      <c r="E20442">
        <v>1</v>
      </c>
    </row>
    <row r="20443" spans="1:5" x14ac:dyDescent="0.25">
      <c r="A20443">
        <v>20442</v>
      </c>
      <c r="B20443">
        <v>1647678</v>
      </c>
      <c r="C20443" s="1" t="str">
        <f>HYPERLINK("http://stackoverflow.com/users/1647678", "ericyi")</f>
        <v>ericyi</v>
      </c>
      <c r="D20443" t="s">
        <v>5</v>
      </c>
      <c r="E20443">
        <v>1</v>
      </c>
    </row>
    <row r="20444" spans="1:5" x14ac:dyDescent="0.25">
      <c r="A20444">
        <v>20443</v>
      </c>
      <c r="B20444">
        <v>1653764</v>
      </c>
      <c r="C20444" s="1" t="str">
        <f>HYPERLINK("http://stackoverflow.com/users/1653764", "soledad89")</f>
        <v>soledad89</v>
      </c>
      <c r="D20444" t="s">
        <v>5</v>
      </c>
      <c r="E20444">
        <v>1</v>
      </c>
    </row>
    <row r="20445" spans="1:5" x14ac:dyDescent="0.25">
      <c r="A20445">
        <v>20444</v>
      </c>
      <c r="B20445">
        <v>1653881</v>
      </c>
      <c r="C20445" s="1" t="str">
        <f>HYPERLINK("http://stackoverflow.com/users/1653881", "sakuyayc")</f>
        <v>sakuyayc</v>
      </c>
      <c r="D20445" t="s">
        <v>37</v>
      </c>
      <c r="E20445">
        <v>1</v>
      </c>
    </row>
    <row r="20446" spans="1:5" x14ac:dyDescent="0.25">
      <c r="A20446">
        <v>20445</v>
      </c>
      <c r="B20446">
        <v>8878457</v>
      </c>
      <c r="C20446" s="1" t="str">
        <f>HYPERLINK("http://stackoverflow.com/users/8878457", "Benson")</f>
        <v>Benson</v>
      </c>
      <c r="D20446" t="s">
        <v>7</v>
      </c>
      <c r="E20446">
        <v>1</v>
      </c>
    </row>
    <row r="20447" spans="1:5" x14ac:dyDescent="0.25">
      <c r="A20447">
        <v>20446</v>
      </c>
      <c r="B20447">
        <v>8878820</v>
      </c>
      <c r="C20447" s="1" t="str">
        <f>HYPERLINK("http://stackoverflow.com/users/8878820", "Kelly")</f>
        <v>Kelly</v>
      </c>
      <c r="D20447" t="s">
        <v>5</v>
      </c>
      <c r="E20447">
        <v>1</v>
      </c>
    </row>
    <row r="20448" spans="1:5" x14ac:dyDescent="0.25">
      <c r="A20448">
        <v>20447</v>
      </c>
      <c r="B20448">
        <v>8878916</v>
      </c>
      <c r="C20448" s="1" t="str">
        <f>HYPERLINK("http://stackoverflow.com/users/8878916", "Ozzie Xu")</f>
        <v>Ozzie Xu</v>
      </c>
      <c r="D20448" t="s">
        <v>28</v>
      </c>
      <c r="E20448">
        <v>1</v>
      </c>
    </row>
    <row r="20449" spans="1:5" x14ac:dyDescent="0.25">
      <c r="A20449">
        <v>20448</v>
      </c>
      <c r="B20449">
        <v>1656856</v>
      </c>
      <c r="C20449" s="1" t="str">
        <f>HYPERLINK("http://stackoverflow.com/users/1656856", "miaomaocat")</f>
        <v>miaomaocat</v>
      </c>
      <c r="D20449" t="s">
        <v>5</v>
      </c>
      <c r="E20449">
        <v>1</v>
      </c>
    </row>
    <row r="20450" spans="1:5" x14ac:dyDescent="0.25">
      <c r="A20450">
        <v>20449</v>
      </c>
      <c r="B20450">
        <v>3487847</v>
      </c>
      <c r="C20450" s="1" t="str">
        <f>HYPERLINK("http://stackoverflow.com/users/3487847", "user3487847")</f>
        <v>user3487847</v>
      </c>
      <c r="D20450" t="s">
        <v>5</v>
      </c>
      <c r="E20450">
        <v>1</v>
      </c>
    </row>
    <row r="20451" spans="1:5" x14ac:dyDescent="0.25">
      <c r="A20451">
        <v>20450</v>
      </c>
      <c r="B20451">
        <v>5312046</v>
      </c>
      <c r="C20451" s="1" t="str">
        <f>HYPERLINK("http://stackoverflow.com/users/5312046", "唐志杰")</f>
        <v>唐志杰</v>
      </c>
      <c r="D20451" t="s">
        <v>22</v>
      </c>
      <c r="E20451">
        <v>1</v>
      </c>
    </row>
    <row r="20452" spans="1:5" x14ac:dyDescent="0.25">
      <c r="A20452">
        <v>20451</v>
      </c>
      <c r="B20452">
        <v>5312091</v>
      </c>
      <c r="C20452" s="1" t="str">
        <f>HYPERLINK("http://stackoverflow.com/users/5312091", "kingcong")</f>
        <v>kingcong</v>
      </c>
      <c r="D20452" t="s">
        <v>120</v>
      </c>
      <c r="E20452">
        <v>1</v>
      </c>
    </row>
    <row r="20453" spans="1:5" x14ac:dyDescent="0.25">
      <c r="A20453">
        <v>20452</v>
      </c>
      <c r="B20453">
        <v>5311815</v>
      </c>
      <c r="C20453" s="1" t="str">
        <f>HYPERLINK("http://stackoverflow.com/users/5311815", "Vincent Mi")</f>
        <v>Vincent Mi</v>
      </c>
      <c r="D20453" t="s">
        <v>22</v>
      </c>
      <c r="E20453">
        <v>1</v>
      </c>
    </row>
    <row r="20454" spans="1:5" x14ac:dyDescent="0.25">
      <c r="A20454">
        <v>20453</v>
      </c>
      <c r="B20454">
        <v>5311823</v>
      </c>
      <c r="C20454" s="1" t="str">
        <f>HYPERLINK("http://stackoverflow.com/users/5311823", "Bruce Xie")</f>
        <v>Bruce Xie</v>
      </c>
      <c r="D20454" t="s">
        <v>12</v>
      </c>
      <c r="E20454">
        <v>1</v>
      </c>
    </row>
    <row r="20455" spans="1:5" x14ac:dyDescent="0.25">
      <c r="A20455">
        <v>20454</v>
      </c>
      <c r="B20455">
        <v>1682798</v>
      </c>
      <c r="C20455" s="1" t="str">
        <f>HYPERLINK("http://stackoverflow.com/users/1682798", "Tyler Ling")</f>
        <v>Tyler Ling</v>
      </c>
      <c r="D20455" t="s">
        <v>108</v>
      </c>
      <c r="E20455">
        <v>1</v>
      </c>
    </row>
    <row r="20456" spans="1:5" x14ac:dyDescent="0.25">
      <c r="A20456">
        <v>20455</v>
      </c>
      <c r="B20456">
        <v>10716063</v>
      </c>
      <c r="C20456" s="1" t="str">
        <f>HYPERLINK("http://stackoverflow.com/users/10716063", "echo Ho")</f>
        <v>echo Ho</v>
      </c>
      <c r="D20456" t="s">
        <v>16</v>
      </c>
      <c r="E20456">
        <v>1</v>
      </c>
    </row>
    <row r="20457" spans="1:5" x14ac:dyDescent="0.25">
      <c r="A20457">
        <v>20456</v>
      </c>
      <c r="B20457">
        <v>7074420</v>
      </c>
      <c r="C20457" s="1" t="str">
        <f>HYPERLINK("http://stackoverflow.com/users/7074420", "tom")</f>
        <v>tom</v>
      </c>
      <c r="D20457" t="s">
        <v>4</v>
      </c>
      <c r="E20457">
        <v>1</v>
      </c>
    </row>
    <row r="20458" spans="1:5" x14ac:dyDescent="0.25">
      <c r="A20458">
        <v>20457</v>
      </c>
      <c r="B20458">
        <v>5315183</v>
      </c>
      <c r="C20458" s="1" t="str">
        <f>HYPERLINK("http://stackoverflow.com/users/5315183", "xuwenzhi")</f>
        <v>xuwenzhi</v>
      </c>
      <c r="D20458" t="s">
        <v>5</v>
      </c>
      <c r="E20458">
        <v>1</v>
      </c>
    </row>
    <row r="20459" spans="1:5" x14ac:dyDescent="0.25">
      <c r="A20459">
        <v>20458</v>
      </c>
      <c r="B20459">
        <v>5315677</v>
      </c>
      <c r="C20459" s="1" t="str">
        <f>HYPERLINK("http://stackoverflow.com/users/5315677", "Xiaotian Cheng")</f>
        <v>Xiaotian Cheng</v>
      </c>
      <c r="D20459" t="s">
        <v>4</v>
      </c>
      <c r="E20459">
        <v>1</v>
      </c>
    </row>
    <row r="20460" spans="1:5" x14ac:dyDescent="0.25">
      <c r="A20460">
        <v>20459</v>
      </c>
      <c r="B20460">
        <v>8906157</v>
      </c>
      <c r="C20460" s="1" t="str">
        <f>HYPERLINK("http://stackoverflow.com/users/8906157", "Mann He")</f>
        <v>Mann He</v>
      </c>
      <c r="D20460" t="s">
        <v>25</v>
      </c>
      <c r="E20460">
        <v>1</v>
      </c>
    </row>
    <row r="20461" spans="1:5" x14ac:dyDescent="0.25">
      <c r="A20461">
        <v>20460</v>
      </c>
      <c r="B20461">
        <v>1687681</v>
      </c>
      <c r="C20461" s="1" t="str">
        <f>HYPERLINK("http://stackoverflow.com/users/1687681", "daichen.daisy")</f>
        <v>daichen.daisy</v>
      </c>
      <c r="D20461" t="s">
        <v>5</v>
      </c>
      <c r="E20461">
        <v>1</v>
      </c>
    </row>
    <row r="20462" spans="1:5" x14ac:dyDescent="0.25">
      <c r="A20462">
        <v>20461</v>
      </c>
      <c r="B20462">
        <v>1687917</v>
      </c>
      <c r="C20462" s="1" t="str">
        <f>HYPERLINK("http://stackoverflow.com/users/1687917", "Jerome Shu")</f>
        <v>Jerome Shu</v>
      </c>
      <c r="D20462" t="s">
        <v>5</v>
      </c>
      <c r="E20462">
        <v>1</v>
      </c>
    </row>
    <row r="20463" spans="1:5" x14ac:dyDescent="0.25">
      <c r="A20463">
        <v>20462</v>
      </c>
      <c r="B20463">
        <v>1693721</v>
      </c>
      <c r="C20463" s="1" t="str">
        <f>HYPERLINK("http://stackoverflow.com/users/1693721", "vagasnail")</f>
        <v>vagasnail</v>
      </c>
      <c r="D20463" t="s">
        <v>21</v>
      </c>
      <c r="E20463">
        <v>1</v>
      </c>
    </row>
    <row r="20464" spans="1:5" x14ac:dyDescent="0.25">
      <c r="A20464">
        <v>20463</v>
      </c>
      <c r="B20464">
        <v>7086032</v>
      </c>
      <c r="C20464" s="1" t="str">
        <f>HYPERLINK("http://stackoverflow.com/users/7086032", "Eric")</f>
        <v>Eric</v>
      </c>
      <c r="D20464" t="s">
        <v>4</v>
      </c>
      <c r="E20464">
        <v>1</v>
      </c>
    </row>
    <row r="20465" spans="1:5" x14ac:dyDescent="0.25">
      <c r="A20465">
        <v>20464</v>
      </c>
      <c r="B20465">
        <v>10730282</v>
      </c>
      <c r="C20465" s="1" t="str">
        <f>HYPERLINK("http://stackoverflow.com/users/10730282", "CaiDi")</f>
        <v>CaiDi</v>
      </c>
      <c r="D20465" t="s">
        <v>37</v>
      </c>
      <c r="E20465">
        <v>1</v>
      </c>
    </row>
    <row r="20466" spans="1:5" x14ac:dyDescent="0.25">
      <c r="A20466">
        <v>20465</v>
      </c>
      <c r="B20466">
        <v>10730313</v>
      </c>
      <c r="C20466" s="1" t="str">
        <f>HYPERLINK("http://stackoverflow.com/users/10730313", "everyone genius")</f>
        <v>everyone genius</v>
      </c>
      <c r="D20466" t="s">
        <v>1081</v>
      </c>
      <c r="E20466">
        <v>1</v>
      </c>
    </row>
    <row r="20467" spans="1:5" x14ac:dyDescent="0.25">
      <c r="A20467">
        <v>20466</v>
      </c>
      <c r="B20467">
        <v>10720368</v>
      </c>
      <c r="C20467" s="1" t="str">
        <f>HYPERLINK("http://stackoverflow.com/users/10720368", "Thomas Jullien")</f>
        <v>Thomas Jullien</v>
      </c>
      <c r="D20467" t="s">
        <v>5</v>
      </c>
      <c r="E20467">
        <v>1</v>
      </c>
    </row>
    <row r="20468" spans="1:5" x14ac:dyDescent="0.25">
      <c r="A20468">
        <v>20467</v>
      </c>
      <c r="B20468">
        <v>8911040</v>
      </c>
      <c r="C20468" s="1" t="str">
        <f>HYPERLINK("http://stackoverflow.com/users/8911040", "Zack")</f>
        <v>Zack</v>
      </c>
      <c r="D20468" t="s">
        <v>7</v>
      </c>
      <c r="E20468">
        <v>1</v>
      </c>
    </row>
    <row r="20469" spans="1:5" x14ac:dyDescent="0.25">
      <c r="A20469">
        <v>20468</v>
      </c>
      <c r="B20469">
        <v>8911188</v>
      </c>
      <c r="C20469" s="1" t="str">
        <f>HYPERLINK("http://stackoverflow.com/users/8911188", "Samson Liu")</f>
        <v>Samson Liu</v>
      </c>
      <c r="D20469" t="s">
        <v>1082</v>
      </c>
      <c r="E20469">
        <v>1</v>
      </c>
    </row>
    <row r="20470" spans="1:5" x14ac:dyDescent="0.25">
      <c r="A20470">
        <v>20469</v>
      </c>
      <c r="B20470">
        <v>8911237</v>
      </c>
      <c r="C20470" s="1" t="str">
        <f>HYPERLINK("http://stackoverflow.com/users/8911237", "webDrag0n")</f>
        <v>webDrag0n</v>
      </c>
      <c r="D20470" t="s">
        <v>7</v>
      </c>
      <c r="E20470">
        <v>1</v>
      </c>
    </row>
    <row r="20471" spans="1:5" x14ac:dyDescent="0.25">
      <c r="A20471">
        <v>20470</v>
      </c>
      <c r="B20471">
        <v>7077969</v>
      </c>
      <c r="C20471" s="1" t="str">
        <f>HYPERLINK("http://stackoverflow.com/users/7077969", "Guozhi Wung")</f>
        <v>Guozhi Wung</v>
      </c>
      <c r="D20471" t="s">
        <v>303</v>
      </c>
      <c r="E20471">
        <v>1</v>
      </c>
    </row>
    <row r="20472" spans="1:5" x14ac:dyDescent="0.25">
      <c r="A20472">
        <v>20471</v>
      </c>
      <c r="B20472">
        <v>5323582</v>
      </c>
      <c r="C20472" s="1" t="str">
        <f>HYPERLINK("http://stackoverflow.com/users/5323582", "codecly")</f>
        <v>codecly</v>
      </c>
      <c r="D20472" t="s">
        <v>31</v>
      </c>
      <c r="E20472">
        <v>1</v>
      </c>
    </row>
    <row r="20473" spans="1:5" x14ac:dyDescent="0.25">
      <c r="A20473">
        <v>20472</v>
      </c>
      <c r="B20473">
        <v>1692415</v>
      </c>
      <c r="C20473" s="1" t="str">
        <f>HYPERLINK("http://stackoverflow.com/users/1692415", "sxhshare")</f>
        <v>sxhshare</v>
      </c>
      <c r="D20473" t="s">
        <v>5</v>
      </c>
      <c r="E20473">
        <v>1</v>
      </c>
    </row>
    <row r="20474" spans="1:5" x14ac:dyDescent="0.25">
      <c r="A20474">
        <v>20473</v>
      </c>
      <c r="B20474">
        <v>7094279</v>
      </c>
      <c r="C20474" s="1" t="str">
        <f>HYPERLINK("http://stackoverflow.com/users/7094279", "Flame")</f>
        <v>Flame</v>
      </c>
      <c r="D20474" t="s">
        <v>4</v>
      </c>
      <c r="E20474">
        <v>1</v>
      </c>
    </row>
    <row r="20475" spans="1:5" x14ac:dyDescent="0.25">
      <c r="A20475">
        <v>20474</v>
      </c>
      <c r="B20475">
        <v>10738428</v>
      </c>
      <c r="C20475" s="1" t="str">
        <f>HYPERLINK("http://stackoverflow.com/users/10738428", "骆永进")</f>
        <v>骆永进</v>
      </c>
      <c r="D20475" t="s">
        <v>4</v>
      </c>
      <c r="E20475">
        <v>1</v>
      </c>
    </row>
    <row r="20476" spans="1:5" x14ac:dyDescent="0.25">
      <c r="A20476">
        <v>20475</v>
      </c>
      <c r="B20476">
        <v>10738639</v>
      </c>
      <c r="C20476" s="1" t="str">
        <f>HYPERLINK("http://stackoverflow.com/users/10738639", "M.Duo")</f>
        <v>M.Duo</v>
      </c>
      <c r="D20476" t="s">
        <v>5</v>
      </c>
      <c r="E20476">
        <v>1</v>
      </c>
    </row>
    <row r="20477" spans="1:5" x14ac:dyDescent="0.25">
      <c r="A20477">
        <v>20476</v>
      </c>
      <c r="B20477">
        <v>10738715</v>
      </c>
      <c r="C20477" s="1" t="str">
        <f>HYPERLINK("http://stackoverflow.com/users/10738715", "Bill Amor")</f>
        <v>Bill Amor</v>
      </c>
      <c r="D20477" t="s">
        <v>320</v>
      </c>
      <c r="E20477">
        <v>1</v>
      </c>
    </row>
    <row r="20478" spans="1:5" x14ac:dyDescent="0.25">
      <c r="A20478">
        <v>20477</v>
      </c>
      <c r="B20478">
        <v>1711505</v>
      </c>
      <c r="C20478" s="1" t="str">
        <f>HYPERLINK("http://stackoverflow.com/users/1711505", "drs2biz")</f>
        <v>drs2biz</v>
      </c>
      <c r="D20478" t="s">
        <v>851</v>
      </c>
      <c r="E20478">
        <v>1</v>
      </c>
    </row>
    <row r="20479" spans="1:5" x14ac:dyDescent="0.25">
      <c r="A20479">
        <v>20478</v>
      </c>
      <c r="B20479">
        <v>1711621</v>
      </c>
      <c r="C20479" s="1" t="str">
        <f>HYPERLINK("http://stackoverflow.com/users/1711621", "Jaguar Zhang")</f>
        <v>Jaguar Zhang</v>
      </c>
      <c r="D20479" t="s">
        <v>4</v>
      </c>
      <c r="E20479">
        <v>1</v>
      </c>
    </row>
    <row r="20480" spans="1:5" x14ac:dyDescent="0.25">
      <c r="A20480">
        <v>20479</v>
      </c>
      <c r="B20480">
        <v>1711944</v>
      </c>
      <c r="C20480" s="1" t="str">
        <f>HYPERLINK("http://stackoverflow.com/users/1711944", "sanzoh")</f>
        <v>sanzoh</v>
      </c>
      <c r="D20480" t="s">
        <v>17</v>
      </c>
      <c r="E20480">
        <v>1</v>
      </c>
    </row>
    <row r="20481" spans="1:5" x14ac:dyDescent="0.25">
      <c r="A20481">
        <v>20480</v>
      </c>
      <c r="B20481">
        <v>1712072</v>
      </c>
      <c r="C20481" s="1" t="str">
        <f>HYPERLINK("http://stackoverflow.com/users/1712072", "Eaglet Jhang")</f>
        <v>Eaglet Jhang</v>
      </c>
      <c r="D20481" t="s">
        <v>4</v>
      </c>
      <c r="E20481">
        <v>1</v>
      </c>
    </row>
    <row r="20482" spans="1:5" x14ac:dyDescent="0.25">
      <c r="A20482">
        <v>20481</v>
      </c>
      <c r="B20482">
        <v>8933210</v>
      </c>
      <c r="C20482" s="1" t="str">
        <f>HYPERLINK("http://stackoverflow.com/users/8933210", "wangyaya")</f>
        <v>wangyaya</v>
      </c>
      <c r="D20482" t="s">
        <v>1083</v>
      </c>
      <c r="E20482">
        <v>1</v>
      </c>
    </row>
    <row r="20483" spans="1:5" x14ac:dyDescent="0.25">
      <c r="A20483">
        <v>20482</v>
      </c>
      <c r="B20483">
        <v>10734547</v>
      </c>
      <c r="C20483" s="1" t="str">
        <f>HYPERLINK("http://stackoverflow.com/users/10734547", "Redflashing")</f>
        <v>Redflashing</v>
      </c>
      <c r="D20483" t="s">
        <v>242</v>
      </c>
      <c r="E20483">
        <v>1</v>
      </c>
    </row>
    <row r="20484" spans="1:5" x14ac:dyDescent="0.25">
      <c r="A20484">
        <v>20483</v>
      </c>
      <c r="B20484">
        <v>8925167</v>
      </c>
      <c r="C20484" s="1" t="str">
        <f>HYPERLINK("http://stackoverflow.com/users/8925167", "Joxy")</f>
        <v>Joxy</v>
      </c>
      <c r="D20484" t="s">
        <v>4</v>
      </c>
      <c r="E20484">
        <v>1</v>
      </c>
    </row>
    <row r="20485" spans="1:5" x14ac:dyDescent="0.25">
      <c r="A20485">
        <v>20484</v>
      </c>
      <c r="B20485">
        <v>3525709</v>
      </c>
      <c r="C20485" s="1" t="str">
        <f>HYPERLINK("http://stackoverflow.com/users/3525709", "James Xu")</f>
        <v>James Xu</v>
      </c>
      <c r="D20485" t="s">
        <v>21</v>
      </c>
      <c r="E20485">
        <v>1</v>
      </c>
    </row>
    <row r="20486" spans="1:5" x14ac:dyDescent="0.25">
      <c r="A20486">
        <v>20485</v>
      </c>
      <c r="B20486">
        <v>10737908</v>
      </c>
      <c r="C20486" s="1" t="str">
        <f>HYPERLINK("http://stackoverflow.com/users/10737908", "Charryzzz")</f>
        <v>Charryzzz</v>
      </c>
      <c r="D20486" t="s">
        <v>29</v>
      </c>
      <c r="E20486">
        <v>1</v>
      </c>
    </row>
    <row r="20487" spans="1:5" x14ac:dyDescent="0.25">
      <c r="A20487">
        <v>20486</v>
      </c>
      <c r="B20487">
        <v>7093659</v>
      </c>
      <c r="C20487" s="1" t="str">
        <f>HYPERLINK("http://stackoverflow.com/users/7093659", "Joe_e")</f>
        <v>Joe_e</v>
      </c>
      <c r="D20487" t="s">
        <v>4</v>
      </c>
      <c r="E20487">
        <v>1</v>
      </c>
    </row>
    <row r="20488" spans="1:5" x14ac:dyDescent="0.25">
      <c r="A20488">
        <v>20487</v>
      </c>
      <c r="B20488">
        <v>7093793</v>
      </c>
      <c r="C20488" s="1" t="str">
        <f>HYPERLINK("http://stackoverflow.com/users/7093793", "Chen Shu")</f>
        <v>Chen Shu</v>
      </c>
      <c r="D20488" t="s">
        <v>43</v>
      </c>
      <c r="E20488">
        <v>1</v>
      </c>
    </row>
    <row r="20489" spans="1:5" x14ac:dyDescent="0.25">
      <c r="A20489">
        <v>20488</v>
      </c>
      <c r="B20489">
        <v>7093963</v>
      </c>
      <c r="C20489" s="1" t="str">
        <f>HYPERLINK("http://stackoverflow.com/users/7093963", "Wuchunghsuan")</f>
        <v>Wuchunghsuan</v>
      </c>
      <c r="D20489" t="s">
        <v>4</v>
      </c>
      <c r="E20489">
        <v>1</v>
      </c>
    </row>
    <row r="20490" spans="1:5" x14ac:dyDescent="0.25">
      <c r="A20490">
        <v>20489</v>
      </c>
      <c r="B20490">
        <v>7094118</v>
      </c>
      <c r="C20490" s="1" t="str">
        <f>HYPERLINK("http://stackoverflow.com/users/7094118", "Jingge Xiao")</f>
        <v>Jingge Xiao</v>
      </c>
      <c r="D20490" t="s">
        <v>5</v>
      </c>
      <c r="E20490">
        <v>1</v>
      </c>
    </row>
    <row r="20491" spans="1:5" x14ac:dyDescent="0.25">
      <c r="A20491">
        <v>20490</v>
      </c>
      <c r="B20491">
        <v>7105146</v>
      </c>
      <c r="C20491" s="1" t="str">
        <f>HYPERLINK("http://stackoverflow.com/users/7105146", "Jonyzz")</f>
        <v>Jonyzz</v>
      </c>
      <c r="D20491" t="s">
        <v>52</v>
      </c>
      <c r="E20491">
        <v>1</v>
      </c>
    </row>
    <row r="20492" spans="1:5" x14ac:dyDescent="0.25">
      <c r="A20492">
        <v>20491</v>
      </c>
      <c r="B20492">
        <v>8946212</v>
      </c>
      <c r="C20492" s="1" t="str">
        <f>HYPERLINK("http://stackoverflow.com/users/8946212", "Chandler Sun")</f>
        <v>Chandler Sun</v>
      </c>
      <c r="D20492" t="s">
        <v>74</v>
      </c>
      <c r="E20492">
        <v>1</v>
      </c>
    </row>
    <row r="20493" spans="1:5" x14ac:dyDescent="0.25">
      <c r="A20493">
        <v>20492</v>
      </c>
      <c r="B20493">
        <v>10755234</v>
      </c>
      <c r="C20493" s="1" t="str">
        <f>HYPERLINK("http://stackoverflow.com/users/10755234", "Feng")</f>
        <v>Feng</v>
      </c>
      <c r="D20493" t="s">
        <v>1084</v>
      </c>
      <c r="E20493">
        <v>1</v>
      </c>
    </row>
    <row r="20494" spans="1:5" x14ac:dyDescent="0.25">
      <c r="A20494">
        <v>20493</v>
      </c>
      <c r="B20494">
        <v>10755299</v>
      </c>
      <c r="C20494" s="1" t="str">
        <f>HYPERLINK("http://stackoverflow.com/users/10755299", "M-K")</f>
        <v>M-K</v>
      </c>
      <c r="D20494" t="s">
        <v>33</v>
      </c>
      <c r="E20494">
        <v>1</v>
      </c>
    </row>
    <row r="20495" spans="1:5" x14ac:dyDescent="0.25">
      <c r="A20495">
        <v>20494</v>
      </c>
      <c r="B20495">
        <v>7108234</v>
      </c>
      <c r="C20495" s="1" t="str">
        <f>HYPERLINK("http://stackoverflow.com/users/7108234", "monsterLin")</f>
        <v>monsterLin</v>
      </c>
      <c r="D20495" t="s">
        <v>1085</v>
      </c>
      <c r="E20495">
        <v>1</v>
      </c>
    </row>
    <row r="20496" spans="1:5" x14ac:dyDescent="0.25">
      <c r="A20496">
        <v>20495</v>
      </c>
      <c r="B20496">
        <v>7108407</v>
      </c>
      <c r="C20496" s="1" t="str">
        <f>HYPERLINK("http://stackoverflow.com/users/7108407", "Jiale Zhang")</f>
        <v>Jiale Zhang</v>
      </c>
      <c r="D20496" t="s">
        <v>5</v>
      </c>
      <c r="E20496">
        <v>1</v>
      </c>
    </row>
    <row r="20497" spans="1:5" x14ac:dyDescent="0.25">
      <c r="A20497">
        <v>20496</v>
      </c>
      <c r="B20497">
        <v>7108750</v>
      </c>
      <c r="C20497" s="1" t="str">
        <f>HYPERLINK("http://stackoverflow.com/users/7108750", "Jack")</f>
        <v>Jack</v>
      </c>
      <c r="D20497" t="s">
        <v>28</v>
      </c>
      <c r="E20497">
        <v>1</v>
      </c>
    </row>
    <row r="20498" spans="1:5" x14ac:dyDescent="0.25">
      <c r="A20498">
        <v>20497</v>
      </c>
      <c r="B20498">
        <v>7108976</v>
      </c>
      <c r="C20498" s="1" t="str">
        <f>HYPERLINK("http://stackoverflow.com/users/7108976", "SteppeOldWolf")</f>
        <v>SteppeOldWolf</v>
      </c>
      <c r="D20498" t="s">
        <v>118</v>
      </c>
      <c r="E20498">
        <v>1</v>
      </c>
    </row>
    <row r="20499" spans="1:5" x14ac:dyDescent="0.25">
      <c r="A20499">
        <v>20498</v>
      </c>
      <c r="B20499">
        <v>8937998</v>
      </c>
      <c r="C20499" s="1" t="str">
        <f>HYPERLINK("http://stackoverflow.com/users/8937998", "MIRROR")</f>
        <v>MIRROR</v>
      </c>
      <c r="D20499" t="s">
        <v>1086</v>
      </c>
      <c r="E20499">
        <v>1</v>
      </c>
    </row>
    <row r="20500" spans="1:5" x14ac:dyDescent="0.25">
      <c r="A20500">
        <v>20499</v>
      </c>
      <c r="B20500">
        <v>8938012</v>
      </c>
      <c r="C20500" s="1" t="str">
        <f>HYPERLINK("http://stackoverflow.com/users/8938012", "Jicheng Zhi")</f>
        <v>Jicheng Zhi</v>
      </c>
      <c r="D20500" t="s">
        <v>57</v>
      </c>
      <c r="E20500">
        <v>1</v>
      </c>
    </row>
    <row r="20501" spans="1:5" x14ac:dyDescent="0.25">
      <c r="A20501">
        <v>20500</v>
      </c>
      <c r="B20501">
        <v>8938038</v>
      </c>
      <c r="C20501" s="1" t="str">
        <f>HYPERLINK("http://stackoverflow.com/users/8938038", "fucheng")</f>
        <v>fucheng</v>
      </c>
      <c r="D20501" t="s">
        <v>7</v>
      </c>
      <c r="E20501">
        <v>1</v>
      </c>
    </row>
    <row r="20502" spans="1:5" x14ac:dyDescent="0.25">
      <c r="A20502">
        <v>20501</v>
      </c>
      <c r="B20502">
        <v>8938084</v>
      </c>
      <c r="C20502" s="1" t="str">
        <f>HYPERLINK("http://stackoverflow.com/users/8938084", "gao")</f>
        <v>gao</v>
      </c>
      <c r="D20502" t="s">
        <v>5</v>
      </c>
      <c r="E20502">
        <v>1</v>
      </c>
    </row>
    <row r="20503" spans="1:5" x14ac:dyDescent="0.25">
      <c r="A20503">
        <v>20502</v>
      </c>
      <c r="B20503">
        <v>8938311</v>
      </c>
      <c r="C20503" s="1" t="str">
        <f>HYPERLINK("http://stackoverflow.com/users/8938311", "robin ding")</f>
        <v>robin ding</v>
      </c>
      <c r="D20503" t="s">
        <v>52</v>
      </c>
      <c r="E20503">
        <v>1</v>
      </c>
    </row>
    <row r="20504" spans="1:5" x14ac:dyDescent="0.25">
      <c r="A20504">
        <v>20503</v>
      </c>
      <c r="B20504">
        <v>10747128</v>
      </c>
      <c r="C20504" s="1" t="str">
        <f>HYPERLINK("http://stackoverflow.com/users/10747128", "brightsky")</f>
        <v>brightsky</v>
      </c>
      <c r="D20504" t="s">
        <v>74</v>
      </c>
      <c r="E20504">
        <v>1</v>
      </c>
    </row>
    <row r="20505" spans="1:5" x14ac:dyDescent="0.25">
      <c r="A20505">
        <v>20504</v>
      </c>
      <c r="B20505">
        <v>10747362</v>
      </c>
      <c r="C20505" s="1" t="str">
        <f>HYPERLINK("http://stackoverflow.com/users/10747362", "袁庭宁")</f>
        <v>袁庭宁</v>
      </c>
      <c r="D20505" t="s">
        <v>55</v>
      </c>
      <c r="E20505">
        <v>1</v>
      </c>
    </row>
    <row r="20506" spans="1:5" x14ac:dyDescent="0.25">
      <c r="A20506">
        <v>20505</v>
      </c>
      <c r="B20506">
        <v>5187908</v>
      </c>
      <c r="C20506" s="1" t="str">
        <f>HYPERLINK("http://stackoverflow.com/users/5187908", "dontaire")</f>
        <v>dontaire</v>
      </c>
      <c r="D20506" t="s">
        <v>5</v>
      </c>
      <c r="E20506">
        <v>1</v>
      </c>
    </row>
    <row r="20507" spans="1:5" x14ac:dyDescent="0.25">
      <c r="A20507">
        <v>20506</v>
      </c>
      <c r="B20507">
        <v>5190566</v>
      </c>
      <c r="C20507" s="1" t="str">
        <f>HYPERLINK("http://stackoverflow.com/users/5190566", "Sauchye")</f>
        <v>Sauchye</v>
      </c>
      <c r="D20507" t="s">
        <v>17</v>
      </c>
      <c r="E20507">
        <v>1</v>
      </c>
    </row>
    <row r="20508" spans="1:5" x14ac:dyDescent="0.25">
      <c r="A20508">
        <v>20507</v>
      </c>
      <c r="B20508">
        <v>8763931</v>
      </c>
      <c r="C20508" s="1" t="str">
        <f>HYPERLINK("http://stackoverflow.com/users/8763931", "flymouses")</f>
        <v>flymouses</v>
      </c>
      <c r="D20508" t="s">
        <v>684</v>
      </c>
      <c r="E20508">
        <v>1</v>
      </c>
    </row>
    <row r="20509" spans="1:5" x14ac:dyDescent="0.25">
      <c r="A20509">
        <v>20508</v>
      </c>
      <c r="B20509">
        <v>8763986</v>
      </c>
      <c r="C20509" s="1" t="str">
        <f>HYPERLINK("http://stackoverflow.com/users/8763986", "AchlysShen")</f>
        <v>AchlysShen</v>
      </c>
      <c r="D20509" t="s">
        <v>28</v>
      </c>
      <c r="E20509">
        <v>1</v>
      </c>
    </row>
    <row r="20510" spans="1:5" x14ac:dyDescent="0.25">
      <c r="A20510">
        <v>20509</v>
      </c>
      <c r="B20510">
        <v>5191802</v>
      </c>
      <c r="C20510" s="1" t="str">
        <f>HYPERLINK("http://stackoverflow.com/users/5191802", "Nathan.Zhao")</f>
        <v>Nathan.Zhao</v>
      </c>
      <c r="D20510" t="s">
        <v>5</v>
      </c>
      <c r="E20510">
        <v>1</v>
      </c>
    </row>
    <row r="20511" spans="1:5" x14ac:dyDescent="0.25">
      <c r="A20511">
        <v>20510</v>
      </c>
      <c r="B20511">
        <v>10578685</v>
      </c>
      <c r="C20511" s="1" t="str">
        <f>HYPERLINK("http://stackoverflow.com/users/10578685", "jerome wong")</f>
        <v>jerome wong</v>
      </c>
      <c r="D20511" t="s">
        <v>7</v>
      </c>
      <c r="E20511">
        <v>1</v>
      </c>
    </row>
    <row r="20512" spans="1:5" x14ac:dyDescent="0.25">
      <c r="A20512">
        <v>20511</v>
      </c>
      <c r="B20512">
        <v>10578692</v>
      </c>
      <c r="C20512" s="1" t="str">
        <f>HYPERLINK("http://stackoverflow.com/users/10578692", "LMagic Kang")</f>
        <v>LMagic Kang</v>
      </c>
      <c r="D20512" t="s">
        <v>5</v>
      </c>
      <c r="E20512">
        <v>1</v>
      </c>
    </row>
    <row r="20513" spans="1:5" x14ac:dyDescent="0.25">
      <c r="A20513">
        <v>20512</v>
      </c>
      <c r="B20513">
        <v>10578803</v>
      </c>
      <c r="C20513" s="1" t="str">
        <f>HYPERLINK("http://stackoverflow.com/users/10578803", "T.J.G")</f>
        <v>T.J.G</v>
      </c>
      <c r="D20513" t="s">
        <v>79</v>
      </c>
      <c r="E20513">
        <v>1</v>
      </c>
    </row>
    <row r="20514" spans="1:5" x14ac:dyDescent="0.25">
      <c r="A20514">
        <v>20513</v>
      </c>
      <c r="B20514">
        <v>10578844</v>
      </c>
      <c r="C20514" s="1" t="str">
        <f>HYPERLINK("http://stackoverflow.com/users/10578844", "hongxing")</f>
        <v>hongxing</v>
      </c>
      <c r="D20514" t="s">
        <v>43</v>
      </c>
      <c r="E20514">
        <v>1</v>
      </c>
    </row>
    <row r="20515" spans="1:5" x14ac:dyDescent="0.25">
      <c r="A20515">
        <v>20514</v>
      </c>
      <c r="B20515">
        <v>10583570</v>
      </c>
      <c r="C20515" s="1" t="str">
        <f>HYPERLINK("http://stackoverflow.com/users/10583570", "Fisher")</f>
        <v>Fisher</v>
      </c>
      <c r="D20515" t="s">
        <v>74</v>
      </c>
      <c r="E20515">
        <v>1</v>
      </c>
    </row>
    <row r="20516" spans="1:5" x14ac:dyDescent="0.25">
      <c r="A20516">
        <v>20515</v>
      </c>
      <c r="B20516">
        <v>10583674</v>
      </c>
      <c r="C20516" s="1" t="str">
        <f>HYPERLINK("http://stackoverflow.com/users/10583674", "chinaoringsupplier")</f>
        <v>chinaoringsupplier</v>
      </c>
      <c r="D20516" t="s">
        <v>1087</v>
      </c>
      <c r="E20516">
        <v>1</v>
      </c>
    </row>
    <row r="20517" spans="1:5" x14ac:dyDescent="0.25">
      <c r="A20517">
        <v>20516</v>
      </c>
      <c r="B20517">
        <v>10583965</v>
      </c>
      <c r="C20517" s="1" t="str">
        <f>HYPERLINK("http://stackoverflow.com/users/10583965", "Paul He")</f>
        <v>Paul He</v>
      </c>
      <c r="D20517" t="s">
        <v>5</v>
      </c>
      <c r="E20517">
        <v>1</v>
      </c>
    </row>
    <row r="20518" spans="1:5" x14ac:dyDescent="0.25">
      <c r="A20518">
        <v>20517</v>
      </c>
      <c r="B20518">
        <v>3392930</v>
      </c>
      <c r="C20518" s="1" t="str">
        <f>HYPERLINK("http://stackoverflow.com/users/3392930", "ChaosV")</f>
        <v>ChaosV</v>
      </c>
      <c r="D20518" t="s">
        <v>22</v>
      </c>
      <c r="E20518">
        <v>1</v>
      </c>
    </row>
    <row r="20519" spans="1:5" x14ac:dyDescent="0.25">
      <c r="A20519">
        <v>20518</v>
      </c>
      <c r="B20519">
        <v>5200849</v>
      </c>
      <c r="C20519" s="1" t="str">
        <f>HYPERLINK("http://stackoverflow.com/users/5200849", "Lei Xu")</f>
        <v>Lei Xu</v>
      </c>
      <c r="D20519" t="s">
        <v>4</v>
      </c>
      <c r="E20519">
        <v>1</v>
      </c>
    </row>
    <row r="20520" spans="1:5" x14ac:dyDescent="0.25">
      <c r="A20520">
        <v>20519</v>
      </c>
      <c r="B20520">
        <v>5201348</v>
      </c>
      <c r="C20520" s="1" t="str">
        <f>HYPERLINK("http://stackoverflow.com/users/5201348", "Riccio Zhang")</f>
        <v>Riccio Zhang</v>
      </c>
      <c r="D20520" t="s">
        <v>21</v>
      </c>
      <c r="E20520">
        <v>1</v>
      </c>
    </row>
    <row r="20521" spans="1:5" x14ac:dyDescent="0.25">
      <c r="A20521">
        <v>20520</v>
      </c>
      <c r="B20521">
        <v>10586563</v>
      </c>
      <c r="C20521" s="1" t="str">
        <f>HYPERLINK("http://stackoverflow.com/users/10586563", "马定宇")</f>
        <v>马定宇</v>
      </c>
      <c r="D20521" t="s">
        <v>5</v>
      </c>
      <c r="E20521">
        <v>1</v>
      </c>
    </row>
    <row r="20522" spans="1:5" x14ac:dyDescent="0.25">
      <c r="A20522">
        <v>20521</v>
      </c>
      <c r="B20522">
        <v>8779213</v>
      </c>
      <c r="C20522" s="1" t="str">
        <f>HYPERLINK("http://stackoverflow.com/users/8779213", "iliketofu")</f>
        <v>iliketofu</v>
      </c>
      <c r="D20522" t="s">
        <v>5</v>
      </c>
      <c r="E20522">
        <v>1</v>
      </c>
    </row>
    <row r="20523" spans="1:5" x14ac:dyDescent="0.25">
      <c r="A20523">
        <v>20522</v>
      </c>
      <c r="B20523">
        <v>10589870</v>
      </c>
      <c r="C20523" s="1" t="str">
        <f>HYPERLINK("http://stackoverflow.com/users/10589870", "grayhwang")</f>
        <v>grayhwang</v>
      </c>
      <c r="D20523" t="s">
        <v>52</v>
      </c>
      <c r="E20523">
        <v>1</v>
      </c>
    </row>
    <row r="20524" spans="1:5" x14ac:dyDescent="0.25">
      <c r="A20524">
        <v>20523</v>
      </c>
      <c r="B20524">
        <v>10589878</v>
      </c>
      <c r="C20524" s="1" t="str">
        <f>HYPERLINK("http://stackoverflow.com/users/10589878", "ou jiaxin")</f>
        <v>ou jiaxin</v>
      </c>
      <c r="D20524" t="s">
        <v>55</v>
      </c>
      <c r="E20524">
        <v>1</v>
      </c>
    </row>
    <row r="20525" spans="1:5" x14ac:dyDescent="0.25">
      <c r="A20525">
        <v>20524</v>
      </c>
      <c r="B20525">
        <v>10589901</v>
      </c>
      <c r="C20525" s="1" t="str">
        <f>HYPERLINK("http://stackoverflow.com/users/10589901", "Junyu Zhan")</f>
        <v>Junyu Zhan</v>
      </c>
      <c r="D20525" t="s">
        <v>28</v>
      </c>
      <c r="E20525">
        <v>1</v>
      </c>
    </row>
    <row r="20526" spans="1:5" x14ac:dyDescent="0.25">
      <c r="A20526">
        <v>20525</v>
      </c>
      <c r="B20526">
        <v>8779333</v>
      </c>
      <c r="C20526" s="1" t="str">
        <f>HYPERLINK("http://stackoverflow.com/users/8779333", "陈景翔")</f>
        <v>陈景翔</v>
      </c>
      <c r="D20526" t="s">
        <v>1088</v>
      </c>
      <c r="E20526">
        <v>1</v>
      </c>
    </row>
    <row r="20527" spans="1:5" x14ac:dyDescent="0.25">
      <c r="A20527">
        <v>20526</v>
      </c>
      <c r="B20527">
        <v>8779483</v>
      </c>
      <c r="C20527" s="1" t="str">
        <f>HYPERLINK("http://stackoverflow.com/users/8779483", "George Tao")</f>
        <v>George Tao</v>
      </c>
      <c r="D20527" t="s">
        <v>16</v>
      </c>
      <c r="E20527">
        <v>1</v>
      </c>
    </row>
    <row r="20528" spans="1:5" x14ac:dyDescent="0.25">
      <c r="A20528">
        <v>20527</v>
      </c>
      <c r="B20528">
        <v>5204916</v>
      </c>
      <c r="C20528" s="1" t="str">
        <f>HYPERLINK("http://stackoverflow.com/users/5204916", "Angie Wang")</f>
        <v>Angie Wang</v>
      </c>
      <c r="D20528" t="s">
        <v>4</v>
      </c>
      <c r="E20528">
        <v>1</v>
      </c>
    </row>
    <row r="20529" spans="1:5" x14ac:dyDescent="0.25">
      <c r="A20529">
        <v>20528</v>
      </c>
      <c r="B20529">
        <v>10594213</v>
      </c>
      <c r="C20529" s="1" t="str">
        <f>HYPERLINK("http://stackoverflow.com/users/10594213", "M.shrestha")</f>
        <v>M.shrestha</v>
      </c>
      <c r="D20529" t="s">
        <v>4</v>
      </c>
      <c r="E20529">
        <v>1</v>
      </c>
    </row>
    <row r="20530" spans="1:5" x14ac:dyDescent="0.25">
      <c r="A20530">
        <v>20529</v>
      </c>
      <c r="B20530">
        <v>10594304</v>
      </c>
      <c r="C20530" s="1" t="str">
        <f>HYPERLINK("http://stackoverflow.com/users/10594304", "Jason Zhai")</f>
        <v>Jason Zhai</v>
      </c>
      <c r="D20530" t="s">
        <v>76</v>
      </c>
      <c r="E20530">
        <v>1</v>
      </c>
    </row>
    <row r="20531" spans="1:5" x14ac:dyDescent="0.25">
      <c r="A20531">
        <v>20530</v>
      </c>
      <c r="B20531">
        <v>10594363</v>
      </c>
      <c r="C20531" s="1" t="str">
        <f>HYPERLINK("http://stackoverflow.com/users/10594363", "XuXinde")</f>
        <v>XuXinde</v>
      </c>
      <c r="D20531" t="s">
        <v>13</v>
      </c>
      <c r="E20531">
        <v>1</v>
      </c>
    </row>
    <row r="20532" spans="1:5" x14ac:dyDescent="0.25">
      <c r="A20532">
        <v>20531</v>
      </c>
      <c r="B20532">
        <v>1533078</v>
      </c>
      <c r="C20532" s="1" t="str">
        <f>HYPERLINK("http://stackoverflow.com/users/1533078", "XixiCheng")</f>
        <v>XixiCheng</v>
      </c>
      <c r="D20532" t="s">
        <v>5</v>
      </c>
      <c r="E20532">
        <v>1</v>
      </c>
    </row>
    <row r="20533" spans="1:5" x14ac:dyDescent="0.25">
      <c r="A20533">
        <v>20532</v>
      </c>
      <c r="B20533">
        <v>1533681</v>
      </c>
      <c r="C20533" s="1" t="str">
        <f>HYPERLINK("http://stackoverflow.com/users/1533681", "lnzhaotian")</f>
        <v>lnzhaotian</v>
      </c>
      <c r="D20533" t="s">
        <v>5</v>
      </c>
      <c r="E20533">
        <v>1</v>
      </c>
    </row>
    <row r="20534" spans="1:5" x14ac:dyDescent="0.25">
      <c r="A20534">
        <v>20533</v>
      </c>
      <c r="B20534">
        <v>1533841</v>
      </c>
      <c r="C20534" s="1" t="str">
        <f>HYPERLINK("http://stackoverflow.com/users/1533841", "mcgrady_525")</f>
        <v>mcgrady_525</v>
      </c>
      <c r="D20534" t="s">
        <v>17</v>
      </c>
      <c r="E20534">
        <v>1</v>
      </c>
    </row>
    <row r="20535" spans="1:5" x14ac:dyDescent="0.25">
      <c r="A20535">
        <v>20534</v>
      </c>
      <c r="B20535">
        <v>3370158</v>
      </c>
      <c r="C20535" s="1" t="str">
        <f>HYPERLINK("http://stackoverflow.com/users/3370158", "ALi Lin")</f>
        <v>ALi Lin</v>
      </c>
      <c r="D20535" t="s">
        <v>4</v>
      </c>
      <c r="E20535">
        <v>1</v>
      </c>
    </row>
    <row r="20536" spans="1:5" x14ac:dyDescent="0.25">
      <c r="A20536">
        <v>20535</v>
      </c>
      <c r="B20536">
        <v>10563207</v>
      </c>
      <c r="C20536" s="1" t="str">
        <f>HYPERLINK("http://stackoverflow.com/users/10563207", "Dan.Java")</f>
        <v>Dan.Java</v>
      </c>
      <c r="D20536" t="s">
        <v>5</v>
      </c>
      <c r="E20536">
        <v>1</v>
      </c>
    </row>
    <row r="20537" spans="1:5" x14ac:dyDescent="0.25">
      <c r="A20537">
        <v>20536</v>
      </c>
      <c r="B20537">
        <v>6902725</v>
      </c>
      <c r="C20537" s="1" t="str">
        <f>HYPERLINK("http://stackoverflow.com/users/6902725", "Panpy pang")</f>
        <v>Panpy pang</v>
      </c>
      <c r="D20537" t="s">
        <v>17</v>
      </c>
      <c r="E20537">
        <v>1</v>
      </c>
    </row>
    <row r="20538" spans="1:5" x14ac:dyDescent="0.25">
      <c r="A20538">
        <v>20537</v>
      </c>
      <c r="B20538">
        <v>5183861</v>
      </c>
      <c r="C20538" s="1" t="str">
        <f>HYPERLINK("http://stackoverflow.com/users/5183861", "吴家荣")</f>
        <v>吴家荣</v>
      </c>
      <c r="D20538" t="s">
        <v>21</v>
      </c>
      <c r="E20538">
        <v>1</v>
      </c>
    </row>
    <row r="20539" spans="1:5" x14ac:dyDescent="0.25">
      <c r="A20539">
        <v>20538</v>
      </c>
      <c r="B20539">
        <v>5184061</v>
      </c>
      <c r="C20539" s="1" t="str">
        <f>HYPERLINK("http://stackoverflow.com/users/5184061", "gycui")</f>
        <v>gycui</v>
      </c>
      <c r="D20539" t="s">
        <v>4</v>
      </c>
      <c r="E20539">
        <v>1</v>
      </c>
    </row>
    <row r="20540" spans="1:5" x14ac:dyDescent="0.25">
      <c r="A20540">
        <v>20539</v>
      </c>
      <c r="B20540">
        <v>1505667</v>
      </c>
      <c r="C20540" s="1" t="str">
        <f>HYPERLINK("http://stackoverflow.com/users/1505667", "jack")</f>
        <v>jack</v>
      </c>
      <c r="D20540" t="s">
        <v>5</v>
      </c>
      <c r="E20540">
        <v>1</v>
      </c>
    </row>
    <row r="20541" spans="1:5" x14ac:dyDescent="0.25">
      <c r="A20541">
        <v>20540</v>
      </c>
      <c r="B20541">
        <v>5169388</v>
      </c>
      <c r="C20541" s="1" t="str">
        <f>HYPERLINK("http://stackoverflow.com/users/5169388", "Oliver Hansen")</f>
        <v>Oliver Hansen</v>
      </c>
      <c r="D20541" t="s">
        <v>1089</v>
      </c>
      <c r="E20541">
        <v>1</v>
      </c>
    </row>
    <row r="20542" spans="1:5" x14ac:dyDescent="0.25">
      <c r="A20542">
        <v>20541</v>
      </c>
      <c r="B20542">
        <v>5169542</v>
      </c>
      <c r="C20542" s="1" t="str">
        <f>HYPERLINK("http://stackoverflow.com/users/5169542", "axolo")</f>
        <v>axolo</v>
      </c>
      <c r="D20542" t="s">
        <v>12</v>
      </c>
      <c r="E20542">
        <v>1</v>
      </c>
    </row>
    <row r="20543" spans="1:5" x14ac:dyDescent="0.25">
      <c r="A20543">
        <v>20542</v>
      </c>
      <c r="B20543">
        <v>5169843</v>
      </c>
      <c r="C20543" s="1" t="str">
        <f>HYPERLINK("http://stackoverflow.com/users/5169843", "jayzhong")</f>
        <v>jayzhong</v>
      </c>
      <c r="D20543" t="s">
        <v>5</v>
      </c>
      <c r="E20543">
        <v>1</v>
      </c>
    </row>
    <row r="20544" spans="1:5" x14ac:dyDescent="0.25">
      <c r="A20544">
        <v>20543</v>
      </c>
      <c r="B20544">
        <v>6891304</v>
      </c>
      <c r="C20544" s="1" t="str">
        <f>HYPERLINK("http://stackoverflow.com/users/6891304", "JohnnyJ")</f>
        <v>JohnnyJ</v>
      </c>
      <c r="D20544" t="s">
        <v>366</v>
      </c>
      <c r="E20544">
        <v>1</v>
      </c>
    </row>
    <row r="20545" spans="1:5" x14ac:dyDescent="0.25">
      <c r="A20545">
        <v>20544</v>
      </c>
      <c r="B20545">
        <v>6891771</v>
      </c>
      <c r="C20545" s="1" t="str">
        <f>HYPERLINK("http://stackoverflow.com/users/6891771", "xb39082119")</f>
        <v>xb39082119</v>
      </c>
      <c r="D20545" t="s">
        <v>5</v>
      </c>
      <c r="E20545">
        <v>1</v>
      </c>
    </row>
    <row r="20546" spans="1:5" x14ac:dyDescent="0.25">
      <c r="A20546">
        <v>20545</v>
      </c>
      <c r="B20546">
        <v>3361053</v>
      </c>
      <c r="C20546" s="1" t="str">
        <f>HYPERLINK("http://stackoverflow.com/users/3361053", "Frank Snolf")</f>
        <v>Frank Snolf</v>
      </c>
      <c r="D20546" t="s">
        <v>113</v>
      </c>
      <c r="E20546">
        <v>1</v>
      </c>
    </row>
    <row r="20547" spans="1:5" x14ac:dyDescent="0.25">
      <c r="A20547">
        <v>20546</v>
      </c>
      <c r="B20547">
        <v>3361264</v>
      </c>
      <c r="C20547" s="1" t="str">
        <f>HYPERLINK("http://stackoverflow.com/users/3361264", "Yan yongming")</f>
        <v>Yan yongming</v>
      </c>
      <c r="D20547" t="s">
        <v>8</v>
      </c>
      <c r="E20547">
        <v>1</v>
      </c>
    </row>
    <row r="20548" spans="1:5" x14ac:dyDescent="0.25">
      <c r="A20548">
        <v>20547</v>
      </c>
      <c r="B20548">
        <v>8743107</v>
      </c>
      <c r="C20548" s="1" t="str">
        <f>HYPERLINK("http://stackoverflow.com/users/8743107", "tk sl")</f>
        <v>tk sl</v>
      </c>
      <c r="D20548" t="s">
        <v>74</v>
      </c>
      <c r="E20548">
        <v>1</v>
      </c>
    </row>
    <row r="20549" spans="1:5" x14ac:dyDescent="0.25">
      <c r="A20549">
        <v>20548</v>
      </c>
      <c r="B20549">
        <v>8743434</v>
      </c>
      <c r="C20549" s="1" t="str">
        <f>HYPERLINK("http://stackoverflow.com/users/8743434", "Ernesto Guevara")</f>
        <v>Ernesto Guevara</v>
      </c>
      <c r="D20549" t="s">
        <v>1090</v>
      </c>
      <c r="E20549">
        <v>1</v>
      </c>
    </row>
    <row r="20550" spans="1:5" x14ac:dyDescent="0.25">
      <c r="A20550">
        <v>20549</v>
      </c>
      <c r="B20550">
        <v>8743478</v>
      </c>
      <c r="C20550" s="1" t="str">
        <f>HYPERLINK("http://stackoverflow.com/users/8743478", "caijun")</f>
        <v>caijun</v>
      </c>
      <c r="D20550" t="s">
        <v>4</v>
      </c>
      <c r="E20550">
        <v>1</v>
      </c>
    </row>
    <row r="20551" spans="1:5" x14ac:dyDescent="0.25">
      <c r="A20551">
        <v>20550</v>
      </c>
      <c r="B20551">
        <v>8743487</v>
      </c>
      <c r="C20551" s="1" t="str">
        <f>HYPERLINK("http://stackoverflow.com/users/8743487", "Fan Yang")</f>
        <v>Fan Yang</v>
      </c>
      <c r="D20551" t="s">
        <v>4</v>
      </c>
      <c r="E20551">
        <v>1</v>
      </c>
    </row>
    <row r="20552" spans="1:5" x14ac:dyDescent="0.25">
      <c r="A20552">
        <v>20551</v>
      </c>
      <c r="B20552">
        <v>8751866</v>
      </c>
      <c r="C20552" s="1" t="str">
        <f>HYPERLINK("http://stackoverflow.com/users/8751866", "kizError")</f>
        <v>kizError</v>
      </c>
      <c r="D20552" t="s">
        <v>120</v>
      </c>
      <c r="E20552">
        <v>1</v>
      </c>
    </row>
    <row r="20553" spans="1:5" x14ac:dyDescent="0.25">
      <c r="A20553">
        <v>20552</v>
      </c>
      <c r="B20553">
        <v>6898577</v>
      </c>
      <c r="C20553" s="1" t="str">
        <f>HYPERLINK("http://stackoverflow.com/users/6898577", "msqcosmetics")</f>
        <v>msqcosmetics</v>
      </c>
      <c r="D20553" t="s">
        <v>1091</v>
      </c>
      <c r="E20553">
        <v>1</v>
      </c>
    </row>
    <row r="20554" spans="1:5" x14ac:dyDescent="0.25">
      <c r="A20554">
        <v>20553</v>
      </c>
      <c r="B20554">
        <v>5187724</v>
      </c>
      <c r="C20554" s="1" t="str">
        <f>HYPERLINK("http://stackoverflow.com/users/5187724", "iLeo")</f>
        <v>iLeo</v>
      </c>
      <c r="D20554" t="s">
        <v>16</v>
      </c>
      <c r="E20554">
        <v>1</v>
      </c>
    </row>
    <row r="20555" spans="1:5" x14ac:dyDescent="0.25">
      <c r="A20555">
        <v>20554</v>
      </c>
      <c r="B20555">
        <v>3378089</v>
      </c>
      <c r="C20555" s="1" t="str">
        <f>HYPERLINK("http://stackoverflow.com/users/3378089", "user3378089")</f>
        <v>user3378089</v>
      </c>
      <c r="D20555" t="s">
        <v>3</v>
      </c>
      <c r="E20555">
        <v>1</v>
      </c>
    </row>
    <row r="20556" spans="1:5" x14ac:dyDescent="0.25">
      <c r="A20556">
        <v>20555</v>
      </c>
      <c r="B20556">
        <v>3378286</v>
      </c>
      <c r="C20556" s="1" t="str">
        <f>HYPERLINK("http://stackoverflow.com/users/3378286", "Jiahua Chen")</f>
        <v>Jiahua Chen</v>
      </c>
      <c r="D20556" t="s">
        <v>4</v>
      </c>
      <c r="E20556">
        <v>1</v>
      </c>
    </row>
    <row r="20557" spans="1:5" x14ac:dyDescent="0.25">
      <c r="A20557">
        <v>20556</v>
      </c>
      <c r="B20557">
        <v>8755758</v>
      </c>
      <c r="C20557" s="1" t="str">
        <f>HYPERLINK("http://stackoverflow.com/users/8755758", "Shuai")</f>
        <v>Shuai</v>
      </c>
      <c r="D20557" t="s">
        <v>52</v>
      </c>
      <c r="E20557">
        <v>1</v>
      </c>
    </row>
    <row r="20558" spans="1:5" x14ac:dyDescent="0.25">
      <c r="A20558">
        <v>20557</v>
      </c>
      <c r="B20558">
        <v>8755909</v>
      </c>
      <c r="C20558" s="1" t="str">
        <f>HYPERLINK("http://stackoverflow.com/users/8755909", "tony wk")</f>
        <v>tony wk</v>
      </c>
      <c r="D20558" t="s">
        <v>25</v>
      </c>
      <c r="E20558">
        <v>1</v>
      </c>
    </row>
    <row r="20559" spans="1:5" x14ac:dyDescent="0.25">
      <c r="A20559">
        <v>20558</v>
      </c>
      <c r="B20559">
        <v>8756253</v>
      </c>
      <c r="C20559" s="1" t="str">
        <f>HYPERLINK("http://stackoverflow.com/users/8756253", "jiawei shen")</f>
        <v>jiawei shen</v>
      </c>
      <c r="D20559" t="s">
        <v>5</v>
      </c>
      <c r="E20559">
        <v>1</v>
      </c>
    </row>
    <row r="20560" spans="1:5" x14ac:dyDescent="0.25">
      <c r="A20560">
        <v>20559</v>
      </c>
      <c r="B20560">
        <v>8756326</v>
      </c>
      <c r="C20560" s="1" t="str">
        <f>HYPERLINK("http://stackoverflow.com/users/8756326", "jason")</f>
        <v>jason</v>
      </c>
      <c r="D20560" t="s">
        <v>4</v>
      </c>
      <c r="E20560">
        <v>1</v>
      </c>
    </row>
    <row r="20561" spans="1:5" x14ac:dyDescent="0.25">
      <c r="A20561">
        <v>20560</v>
      </c>
      <c r="B20561">
        <v>8756574</v>
      </c>
      <c r="C20561" s="1" t="str">
        <f>HYPERLINK("http://stackoverflow.com/users/8756574", "user8756574")</f>
        <v>user8756574</v>
      </c>
      <c r="D20561" t="s">
        <v>19</v>
      </c>
      <c r="E20561">
        <v>1</v>
      </c>
    </row>
    <row r="20562" spans="1:5" x14ac:dyDescent="0.25">
      <c r="A20562">
        <v>20561</v>
      </c>
      <c r="B20562">
        <v>3375092</v>
      </c>
      <c r="C20562" s="1" t="str">
        <f>HYPERLINK("http://stackoverflow.com/users/3375092", "sturridge_qin")</f>
        <v>sturridge_qin</v>
      </c>
      <c r="D20562" t="s">
        <v>5</v>
      </c>
      <c r="E20562">
        <v>1</v>
      </c>
    </row>
    <row r="20563" spans="1:5" x14ac:dyDescent="0.25">
      <c r="A20563">
        <v>20562</v>
      </c>
      <c r="B20563">
        <v>3375484</v>
      </c>
      <c r="C20563" s="1" t="str">
        <f>HYPERLINK("http://stackoverflow.com/users/3375484", "Priest.K")</f>
        <v>Priest.K</v>
      </c>
      <c r="D20563" t="s">
        <v>17</v>
      </c>
      <c r="E20563">
        <v>1</v>
      </c>
    </row>
    <row r="20564" spans="1:5" x14ac:dyDescent="0.25">
      <c r="A20564">
        <v>20563</v>
      </c>
      <c r="B20564">
        <v>1462621</v>
      </c>
      <c r="C20564" s="1" t="str">
        <f>HYPERLINK("http://stackoverflow.com/users/1462621", "Joshua Leung")</f>
        <v>Joshua Leung</v>
      </c>
      <c r="D20564" t="s">
        <v>17</v>
      </c>
      <c r="E20564">
        <v>1</v>
      </c>
    </row>
    <row r="20565" spans="1:5" x14ac:dyDescent="0.25">
      <c r="A20565">
        <v>20564</v>
      </c>
      <c r="B20565">
        <v>6859162</v>
      </c>
      <c r="C20565" s="1" t="str">
        <f>HYPERLINK("http://stackoverflow.com/users/6859162", "zero")</f>
        <v>zero</v>
      </c>
      <c r="D20565" t="s">
        <v>38</v>
      </c>
      <c r="E20565">
        <v>1</v>
      </c>
    </row>
    <row r="20566" spans="1:5" x14ac:dyDescent="0.25">
      <c r="A20566">
        <v>20565</v>
      </c>
      <c r="B20566">
        <v>3327323</v>
      </c>
      <c r="C20566" s="1" t="str">
        <f>HYPERLINK("http://stackoverflow.com/users/3327323", "swordday")</f>
        <v>swordday</v>
      </c>
      <c r="D20566" t="s">
        <v>5</v>
      </c>
      <c r="E20566">
        <v>1</v>
      </c>
    </row>
    <row r="20567" spans="1:5" x14ac:dyDescent="0.25">
      <c r="A20567">
        <v>20566</v>
      </c>
      <c r="B20567">
        <v>3327673</v>
      </c>
      <c r="C20567" s="1" t="str">
        <f>HYPERLINK("http://stackoverflow.com/users/3327673", "Kevin Sun")</f>
        <v>Kevin Sun</v>
      </c>
      <c r="D20567" t="s">
        <v>4</v>
      </c>
      <c r="E20567">
        <v>1</v>
      </c>
    </row>
    <row r="20568" spans="1:5" x14ac:dyDescent="0.25">
      <c r="A20568">
        <v>20567</v>
      </c>
      <c r="B20568">
        <v>5138492</v>
      </c>
      <c r="C20568" s="1" t="str">
        <f>HYPERLINK("http://stackoverflow.com/users/5138492", "Looorie")</f>
        <v>Looorie</v>
      </c>
      <c r="D20568" t="s">
        <v>37</v>
      </c>
      <c r="E20568">
        <v>1</v>
      </c>
    </row>
    <row r="20569" spans="1:5" x14ac:dyDescent="0.25">
      <c r="A20569">
        <v>20568</v>
      </c>
      <c r="B20569">
        <v>5138771</v>
      </c>
      <c r="C20569" s="1" t="str">
        <f>HYPERLINK("http://stackoverflow.com/users/5138771", "SSD")</f>
        <v>SSD</v>
      </c>
      <c r="D20569" t="s">
        <v>5</v>
      </c>
      <c r="E20569">
        <v>1</v>
      </c>
    </row>
    <row r="20570" spans="1:5" x14ac:dyDescent="0.25">
      <c r="A20570">
        <v>20569</v>
      </c>
      <c r="B20570">
        <v>1453448</v>
      </c>
      <c r="C20570" s="1" t="str">
        <f>HYPERLINK("http://stackoverflow.com/users/1453448", "anjoydon")</f>
        <v>anjoydon</v>
      </c>
      <c r="D20570" t="s">
        <v>17</v>
      </c>
      <c r="E20570">
        <v>1</v>
      </c>
    </row>
    <row r="20571" spans="1:5" x14ac:dyDescent="0.25">
      <c r="A20571">
        <v>20570</v>
      </c>
      <c r="B20571">
        <v>6851732</v>
      </c>
      <c r="C20571" s="1" t="str">
        <f>HYPERLINK("http://stackoverflow.com/users/6851732", "jack chen")</f>
        <v>jack chen</v>
      </c>
      <c r="D20571" t="s">
        <v>78</v>
      </c>
      <c r="E20571">
        <v>1</v>
      </c>
    </row>
    <row r="20572" spans="1:5" x14ac:dyDescent="0.25">
      <c r="A20572">
        <v>20571</v>
      </c>
      <c r="B20572">
        <v>10510302</v>
      </c>
      <c r="C20572" s="1" t="str">
        <f>HYPERLINK("http://stackoverflow.com/users/10510302", "ChasenKaos")</f>
        <v>ChasenKaos</v>
      </c>
      <c r="D20572" t="s">
        <v>5</v>
      </c>
      <c r="E20572">
        <v>1</v>
      </c>
    </row>
    <row r="20573" spans="1:5" x14ac:dyDescent="0.25">
      <c r="A20573">
        <v>20572</v>
      </c>
      <c r="B20573">
        <v>10510682</v>
      </c>
      <c r="C20573" s="1" t="str">
        <f>HYPERLINK("http://stackoverflow.com/users/10510682", "chandler7k")</f>
        <v>chandler7k</v>
      </c>
      <c r="D20573" t="s">
        <v>16</v>
      </c>
      <c r="E20573">
        <v>1</v>
      </c>
    </row>
    <row r="20574" spans="1:5" x14ac:dyDescent="0.25">
      <c r="A20574">
        <v>20573</v>
      </c>
      <c r="B20574">
        <v>3316205</v>
      </c>
      <c r="C20574" s="1" t="str">
        <f>HYPERLINK("http://stackoverflow.com/users/3316205", "iGingko")</f>
        <v>iGingko</v>
      </c>
      <c r="D20574" t="s">
        <v>5</v>
      </c>
      <c r="E20574">
        <v>1</v>
      </c>
    </row>
    <row r="20575" spans="1:5" x14ac:dyDescent="0.25">
      <c r="A20575">
        <v>20574</v>
      </c>
      <c r="B20575">
        <v>3331752</v>
      </c>
      <c r="C20575" s="1" t="str">
        <f>HYPERLINK("http://stackoverflow.com/users/3331752", "Jaina")</f>
        <v>Jaina</v>
      </c>
      <c r="D20575" t="s">
        <v>5</v>
      </c>
      <c r="E20575">
        <v>1</v>
      </c>
    </row>
    <row r="20576" spans="1:5" x14ac:dyDescent="0.25">
      <c r="A20576">
        <v>20575</v>
      </c>
      <c r="B20576">
        <v>10522407</v>
      </c>
      <c r="C20576" s="1" t="str">
        <f>HYPERLINK("http://stackoverflow.com/users/10522407", "Conrad Song")</f>
        <v>Conrad Song</v>
      </c>
      <c r="D20576" t="s">
        <v>5</v>
      </c>
      <c r="E20576">
        <v>1</v>
      </c>
    </row>
    <row r="20577" spans="1:5" x14ac:dyDescent="0.25">
      <c r="A20577">
        <v>20576</v>
      </c>
      <c r="B20577">
        <v>10522582</v>
      </c>
      <c r="C20577" s="1" t="str">
        <f>HYPERLINK("http://stackoverflow.com/users/10522582", "Teaya")</f>
        <v>Teaya</v>
      </c>
      <c r="D20577" t="s">
        <v>5</v>
      </c>
      <c r="E20577">
        <v>1</v>
      </c>
    </row>
    <row r="20578" spans="1:5" x14ac:dyDescent="0.25">
      <c r="A20578">
        <v>20577</v>
      </c>
      <c r="B20578">
        <v>3330841</v>
      </c>
      <c r="C20578" s="1" t="str">
        <f>HYPERLINK("http://stackoverflow.com/users/3330841", "wawj")</f>
        <v>wawj</v>
      </c>
      <c r="D20578" t="s">
        <v>37</v>
      </c>
      <c r="E20578">
        <v>1</v>
      </c>
    </row>
    <row r="20579" spans="1:5" x14ac:dyDescent="0.25">
      <c r="A20579">
        <v>20578</v>
      </c>
      <c r="B20579">
        <v>3331377</v>
      </c>
      <c r="C20579" s="1" t="str">
        <f>HYPERLINK("http://stackoverflow.com/users/3331377", "Alex Jing")</f>
        <v>Alex Jing</v>
      </c>
      <c r="D20579" t="s">
        <v>17</v>
      </c>
      <c r="E20579">
        <v>1</v>
      </c>
    </row>
    <row r="20580" spans="1:5" x14ac:dyDescent="0.25">
      <c r="A20580">
        <v>20579</v>
      </c>
      <c r="B20580">
        <v>6863205</v>
      </c>
      <c r="C20580" s="1" t="str">
        <f>HYPERLINK("http://stackoverflow.com/users/6863205", "zhuzhu")</f>
        <v>zhuzhu</v>
      </c>
      <c r="D20580" t="s">
        <v>108</v>
      </c>
      <c r="E20580">
        <v>1</v>
      </c>
    </row>
    <row r="20581" spans="1:5" x14ac:dyDescent="0.25">
      <c r="A20581">
        <v>20580</v>
      </c>
      <c r="B20581">
        <v>5142855</v>
      </c>
      <c r="C20581" s="1" t="str">
        <f>HYPERLINK("http://stackoverflow.com/users/5142855", "LCore")</f>
        <v>LCore</v>
      </c>
      <c r="D20581" t="s">
        <v>62</v>
      </c>
      <c r="E20581">
        <v>1</v>
      </c>
    </row>
    <row r="20582" spans="1:5" x14ac:dyDescent="0.25">
      <c r="A20582">
        <v>20581</v>
      </c>
      <c r="B20582">
        <v>5145948</v>
      </c>
      <c r="C20582" s="1" t="str">
        <f>HYPERLINK("http://stackoverflow.com/users/5145948", "Haoran Wang")</f>
        <v>Haoran Wang</v>
      </c>
      <c r="D20582" t="s">
        <v>5</v>
      </c>
      <c r="E20582">
        <v>1</v>
      </c>
    </row>
    <row r="20583" spans="1:5" x14ac:dyDescent="0.25">
      <c r="A20583">
        <v>20582</v>
      </c>
      <c r="B20583">
        <v>5146135</v>
      </c>
      <c r="C20583" s="1" t="str">
        <f>HYPERLINK("http://stackoverflow.com/users/5146135", "labud")</f>
        <v>labud</v>
      </c>
      <c r="D20583" t="s">
        <v>5</v>
      </c>
      <c r="E20583">
        <v>1</v>
      </c>
    </row>
    <row r="20584" spans="1:5" x14ac:dyDescent="0.25">
      <c r="A20584">
        <v>20583</v>
      </c>
      <c r="B20584">
        <v>5146259</v>
      </c>
      <c r="C20584" s="1" t="str">
        <f>HYPERLINK("http://stackoverflow.com/users/5146259", "magicminglee")</f>
        <v>magicminglee</v>
      </c>
      <c r="D20584" t="s">
        <v>17</v>
      </c>
      <c r="E20584">
        <v>1</v>
      </c>
    </row>
    <row r="20585" spans="1:5" x14ac:dyDescent="0.25">
      <c r="A20585">
        <v>20584</v>
      </c>
      <c r="B20585">
        <v>10527096</v>
      </c>
      <c r="C20585" s="1" t="str">
        <f>HYPERLINK("http://stackoverflow.com/users/10527096", "Jingbang Liu")</f>
        <v>Jingbang Liu</v>
      </c>
      <c r="D20585" t="s">
        <v>5</v>
      </c>
      <c r="E20585">
        <v>1</v>
      </c>
    </row>
    <row r="20586" spans="1:5" x14ac:dyDescent="0.25">
      <c r="A20586">
        <v>20585</v>
      </c>
      <c r="B20586">
        <v>5162574</v>
      </c>
      <c r="C20586" s="1" t="str">
        <f>HYPERLINK("http://stackoverflow.com/users/5162574", "lfeagan")</f>
        <v>lfeagan</v>
      </c>
      <c r="D20586" t="s">
        <v>4</v>
      </c>
      <c r="E20586">
        <v>1</v>
      </c>
    </row>
    <row r="20587" spans="1:5" x14ac:dyDescent="0.25">
      <c r="A20587">
        <v>20586</v>
      </c>
      <c r="B20587">
        <v>5162784</v>
      </c>
      <c r="C20587" s="1" t="str">
        <f>HYPERLINK("http://stackoverflow.com/users/5162784", "ToBeTree")</f>
        <v>ToBeTree</v>
      </c>
      <c r="D20587" t="s">
        <v>17</v>
      </c>
      <c r="E20587">
        <v>1</v>
      </c>
    </row>
    <row r="20588" spans="1:5" x14ac:dyDescent="0.25">
      <c r="A20588">
        <v>20587</v>
      </c>
      <c r="B20588">
        <v>3354190</v>
      </c>
      <c r="C20588" s="1" t="str">
        <f>HYPERLINK("http://stackoverflow.com/users/3354190", "samhou")</f>
        <v>samhou</v>
      </c>
      <c r="D20588" t="s">
        <v>5</v>
      </c>
      <c r="E20588">
        <v>1</v>
      </c>
    </row>
    <row r="20589" spans="1:5" x14ac:dyDescent="0.25">
      <c r="A20589">
        <v>20588</v>
      </c>
      <c r="B20589">
        <v>3354587</v>
      </c>
      <c r="C20589" s="1" t="str">
        <f>HYPERLINK("http://stackoverflow.com/users/3354587", "StoneArk")</f>
        <v>StoneArk</v>
      </c>
      <c r="D20589" t="s">
        <v>34</v>
      </c>
      <c r="E20589">
        <v>1</v>
      </c>
    </row>
    <row r="20590" spans="1:5" x14ac:dyDescent="0.25">
      <c r="A20590">
        <v>20589</v>
      </c>
      <c r="B20590">
        <v>10546351</v>
      </c>
      <c r="C20590" s="1" t="str">
        <f>HYPERLINK("http://stackoverflow.com/users/10546351", "JoJo42")</f>
        <v>JoJo42</v>
      </c>
      <c r="D20590" t="s">
        <v>55</v>
      </c>
      <c r="E20590">
        <v>1</v>
      </c>
    </row>
    <row r="20591" spans="1:5" x14ac:dyDescent="0.25">
      <c r="A20591">
        <v>20590</v>
      </c>
      <c r="B20591">
        <v>10549997</v>
      </c>
      <c r="C20591" s="1" t="str">
        <f>HYPERLINK("http://stackoverflow.com/users/10549997", "yf li")</f>
        <v>yf li</v>
      </c>
      <c r="D20591" t="s">
        <v>5</v>
      </c>
      <c r="E20591">
        <v>1</v>
      </c>
    </row>
    <row r="20592" spans="1:5" x14ac:dyDescent="0.25">
      <c r="A20592">
        <v>20591</v>
      </c>
      <c r="B20592">
        <v>10550014</v>
      </c>
      <c r="C20592" s="1" t="str">
        <f>HYPERLINK("http://stackoverflow.com/users/10550014", "ohven")</f>
        <v>ohven</v>
      </c>
      <c r="D20592" t="s">
        <v>5</v>
      </c>
      <c r="E20592">
        <v>1</v>
      </c>
    </row>
    <row r="20593" spans="1:5" x14ac:dyDescent="0.25">
      <c r="A20593">
        <v>20592</v>
      </c>
      <c r="B20593">
        <v>6877159</v>
      </c>
      <c r="C20593" s="1" t="str">
        <f>HYPERLINK("http://stackoverflow.com/users/6877159", "Limity Ning")</f>
        <v>Limity Ning</v>
      </c>
      <c r="D20593" t="s">
        <v>25</v>
      </c>
      <c r="E20593">
        <v>1</v>
      </c>
    </row>
    <row r="20594" spans="1:5" x14ac:dyDescent="0.25">
      <c r="A20594">
        <v>20593</v>
      </c>
      <c r="B20594">
        <v>3346992</v>
      </c>
      <c r="C20594" s="1" t="str">
        <f>HYPERLINK("http://stackoverflow.com/users/3346992", "kago54")</f>
        <v>kago54</v>
      </c>
      <c r="D20594" t="s">
        <v>4</v>
      </c>
      <c r="E20594">
        <v>1</v>
      </c>
    </row>
    <row r="20595" spans="1:5" x14ac:dyDescent="0.25">
      <c r="A20595">
        <v>20594</v>
      </c>
      <c r="B20595">
        <v>10537984</v>
      </c>
      <c r="C20595" s="1" t="str">
        <f>HYPERLINK("http://stackoverflow.com/users/10537984", "Shaun Prince")</f>
        <v>Shaun Prince</v>
      </c>
      <c r="D20595" t="s">
        <v>25</v>
      </c>
      <c r="E20595">
        <v>1</v>
      </c>
    </row>
    <row r="20596" spans="1:5" x14ac:dyDescent="0.25">
      <c r="A20596">
        <v>20595</v>
      </c>
      <c r="B20596">
        <v>10538333</v>
      </c>
      <c r="C20596" s="1" t="str">
        <f>HYPERLINK("http://stackoverflow.com/users/10538333", "Kevin WANG")</f>
        <v>Kevin WANG</v>
      </c>
      <c r="D20596" t="s">
        <v>5</v>
      </c>
      <c r="E20596">
        <v>1</v>
      </c>
    </row>
    <row r="20597" spans="1:5" x14ac:dyDescent="0.25">
      <c r="A20597">
        <v>20596</v>
      </c>
      <c r="B20597">
        <v>10538388</v>
      </c>
      <c r="C20597" s="1" t="str">
        <f>HYPERLINK("http://stackoverflow.com/users/10538388", "Jeanine")</f>
        <v>Jeanine</v>
      </c>
      <c r="D20597" t="s">
        <v>21</v>
      </c>
      <c r="E20597">
        <v>1</v>
      </c>
    </row>
    <row r="20598" spans="1:5" x14ac:dyDescent="0.25">
      <c r="A20598">
        <v>20597</v>
      </c>
      <c r="B20598">
        <v>10538410</v>
      </c>
      <c r="C20598" s="1" t="str">
        <f>HYPERLINK("http://stackoverflow.com/users/10538410", "Daniel Ge")</f>
        <v>Daniel Ge</v>
      </c>
      <c r="D20598" t="s">
        <v>62</v>
      </c>
      <c r="E20598">
        <v>1</v>
      </c>
    </row>
    <row r="20599" spans="1:5" x14ac:dyDescent="0.25">
      <c r="A20599">
        <v>20598</v>
      </c>
      <c r="B20599">
        <v>8725996</v>
      </c>
      <c r="C20599" s="1" t="str">
        <f>HYPERLINK("http://stackoverflow.com/users/8725996", "Devinkuang")</f>
        <v>Devinkuang</v>
      </c>
      <c r="D20599" t="s">
        <v>25</v>
      </c>
      <c r="E20599">
        <v>1</v>
      </c>
    </row>
    <row r="20600" spans="1:5" x14ac:dyDescent="0.25">
      <c r="A20600">
        <v>20599</v>
      </c>
      <c r="B20600">
        <v>10542940</v>
      </c>
      <c r="C20600" s="1" t="str">
        <f>HYPERLINK("http://stackoverflow.com/users/10542940", "wu jinhe")</f>
        <v>wu jinhe</v>
      </c>
      <c r="D20600" t="s">
        <v>320</v>
      </c>
      <c r="E20600">
        <v>1</v>
      </c>
    </row>
    <row r="20601" spans="1:5" x14ac:dyDescent="0.25">
      <c r="A20601">
        <v>20600</v>
      </c>
      <c r="B20601">
        <v>6873628</v>
      </c>
      <c r="C20601" s="1" t="str">
        <f>HYPERLINK("http://stackoverflow.com/users/6873628", "江宇博")</f>
        <v>江宇博</v>
      </c>
      <c r="D20601" t="s">
        <v>794</v>
      </c>
      <c r="E20601">
        <v>1</v>
      </c>
    </row>
    <row r="20602" spans="1:5" x14ac:dyDescent="0.25">
      <c r="A20602">
        <v>20601</v>
      </c>
      <c r="B20602">
        <v>6873743</v>
      </c>
      <c r="C20602" s="1" t="str">
        <f>HYPERLINK("http://stackoverflow.com/users/6873743", "Jack Mo")</f>
        <v>Jack Mo</v>
      </c>
      <c r="D20602" t="s">
        <v>266</v>
      </c>
      <c r="E20602">
        <v>1</v>
      </c>
    </row>
    <row r="20603" spans="1:5" x14ac:dyDescent="0.25">
      <c r="A20603">
        <v>20602</v>
      </c>
      <c r="B20603">
        <v>5154755</v>
      </c>
      <c r="C20603" s="1" t="str">
        <f>HYPERLINK("http://stackoverflow.com/users/5154755", "Memormou")</f>
        <v>Memormou</v>
      </c>
      <c r="D20603" t="s">
        <v>108</v>
      </c>
      <c r="E20603">
        <v>1</v>
      </c>
    </row>
    <row r="20604" spans="1:5" x14ac:dyDescent="0.25">
      <c r="A20604">
        <v>20603</v>
      </c>
      <c r="B20604">
        <v>8714090</v>
      </c>
      <c r="C20604" s="1" t="str">
        <f>HYPERLINK("http://stackoverflow.com/users/8714090", "ASGHAR")</f>
        <v>ASGHAR</v>
      </c>
      <c r="D20604" t="s">
        <v>5</v>
      </c>
      <c r="E20604">
        <v>1</v>
      </c>
    </row>
    <row r="20605" spans="1:5" x14ac:dyDescent="0.25">
      <c r="A20605">
        <v>20604</v>
      </c>
      <c r="B20605">
        <v>8714344</v>
      </c>
      <c r="C20605" s="1" t="str">
        <f>HYPERLINK("http://stackoverflow.com/users/8714344", "William Lee")</f>
        <v>William Lee</v>
      </c>
      <c r="D20605" t="s">
        <v>5</v>
      </c>
      <c r="E20605">
        <v>1</v>
      </c>
    </row>
    <row r="20606" spans="1:5" x14ac:dyDescent="0.25">
      <c r="A20606">
        <v>20605</v>
      </c>
      <c r="B20606">
        <v>10530979</v>
      </c>
      <c r="C20606" s="1" t="str">
        <f>HYPERLINK("http://stackoverflow.com/users/10530979", "chong.xing")</f>
        <v>chong.xing</v>
      </c>
      <c r="D20606" t="s">
        <v>5</v>
      </c>
      <c r="E20606">
        <v>1</v>
      </c>
    </row>
    <row r="20607" spans="1:5" x14ac:dyDescent="0.25">
      <c r="A20607">
        <v>20606</v>
      </c>
      <c r="B20607">
        <v>5151046</v>
      </c>
      <c r="C20607" s="1" t="str">
        <f>HYPERLINK("http://stackoverflow.com/users/5151046", "Crystal Chen")</f>
        <v>Crystal Chen</v>
      </c>
      <c r="D20607" t="s">
        <v>38</v>
      </c>
      <c r="E20607">
        <v>1</v>
      </c>
    </row>
    <row r="20608" spans="1:5" x14ac:dyDescent="0.25">
      <c r="A20608">
        <v>20607</v>
      </c>
      <c r="B20608">
        <v>5151194</v>
      </c>
      <c r="C20608" s="1" t="str">
        <f>HYPERLINK("http://stackoverflow.com/users/5151194", "FuxinZhang")</f>
        <v>FuxinZhang</v>
      </c>
      <c r="D20608" t="s">
        <v>5</v>
      </c>
      <c r="E20608">
        <v>1</v>
      </c>
    </row>
    <row r="20609" spans="1:5" x14ac:dyDescent="0.25">
      <c r="A20609">
        <v>20608</v>
      </c>
      <c r="B20609">
        <v>10457564</v>
      </c>
      <c r="C20609" s="1" t="str">
        <f>HYPERLINK("http://stackoverflow.com/users/10457564", "blylei")</f>
        <v>blylei</v>
      </c>
      <c r="D20609" t="s">
        <v>57</v>
      </c>
      <c r="E20609">
        <v>1</v>
      </c>
    </row>
    <row r="20610" spans="1:5" x14ac:dyDescent="0.25">
      <c r="A20610">
        <v>20609</v>
      </c>
      <c r="B20610">
        <v>10457612</v>
      </c>
      <c r="C20610" s="1" t="str">
        <f>HYPERLINK("http://stackoverflow.com/users/10457612", "Lin Ru")</f>
        <v>Lin Ru</v>
      </c>
      <c r="D20610" t="s">
        <v>4</v>
      </c>
      <c r="E20610">
        <v>1</v>
      </c>
    </row>
    <row r="20611" spans="1:5" x14ac:dyDescent="0.25">
      <c r="A20611">
        <v>20610</v>
      </c>
      <c r="B20611">
        <v>3273409</v>
      </c>
      <c r="C20611" s="1" t="str">
        <f>HYPERLINK("http://stackoverflow.com/users/3273409", "A river and drowned fish")</f>
        <v>A river and drowned fish</v>
      </c>
      <c r="D20611" t="s">
        <v>5</v>
      </c>
      <c r="E20611">
        <v>1</v>
      </c>
    </row>
    <row r="20612" spans="1:5" x14ac:dyDescent="0.25">
      <c r="A20612">
        <v>20611</v>
      </c>
      <c r="B20612">
        <v>5083075</v>
      </c>
      <c r="C20612" s="1" t="str">
        <f>HYPERLINK("http://stackoverflow.com/users/5083075", "Quiz Zhu")</f>
        <v>Quiz Zhu</v>
      </c>
      <c r="D20612" t="s">
        <v>28</v>
      </c>
      <c r="E20612">
        <v>1</v>
      </c>
    </row>
    <row r="20613" spans="1:5" x14ac:dyDescent="0.25">
      <c r="A20613">
        <v>20612</v>
      </c>
      <c r="B20613">
        <v>8652983</v>
      </c>
      <c r="C20613" s="1" t="str">
        <f>HYPERLINK("http://stackoverflow.com/users/8652983", "Jream")</f>
        <v>Jream</v>
      </c>
      <c r="D20613" t="s">
        <v>4</v>
      </c>
      <c r="E20613">
        <v>1</v>
      </c>
    </row>
    <row r="20614" spans="1:5" x14ac:dyDescent="0.25">
      <c r="A20614">
        <v>20613</v>
      </c>
      <c r="B20614">
        <v>8653286</v>
      </c>
      <c r="C20614" s="1" t="str">
        <f>HYPERLINK("http://stackoverflow.com/users/8653286", "Alex")</f>
        <v>Alex</v>
      </c>
      <c r="D20614" t="s">
        <v>4</v>
      </c>
      <c r="E20614">
        <v>1</v>
      </c>
    </row>
    <row r="20615" spans="1:5" x14ac:dyDescent="0.25">
      <c r="A20615">
        <v>20614</v>
      </c>
      <c r="B20615">
        <v>1402587</v>
      </c>
      <c r="C20615" s="1" t="str">
        <f>HYPERLINK("http://stackoverflow.com/users/1402587", "ben_chu")</f>
        <v>ben_chu</v>
      </c>
      <c r="D20615" t="s">
        <v>17</v>
      </c>
      <c r="E20615">
        <v>1</v>
      </c>
    </row>
    <row r="20616" spans="1:5" x14ac:dyDescent="0.25">
      <c r="A20616">
        <v>20615</v>
      </c>
      <c r="B20616">
        <v>1402398</v>
      </c>
      <c r="C20616" s="1" t="str">
        <f>HYPERLINK("http://stackoverflow.com/users/1402398", "fengkuok")</f>
        <v>fengkuok</v>
      </c>
      <c r="D20616" t="s">
        <v>5</v>
      </c>
      <c r="E20616">
        <v>1</v>
      </c>
    </row>
    <row r="20617" spans="1:5" x14ac:dyDescent="0.25">
      <c r="A20617">
        <v>20616</v>
      </c>
      <c r="B20617">
        <v>5068449</v>
      </c>
      <c r="C20617" s="1" t="str">
        <f>HYPERLINK("http://stackoverflow.com/users/5068449", "大钻风")</f>
        <v>大钻风</v>
      </c>
      <c r="D20617" t="s">
        <v>12</v>
      </c>
      <c r="E20617">
        <v>1</v>
      </c>
    </row>
    <row r="20618" spans="1:5" x14ac:dyDescent="0.25">
      <c r="A20618">
        <v>20617</v>
      </c>
      <c r="B20618">
        <v>10441406</v>
      </c>
      <c r="C20618" s="1" t="str">
        <f>HYPERLINK("http://stackoverflow.com/users/10441406", "blisswang")</f>
        <v>blisswang</v>
      </c>
      <c r="D20618" t="s">
        <v>1092</v>
      </c>
      <c r="E20618">
        <v>1</v>
      </c>
    </row>
    <row r="20619" spans="1:5" x14ac:dyDescent="0.25">
      <c r="A20619">
        <v>20618</v>
      </c>
      <c r="B20619">
        <v>10441486</v>
      </c>
      <c r="C20619" s="1" t="str">
        <f>HYPERLINK("http://stackoverflow.com/users/10441486", "MD Anower")</f>
        <v>MD Anower</v>
      </c>
      <c r="D20619" t="s">
        <v>1093</v>
      </c>
      <c r="E20619">
        <v>1</v>
      </c>
    </row>
    <row r="20620" spans="1:5" x14ac:dyDescent="0.25">
      <c r="A20620">
        <v>20619</v>
      </c>
      <c r="B20620">
        <v>5071820</v>
      </c>
      <c r="C20620" s="1" t="str">
        <f>HYPERLINK("http://stackoverflow.com/users/5071820", "张天军")</f>
        <v>张天军</v>
      </c>
      <c r="D20620" t="s">
        <v>5</v>
      </c>
      <c r="E20620">
        <v>1</v>
      </c>
    </row>
    <row r="20621" spans="1:5" x14ac:dyDescent="0.25">
      <c r="A20621">
        <v>20620</v>
      </c>
      <c r="B20621">
        <v>5071853</v>
      </c>
      <c r="C20621" s="1" t="str">
        <f>HYPERLINK("http://stackoverflow.com/users/5071853", "Howard Hou")</f>
        <v>Howard Hou</v>
      </c>
      <c r="D20621" t="s">
        <v>37</v>
      </c>
      <c r="E20621">
        <v>1</v>
      </c>
    </row>
    <row r="20622" spans="1:5" x14ac:dyDescent="0.25">
      <c r="A20622">
        <v>20621</v>
      </c>
      <c r="B20622">
        <v>5072348</v>
      </c>
      <c r="C20622" s="1" t="str">
        <f>HYPERLINK("http://stackoverflow.com/users/5072348", "jing lee")</f>
        <v>jing lee</v>
      </c>
      <c r="D20622" t="s">
        <v>4</v>
      </c>
      <c r="E20622">
        <v>1</v>
      </c>
    </row>
    <row r="20623" spans="1:5" x14ac:dyDescent="0.25">
      <c r="A20623">
        <v>20622</v>
      </c>
      <c r="B20623">
        <v>5072375</v>
      </c>
      <c r="C20623" s="1" t="str">
        <f>HYPERLINK("http://stackoverflow.com/users/5072375", "haisenliang")</f>
        <v>haisenliang</v>
      </c>
      <c r="D20623" t="s">
        <v>21</v>
      </c>
      <c r="E20623">
        <v>1</v>
      </c>
    </row>
    <row r="20624" spans="1:5" x14ac:dyDescent="0.25">
      <c r="A20624">
        <v>20623</v>
      </c>
      <c r="B20624">
        <v>6794687</v>
      </c>
      <c r="C20624" s="1" t="str">
        <f>HYPERLINK("http://stackoverflow.com/users/6794687", "Yan Ben")</f>
        <v>Yan Ben</v>
      </c>
      <c r="D20624" t="s">
        <v>43</v>
      </c>
      <c r="E20624">
        <v>1</v>
      </c>
    </row>
    <row r="20625" spans="1:5" x14ac:dyDescent="0.25">
      <c r="A20625">
        <v>20624</v>
      </c>
      <c r="B20625">
        <v>10445183</v>
      </c>
      <c r="C20625" s="1" t="str">
        <f>HYPERLINK("http://stackoverflow.com/users/10445183", "Hong Xue")</f>
        <v>Hong Xue</v>
      </c>
      <c r="D20625" t="s">
        <v>43</v>
      </c>
      <c r="E20625">
        <v>1</v>
      </c>
    </row>
    <row r="20626" spans="1:5" x14ac:dyDescent="0.25">
      <c r="A20626">
        <v>20625</v>
      </c>
      <c r="B20626">
        <v>5076053</v>
      </c>
      <c r="C20626" s="1" t="str">
        <f>HYPERLINK("http://stackoverflow.com/users/5076053", "宋斌斌")</f>
        <v>宋斌斌</v>
      </c>
      <c r="D20626" t="s">
        <v>37</v>
      </c>
      <c r="E20626">
        <v>1</v>
      </c>
    </row>
    <row r="20627" spans="1:5" x14ac:dyDescent="0.25">
      <c r="A20627">
        <v>20626</v>
      </c>
      <c r="B20627">
        <v>10449679</v>
      </c>
      <c r="C20627" s="1" t="str">
        <f>HYPERLINK("http://stackoverflow.com/users/10449679", "YinkaiSun")</f>
        <v>YinkaiSun</v>
      </c>
      <c r="D20627" t="s">
        <v>27</v>
      </c>
      <c r="E20627">
        <v>1</v>
      </c>
    </row>
    <row r="20628" spans="1:5" x14ac:dyDescent="0.25">
      <c r="A20628">
        <v>20627</v>
      </c>
      <c r="B20628">
        <v>10449887</v>
      </c>
      <c r="C20628" s="1" t="str">
        <f>HYPERLINK("http://stackoverflow.com/users/10449887", "leonardpua")</f>
        <v>leonardpua</v>
      </c>
      <c r="D20628" t="s">
        <v>4</v>
      </c>
      <c r="E20628">
        <v>1</v>
      </c>
    </row>
    <row r="20629" spans="1:5" x14ac:dyDescent="0.25">
      <c r="A20629">
        <v>20628</v>
      </c>
      <c r="B20629">
        <v>10449967</v>
      </c>
      <c r="C20629" s="1" t="str">
        <f>HYPERLINK("http://stackoverflow.com/users/10449967", "包乔奔")</f>
        <v>包乔奔</v>
      </c>
      <c r="D20629" t="s">
        <v>108</v>
      </c>
      <c r="E20629">
        <v>1</v>
      </c>
    </row>
    <row r="20630" spans="1:5" x14ac:dyDescent="0.25">
      <c r="A20630">
        <v>20629</v>
      </c>
      <c r="B20630">
        <v>8639685</v>
      </c>
      <c r="C20630" s="1" t="str">
        <f>HYPERLINK("http://stackoverflow.com/users/8639685", "Yu Jian")</f>
        <v>Yu Jian</v>
      </c>
      <c r="D20630" t="s">
        <v>5</v>
      </c>
      <c r="E20630">
        <v>1</v>
      </c>
    </row>
    <row r="20631" spans="1:5" x14ac:dyDescent="0.25">
      <c r="A20631">
        <v>20630</v>
      </c>
      <c r="B20631">
        <v>8639698</v>
      </c>
      <c r="C20631" s="1" t="str">
        <f>HYPERLINK("http://stackoverflow.com/users/8639698", "Zhenjia")</f>
        <v>Zhenjia</v>
      </c>
      <c r="D20631" t="s">
        <v>19</v>
      </c>
      <c r="E20631">
        <v>1</v>
      </c>
    </row>
    <row r="20632" spans="1:5" x14ac:dyDescent="0.25">
      <c r="A20632">
        <v>20631</v>
      </c>
      <c r="B20632">
        <v>8640173</v>
      </c>
      <c r="C20632" s="1" t="str">
        <f>HYPERLINK("http://stackoverflow.com/users/8640173", "xiaobin")</f>
        <v>xiaobin</v>
      </c>
      <c r="D20632" t="s">
        <v>28</v>
      </c>
      <c r="E20632">
        <v>1</v>
      </c>
    </row>
    <row r="20633" spans="1:5" x14ac:dyDescent="0.25">
      <c r="A20633">
        <v>20632</v>
      </c>
      <c r="B20633">
        <v>10453059</v>
      </c>
      <c r="C20633" s="1" t="str">
        <f>HYPERLINK("http://stackoverflow.com/users/10453059", "Jiarui Zhang")</f>
        <v>Jiarui Zhang</v>
      </c>
      <c r="D20633" t="s">
        <v>5</v>
      </c>
      <c r="E20633">
        <v>1</v>
      </c>
    </row>
    <row r="20634" spans="1:5" x14ac:dyDescent="0.25">
      <c r="A20634">
        <v>20633</v>
      </c>
      <c r="B20634">
        <v>10436412</v>
      </c>
      <c r="C20634" s="1" t="str">
        <f>HYPERLINK("http://stackoverflow.com/users/10436412", "Taofeek Olatunbosun MURAINA")</f>
        <v>Taofeek Olatunbosun MURAINA</v>
      </c>
      <c r="D20634" t="s">
        <v>5</v>
      </c>
      <c r="E20634">
        <v>1</v>
      </c>
    </row>
    <row r="20635" spans="1:5" x14ac:dyDescent="0.25">
      <c r="A20635">
        <v>20634</v>
      </c>
      <c r="B20635">
        <v>5064012</v>
      </c>
      <c r="C20635" s="1" t="str">
        <f>HYPERLINK("http://stackoverflow.com/users/5064012", "gaopeng")</f>
        <v>gaopeng</v>
      </c>
      <c r="D20635" t="s">
        <v>1066</v>
      </c>
      <c r="E20635">
        <v>1</v>
      </c>
    </row>
    <row r="20636" spans="1:5" x14ac:dyDescent="0.25">
      <c r="A20636">
        <v>20635</v>
      </c>
      <c r="B20636">
        <v>1367576</v>
      </c>
      <c r="C20636" s="1" t="str">
        <f>HYPERLINK("http://stackoverflow.com/users/1367576", "jw8957")</f>
        <v>jw8957</v>
      </c>
      <c r="D20636" t="s">
        <v>5</v>
      </c>
      <c r="E20636">
        <v>1</v>
      </c>
    </row>
    <row r="20637" spans="1:5" x14ac:dyDescent="0.25">
      <c r="A20637">
        <v>20636</v>
      </c>
      <c r="B20637">
        <v>5064625</v>
      </c>
      <c r="C20637" s="1" t="str">
        <f>HYPERLINK("http://stackoverflow.com/users/5064625", "TheOne-WHU")</f>
        <v>TheOne-WHU</v>
      </c>
      <c r="D20637" t="s">
        <v>38</v>
      </c>
      <c r="E20637">
        <v>1</v>
      </c>
    </row>
    <row r="20638" spans="1:5" x14ac:dyDescent="0.25">
      <c r="A20638">
        <v>20637</v>
      </c>
      <c r="B20638">
        <v>6786527</v>
      </c>
      <c r="C20638" s="1" t="str">
        <f>HYPERLINK("http://stackoverflow.com/users/6786527", "Leslie  Han")</f>
        <v>Leslie  Han</v>
      </c>
      <c r="D20638" t="s">
        <v>5</v>
      </c>
      <c r="E20638">
        <v>1</v>
      </c>
    </row>
    <row r="20639" spans="1:5" x14ac:dyDescent="0.25">
      <c r="A20639">
        <v>20638</v>
      </c>
      <c r="B20639">
        <v>8627348</v>
      </c>
      <c r="C20639" s="1" t="str">
        <f>HYPERLINK("http://stackoverflow.com/users/8627348", "Qj Z")</f>
        <v>Qj Z</v>
      </c>
      <c r="D20639" t="s">
        <v>28</v>
      </c>
      <c r="E20639">
        <v>1</v>
      </c>
    </row>
    <row r="20640" spans="1:5" x14ac:dyDescent="0.25">
      <c r="A20640">
        <v>20639</v>
      </c>
      <c r="B20640">
        <v>8627684</v>
      </c>
      <c r="C20640" s="1" t="str">
        <f>HYPERLINK("http://stackoverflow.com/users/8627684", "Jie Zhang")</f>
        <v>Jie Zhang</v>
      </c>
      <c r="D20640" t="s">
        <v>4</v>
      </c>
      <c r="E20640">
        <v>1</v>
      </c>
    </row>
    <row r="20641" spans="1:5" x14ac:dyDescent="0.25">
      <c r="A20641">
        <v>20640</v>
      </c>
      <c r="B20641">
        <v>1372299</v>
      </c>
      <c r="C20641" s="1" t="str">
        <f>HYPERLINK("http://stackoverflow.com/users/1372299", "Martin")</f>
        <v>Martin</v>
      </c>
      <c r="D20641" t="s">
        <v>4</v>
      </c>
      <c r="E20641">
        <v>1</v>
      </c>
    </row>
    <row r="20642" spans="1:5" x14ac:dyDescent="0.25">
      <c r="A20642">
        <v>20641</v>
      </c>
      <c r="B20642">
        <v>10432439</v>
      </c>
      <c r="C20642" s="1" t="str">
        <f>HYPERLINK("http://stackoverflow.com/users/10432439", "WANG Xin")</f>
        <v>WANG Xin</v>
      </c>
      <c r="D20642" t="s">
        <v>78</v>
      </c>
      <c r="E20642">
        <v>1</v>
      </c>
    </row>
    <row r="20643" spans="1:5" x14ac:dyDescent="0.25">
      <c r="A20643">
        <v>20642</v>
      </c>
      <c r="B20643">
        <v>10432622</v>
      </c>
      <c r="C20643" s="1" t="str">
        <f>HYPERLINK("http://stackoverflow.com/users/10432622", "Mia Ye")</f>
        <v>Mia Ye</v>
      </c>
      <c r="D20643" t="s">
        <v>5</v>
      </c>
      <c r="E20643">
        <v>1</v>
      </c>
    </row>
    <row r="20644" spans="1:5" x14ac:dyDescent="0.25">
      <c r="A20644">
        <v>20643</v>
      </c>
      <c r="B20644">
        <v>10432754</v>
      </c>
      <c r="C20644" s="1" t="str">
        <f>HYPERLINK("http://stackoverflow.com/users/10432754", "Jiaming")</f>
        <v>Jiaming</v>
      </c>
      <c r="D20644" t="s">
        <v>91</v>
      </c>
      <c r="E20644">
        <v>1</v>
      </c>
    </row>
    <row r="20645" spans="1:5" x14ac:dyDescent="0.25">
      <c r="A20645">
        <v>20644</v>
      </c>
      <c r="B20645">
        <v>10432783</v>
      </c>
      <c r="C20645" s="1" t="str">
        <f>HYPERLINK("http://stackoverflow.com/users/10432783", "HHS")</f>
        <v>HHS</v>
      </c>
      <c r="D20645" t="s">
        <v>4</v>
      </c>
      <c r="E20645">
        <v>1</v>
      </c>
    </row>
    <row r="20646" spans="1:5" x14ac:dyDescent="0.25">
      <c r="A20646">
        <v>20645</v>
      </c>
      <c r="B20646">
        <v>6786126</v>
      </c>
      <c r="C20646" s="1" t="str">
        <f>HYPERLINK("http://stackoverflow.com/users/6786126", "Chaselous")</f>
        <v>Chaselous</v>
      </c>
      <c r="D20646" t="s">
        <v>131</v>
      </c>
      <c r="E20646">
        <v>1</v>
      </c>
    </row>
    <row r="20647" spans="1:5" x14ac:dyDescent="0.25">
      <c r="A20647">
        <v>20646</v>
      </c>
      <c r="B20647">
        <v>3239254</v>
      </c>
      <c r="C20647" s="1" t="str">
        <f>HYPERLINK("http://stackoverflow.com/users/3239254", "pedro")</f>
        <v>pedro</v>
      </c>
      <c r="D20647" t="s">
        <v>4</v>
      </c>
      <c r="E20647">
        <v>1</v>
      </c>
    </row>
    <row r="20648" spans="1:5" x14ac:dyDescent="0.25">
      <c r="A20648">
        <v>20647</v>
      </c>
      <c r="B20648">
        <v>8607415</v>
      </c>
      <c r="C20648" s="1" t="str">
        <f>HYPERLINK("http://stackoverflow.com/users/8607415", "Chan Yi")</f>
        <v>Chan Yi</v>
      </c>
      <c r="D20648" t="s">
        <v>7</v>
      </c>
      <c r="E20648">
        <v>1</v>
      </c>
    </row>
    <row r="20649" spans="1:5" x14ac:dyDescent="0.25">
      <c r="A20649">
        <v>20648</v>
      </c>
      <c r="B20649">
        <v>8607705</v>
      </c>
      <c r="C20649" s="1" t="str">
        <f>HYPERLINK("http://stackoverflow.com/users/8607705", "Lyr007")</f>
        <v>Lyr007</v>
      </c>
      <c r="D20649" t="s">
        <v>889</v>
      </c>
      <c r="E20649">
        <v>1</v>
      </c>
    </row>
    <row r="20650" spans="1:5" x14ac:dyDescent="0.25">
      <c r="A20650">
        <v>20649</v>
      </c>
      <c r="B20650">
        <v>8612186</v>
      </c>
      <c r="C20650" s="1" t="str">
        <f>HYPERLINK("http://stackoverflow.com/users/8612186", "AttackOnMorty")</f>
        <v>AttackOnMorty</v>
      </c>
      <c r="D20650" t="s">
        <v>131</v>
      </c>
      <c r="E20650">
        <v>1</v>
      </c>
    </row>
    <row r="20651" spans="1:5" x14ac:dyDescent="0.25">
      <c r="A20651">
        <v>20650</v>
      </c>
      <c r="B20651">
        <v>8612256</v>
      </c>
      <c r="C20651" s="1" t="str">
        <f>HYPERLINK("http://stackoverflow.com/users/8612256", "xiaoRan")</f>
        <v>xiaoRan</v>
      </c>
      <c r="D20651" t="s">
        <v>1094</v>
      </c>
      <c r="E20651">
        <v>1</v>
      </c>
    </row>
    <row r="20652" spans="1:5" x14ac:dyDescent="0.25">
      <c r="A20652">
        <v>20651</v>
      </c>
      <c r="B20652">
        <v>8612414</v>
      </c>
      <c r="C20652" s="1" t="str">
        <f>HYPERLINK("http://stackoverflow.com/users/8612414", "JedYee")</f>
        <v>JedYee</v>
      </c>
      <c r="D20652" t="s">
        <v>79</v>
      </c>
      <c r="E20652">
        <v>1</v>
      </c>
    </row>
    <row r="20653" spans="1:5" x14ac:dyDescent="0.25">
      <c r="A20653">
        <v>20652</v>
      </c>
      <c r="B20653">
        <v>5055340</v>
      </c>
      <c r="C20653" s="1" t="str">
        <f>HYPERLINK("http://stackoverflow.com/users/5055340", "Linar")</f>
        <v>Linar</v>
      </c>
      <c r="D20653" t="s">
        <v>1095</v>
      </c>
      <c r="E20653">
        <v>1</v>
      </c>
    </row>
    <row r="20654" spans="1:5" x14ac:dyDescent="0.25">
      <c r="A20654">
        <v>20653</v>
      </c>
      <c r="B20654">
        <v>5055355</v>
      </c>
      <c r="C20654" s="1" t="str">
        <f>HYPERLINK("http://stackoverflow.com/users/5055355", "zhonghw")</f>
        <v>zhonghw</v>
      </c>
      <c r="D20654" t="s">
        <v>136</v>
      </c>
      <c r="E20654">
        <v>1</v>
      </c>
    </row>
    <row r="20655" spans="1:5" x14ac:dyDescent="0.25">
      <c r="A20655">
        <v>20654</v>
      </c>
      <c r="B20655">
        <v>10427939</v>
      </c>
      <c r="C20655" s="1" t="str">
        <f>HYPERLINK("http://stackoverflow.com/users/10427939", "Kai")</f>
        <v>Kai</v>
      </c>
      <c r="D20655" t="s">
        <v>4</v>
      </c>
      <c r="E20655">
        <v>1</v>
      </c>
    </row>
    <row r="20656" spans="1:5" x14ac:dyDescent="0.25">
      <c r="A20656">
        <v>20655</v>
      </c>
      <c r="B20656">
        <v>10428360</v>
      </c>
      <c r="C20656" s="1" t="str">
        <f>HYPERLINK("http://stackoverflow.com/users/10428360", "Edwardvoon")</f>
        <v>Edwardvoon</v>
      </c>
      <c r="D20656" t="s">
        <v>131</v>
      </c>
      <c r="E20656">
        <v>1</v>
      </c>
    </row>
    <row r="20657" spans="1:5" x14ac:dyDescent="0.25">
      <c r="A20657">
        <v>20656</v>
      </c>
      <c r="B20657">
        <v>8614786</v>
      </c>
      <c r="C20657" s="1" t="str">
        <f>HYPERLINK("http://stackoverflow.com/users/8614786", "HAMMERMASH")</f>
        <v>HAMMERMASH</v>
      </c>
      <c r="D20657" t="s">
        <v>4</v>
      </c>
      <c r="E20657">
        <v>1</v>
      </c>
    </row>
    <row r="20658" spans="1:5" x14ac:dyDescent="0.25">
      <c r="A20658">
        <v>20657</v>
      </c>
      <c r="B20658">
        <v>8615121</v>
      </c>
      <c r="C20658" s="1" t="str">
        <f>HYPERLINK("http://stackoverflow.com/users/8615121", "liaodacan")</f>
        <v>liaodacan</v>
      </c>
      <c r="D20658" t="s">
        <v>7</v>
      </c>
      <c r="E20658">
        <v>1</v>
      </c>
    </row>
    <row r="20659" spans="1:5" x14ac:dyDescent="0.25">
      <c r="A20659">
        <v>20658</v>
      </c>
      <c r="B20659">
        <v>8615302</v>
      </c>
      <c r="C20659" s="1" t="str">
        <f>HYPERLINK("http://stackoverflow.com/users/8615302", "Eqix")</f>
        <v>Eqix</v>
      </c>
      <c r="D20659" t="s">
        <v>16</v>
      </c>
      <c r="E20659">
        <v>1</v>
      </c>
    </row>
    <row r="20660" spans="1:5" x14ac:dyDescent="0.25">
      <c r="A20660">
        <v>20659</v>
      </c>
      <c r="B20660">
        <v>6778487</v>
      </c>
      <c r="C20660" s="1" t="str">
        <f>HYPERLINK("http://stackoverflow.com/users/6778487", "talonchu")</f>
        <v>talonchu</v>
      </c>
      <c r="D20660" t="s">
        <v>16</v>
      </c>
      <c r="E20660">
        <v>1</v>
      </c>
    </row>
    <row r="20661" spans="1:5" x14ac:dyDescent="0.25">
      <c r="A20661">
        <v>20660</v>
      </c>
      <c r="B20661">
        <v>10497899</v>
      </c>
      <c r="C20661" s="1" t="str">
        <f>HYPERLINK("http://stackoverflow.com/users/10497899", "user10497899")</f>
        <v>user10497899</v>
      </c>
      <c r="D20661" t="s">
        <v>439</v>
      </c>
      <c r="E20661">
        <v>1</v>
      </c>
    </row>
    <row r="20662" spans="1:5" x14ac:dyDescent="0.25">
      <c r="A20662">
        <v>20661</v>
      </c>
      <c r="B20662">
        <v>6840582</v>
      </c>
      <c r="C20662" s="1" t="str">
        <f>HYPERLINK("http://stackoverflow.com/users/6840582", "Freiheitweht")</f>
        <v>Freiheitweht</v>
      </c>
      <c r="D20662" t="s">
        <v>16</v>
      </c>
      <c r="E20662">
        <v>1</v>
      </c>
    </row>
    <row r="20663" spans="1:5" x14ac:dyDescent="0.25">
      <c r="A20663">
        <v>20662</v>
      </c>
      <c r="B20663">
        <v>6844104</v>
      </c>
      <c r="C20663" s="1" t="str">
        <f>HYPERLINK("http://stackoverflow.com/users/6844104", "Jeffre Ma")</f>
        <v>Jeffre Ma</v>
      </c>
      <c r="D20663" t="s">
        <v>4</v>
      </c>
      <c r="E20663">
        <v>1</v>
      </c>
    </row>
    <row r="20664" spans="1:5" x14ac:dyDescent="0.25">
      <c r="A20664">
        <v>20663</v>
      </c>
      <c r="B20664">
        <v>8688197</v>
      </c>
      <c r="C20664" s="1" t="str">
        <f>HYPERLINK("http://stackoverflow.com/users/8688197", "warace")</f>
        <v>warace</v>
      </c>
      <c r="D20664" t="s">
        <v>16</v>
      </c>
      <c r="E20664">
        <v>1</v>
      </c>
    </row>
    <row r="20665" spans="1:5" x14ac:dyDescent="0.25">
      <c r="A20665">
        <v>20664</v>
      </c>
      <c r="B20665">
        <v>5124107</v>
      </c>
      <c r="C20665" s="1" t="str">
        <f>HYPERLINK("http://stackoverflow.com/users/5124107", "Zhengxuan Jin")</f>
        <v>Zhengxuan Jin</v>
      </c>
      <c r="D20665" t="s">
        <v>5</v>
      </c>
      <c r="E20665">
        <v>1</v>
      </c>
    </row>
    <row r="20666" spans="1:5" x14ac:dyDescent="0.25">
      <c r="A20666">
        <v>20665</v>
      </c>
      <c r="B20666">
        <v>10501622</v>
      </c>
      <c r="C20666" s="1" t="str">
        <f>HYPERLINK("http://stackoverflow.com/users/10501622", "JoyMikey")</f>
        <v>JoyMikey</v>
      </c>
      <c r="D20666" t="s">
        <v>5</v>
      </c>
      <c r="E20666">
        <v>1</v>
      </c>
    </row>
    <row r="20667" spans="1:5" x14ac:dyDescent="0.25">
      <c r="A20667">
        <v>20666</v>
      </c>
      <c r="B20667">
        <v>3315395</v>
      </c>
      <c r="C20667" s="1" t="str">
        <f>HYPERLINK("http://stackoverflow.com/users/3315395", "wukongcode")</f>
        <v>wukongcode</v>
      </c>
      <c r="D20667" t="s">
        <v>5</v>
      </c>
      <c r="E20667">
        <v>1</v>
      </c>
    </row>
    <row r="20668" spans="1:5" x14ac:dyDescent="0.25">
      <c r="A20668">
        <v>20667</v>
      </c>
      <c r="B20668">
        <v>3315551</v>
      </c>
      <c r="C20668" s="1" t="str">
        <f>HYPERLINK("http://stackoverflow.com/users/3315551", "funnyfor")</f>
        <v>funnyfor</v>
      </c>
      <c r="D20668" t="s">
        <v>22</v>
      </c>
      <c r="E20668">
        <v>1</v>
      </c>
    </row>
    <row r="20669" spans="1:5" x14ac:dyDescent="0.25">
      <c r="A20669">
        <v>20668</v>
      </c>
      <c r="B20669">
        <v>3315604</v>
      </c>
      <c r="C20669" s="1" t="str">
        <f>HYPERLINK("http://stackoverflow.com/users/3315604", "gxwu")</f>
        <v>gxwu</v>
      </c>
      <c r="D20669" t="s">
        <v>56</v>
      </c>
      <c r="E20669">
        <v>1</v>
      </c>
    </row>
    <row r="20670" spans="1:5" x14ac:dyDescent="0.25">
      <c r="A20670">
        <v>20669</v>
      </c>
      <c r="B20670">
        <v>10502101</v>
      </c>
      <c r="C20670" s="1" t="str">
        <f>HYPERLINK("http://stackoverflow.com/users/10502101", "Lin Liu")</f>
        <v>Lin Liu</v>
      </c>
      <c r="D20670" t="s">
        <v>4</v>
      </c>
      <c r="E20670">
        <v>1</v>
      </c>
    </row>
    <row r="20671" spans="1:5" x14ac:dyDescent="0.25">
      <c r="A20671">
        <v>20670</v>
      </c>
      <c r="B20671">
        <v>3312238</v>
      </c>
      <c r="C20671" s="1" t="str">
        <f>HYPERLINK("http://stackoverflow.com/users/3312238", "chineseBoy")</f>
        <v>chineseBoy</v>
      </c>
      <c r="D20671" t="s">
        <v>57</v>
      </c>
      <c r="E20671">
        <v>1</v>
      </c>
    </row>
    <row r="20672" spans="1:5" x14ac:dyDescent="0.25">
      <c r="A20672">
        <v>20671</v>
      </c>
      <c r="B20672">
        <v>3312449</v>
      </c>
      <c r="C20672" s="1" t="str">
        <f>HYPERLINK("http://stackoverflow.com/users/3312449", "ZhangZhao")</f>
        <v>ZhangZhao</v>
      </c>
      <c r="D20672" t="s">
        <v>410</v>
      </c>
      <c r="E20672">
        <v>1</v>
      </c>
    </row>
    <row r="20673" spans="1:5" x14ac:dyDescent="0.25">
      <c r="A20673">
        <v>20672</v>
      </c>
      <c r="B20673">
        <v>3312756</v>
      </c>
      <c r="C20673" s="1" t="str">
        <f>HYPERLINK("http://stackoverflow.com/users/3312756", "user3312756")</f>
        <v>user3312756</v>
      </c>
      <c r="D20673" t="s">
        <v>4</v>
      </c>
      <c r="E20673">
        <v>1</v>
      </c>
    </row>
    <row r="20674" spans="1:5" x14ac:dyDescent="0.25">
      <c r="A20674">
        <v>20673</v>
      </c>
      <c r="B20674">
        <v>6844428</v>
      </c>
      <c r="C20674" s="1" t="str">
        <f>HYPERLINK("http://stackoverflow.com/users/6844428", "Phageous")</f>
        <v>Phageous</v>
      </c>
      <c r="D20674" t="s">
        <v>5</v>
      </c>
      <c r="E20674">
        <v>1</v>
      </c>
    </row>
    <row r="20675" spans="1:5" x14ac:dyDescent="0.25">
      <c r="A20675">
        <v>20674</v>
      </c>
      <c r="B20675">
        <v>6844769</v>
      </c>
      <c r="C20675" s="1" t="str">
        <f>HYPERLINK("http://stackoverflow.com/users/6844769", "RD Wang")</f>
        <v>RD Wang</v>
      </c>
      <c r="D20675" t="s">
        <v>5</v>
      </c>
      <c r="E20675">
        <v>1</v>
      </c>
    </row>
    <row r="20676" spans="1:5" x14ac:dyDescent="0.25">
      <c r="A20676">
        <v>20675</v>
      </c>
      <c r="B20676">
        <v>1448409</v>
      </c>
      <c r="C20676" s="1" t="str">
        <f>HYPERLINK("http://stackoverflow.com/users/1448409", "xiejierui")</f>
        <v>xiejierui</v>
      </c>
      <c r="D20676" t="s">
        <v>5</v>
      </c>
      <c r="E20676">
        <v>1</v>
      </c>
    </row>
    <row r="20677" spans="1:5" x14ac:dyDescent="0.25">
      <c r="A20677">
        <v>20676</v>
      </c>
      <c r="B20677">
        <v>8671471</v>
      </c>
      <c r="C20677" s="1" t="str">
        <f>HYPERLINK("http://stackoverflow.com/users/8671471", "Vic Theme")</f>
        <v>Vic Theme</v>
      </c>
      <c r="D20677" t="s">
        <v>4</v>
      </c>
      <c r="E20677">
        <v>1</v>
      </c>
    </row>
    <row r="20678" spans="1:5" x14ac:dyDescent="0.25">
      <c r="A20678">
        <v>20677</v>
      </c>
      <c r="B20678">
        <v>6828922</v>
      </c>
      <c r="C20678" s="1" t="str">
        <f>HYPERLINK("http://stackoverflow.com/users/6828922", "renzhonglu")</f>
        <v>renzhonglu</v>
      </c>
      <c r="D20678" t="s">
        <v>1096</v>
      </c>
      <c r="E20678">
        <v>1</v>
      </c>
    </row>
    <row r="20679" spans="1:5" x14ac:dyDescent="0.25">
      <c r="A20679">
        <v>20678</v>
      </c>
      <c r="B20679">
        <v>3295597</v>
      </c>
      <c r="C20679" s="1" t="str">
        <f>HYPERLINK("http://stackoverflow.com/users/3295597", "TianYu")</f>
        <v>TianYu</v>
      </c>
      <c r="D20679" t="s">
        <v>90</v>
      </c>
      <c r="E20679">
        <v>1</v>
      </c>
    </row>
    <row r="20680" spans="1:5" x14ac:dyDescent="0.25">
      <c r="A20680">
        <v>20679</v>
      </c>
      <c r="B20680">
        <v>5108238</v>
      </c>
      <c r="C20680" s="1" t="str">
        <f>HYPERLINK("http://stackoverflow.com/users/5108238", "dusk")</f>
        <v>dusk</v>
      </c>
      <c r="D20680" t="s">
        <v>193</v>
      </c>
      <c r="E20680">
        <v>1</v>
      </c>
    </row>
    <row r="20681" spans="1:5" x14ac:dyDescent="0.25">
      <c r="A20681">
        <v>20680</v>
      </c>
      <c r="B20681">
        <v>1429791</v>
      </c>
      <c r="C20681" s="1" t="str">
        <f>HYPERLINK("http://stackoverflow.com/users/1429791", "Dlad")</f>
        <v>Dlad</v>
      </c>
      <c r="D20681" t="s">
        <v>4</v>
      </c>
      <c r="E20681">
        <v>1</v>
      </c>
    </row>
    <row r="20682" spans="1:5" x14ac:dyDescent="0.25">
      <c r="A20682">
        <v>20681</v>
      </c>
      <c r="B20682">
        <v>1429819</v>
      </c>
      <c r="C20682" s="1" t="str">
        <f>HYPERLINK("http://stackoverflow.com/users/1429819", "SamHuang")</f>
        <v>SamHuang</v>
      </c>
      <c r="D20682" t="s">
        <v>31</v>
      </c>
      <c r="E20682">
        <v>1</v>
      </c>
    </row>
    <row r="20683" spans="1:5" x14ac:dyDescent="0.25">
      <c r="A20683">
        <v>20682</v>
      </c>
      <c r="B20683">
        <v>1430068</v>
      </c>
      <c r="C20683" s="1" t="str">
        <f>HYPERLINK("http://stackoverflow.com/users/1430068", "Vincent Liu")</f>
        <v>Vincent Liu</v>
      </c>
      <c r="D20683" t="s">
        <v>5</v>
      </c>
      <c r="E20683">
        <v>1</v>
      </c>
    </row>
    <row r="20684" spans="1:5" x14ac:dyDescent="0.25">
      <c r="A20684">
        <v>20683</v>
      </c>
      <c r="B20684">
        <v>1430072</v>
      </c>
      <c r="C20684" s="1" t="str">
        <f>HYPERLINK("http://stackoverflow.com/users/1430072", "xmuyoo")</f>
        <v>xmuyoo</v>
      </c>
      <c r="D20684" t="s">
        <v>5</v>
      </c>
      <c r="E20684">
        <v>1</v>
      </c>
    </row>
    <row r="20685" spans="1:5" x14ac:dyDescent="0.25">
      <c r="A20685">
        <v>20684</v>
      </c>
      <c r="B20685">
        <v>1430110</v>
      </c>
      <c r="C20685" s="1" t="str">
        <f>HYPERLINK("http://stackoverflow.com/users/1430110", "m.l")</f>
        <v>m.l</v>
      </c>
      <c r="D20685" t="s">
        <v>5</v>
      </c>
      <c r="E20685">
        <v>1</v>
      </c>
    </row>
    <row r="20686" spans="1:5" x14ac:dyDescent="0.25">
      <c r="A20686">
        <v>20685</v>
      </c>
      <c r="B20686">
        <v>1430546</v>
      </c>
      <c r="C20686" s="1" t="str">
        <f>HYPERLINK("http://stackoverflow.com/users/1430546", "Michael Xia")</f>
        <v>Michael Xia</v>
      </c>
      <c r="D20686" t="s">
        <v>4</v>
      </c>
      <c r="E20686">
        <v>1</v>
      </c>
    </row>
    <row r="20687" spans="1:5" x14ac:dyDescent="0.25">
      <c r="A20687">
        <v>20686</v>
      </c>
      <c r="B20687">
        <v>10488612</v>
      </c>
      <c r="C20687" s="1" t="str">
        <f>HYPERLINK("http://stackoverflow.com/users/10488612", "Bashanta Upreti")</f>
        <v>Bashanta Upreti</v>
      </c>
      <c r="D20687" t="s">
        <v>241</v>
      </c>
      <c r="E20687">
        <v>1</v>
      </c>
    </row>
    <row r="20688" spans="1:5" x14ac:dyDescent="0.25">
      <c r="A20688">
        <v>20687</v>
      </c>
      <c r="B20688">
        <v>10489227</v>
      </c>
      <c r="C20688" s="1" t="str">
        <f>HYPERLINK("http://stackoverflow.com/users/10489227", "Wenjie Ai")</f>
        <v>Wenjie Ai</v>
      </c>
      <c r="D20688" t="s">
        <v>28</v>
      </c>
      <c r="E20688">
        <v>1</v>
      </c>
    </row>
    <row r="20689" spans="1:5" x14ac:dyDescent="0.25">
      <c r="A20689">
        <v>20688</v>
      </c>
      <c r="B20689">
        <v>3299997</v>
      </c>
      <c r="C20689" s="1" t="str">
        <f>HYPERLINK("http://stackoverflow.com/users/3299997", "Ben.Xia")</f>
        <v>Ben.Xia</v>
      </c>
      <c r="D20689" t="s">
        <v>4</v>
      </c>
      <c r="E20689">
        <v>1</v>
      </c>
    </row>
    <row r="20690" spans="1:5" x14ac:dyDescent="0.25">
      <c r="A20690">
        <v>20689</v>
      </c>
      <c r="B20690">
        <v>8679794</v>
      </c>
      <c r="C20690" s="1" t="str">
        <f>HYPERLINK("http://stackoverflow.com/users/8679794", "J.xy")</f>
        <v>J.xy</v>
      </c>
      <c r="D20690" t="s">
        <v>5</v>
      </c>
      <c r="E20690">
        <v>1</v>
      </c>
    </row>
    <row r="20691" spans="1:5" x14ac:dyDescent="0.25">
      <c r="A20691">
        <v>20690</v>
      </c>
      <c r="B20691">
        <v>8679812</v>
      </c>
      <c r="C20691" s="1" t="str">
        <f>HYPERLINK("http://stackoverflow.com/users/8679812", "hongyin")</f>
        <v>hongyin</v>
      </c>
      <c r="D20691" t="s">
        <v>5</v>
      </c>
      <c r="E20691">
        <v>1</v>
      </c>
    </row>
    <row r="20692" spans="1:5" x14ac:dyDescent="0.25">
      <c r="A20692">
        <v>20691</v>
      </c>
      <c r="B20692">
        <v>8680172</v>
      </c>
      <c r="C20692" s="1" t="str">
        <f>HYPERLINK("http://stackoverflow.com/users/8680172", "xin xue")</f>
        <v>xin xue</v>
      </c>
      <c r="D20692" t="s">
        <v>4</v>
      </c>
      <c r="E20692">
        <v>1</v>
      </c>
    </row>
    <row r="20693" spans="1:5" x14ac:dyDescent="0.25">
      <c r="A20693">
        <v>20692</v>
      </c>
      <c r="B20693">
        <v>10492844</v>
      </c>
      <c r="C20693" s="1" t="str">
        <f>HYPERLINK("http://stackoverflow.com/users/10492844", "hongaah")</f>
        <v>hongaah</v>
      </c>
      <c r="D20693" t="s">
        <v>47</v>
      </c>
      <c r="E20693">
        <v>1</v>
      </c>
    </row>
    <row r="20694" spans="1:5" x14ac:dyDescent="0.25">
      <c r="A20694">
        <v>20693</v>
      </c>
      <c r="B20694">
        <v>1406323</v>
      </c>
      <c r="C20694" s="1" t="str">
        <f>HYPERLINK("http://stackoverflow.com/users/1406323", "forrestchen")</f>
        <v>forrestchen</v>
      </c>
      <c r="D20694" t="s">
        <v>5</v>
      </c>
      <c r="E20694">
        <v>1</v>
      </c>
    </row>
    <row r="20695" spans="1:5" x14ac:dyDescent="0.25">
      <c r="A20695">
        <v>20694</v>
      </c>
      <c r="B20695">
        <v>1406942</v>
      </c>
      <c r="C20695" s="1" t="str">
        <f>HYPERLINK("http://stackoverflow.com/users/1406942", "xmx0632")</f>
        <v>xmx0632</v>
      </c>
      <c r="D20695" t="s">
        <v>4</v>
      </c>
      <c r="E20695">
        <v>1</v>
      </c>
    </row>
    <row r="20696" spans="1:5" x14ac:dyDescent="0.25">
      <c r="A20696">
        <v>20695</v>
      </c>
      <c r="B20696">
        <v>1406996</v>
      </c>
      <c r="C20696" s="1" t="str">
        <f>HYPERLINK("http://stackoverflow.com/users/1406996", "ilghar")</f>
        <v>ilghar</v>
      </c>
      <c r="D20696" t="s">
        <v>396</v>
      </c>
      <c r="E20696">
        <v>1</v>
      </c>
    </row>
    <row r="20697" spans="1:5" x14ac:dyDescent="0.25">
      <c r="A20697">
        <v>20696</v>
      </c>
      <c r="B20697">
        <v>1407390</v>
      </c>
      <c r="C20697" s="1" t="str">
        <f>HYPERLINK("http://stackoverflow.com/users/1407390", "Oneplus")</f>
        <v>Oneplus</v>
      </c>
      <c r="D20697" t="s">
        <v>56</v>
      </c>
      <c r="E20697">
        <v>1</v>
      </c>
    </row>
    <row r="20698" spans="1:5" x14ac:dyDescent="0.25">
      <c r="A20698">
        <v>20697</v>
      </c>
      <c r="B20698">
        <v>1412160</v>
      </c>
      <c r="C20698" s="1" t="str">
        <f>HYPERLINK("http://stackoverflow.com/users/1412160", "chenny")</f>
        <v>chenny</v>
      </c>
      <c r="D20698" t="s">
        <v>4</v>
      </c>
      <c r="E20698">
        <v>1</v>
      </c>
    </row>
    <row r="20699" spans="1:5" x14ac:dyDescent="0.25">
      <c r="A20699">
        <v>20698</v>
      </c>
      <c r="B20699">
        <v>1412259</v>
      </c>
      <c r="C20699" s="1" t="str">
        <f>HYPERLINK("http://stackoverflow.com/users/1412259", "fanguoheng")</f>
        <v>fanguoheng</v>
      </c>
      <c r="D20699" t="s">
        <v>21</v>
      </c>
      <c r="E20699">
        <v>1</v>
      </c>
    </row>
    <row r="20700" spans="1:5" x14ac:dyDescent="0.25">
      <c r="A20700">
        <v>20699</v>
      </c>
      <c r="B20700">
        <v>1412082</v>
      </c>
      <c r="C20700" s="1" t="str">
        <f>HYPERLINK("http://stackoverflow.com/users/1412082", "Nalic")</f>
        <v>Nalic</v>
      </c>
      <c r="D20700" t="s">
        <v>17</v>
      </c>
      <c r="E20700">
        <v>1</v>
      </c>
    </row>
    <row r="20701" spans="1:5" x14ac:dyDescent="0.25">
      <c r="A20701">
        <v>20700</v>
      </c>
      <c r="B20701">
        <v>10470780</v>
      </c>
      <c r="C20701" s="1" t="str">
        <f>HYPERLINK("http://stackoverflow.com/users/10470780", "windchaser-think")</f>
        <v>windchaser-think</v>
      </c>
      <c r="D20701" t="s">
        <v>52</v>
      </c>
      <c r="E20701">
        <v>1</v>
      </c>
    </row>
    <row r="20702" spans="1:5" x14ac:dyDescent="0.25">
      <c r="A20702">
        <v>20701</v>
      </c>
      <c r="B20702">
        <v>10470957</v>
      </c>
      <c r="C20702" s="1" t="str">
        <f>HYPERLINK("http://stackoverflow.com/users/10470957", "Vogt Feehily")</f>
        <v>Vogt Feehily</v>
      </c>
      <c r="D20702" t="s">
        <v>5</v>
      </c>
      <c r="E20702">
        <v>1</v>
      </c>
    </row>
    <row r="20703" spans="1:5" x14ac:dyDescent="0.25">
      <c r="A20703">
        <v>20702</v>
      </c>
      <c r="B20703">
        <v>8663038</v>
      </c>
      <c r="C20703" s="1" t="str">
        <f>HYPERLINK("http://stackoverflow.com/users/8663038", "TimesSlience")</f>
        <v>TimesSlience</v>
      </c>
      <c r="D20703" t="s">
        <v>4</v>
      </c>
      <c r="E20703">
        <v>1</v>
      </c>
    </row>
    <row r="20704" spans="1:5" x14ac:dyDescent="0.25">
      <c r="A20704">
        <v>20703</v>
      </c>
      <c r="B20704">
        <v>8663131</v>
      </c>
      <c r="C20704" s="1" t="str">
        <f>HYPERLINK("http://stackoverflow.com/users/8663131", "Alex_Duval")</f>
        <v>Alex_Duval</v>
      </c>
      <c r="D20704" t="s">
        <v>25</v>
      </c>
      <c r="E20704">
        <v>1</v>
      </c>
    </row>
    <row r="20705" spans="1:5" x14ac:dyDescent="0.25">
      <c r="A20705">
        <v>20704</v>
      </c>
      <c r="B20705">
        <v>1416401</v>
      </c>
      <c r="C20705" s="1" t="str">
        <f>HYPERLINK("http://stackoverflow.com/users/1416401", "Ryan Li")</f>
        <v>Ryan Li</v>
      </c>
      <c r="D20705" t="s">
        <v>28</v>
      </c>
      <c r="E20705">
        <v>1</v>
      </c>
    </row>
    <row r="20706" spans="1:5" x14ac:dyDescent="0.25">
      <c r="A20706">
        <v>20705</v>
      </c>
      <c r="B20706">
        <v>1416501</v>
      </c>
      <c r="C20706" s="1" t="str">
        <f>HYPERLINK("http://stackoverflow.com/users/1416501", "ocean")</f>
        <v>ocean</v>
      </c>
      <c r="D20706" t="s">
        <v>17</v>
      </c>
      <c r="E20706">
        <v>1</v>
      </c>
    </row>
    <row r="20707" spans="1:5" x14ac:dyDescent="0.25">
      <c r="A20707">
        <v>20706</v>
      </c>
      <c r="B20707">
        <v>1416896</v>
      </c>
      <c r="C20707" s="1" t="str">
        <f>HYPERLINK("http://stackoverflow.com/users/1416896", "Joe Wong")</f>
        <v>Joe Wong</v>
      </c>
      <c r="D20707" t="s">
        <v>4</v>
      </c>
      <c r="E20707">
        <v>1</v>
      </c>
    </row>
    <row r="20708" spans="1:5" x14ac:dyDescent="0.25">
      <c r="A20708">
        <v>20707</v>
      </c>
      <c r="B20708">
        <v>1412375</v>
      </c>
      <c r="C20708" s="1" t="str">
        <f>HYPERLINK("http://stackoverflow.com/users/1412375", "Leon Z")</f>
        <v>Leon Z</v>
      </c>
      <c r="D20708" t="s">
        <v>5</v>
      </c>
      <c r="E20708">
        <v>1</v>
      </c>
    </row>
    <row r="20709" spans="1:5" x14ac:dyDescent="0.25">
      <c r="A20709">
        <v>20708</v>
      </c>
      <c r="B20709">
        <v>6824807</v>
      </c>
      <c r="C20709" s="1" t="str">
        <f>HYPERLINK("http://stackoverflow.com/users/6824807", "AllenAn")</f>
        <v>AllenAn</v>
      </c>
      <c r="D20709" t="s">
        <v>16</v>
      </c>
      <c r="E20709">
        <v>1</v>
      </c>
    </row>
    <row r="20710" spans="1:5" x14ac:dyDescent="0.25">
      <c r="A20710">
        <v>20709</v>
      </c>
      <c r="B20710">
        <v>1419915</v>
      </c>
      <c r="C20710" s="1" t="str">
        <f>HYPERLINK("http://stackoverflow.com/users/1419915", "hiver.yan")</f>
        <v>hiver.yan</v>
      </c>
      <c r="D20710" t="s">
        <v>5</v>
      </c>
      <c r="E20710">
        <v>1</v>
      </c>
    </row>
    <row r="20711" spans="1:5" x14ac:dyDescent="0.25">
      <c r="A20711">
        <v>20710</v>
      </c>
      <c r="B20711">
        <v>1420113</v>
      </c>
      <c r="C20711" s="1" t="str">
        <f>HYPERLINK("http://stackoverflow.com/users/1420113", "xiafish201")</f>
        <v>xiafish201</v>
      </c>
      <c r="D20711" t="s">
        <v>5</v>
      </c>
      <c r="E20711">
        <v>1</v>
      </c>
    </row>
    <row r="20712" spans="1:5" x14ac:dyDescent="0.25">
      <c r="A20712">
        <v>20711</v>
      </c>
      <c r="B20712">
        <v>1420777</v>
      </c>
      <c r="C20712" s="1" t="str">
        <f>HYPERLINK("http://stackoverflow.com/users/1420777", "Hanson Lu")</f>
        <v>Hanson Lu</v>
      </c>
      <c r="D20712" t="s">
        <v>12</v>
      </c>
      <c r="E20712">
        <v>1</v>
      </c>
    </row>
    <row r="20713" spans="1:5" x14ac:dyDescent="0.25">
      <c r="A20713">
        <v>20712</v>
      </c>
      <c r="B20713">
        <v>1420785</v>
      </c>
      <c r="C20713" s="1" t="str">
        <f>HYPERLINK("http://stackoverflow.com/users/1420785", "darren")</f>
        <v>darren</v>
      </c>
      <c r="D20713" t="s">
        <v>5</v>
      </c>
      <c r="E20713">
        <v>1</v>
      </c>
    </row>
    <row r="20714" spans="1:5" x14ac:dyDescent="0.25">
      <c r="A20714">
        <v>20713</v>
      </c>
      <c r="B20714">
        <v>5104268</v>
      </c>
      <c r="C20714" s="1" t="str">
        <f>HYPERLINK("http://stackoverflow.com/users/5104268", "Wavsper")</f>
        <v>Wavsper</v>
      </c>
      <c r="D20714" t="s">
        <v>4</v>
      </c>
      <c r="E20714">
        <v>1</v>
      </c>
    </row>
    <row r="20715" spans="1:5" x14ac:dyDescent="0.25">
      <c r="A20715">
        <v>20714</v>
      </c>
      <c r="B20715">
        <v>5104886</v>
      </c>
      <c r="C20715" s="1" t="str">
        <f>HYPERLINK("http://stackoverflow.com/users/5104886", "Neo Tan")</f>
        <v>Neo Tan</v>
      </c>
      <c r="D20715" t="s">
        <v>7</v>
      </c>
      <c r="E20715">
        <v>1</v>
      </c>
    </row>
    <row r="20716" spans="1:5" x14ac:dyDescent="0.25">
      <c r="A20716">
        <v>20715</v>
      </c>
      <c r="B20716">
        <v>1420931</v>
      </c>
      <c r="C20716" s="1" t="str">
        <f>HYPERLINK("http://stackoverflow.com/users/1420931", "jkwok")</f>
        <v>jkwok</v>
      </c>
      <c r="D20716" t="s">
        <v>4</v>
      </c>
      <c r="E20716">
        <v>1</v>
      </c>
    </row>
    <row r="20717" spans="1:5" x14ac:dyDescent="0.25">
      <c r="A20717">
        <v>20716</v>
      </c>
      <c r="B20717">
        <v>1420949</v>
      </c>
      <c r="C20717" s="1" t="str">
        <f>HYPERLINK("http://stackoverflow.com/users/1420949", "CntChen")</f>
        <v>CntChen</v>
      </c>
      <c r="D20717" t="s">
        <v>248</v>
      </c>
      <c r="E20717">
        <v>1</v>
      </c>
    </row>
    <row r="20718" spans="1:5" x14ac:dyDescent="0.25">
      <c r="A20718">
        <v>20717</v>
      </c>
      <c r="B20718">
        <v>1420989</v>
      </c>
      <c r="C20718" s="1" t="str">
        <f>HYPERLINK("http://stackoverflow.com/users/1420989", "mileshq")</f>
        <v>mileshq</v>
      </c>
      <c r="D20718" t="s">
        <v>5</v>
      </c>
      <c r="E20718">
        <v>1</v>
      </c>
    </row>
    <row r="20719" spans="1:5" x14ac:dyDescent="0.25">
      <c r="A20719">
        <v>20718</v>
      </c>
      <c r="B20719">
        <v>4894075</v>
      </c>
      <c r="C20719" s="1" t="str">
        <f>HYPERLINK("http://stackoverflow.com/users/4894075", "zhouyang")</f>
        <v>zhouyang</v>
      </c>
      <c r="D20719" t="s">
        <v>4</v>
      </c>
      <c r="E20719">
        <v>1</v>
      </c>
    </row>
    <row r="20720" spans="1:5" x14ac:dyDescent="0.25">
      <c r="A20720">
        <v>20719</v>
      </c>
      <c r="B20720">
        <v>6617399</v>
      </c>
      <c r="C20720" s="1" t="str">
        <f>HYPERLINK("http://stackoverflow.com/users/6617399", "Andy Fan")</f>
        <v>Andy Fan</v>
      </c>
      <c r="D20720" t="s">
        <v>5</v>
      </c>
      <c r="E20720">
        <v>1</v>
      </c>
    </row>
    <row r="20721" spans="1:5" x14ac:dyDescent="0.25">
      <c r="A20721">
        <v>20720</v>
      </c>
      <c r="B20721">
        <v>8434944</v>
      </c>
      <c r="C20721" s="1" t="str">
        <f>HYPERLINK("http://stackoverflow.com/users/8434944", "james fan")</f>
        <v>james fan</v>
      </c>
      <c r="D20721" t="s">
        <v>1097</v>
      </c>
      <c r="E20721">
        <v>1</v>
      </c>
    </row>
    <row r="20722" spans="1:5" x14ac:dyDescent="0.25">
      <c r="A20722">
        <v>20721</v>
      </c>
      <c r="B20722">
        <v>6619903</v>
      </c>
      <c r="C20722" s="1" t="str">
        <f>HYPERLINK("http://stackoverflow.com/users/6619903", "Jason.C")</f>
        <v>Jason.C</v>
      </c>
      <c r="D20722" t="s">
        <v>1098</v>
      </c>
      <c r="E20722">
        <v>1</v>
      </c>
    </row>
    <row r="20723" spans="1:5" x14ac:dyDescent="0.25">
      <c r="A20723">
        <v>20722</v>
      </c>
      <c r="B20723">
        <v>1095668</v>
      </c>
      <c r="C20723" s="1" t="str">
        <f>HYPERLINK("http://stackoverflow.com/users/1095668", "Alec C.")</f>
        <v>Alec C.</v>
      </c>
      <c r="D20723" t="s">
        <v>5</v>
      </c>
      <c r="E20723">
        <v>1</v>
      </c>
    </row>
    <row r="20724" spans="1:5" x14ac:dyDescent="0.25">
      <c r="A20724">
        <v>20723</v>
      </c>
      <c r="B20724">
        <v>1085004</v>
      </c>
      <c r="C20724" s="1" t="str">
        <f>HYPERLINK("http://stackoverflow.com/users/1085004", "chao2")</f>
        <v>chao2</v>
      </c>
      <c r="D20724" t="s">
        <v>4</v>
      </c>
      <c r="E20724">
        <v>1</v>
      </c>
    </row>
    <row r="20725" spans="1:5" x14ac:dyDescent="0.25">
      <c r="A20725">
        <v>20724</v>
      </c>
      <c r="B20725">
        <v>1075847</v>
      </c>
      <c r="C20725" s="1" t="str">
        <f>HYPERLINK("http://stackoverflow.com/users/1075847", "Guo Xi")</f>
        <v>Guo Xi</v>
      </c>
      <c r="D20725" t="s">
        <v>7</v>
      </c>
      <c r="E20725">
        <v>1</v>
      </c>
    </row>
    <row r="20726" spans="1:5" x14ac:dyDescent="0.25">
      <c r="A20726">
        <v>20725</v>
      </c>
      <c r="B20726">
        <v>1076616</v>
      </c>
      <c r="C20726" s="1" t="str">
        <f>HYPERLINK("http://stackoverflow.com/users/1076616", "BerZ Jackson")</f>
        <v>BerZ Jackson</v>
      </c>
      <c r="D20726" t="s">
        <v>4</v>
      </c>
      <c r="E20726">
        <v>1</v>
      </c>
    </row>
    <row r="20727" spans="1:5" x14ac:dyDescent="0.25">
      <c r="A20727">
        <v>20726</v>
      </c>
      <c r="B20727">
        <v>10238014</v>
      </c>
      <c r="C20727" s="1" t="str">
        <f>HYPERLINK("http://stackoverflow.com/users/10238014", "airlessa")</f>
        <v>airlessa</v>
      </c>
      <c r="D20727" t="s">
        <v>1099</v>
      </c>
      <c r="E20727">
        <v>1</v>
      </c>
    </row>
    <row r="20728" spans="1:5" x14ac:dyDescent="0.25">
      <c r="A20728">
        <v>20727</v>
      </c>
      <c r="B20728">
        <v>10238327</v>
      </c>
      <c r="C20728" s="1" t="str">
        <f>HYPERLINK("http://stackoverflow.com/users/10238327", "杨Eugene")</f>
        <v>杨Eugene</v>
      </c>
      <c r="D20728" t="s">
        <v>47</v>
      </c>
      <c r="E20728">
        <v>1</v>
      </c>
    </row>
    <row r="20729" spans="1:5" x14ac:dyDescent="0.25">
      <c r="A20729">
        <v>20728</v>
      </c>
      <c r="B20729">
        <v>8424122</v>
      </c>
      <c r="C20729" s="1" t="str">
        <f>HYPERLINK("http://stackoverflow.com/users/8424122", "Carl Lai")</f>
        <v>Carl Lai</v>
      </c>
      <c r="D20729" t="s">
        <v>25</v>
      </c>
      <c r="E20729">
        <v>1</v>
      </c>
    </row>
    <row r="20730" spans="1:5" x14ac:dyDescent="0.25">
      <c r="A20730">
        <v>20729</v>
      </c>
      <c r="B20730">
        <v>1084645</v>
      </c>
      <c r="C20730" s="1" t="str">
        <f>HYPERLINK("http://stackoverflow.com/users/1084645", "leeway1985")</f>
        <v>leeway1985</v>
      </c>
      <c r="D20730" t="s">
        <v>4</v>
      </c>
      <c r="E20730">
        <v>1</v>
      </c>
    </row>
    <row r="20731" spans="1:5" x14ac:dyDescent="0.25">
      <c r="A20731">
        <v>20730</v>
      </c>
      <c r="B20731">
        <v>4878189</v>
      </c>
      <c r="C20731" s="1" t="str">
        <f>HYPERLINK("http://stackoverflow.com/users/4878189", "louis cheung")</f>
        <v>louis cheung</v>
      </c>
      <c r="D20731" t="s">
        <v>54</v>
      </c>
      <c r="E20731">
        <v>1</v>
      </c>
    </row>
    <row r="20732" spans="1:5" x14ac:dyDescent="0.25">
      <c r="A20732">
        <v>20731</v>
      </c>
      <c r="B20732">
        <v>1074707</v>
      </c>
      <c r="C20732" s="1" t="str">
        <f>HYPERLINK("http://stackoverflow.com/users/1074707", "Jerome")</f>
        <v>Jerome</v>
      </c>
      <c r="D20732" t="s">
        <v>5</v>
      </c>
      <c r="E20732">
        <v>1</v>
      </c>
    </row>
    <row r="20733" spans="1:5" x14ac:dyDescent="0.25">
      <c r="A20733">
        <v>20732</v>
      </c>
      <c r="B20733">
        <v>3059652</v>
      </c>
      <c r="C20733" s="1" t="str">
        <f>HYPERLINK("http://stackoverflow.com/users/3059652", "SpikeDeng")</f>
        <v>SpikeDeng</v>
      </c>
      <c r="D20733" t="s">
        <v>4</v>
      </c>
      <c r="E20733">
        <v>1</v>
      </c>
    </row>
    <row r="20734" spans="1:5" x14ac:dyDescent="0.25">
      <c r="A20734">
        <v>20733</v>
      </c>
      <c r="B20734">
        <v>3059682</v>
      </c>
      <c r="C20734" s="1" t="str">
        <f>HYPERLINK("http://stackoverflow.com/users/3059682", "zig")</f>
        <v>zig</v>
      </c>
      <c r="D20734" t="s">
        <v>4</v>
      </c>
      <c r="E20734">
        <v>1</v>
      </c>
    </row>
    <row r="20735" spans="1:5" x14ac:dyDescent="0.25">
      <c r="A20735">
        <v>20734</v>
      </c>
      <c r="B20735">
        <v>3059952</v>
      </c>
      <c r="C20735" s="1" t="str">
        <f>HYPERLINK("http://stackoverflow.com/users/3059952", "mofenx")</f>
        <v>mofenx</v>
      </c>
      <c r="D20735" t="s">
        <v>37</v>
      </c>
      <c r="E20735">
        <v>1</v>
      </c>
    </row>
    <row r="20736" spans="1:5" x14ac:dyDescent="0.25">
      <c r="A20736">
        <v>20735</v>
      </c>
      <c r="B20736">
        <v>6601465</v>
      </c>
      <c r="C20736" s="1" t="str">
        <f>HYPERLINK("http://stackoverflow.com/users/6601465", "段跃润")</f>
        <v>段跃润</v>
      </c>
      <c r="D20736" t="s">
        <v>4</v>
      </c>
      <c r="E20736">
        <v>1</v>
      </c>
    </row>
    <row r="20737" spans="1:5" x14ac:dyDescent="0.25">
      <c r="A20737">
        <v>20736</v>
      </c>
      <c r="B20737">
        <v>10223606</v>
      </c>
      <c r="C20737" s="1" t="str">
        <f>HYPERLINK("http://stackoverflow.com/users/10223606", "plasticlockers")</f>
        <v>plasticlockers</v>
      </c>
      <c r="D20737" t="s">
        <v>1100</v>
      </c>
      <c r="E20737">
        <v>1</v>
      </c>
    </row>
    <row r="20738" spans="1:5" x14ac:dyDescent="0.25">
      <c r="A20738">
        <v>20737</v>
      </c>
      <c r="B20738">
        <v>3059531</v>
      </c>
      <c r="C20738" s="1" t="str">
        <f>HYPERLINK("http://stackoverflow.com/users/3059531", "vangogh")</f>
        <v>vangogh</v>
      </c>
      <c r="D20738" t="s">
        <v>5</v>
      </c>
      <c r="E20738">
        <v>1</v>
      </c>
    </row>
    <row r="20739" spans="1:5" x14ac:dyDescent="0.25">
      <c r="A20739">
        <v>20738</v>
      </c>
      <c r="B20739">
        <v>4902329</v>
      </c>
      <c r="C20739" s="1" t="str">
        <f>HYPERLINK("http://stackoverflow.com/users/4902329", "Later")</f>
        <v>Later</v>
      </c>
      <c r="D20739" t="s">
        <v>5</v>
      </c>
      <c r="E20739">
        <v>1</v>
      </c>
    </row>
    <row r="20740" spans="1:5" x14ac:dyDescent="0.25">
      <c r="A20740">
        <v>20739</v>
      </c>
      <c r="B20740">
        <v>3083729</v>
      </c>
      <c r="C20740" s="1" t="str">
        <f>HYPERLINK("http://stackoverflow.com/users/3083729", "Yezarath")</f>
        <v>Yezarath</v>
      </c>
      <c r="D20740" t="s">
        <v>5</v>
      </c>
      <c r="E20740">
        <v>1</v>
      </c>
    </row>
    <row r="20741" spans="1:5" x14ac:dyDescent="0.25">
      <c r="A20741">
        <v>20740</v>
      </c>
      <c r="B20741">
        <v>8438432</v>
      </c>
      <c r="C20741" s="1" t="str">
        <f>HYPERLINK("http://stackoverflow.com/users/8438432", "user8438432")</f>
        <v>user8438432</v>
      </c>
      <c r="D20741" t="s">
        <v>29</v>
      </c>
      <c r="E20741">
        <v>1</v>
      </c>
    </row>
    <row r="20742" spans="1:5" x14ac:dyDescent="0.25">
      <c r="A20742">
        <v>20741</v>
      </c>
      <c r="B20742">
        <v>8438492</v>
      </c>
      <c r="C20742" s="1" t="str">
        <f>HYPERLINK("http://stackoverflow.com/users/8438492", "蒋旌帅")</f>
        <v>蒋旌帅</v>
      </c>
      <c r="D20742" t="s">
        <v>5</v>
      </c>
      <c r="E20742">
        <v>1</v>
      </c>
    </row>
    <row r="20743" spans="1:5" x14ac:dyDescent="0.25">
      <c r="A20743">
        <v>20742</v>
      </c>
      <c r="B20743">
        <v>10256496</v>
      </c>
      <c r="C20743" s="1" t="str">
        <f>HYPERLINK("http://stackoverflow.com/users/10256496", "JinSu Jin")</f>
        <v>JinSu Jin</v>
      </c>
      <c r="D20743" t="s">
        <v>33</v>
      </c>
      <c r="E20743">
        <v>1</v>
      </c>
    </row>
    <row r="20744" spans="1:5" x14ac:dyDescent="0.25">
      <c r="A20744">
        <v>20743</v>
      </c>
      <c r="B20744">
        <v>8438206</v>
      </c>
      <c r="C20744" s="1" t="str">
        <f>HYPERLINK("http://stackoverflow.com/users/8438206", "James Chen")</f>
        <v>James Chen</v>
      </c>
      <c r="D20744" t="s">
        <v>4</v>
      </c>
      <c r="E20744">
        <v>1</v>
      </c>
    </row>
    <row r="20745" spans="1:5" x14ac:dyDescent="0.25">
      <c r="A20745">
        <v>20744</v>
      </c>
      <c r="B20745">
        <v>1096944</v>
      </c>
      <c r="C20745" s="1" t="str">
        <f>HYPERLINK("http://stackoverflow.com/users/1096944", "jiangrongyong")</f>
        <v>jiangrongyong</v>
      </c>
      <c r="D20745" t="s">
        <v>21</v>
      </c>
      <c r="E20745">
        <v>1</v>
      </c>
    </row>
    <row r="20746" spans="1:5" x14ac:dyDescent="0.25">
      <c r="A20746">
        <v>20745</v>
      </c>
      <c r="B20746">
        <v>1096974</v>
      </c>
      <c r="C20746" s="1" t="str">
        <f>HYPERLINK("http://stackoverflow.com/users/1096974", "veggie")</f>
        <v>veggie</v>
      </c>
      <c r="D20746" t="s">
        <v>12</v>
      </c>
      <c r="E20746">
        <v>1</v>
      </c>
    </row>
    <row r="20747" spans="1:5" x14ac:dyDescent="0.25">
      <c r="A20747">
        <v>20746</v>
      </c>
      <c r="B20747">
        <v>4906128</v>
      </c>
      <c r="C20747" s="1" t="str">
        <f>HYPERLINK("http://stackoverflow.com/users/4906128", "Chris Labbe")</f>
        <v>Chris Labbe</v>
      </c>
      <c r="D20747" t="s">
        <v>3</v>
      </c>
      <c r="E20747">
        <v>1</v>
      </c>
    </row>
    <row r="20748" spans="1:5" x14ac:dyDescent="0.25">
      <c r="A20748">
        <v>20747</v>
      </c>
      <c r="B20748">
        <v>6628718</v>
      </c>
      <c r="C20748" s="1" t="str">
        <f>HYPERLINK("http://stackoverflow.com/users/6628718", "Petro")</f>
        <v>Petro</v>
      </c>
      <c r="D20748" t="s">
        <v>5</v>
      </c>
      <c r="E20748">
        <v>1</v>
      </c>
    </row>
    <row r="20749" spans="1:5" x14ac:dyDescent="0.25">
      <c r="A20749">
        <v>20748</v>
      </c>
      <c r="B20749">
        <v>6628765</v>
      </c>
      <c r="C20749" s="1" t="str">
        <f>HYPERLINK("http://stackoverflow.com/users/6628765", "Richard")</f>
        <v>Richard</v>
      </c>
      <c r="D20749" t="s">
        <v>74</v>
      </c>
      <c r="E20749">
        <v>1</v>
      </c>
    </row>
    <row r="20750" spans="1:5" x14ac:dyDescent="0.25">
      <c r="A20750">
        <v>20749</v>
      </c>
      <c r="B20750">
        <v>10260751</v>
      </c>
      <c r="C20750" s="1" t="str">
        <f>HYPERLINK("http://stackoverflow.com/users/10260751", "StephenZhang")</f>
        <v>StephenZhang</v>
      </c>
      <c r="D20750" t="s">
        <v>47</v>
      </c>
      <c r="E20750">
        <v>1</v>
      </c>
    </row>
    <row r="20751" spans="1:5" x14ac:dyDescent="0.25">
      <c r="A20751">
        <v>20750</v>
      </c>
      <c r="B20751">
        <v>10260788</v>
      </c>
      <c r="C20751" s="1" t="str">
        <f>HYPERLINK("http://stackoverflow.com/users/10260788", "Wayne Sun")</f>
        <v>Wayne Sun</v>
      </c>
      <c r="D20751" t="s">
        <v>4</v>
      </c>
      <c r="E20751">
        <v>1</v>
      </c>
    </row>
    <row r="20752" spans="1:5" x14ac:dyDescent="0.25">
      <c r="A20752">
        <v>20751</v>
      </c>
      <c r="B20752">
        <v>8443437</v>
      </c>
      <c r="C20752" s="1" t="str">
        <f>HYPERLINK("http://stackoverflow.com/users/8443437", "Jack WU")</f>
        <v>Jack WU</v>
      </c>
      <c r="D20752" t="s">
        <v>5</v>
      </c>
      <c r="E20752">
        <v>1</v>
      </c>
    </row>
    <row r="20753" spans="1:5" x14ac:dyDescent="0.25">
      <c r="A20753">
        <v>20752</v>
      </c>
      <c r="B20753">
        <v>8443538</v>
      </c>
      <c r="C20753" s="1" t="str">
        <f>HYPERLINK("http://stackoverflow.com/users/8443538", "Ray Zhou")</f>
        <v>Ray Zhou</v>
      </c>
      <c r="D20753" t="s">
        <v>5</v>
      </c>
      <c r="E20753">
        <v>1</v>
      </c>
    </row>
    <row r="20754" spans="1:5" x14ac:dyDescent="0.25">
      <c r="A20754">
        <v>20753</v>
      </c>
      <c r="B20754">
        <v>8443592</v>
      </c>
      <c r="C20754" s="1" t="str">
        <f>HYPERLINK("http://stackoverflow.com/users/8443592", "忆中寻思")</f>
        <v>忆中寻思</v>
      </c>
      <c r="D20754" t="s">
        <v>1101</v>
      </c>
      <c r="E20754">
        <v>1</v>
      </c>
    </row>
    <row r="20755" spans="1:5" x14ac:dyDescent="0.25">
      <c r="A20755">
        <v>20754</v>
      </c>
      <c r="B20755">
        <v>1104723</v>
      </c>
      <c r="C20755" s="1" t="str">
        <f>HYPERLINK("http://stackoverflow.com/users/1104723", "jinxin253")</f>
        <v>jinxin253</v>
      </c>
      <c r="D20755" t="s">
        <v>5</v>
      </c>
      <c r="E20755">
        <v>1</v>
      </c>
    </row>
    <row r="20756" spans="1:5" x14ac:dyDescent="0.25">
      <c r="A20756">
        <v>20755</v>
      </c>
      <c r="B20756">
        <v>8451679</v>
      </c>
      <c r="C20756" s="1" t="str">
        <f>HYPERLINK("http://stackoverflow.com/users/8451679", "韩双犬")</f>
        <v>韩双犬</v>
      </c>
      <c r="D20756" t="s">
        <v>4</v>
      </c>
      <c r="E20756">
        <v>1</v>
      </c>
    </row>
    <row r="20757" spans="1:5" x14ac:dyDescent="0.25">
      <c r="A20757">
        <v>20756</v>
      </c>
      <c r="B20757">
        <v>10269308</v>
      </c>
      <c r="C20757" s="1" t="str">
        <f>HYPERLINK("http://stackoverflow.com/users/10269308", "zhoujl")</f>
        <v>zhoujl</v>
      </c>
      <c r="D20757" t="s">
        <v>16</v>
      </c>
      <c r="E20757">
        <v>1</v>
      </c>
    </row>
    <row r="20758" spans="1:5" x14ac:dyDescent="0.25">
      <c r="A20758">
        <v>20757</v>
      </c>
      <c r="B20758">
        <v>10269406</v>
      </c>
      <c r="C20758" s="1" t="str">
        <f>HYPERLINK("http://stackoverflow.com/users/10269406", "Qing Cao")</f>
        <v>Qing Cao</v>
      </c>
      <c r="D20758" t="s">
        <v>1102</v>
      </c>
      <c r="E20758">
        <v>1</v>
      </c>
    </row>
    <row r="20759" spans="1:5" x14ac:dyDescent="0.25">
      <c r="A20759">
        <v>20758</v>
      </c>
      <c r="B20759">
        <v>1122958</v>
      </c>
      <c r="C20759" s="1" t="str">
        <f>HYPERLINK("http://stackoverflow.com/users/1122958", "Gavin")</f>
        <v>Gavin</v>
      </c>
      <c r="D20759" t="s">
        <v>12</v>
      </c>
      <c r="E20759">
        <v>1</v>
      </c>
    </row>
    <row r="20760" spans="1:5" x14ac:dyDescent="0.25">
      <c r="A20760">
        <v>20759</v>
      </c>
      <c r="B20760">
        <v>8473511</v>
      </c>
      <c r="C20760" s="1" t="str">
        <f>HYPERLINK("http://stackoverflow.com/users/8473511", "poetries")</f>
        <v>poetries</v>
      </c>
      <c r="D20760" t="s">
        <v>7</v>
      </c>
      <c r="E20760">
        <v>1</v>
      </c>
    </row>
    <row r="20761" spans="1:5" x14ac:dyDescent="0.25">
      <c r="A20761">
        <v>20760</v>
      </c>
      <c r="B20761">
        <v>8473531</v>
      </c>
      <c r="C20761" s="1" t="str">
        <f>HYPERLINK("http://stackoverflow.com/users/8473531", "Riddle")</f>
        <v>Riddle</v>
      </c>
      <c r="D20761" t="s">
        <v>266</v>
      </c>
      <c r="E20761">
        <v>1</v>
      </c>
    </row>
    <row r="20762" spans="1:5" x14ac:dyDescent="0.25">
      <c r="A20762">
        <v>20761</v>
      </c>
      <c r="B20762">
        <v>4931069</v>
      </c>
      <c r="C20762" s="1" t="str">
        <f>HYPERLINK("http://stackoverflow.com/users/4931069", "albert.chen")</f>
        <v>albert.chen</v>
      </c>
      <c r="D20762" t="s">
        <v>17</v>
      </c>
      <c r="E20762">
        <v>1</v>
      </c>
    </row>
    <row r="20763" spans="1:5" x14ac:dyDescent="0.25">
      <c r="A20763">
        <v>20762</v>
      </c>
      <c r="B20763">
        <v>4931223</v>
      </c>
      <c r="C20763" s="1" t="str">
        <f>HYPERLINK("http://stackoverflow.com/users/4931223", "ClearIssuer")</f>
        <v>ClearIssuer</v>
      </c>
      <c r="D20763" t="s">
        <v>12</v>
      </c>
      <c r="E20763">
        <v>1</v>
      </c>
    </row>
    <row r="20764" spans="1:5" x14ac:dyDescent="0.25">
      <c r="A20764">
        <v>20763</v>
      </c>
      <c r="B20764">
        <v>6652145</v>
      </c>
      <c r="C20764" s="1" t="str">
        <f>HYPERLINK("http://stackoverflow.com/users/6652145", "nick")</f>
        <v>nick</v>
      </c>
      <c r="D20764" t="s">
        <v>43</v>
      </c>
      <c r="E20764">
        <v>1</v>
      </c>
    </row>
    <row r="20765" spans="1:5" x14ac:dyDescent="0.25">
      <c r="A20765">
        <v>20764</v>
      </c>
      <c r="B20765">
        <v>6652368</v>
      </c>
      <c r="C20765" s="1" t="str">
        <f>HYPERLINK("http://stackoverflow.com/users/6652368", "GuiLong")</f>
        <v>GuiLong</v>
      </c>
      <c r="D20765" t="s">
        <v>180</v>
      </c>
      <c r="E20765">
        <v>1</v>
      </c>
    </row>
    <row r="20766" spans="1:5" x14ac:dyDescent="0.25">
      <c r="A20766">
        <v>20765</v>
      </c>
      <c r="B20766">
        <v>6647641</v>
      </c>
      <c r="C20766" s="1" t="str">
        <f>HYPERLINK("http://stackoverflow.com/users/6647641", "Kevin Daddy")</f>
        <v>Kevin Daddy</v>
      </c>
      <c r="D20766" t="s">
        <v>62</v>
      </c>
      <c r="E20766">
        <v>1</v>
      </c>
    </row>
    <row r="20767" spans="1:5" x14ac:dyDescent="0.25">
      <c r="A20767">
        <v>20766</v>
      </c>
      <c r="B20767">
        <v>6647797</v>
      </c>
      <c r="C20767" s="1" t="str">
        <f>HYPERLINK("http://stackoverflow.com/users/6647797", "Rainman Ray")</f>
        <v>Rainman Ray</v>
      </c>
      <c r="D20767" t="s">
        <v>5</v>
      </c>
      <c r="E20767">
        <v>1</v>
      </c>
    </row>
    <row r="20768" spans="1:5" x14ac:dyDescent="0.25">
      <c r="A20768">
        <v>20767</v>
      </c>
      <c r="B20768">
        <v>6647822</v>
      </c>
      <c r="C20768" s="1" t="str">
        <f>HYPERLINK("http://stackoverflow.com/users/6647822", "Chen")</f>
        <v>Chen</v>
      </c>
      <c r="D20768" t="s">
        <v>7</v>
      </c>
      <c r="E20768">
        <v>1</v>
      </c>
    </row>
    <row r="20769" spans="1:5" x14ac:dyDescent="0.25">
      <c r="A20769">
        <v>20768</v>
      </c>
      <c r="B20769">
        <v>8473200</v>
      </c>
      <c r="C20769" s="1" t="str">
        <f>HYPERLINK("http://stackoverflow.com/users/8473200", "David")</f>
        <v>David</v>
      </c>
      <c r="D20769" t="s">
        <v>5</v>
      </c>
      <c r="E20769">
        <v>1</v>
      </c>
    </row>
    <row r="20770" spans="1:5" x14ac:dyDescent="0.25">
      <c r="A20770">
        <v>20769</v>
      </c>
      <c r="B20770">
        <v>3114894</v>
      </c>
      <c r="C20770" s="1" t="str">
        <f>HYPERLINK("http://stackoverflow.com/users/3114894", "xiao_cang")</f>
        <v>xiao_cang</v>
      </c>
      <c r="D20770" t="s">
        <v>5</v>
      </c>
      <c r="E20770">
        <v>1</v>
      </c>
    </row>
    <row r="20771" spans="1:5" x14ac:dyDescent="0.25">
      <c r="A20771">
        <v>20770</v>
      </c>
      <c r="B20771">
        <v>1155645</v>
      </c>
      <c r="C20771" s="1" t="str">
        <f>HYPERLINK("http://stackoverflow.com/users/1155645", "sidney")</f>
        <v>sidney</v>
      </c>
      <c r="D20771" t="s">
        <v>4</v>
      </c>
      <c r="E20771">
        <v>1</v>
      </c>
    </row>
    <row r="20772" spans="1:5" x14ac:dyDescent="0.25">
      <c r="A20772">
        <v>20771</v>
      </c>
      <c r="B20772">
        <v>3111751</v>
      </c>
      <c r="C20772" s="1" t="str">
        <f>HYPERLINK("http://stackoverflow.com/users/3111751", "kidjiziwei")</f>
        <v>kidjiziwei</v>
      </c>
      <c r="D20772" t="s">
        <v>4</v>
      </c>
      <c r="E20772">
        <v>1</v>
      </c>
    </row>
    <row r="20773" spans="1:5" x14ac:dyDescent="0.25">
      <c r="A20773">
        <v>20772</v>
      </c>
      <c r="B20773">
        <v>3114511</v>
      </c>
      <c r="C20773" s="1" t="str">
        <f>HYPERLINK("http://stackoverflow.com/users/3114511", "Random Feng")</f>
        <v>Random Feng</v>
      </c>
      <c r="D20773" t="s">
        <v>57</v>
      </c>
      <c r="E20773">
        <v>1</v>
      </c>
    </row>
    <row r="20774" spans="1:5" x14ac:dyDescent="0.25">
      <c r="A20774">
        <v>20773</v>
      </c>
      <c r="B20774">
        <v>3114602</v>
      </c>
      <c r="C20774" s="1" t="str">
        <f>HYPERLINK("http://stackoverflow.com/users/3114602", "Oscar")</f>
        <v>Oscar</v>
      </c>
      <c r="D20774" t="s">
        <v>22</v>
      </c>
      <c r="E20774">
        <v>1</v>
      </c>
    </row>
    <row r="20775" spans="1:5" x14ac:dyDescent="0.25">
      <c r="A20775">
        <v>20774</v>
      </c>
      <c r="B20775">
        <v>3114764</v>
      </c>
      <c r="C20775" s="1" t="str">
        <f>HYPERLINK("http://stackoverflow.com/users/3114764", "asos_fly")</f>
        <v>asos_fly</v>
      </c>
      <c r="D20775" t="s">
        <v>17</v>
      </c>
      <c r="E20775">
        <v>1</v>
      </c>
    </row>
    <row r="20776" spans="1:5" x14ac:dyDescent="0.25">
      <c r="A20776">
        <v>20775</v>
      </c>
      <c r="B20776">
        <v>1142843</v>
      </c>
      <c r="C20776" s="1" t="str">
        <f>HYPERLINK("http://stackoverflow.com/users/1142843", "cheerfans")</f>
        <v>cheerfans</v>
      </c>
      <c r="D20776" t="s">
        <v>4</v>
      </c>
      <c r="E20776">
        <v>1</v>
      </c>
    </row>
    <row r="20777" spans="1:5" x14ac:dyDescent="0.25">
      <c r="A20777">
        <v>20776</v>
      </c>
      <c r="B20777">
        <v>1144416</v>
      </c>
      <c r="C20777" s="1" t="str">
        <f>HYPERLINK("http://stackoverflow.com/users/1144416", "pandasunny")</f>
        <v>pandasunny</v>
      </c>
      <c r="D20777" t="s">
        <v>57</v>
      </c>
      <c r="E20777">
        <v>1</v>
      </c>
    </row>
    <row r="20778" spans="1:5" x14ac:dyDescent="0.25">
      <c r="A20778">
        <v>20777</v>
      </c>
      <c r="B20778">
        <v>6643633</v>
      </c>
      <c r="C20778" s="1" t="str">
        <f>HYPERLINK("http://stackoverflow.com/users/6643633", "mwq")</f>
        <v>mwq</v>
      </c>
      <c r="D20778" t="s">
        <v>5</v>
      </c>
      <c r="E20778">
        <v>1</v>
      </c>
    </row>
    <row r="20779" spans="1:5" x14ac:dyDescent="0.25">
      <c r="A20779">
        <v>20778</v>
      </c>
      <c r="B20779">
        <v>1142430</v>
      </c>
      <c r="C20779" s="1" t="str">
        <f>HYPERLINK("http://stackoverflow.com/users/1142430", "dogall")</f>
        <v>dogall</v>
      </c>
      <c r="D20779" t="s">
        <v>12</v>
      </c>
      <c r="E20779">
        <v>1</v>
      </c>
    </row>
    <row r="20780" spans="1:5" x14ac:dyDescent="0.25">
      <c r="A20780">
        <v>20779</v>
      </c>
      <c r="B20780">
        <v>1142476</v>
      </c>
      <c r="C20780" s="1" t="str">
        <f>HYPERLINK("http://stackoverflow.com/users/1142476", "doherty88")</f>
        <v>doherty88</v>
      </c>
      <c r="D20780" t="s">
        <v>4</v>
      </c>
      <c r="E20780">
        <v>1</v>
      </c>
    </row>
    <row r="20781" spans="1:5" x14ac:dyDescent="0.25">
      <c r="A20781">
        <v>20780</v>
      </c>
      <c r="B20781">
        <v>1142505</v>
      </c>
      <c r="C20781" s="1" t="str">
        <f>HYPERLINK("http://stackoverflow.com/users/1142505", "harpher")</f>
        <v>harpher</v>
      </c>
      <c r="D20781" t="s">
        <v>5</v>
      </c>
      <c r="E20781">
        <v>1</v>
      </c>
    </row>
    <row r="20782" spans="1:5" x14ac:dyDescent="0.25">
      <c r="A20782">
        <v>20781</v>
      </c>
      <c r="B20782">
        <v>1137880</v>
      </c>
      <c r="C20782" s="1" t="str">
        <f>HYPERLINK("http://stackoverflow.com/users/1137880", "vision")</f>
        <v>vision</v>
      </c>
      <c r="D20782" t="s">
        <v>21</v>
      </c>
      <c r="E20782">
        <v>1</v>
      </c>
    </row>
    <row r="20783" spans="1:5" x14ac:dyDescent="0.25">
      <c r="A20783">
        <v>20782</v>
      </c>
      <c r="B20783">
        <v>1137829</v>
      </c>
      <c r="C20783" s="1" t="str">
        <f>HYPERLINK("http://stackoverflow.com/users/1137829", "alpha-lz")</f>
        <v>alpha-lz</v>
      </c>
      <c r="D20783" t="s">
        <v>5</v>
      </c>
      <c r="E20783">
        <v>1</v>
      </c>
    </row>
    <row r="20784" spans="1:5" x14ac:dyDescent="0.25">
      <c r="A20784">
        <v>20783</v>
      </c>
      <c r="B20784">
        <v>1137130</v>
      </c>
      <c r="C20784" s="1" t="str">
        <f>HYPERLINK("http://stackoverflow.com/users/1137130", "ppgf135")</f>
        <v>ppgf135</v>
      </c>
      <c r="D20784" t="s">
        <v>12</v>
      </c>
      <c r="E20784">
        <v>1</v>
      </c>
    </row>
    <row r="20785" spans="1:5" x14ac:dyDescent="0.25">
      <c r="A20785">
        <v>20784</v>
      </c>
      <c r="B20785">
        <v>6640796</v>
      </c>
      <c r="C20785" s="1" t="str">
        <f>HYPERLINK("http://stackoverflow.com/users/6640796", "Neo.Robot")</f>
        <v>Neo.Robot</v>
      </c>
      <c r="D20785" t="s">
        <v>116</v>
      </c>
      <c r="E20785">
        <v>1</v>
      </c>
    </row>
    <row r="20786" spans="1:5" x14ac:dyDescent="0.25">
      <c r="A20786">
        <v>20785</v>
      </c>
      <c r="B20786">
        <v>3103494</v>
      </c>
      <c r="C20786" s="1" t="str">
        <f>HYPERLINK("http://stackoverflow.com/users/3103494", "SzZhangfq")</f>
        <v>SzZhangfq</v>
      </c>
      <c r="D20786" t="s">
        <v>17</v>
      </c>
      <c r="E20786">
        <v>1</v>
      </c>
    </row>
    <row r="20787" spans="1:5" x14ac:dyDescent="0.25">
      <c r="A20787">
        <v>20786</v>
      </c>
      <c r="B20787">
        <v>1131457</v>
      </c>
      <c r="C20787" s="1" t="str">
        <f>HYPERLINK("http://stackoverflow.com/users/1131457", "icejoywoo")</f>
        <v>icejoywoo</v>
      </c>
      <c r="D20787" t="s">
        <v>21</v>
      </c>
      <c r="E20787">
        <v>1</v>
      </c>
    </row>
    <row r="20788" spans="1:5" x14ac:dyDescent="0.25">
      <c r="A20788">
        <v>20787</v>
      </c>
      <c r="B20788">
        <v>1123919</v>
      </c>
      <c r="C20788" s="1" t="str">
        <f>HYPERLINK("http://stackoverflow.com/users/1123919", "gondole")</f>
        <v>gondole</v>
      </c>
      <c r="D20788" t="s">
        <v>5</v>
      </c>
      <c r="E20788">
        <v>1</v>
      </c>
    </row>
    <row r="20789" spans="1:5" x14ac:dyDescent="0.25">
      <c r="A20789">
        <v>20788</v>
      </c>
      <c r="B20789">
        <v>1123935</v>
      </c>
      <c r="C20789" s="1" t="str">
        <f>HYPERLINK("http://stackoverflow.com/users/1123935", "Joe")</f>
        <v>Joe</v>
      </c>
      <c r="D20789" t="s">
        <v>313</v>
      </c>
      <c r="E20789">
        <v>1</v>
      </c>
    </row>
    <row r="20790" spans="1:5" x14ac:dyDescent="0.25">
      <c r="A20790">
        <v>20789</v>
      </c>
      <c r="B20790">
        <v>1123899</v>
      </c>
      <c r="C20790" s="1" t="str">
        <f>HYPERLINK("http://stackoverflow.com/users/1123899", "Stream.Liu")</f>
        <v>Stream.Liu</v>
      </c>
      <c r="D20790" t="s">
        <v>4</v>
      </c>
      <c r="E20790">
        <v>1</v>
      </c>
    </row>
    <row r="20791" spans="1:5" x14ac:dyDescent="0.25">
      <c r="A20791">
        <v>20790</v>
      </c>
      <c r="B20791">
        <v>1122989</v>
      </c>
      <c r="C20791" s="1" t="str">
        <f>HYPERLINK("http://stackoverflow.com/users/1122989", "kinozenc")</f>
        <v>kinozenc</v>
      </c>
      <c r="D20791" t="s">
        <v>54</v>
      </c>
      <c r="E20791">
        <v>1</v>
      </c>
    </row>
    <row r="20792" spans="1:5" x14ac:dyDescent="0.25">
      <c r="A20792">
        <v>20791</v>
      </c>
      <c r="B20792">
        <v>3095566</v>
      </c>
      <c r="C20792" s="1" t="str">
        <f>HYPERLINK("http://stackoverflow.com/users/3095566", "z-god")</f>
        <v>z-god</v>
      </c>
      <c r="D20792" t="s">
        <v>5</v>
      </c>
      <c r="E20792">
        <v>1</v>
      </c>
    </row>
    <row r="20793" spans="1:5" x14ac:dyDescent="0.25">
      <c r="A20793">
        <v>20792</v>
      </c>
      <c r="B20793">
        <v>8460064</v>
      </c>
      <c r="C20793" s="1" t="str">
        <f>HYPERLINK("http://stackoverflow.com/users/8460064", "Lynn Liu")</f>
        <v>Lynn Liu</v>
      </c>
      <c r="D20793" t="s">
        <v>4</v>
      </c>
      <c r="E20793">
        <v>1</v>
      </c>
    </row>
    <row r="20794" spans="1:5" x14ac:dyDescent="0.25">
      <c r="A20794">
        <v>20793</v>
      </c>
      <c r="B20794">
        <v>8460081</v>
      </c>
      <c r="C20794" s="1" t="str">
        <f>HYPERLINK("http://stackoverflow.com/users/8460081", "JB-standup")</f>
        <v>JB-standup</v>
      </c>
      <c r="D20794" t="s">
        <v>28</v>
      </c>
      <c r="E20794">
        <v>1</v>
      </c>
    </row>
    <row r="20795" spans="1:5" x14ac:dyDescent="0.25">
      <c r="A20795">
        <v>20794</v>
      </c>
      <c r="B20795">
        <v>8460207</v>
      </c>
      <c r="C20795" s="1" t="str">
        <f>HYPERLINK("http://stackoverflow.com/users/8460207", "DanielWu")</f>
        <v>DanielWu</v>
      </c>
      <c r="D20795" t="s">
        <v>4</v>
      </c>
      <c r="E20795">
        <v>1</v>
      </c>
    </row>
    <row r="20796" spans="1:5" x14ac:dyDescent="0.25">
      <c r="A20796">
        <v>20795</v>
      </c>
      <c r="B20796">
        <v>8460390</v>
      </c>
      <c r="C20796" s="1" t="str">
        <f>HYPERLINK("http://stackoverflow.com/users/8460390", "Richard Xie")</f>
        <v>Richard Xie</v>
      </c>
      <c r="D20796" t="s">
        <v>5</v>
      </c>
      <c r="E20796">
        <v>1</v>
      </c>
    </row>
    <row r="20797" spans="1:5" x14ac:dyDescent="0.25">
      <c r="A20797">
        <v>20796</v>
      </c>
      <c r="B20797">
        <v>1129703</v>
      </c>
      <c r="C20797" s="1" t="str">
        <f>HYPERLINK("http://stackoverflow.com/users/1129703", "Clem")</f>
        <v>Clem</v>
      </c>
      <c r="D20797" t="s">
        <v>70</v>
      </c>
      <c r="E20797">
        <v>1</v>
      </c>
    </row>
    <row r="20798" spans="1:5" x14ac:dyDescent="0.25">
      <c r="A20798">
        <v>20797</v>
      </c>
      <c r="B20798">
        <v>8388248</v>
      </c>
      <c r="C20798" s="1" t="str">
        <f>HYPERLINK("http://stackoverflow.com/users/8388248", "朱嘉祺")</f>
        <v>朱嘉祺</v>
      </c>
      <c r="D20798" t="s">
        <v>11</v>
      </c>
      <c r="E20798">
        <v>1</v>
      </c>
    </row>
    <row r="20799" spans="1:5" x14ac:dyDescent="0.25">
      <c r="A20799">
        <v>20798</v>
      </c>
      <c r="B20799">
        <v>4853216</v>
      </c>
      <c r="C20799" s="1" t="str">
        <f>HYPERLINK("http://stackoverflow.com/users/4853216", "Kang Chen")</f>
        <v>Kang Chen</v>
      </c>
      <c r="D20799" t="s">
        <v>37</v>
      </c>
      <c r="E20799">
        <v>1</v>
      </c>
    </row>
    <row r="20800" spans="1:5" x14ac:dyDescent="0.25">
      <c r="A20800">
        <v>20799</v>
      </c>
      <c r="B20800">
        <v>4849540</v>
      </c>
      <c r="C20800" s="1" t="str">
        <f>HYPERLINK("http://stackoverflow.com/users/4849540", "Andy")</f>
        <v>Andy</v>
      </c>
      <c r="D20800" t="s">
        <v>5</v>
      </c>
      <c r="E20800">
        <v>1</v>
      </c>
    </row>
    <row r="20801" spans="1:5" x14ac:dyDescent="0.25">
      <c r="A20801">
        <v>20800</v>
      </c>
      <c r="B20801">
        <v>8387832</v>
      </c>
      <c r="C20801" s="1" t="str">
        <f>HYPERLINK("http://stackoverflow.com/users/8387832", "RavinWang")</f>
        <v>RavinWang</v>
      </c>
      <c r="D20801" t="s">
        <v>4</v>
      </c>
      <c r="E20801">
        <v>1</v>
      </c>
    </row>
    <row r="20802" spans="1:5" x14ac:dyDescent="0.25">
      <c r="A20802">
        <v>20801</v>
      </c>
      <c r="B20802">
        <v>8387891</v>
      </c>
      <c r="C20802" s="1" t="str">
        <f>HYPERLINK("http://stackoverflow.com/users/8387891", "danny")</f>
        <v>danny</v>
      </c>
      <c r="D20802" t="s">
        <v>4</v>
      </c>
      <c r="E20802">
        <v>1</v>
      </c>
    </row>
    <row r="20803" spans="1:5" x14ac:dyDescent="0.25">
      <c r="A20803">
        <v>20802</v>
      </c>
      <c r="B20803">
        <v>8388038</v>
      </c>
      <c r="C20803" s="1" t="str">
        <f>HYPERLINK("http://stackoverflow.com/users/8388038", "Elias.Zheng")</f>
        <v>Elias.Zheng</v>
      </c>
      <c r="D20803" t="s">
        <v>52</v>
      </c>
      <c r="E20803">
        <v>1</v>
      </c>
    </row>
    <row r="20804" spans="1:5" x14ac:dyDescent="0.25">
      <c r="A20804">
        <v>20803</v>
      </c>
      <c r="B20804">
        <v>8388163</v>
      </c>
      <c r="C20804" s="1" t="str">
        <f>HYPERLINK("http://stackoverflow.com/users/8388163", "Mao.W")</f>
        <v>Mao.W</v>
      </c>
      <c r="D20804" t="s">
        <v>75</v>
      </c>
      <c r="E20804">
        <v>1</v>
      </c>
    </row>
    <row r="20805" spans="1:5" x14ac:dyDescent="0.25">
      <c r="A20805">
        <v>20804</v>
      </c>
      <c r="B20805">
        <v>1012130</v>
      </c>
      <c r="C20805" s="1" t="str">
        <f>HYPERLINK("http://stackoverflow.com/users/1012130", "knktc")</f>
        <v>knktc</v>
      </c>
      <c r="D20805" t="s">
        <v>5</v>
      </c>
      <c r="E20805">
        <v>1</v>
      </c>
    </row>
    <row r="20806" spans="1:5" x14ac:dyDescent="0.25">
      <c r="A20806">
        <v>20805</v>
      </c>
      <c r="B20806">
        <v>3024686</v>
      </c>
      <c r="C20806" s="1" t="str">
        <f>HYPERLINK("http://stackoverflow.com/users/3024686", "tsunami42")</f>
        <v>tsunami42</v>
      </c>
      <c r="D20806" t="s">
        <v>12</v>
      </c>
      <c r="E20806">
        <v>1</v>
      </c>
    </row>
    <row r="20807" spans="1:5" x14ac:dyDescent="0.25">
      <c r="A20807">
        <v>20806</v>
      </c>
      <c r="B20807">
        <v>10202694</v>
      </c>
      <c r="C20807" s="1" t="str">
        <f>HYPERLINK("http://stackoverflow.com/users/10202694", "Hassan Muhammad Saad")</f>
        <v>Hassan Muhammad Saad</v>
      </c>
      <c r="D20807" t="s">
        <v>5</v>
      </c>
      <c r="E20807">
        <v>1</v>
      </c>
    </row>
    <row r="20808" spans="1:5" x14ac:dyDescent="0.25">
      <c r="A20808">
        <v>20807</v>
      </c>
      <c r="B20808">
        <v>3034765</v>
      </c>
      <c r="C20808" s="1" t="str">
        <f>HYPERLINK("http://stackoverflow.com/users/3034765", "Phil.hsu")</f>
        <v>Phil.hsu</v>
      </c>
      <c r="D20808" t="s">
        <v>528</v>
      </c>
      <c r="E20808">
        <v>1</v>
      </c>
    </row>
    <row r="20809" spans="1:5" x14ac:dyDescent="0.25">
      <c r="A20809">
        <v>20808</v>
      </c>
      <c r="B20809">
        <v>3034601</v>
      </c>
      <c r="C20809" s="1" t="str">
        <f>HYPERLINK("http://stackoverflow.com/users/3034601", "Dean Winchester")</f>
        <v>Dean Winchester</v>
      </c>
      <c r="D20809" t="s">
        <v>37</v>
      </c>
      <c r="E20809">
        <v>1</v>
      </c>
    </row>
    <row r="20810" spans="1:5" x14ac:dyDescent="0.25">
      <c r="A20810">
        <v>20809</v>
      </c>
      <c r="B20810">
        <v>4857223</v>
      </c>
      <c r="C20810" s="1" t="str">
        <f>HYPERLINK("http://stackoverflow.com/users/4857223", "Jiakun Xu")</f>
        <v>Jiakun Xu</v>
      </c>
      <c r="D20810" t="s">
        <v>12</v>
      </c>
      <c r="E20810">
        <v>1</v>
      </c>
    </row>
    <row r="20811" spans="1:5" x14ac:dyDescent="0.25">
      <c r="A20811">
        <v>20810</v>
      </c>
      <c r="B20811">
        <v>10206800</v>
      </c>
      <c r="C20811" s="1" t="str">
        <f>HYPERLINK("http://stackoverflow.com/users/10206800", "sinCere XuYuan")</f>
        <v>sinCere XuYuan</v>
      </c>
      <c r="D20811" t="s">
        <v>16</v>
      </c>
      <c r="E20811">
        <v>1</v>
      </c>
    </row>
    <row r="20812" spans="1:5" x14ac:dyDescent="0.25">
      <c r="A20812">
        <v>20811</v>
      </c>
      <c r="B20812">
        <v>8392464</v>
      </c>
      <c r="C20812" s="1" t="str">
        <f>HYPERLINK("http://stackoverflow.com/users/8392464", "acwohlfarth")</f>
        <v>acwohlfarth</v>
      </c>
      <c r="D20812" t="s">
        <v>5</v>
      </c>
      <c r="E20812">
        <v>1</v>
      </c>
    </row>
    <row r="20813" spans="1:5" x14ac:dyDescent="0.25">
      <c r="A20813">
        <v>20812</v>
      </c>
      <c r="B20813">
        <v>8392569</v>
      </c>
      <c r="C20813" s="1" t="str">
        <f>HYPERLINK("http://stackoverflow.com/users/8392569", "S.Pan")</f>
        <v>S.Pan</v>
      </c>
      <c r="D20813" t="s">
        <v>5</v>
      </c>
      <c r="E20813">
        <v>1</v>
      </c>
    </row>
    <row r="20814" spans="1:5" x14ac:dyDescent="0.25">
      <c r="A20814">
        <v>20813</v>
      </c>
      <c r="B20814">
        <v>8392827</v>
      </c>
      <c r="C20814" s="1" t="str">
        <f>HYPERLINK("http://stackoverflow.com/users/8392827", "Xinlong Chen")</f>
        <v>Xinlong Chen</v>
      </c>
      <c r="D20814" t="s">
        <v>399</v>
      </c>
      <c r="E20814">
        <v>1</v>
      </c>
    </row>
    <row r="20815" spans="1:5" x14ac:dyDescent="0.25">
      <c r="A20815">
        <v>20814</v>
      </c>
      <c r="B20815">
        <v>6582693</v>
      </c>
      <c r="C20815" s="1" t="str">
        <f>HYPERLINK("http://stackoverflow.com/users/6582693", "liwangdu")</f>
        <v>liwangdu</v>
      </c>
      <c r="D20815" t="s">
        <v>5</v>
      </c>
      <c r="E20815">
        <v>1</v>
      </c>
    </row>
    <row r="20816" spans="1:5" x14ac:dyDescent="0.25">
      <c r="A20816">
        <v>20815</v>
      </c>
      <c r="B20816">
        <v>10210925</v>
      </c>
      <c r="C20816" s="1" t="str">
        <f>HYPERLINK("http://stackoverflow.com/users/10210925", "Zhenyu Hu")</f>
        <v>Zhenyu Hu</v>
      </c>
      <c r="D20816" t="s">
        <v>43</v>
      </c>
      <c r="E20816">
        <v>1</v>
      </c>
    </row>
    <row r="20817" spans="1:5" x14ac:dyDescent="0.25">
      <c r="A20817">
        <v>20816</v>
      </c>
      <c r="B20817">
        <v>10211022</v>
      </c>
      <c r="C20817" s="1" t="str">
        <f>HYPERLINK("http://stackoverflow.com/users/10211022", "gereld")</f>
        <v>gereld</v>
      </c>
      <c r="D20817" t="s">
        <v>367</v>
      </c>
      <c r="E20817">
        <v>1</v>
      </c>
    </row>
    <row r="20818" spans="1:5" x14ac:dyDescent="0.25">
      <c r="A20818">
        <v>20817</v>
      </c>
      <c r="B20818">
        <v>4862743</v>
      </c>
      <c r="C20818" s="1" t="str">
        <f>HYPERLINK("http://stackoverflow.com/users/4862743", "Matt")</f>
        <v>Matt</v>
      </c>
      <c r="D20818" t="s">
        <v>12</v>
      </c>
      <c r="E20818">
        <v>1</v>
      </c>
    </row>
    <row r="20819" spans="1:5" x14ac:dyDescent="0.25">
      <c r="A20819">
        <v>20818</v>
      </c>
      <c r="B20819">
        <v>4862755</v>
      </c>
      <c r="C20819" s="1" t="str">
        <f>HYPERLINK("http://stackoverflow.com/users/4862755", "Jiang Yantao")</f>
        <v>Jiang Yantao</v>
      </c>
      <c r="D20819" t="s">
        <v>5</v>
      </c>
      <c r="E20819">
        <v>1</v>
      </c>
    </row>
    <row r="20820" spans="1:5" x14ac:dyDescent="0.25">
      <c r="A20820">
        <v>20819</v>
      </c>
      <c r="B20820">
        <v>8400191</v>
      </c>
      <c r="C20820" s="1" t="str">
        <f>HYPERLINK("http://stackoverflow.com/users/8400191", "Hailong Du")</f>
        <v>Hailong Du</v>
      </c>
      <c r="D20820" t="s">
        <v>4</v>
      </c>
      <c r="E20820">
        <v>1</v>
      </c>
    </row>
    <row r="20821" spans="1:5" x14ac:dyDescent="0.25">
      <c r="A20821">
        <v>20820</v>
      </c>
      <c r="B20821">
        <v>8400698</v>
      </c>
      <c r="C20821" s="1" t="str">
        <f>HYPERLINK("http://stackoverflow.com/users/8400698", "Sophia Wen")</f>
        <v>Sophia Wen</v>
      </c>
      <c r="D20821" t="s">
        <v>4</v>
      </c>
      <c r="E20821">
        <v>1</v>
      </c>
    </row>
    <row r="20822" spans="1:5" x14ac:dyDescent="0.25">
      <c r="A20822">
        <v>20821</v>
      </c>
      <c r="B20822">
        <v>8400795</v>
      </c>
      <c r="C20822" s="1" t="str">
        <f>HYPERLINK("http://stackoverflow.com/users/8400795", "Miao Hua")</f>
        <v>Miao Hua</v>
      </c>
      <c r="D20822" t="s">
        <v>4</v>
      </c>
      <c r="E20822">
        <v>1</v>
      </c>
    </row>
    <row r="20823" spans="1:5" x14ac:dyDescent="0.25">
      <c r="A20823">
        <v>20822</v>
      </c>
      <c r="B20823">
        <v>1044801</v>
      </c>
      <c r="C20823" s="1" t="str">
        <f>HYPERLINK("http://stackoverflow.com/users/1044801", "freydou")</f>
        <v>freydou</v>
      </c>
      <c r="D20823" t="s">
        <v>4</v>
      </c>
      <c r="E20823">
        <v>1</v>
      </c>
    </row>
    <row r="20824" spans="1:5" x14ac:dyDescent="0.25">
      <c r="A20824">
        <v>20823</v>
      </c>
      <c r="B20824">
        <v>1045375</v>
      </c>
      <c r="C20824" s="1" t="str">
        <f>HYPERLINK("http://stackoverflow.com/users/1045375", "Gavin Quan")</f>
        <v>Gavin Quan</v>
      </c>
      <c r="D20824" t="s">
        <v>5</v>
      </c>
      <c r="E20824">
        <v>1</v>
      </c>
    </row>
    <row r="20825" spans="1:5" x14ac:dyDescent="0.25">
      <c r="A20825">
        <v>20824</v>
      </c>
      <c r="B20825">
        <v>3048061</v>
      </c>
      <c r="C20825" s="1" t="str">
        <f>HYPERLINK("http://stackoverflow.com/users/3048061", "JayPerter")</f>
        <v>JayPerter</v>
      </c>
      <c r="D20825" t="s">
        <v>12</v>
      </c>
      <c r="E20825">
        <v>1</v>
      </c>
    </row>
    <row r="20826" spans="1:5" x14ac:dyDescent="0.25">
      <c r="A20826">
        <v>20825</v>
      </c>
      <c r="B20826">
        <v>8404128</v>
      </c>
      <c r="C20826" s="1" t="str">
        <f>HYPERLINK("http://stackoverflow.com/users/8404128", "timoxue")</f>
        <v>timoxue</v>
      </c>
      <c r="D20826" t="s">
        <v>120</v>
      </c>
      <c r="E20826">
        <v>1</v>
      </c>
    </row>
    <row r="20827" spans="1:5" x14ac:dyDescent="0.25">
      <c r="A20827">
        <v>20826</v>
      </c>
      <c r="B20827">
        <v>8404213</v>
      </c>
      <c r="C20827" s="1" t="str">
        <f>HYPERLINK("http://stackoverflow.com/users/8404213", "李鹏飞")</f>
        <v>李鹏飞</v>
      </c>
      <c r="D20827" t="s">
        <v>4</v>
      </c>
      <c r="E20827">
        <v>1</v>
      </c>
    </row>
    <row r="20828" spans="1:5" x14ac:dyDescent="0.25">
      <c r="A20828">
        <v>20827</v>
      </c>
      <c r="B20828">
        <v>3047714</v>
      </c>
      <c r="C20828" s="1" t="str">
        <f>HYPERLINK("http://stackoverflow.com/users/3047714", "archieyang")</f>
        <v>archieyang</v>
      </c>
      <c r="D20828" t="s">
        <v>5</v>
      </c>
      <c r="E20828">
        <v>1</v>
      </c>
    </row>
    <row r="20829" spans="1:5" x14ac:dyDescent="0.25">
      <c r="A20829">
        <v>20828</v>
      </c>
      <c r="B20829">
        <v>8409364</v>
      </c>
      <c r="C20829" s="1" t="str">
        <f>HYPERLINK("http://stackoverflow.com/users/8409364", "birji")</f>
        <v>birji</v>
      </c>
      <c r="D20829" t="s">
        <v>4</v>
      </c>
      <c r="E20829">
        <v>1</v>
      </c>
    </row>
    <row r="20830" spans="1:5" x14ac:dyDescent="0.25">
      <c r="A20830">
        <v>20829</v>
      </c>
      <c r="B20830">
        <v>8409534</v>
      </c>
      <c r="C20830" s="1" t="str">
        <f>HYPERLINK("http://stackoverflow.com/users/8409534", "zhaozhiyang_lut")</f>
        <v>zhaozhiyang_lut</v>
      </c>
      <c r="D20830" t="s">
        <v>7</v>
      </c>
      <c r="E20830">
        <v>1</v>
      </c>
    </row>
    <row r="20831" spans="1:5" x14ac:dyDescent="0.25">
      <c r="A20831">
        <v>20830</v>
      </c>
      <c r="B20831">
        <v>1046752</v>
      </c>
      <c r="C20831" s="1" t="str">
        <f>HYPERLINK("http://stackoverflow.com/users/1046752", "wangby")</f>
        <v>wangby</v>
      </c>
      <c r="D20831" t="s">
        <v>5</v>
      </c>
      <c r="E20831">
        <v>1</v>
      </c>
    </row>
    <row r="20832" spans="1:5" x14ac:dyDescent="0.25">
      <c r="A20832">
        <v>20831</v>
      </c>
      <c r="B20832">
        <v>6593869</v>
      </c>
      <c r="C20832" s="1" t="str">
        <f>HYPERLINK("http://stackoverflow.com/users/6593869", "O1dCat")</f>
        <v>O1dCat</v>
      </c>
      <c r="D20832" t="s">
        <v>1103</v>
      </c>
      <c r="E20832">
        <v>1</v>
      </c>
    </row>
    <row r="20833" spans="1:5" x14ac:dyDescent="0.25">
      <c r="A20833">
        <v>20832</v>
      </c>
      <c r="B20833">
        <v>6593912</v>
      </c>
      <c r="C20833" s="1" t="str">
        <f>HYPERLINK("http://stackoverflow.com/users/6593912", "libing")</f>
        <v>libing</v>
      </c>
      <c r="D20833" t="s">
        <v>5</v>
      </c>
      <c r="E20833">
        <v>1</v>
      </c>
    </row>
    <row r="20834" spans="1:5" x14ac:dyDescent="0.25">
      <c r="A20834">
        <v>20833</v>
      </c>
      <c r="B20834">
        <v>8408972</v>
      </c>
      <c r="C20834" s="1" t="str">
        <f>HYPERLINK("http://stackoverflow.com/users/8408972", "Fython")</f>
        <v>Fython</v>
      </c>
      <c r="D20834" t="s">
        <v>16</v>
      </c>
      <c r="E20834">
        <v>1</v>
      </c>
    </row>
    <row r="20835" spans="1:5" x14ac:dyDescent="0.25">
      <c r="A20835">
        <v>20834</v>
      </c>
      <c r="B20835">
        <v>8409160</v>
      </c>
      <c r="C20835" s="1" t="str">
        <f>HYPERLINK("http://stackoverflow.com/users/8409160", "djfml")</f>
        <v>djfml</v>
      </c>
      <c r="D20835" t="s">
        <v>4</v>
      </c>
      <c r="E20835">
        <v>1</v>
      </c>
    </row>
    <row r="20836" spans="1:5" x14ac:dyDescent="0.25">
      <c r="A20836">
        <v>20835</v>
      </c>
      <c r="B20836">
        <v>10227202</v>
      </c>
      <c r="C20836" s="1" t="str">
        <f>HYPERLINK("http://stackoverflow.com/users/10227202", "Dong Lu")</f>
        <v>Dong Lu</v>
      </c>
      <c r="D20836" t="s">
        <v>7</v>
      </c>
      <c r="E20836">
        <v>1</v>
      </c>
    </row>
    <row r="20837" spans="1:5" x14ac:dyDescent="0.25">
      <c r="A20837">
        <v>20836</v>
      </c>
      <c r="B20837">
        <v>10227509</v>
      </c>
      <c r="C20837" s="1" t="str">
        <f>HYPERLINK("http://stackoverflow.com/users/10227509", "F. Gao")</f>
        <v>F. Gao</v>
      </c>
      <c r="D20837" t="s">
        <v>10</v>
      </c>
      <c r="E20837">
        <v>1</v>
      </c>
    </row>
    <row r="20838" spans="1:5" x14ac:dyDescent="0.25">
      <c r="A20838">
        <v>20837</v>
      </c>
      <c r="B20838">
        <v>8412696</v>
      </c>
      <c r="C20838" s="1" t="str">
        <f>HYPERLINK("http://stackoverflow.com/users/8412696", "Shijin Hu")</f>
        <v>Shijin Hu</v>
      </c>
      <c r="D20838" t="s">
        <v>5</v>
      </c>
      <c r="E20838">
        <v>1</v>
      </c>
    </row>
    <row r="20839" spans="1:5" x14ac:dyDescent="0.25">
      <c r="A20839">
        <v>20838</v>
      </c>
      <c r="B20839">
        <v>8413015</v>
      </c>
      <c r="C20839" s="1" t="str">
        <f>HYPERLINK("http://stackoverflow.com/users/8413015", "Jason")</f>
        <v>Jason</v>
      </c>
      <c r="D20839" t="s">
        <v>16</v>
      </c>
      <c r="E20839">
        <v>1</v>
      </c>
    </row>
    <row r="20840" spans="1:5" x14ac:dyDescent="0.25">
      <c r="A20840">
        <v>20839</v>
      </c>
      <c r="B20840">
        <v>6596964</v>
      </c>
      <c r="C20840" s="1" t="str">
        <f>HYPERLINK("http://stackoverflow.com/users/6596964", "randomlry")</f>
        <v>randomlry</v>
      </c>
      <c r="D20840" t="s">
        <v>5</v>
      </c>
      <c r="E20840">
        <v>1</v>
      </c>
    </row>
    <row r="20841" spans="1:5" x14ac:dyDescent="0.25">
      <c r="A20841">
        <v>20840</v>
      </c>
      <c r="B20841">
        <v>6597269</v>
      </c>
      <c r="C20841" s="1" t="str">
        <f>HYPERLINK("http://stackoverflow.com/users/6597269", "Littlechoc")</f>
        <v>Littlechoc</v>
      </c>
      <c r="D20841" t="s">
        <v>341</v>
      </c>
      <c r="E20841">
        <v>1</v>
      </c>
    </row>
    <row r="20842" spans="1:5" x14ac:dyDescent="0.25">
      <c r="A20842">
        <v>20841</v>
      </c>
      <c r="B20842">
        <v>6597432</v>
      </c>
      <c r="C20842" s="1" t="str">
        <f>HYPERLINK("http://stackoverflow.com/users/6597432", "aalin")</f>
        <v>aalin</v>
      </c>
      <c r="D20842" t="s">
        <v>4</v>
      </c>
      <c r="E20842">
        <v>1</v>
      </c>
    </row>
    <row r="20843" spans="1:5" x14ac:dyDescent="0.25">
      <c r="A20843">
        <v>20842</v>
      </c>
      <c r="B20843">
        <v>943765</v>
      </c>
      <c r="C20843" s="1" t="str">
        <f>HYPERLINK("http://stackoverflow.com/users/943765", "jialejia")</f>
        <v>jialejia</v>
      </c>
      <c r="D20843" t="s">
        <v>22</v>
      </c>
      <c r="E20843">
        <v>1</v>
      </c>
    </row>
    <row r="20844" spans="1:5" x14ac:dyDescent="0.25">
      <c r="A20844">
        <v>20843</v>
      </c>
      <c r="B20844">
        <v>4819745</v>
      </c>
      <c r="C20844" s="1" t="str">
        <f>HYPERLINK("http://stackoverflow.com/users/4819745", "zhangzqit")</f>
        <v>zhangzqit</v>
      </c>
      <c r="D20844" t="s">
        <v>5</v>
      </c>
      <c r="E20844">
        <v>1</v>
      </c>
    </row>
    <row r="20845" spans="1:5" x14ac:dyDescent="0.25">
      <c r="A20845">
        <v>20844</v>
      </c>
      <c r="B20845">
        <v>6542855</v>
      </c>
      <c r="C20845" s="1" t="str">
        <f>HYPERLINK("http://stackoverflow.com/users/6542855", "Jianbo Zhu")</f>
        <v>Jianbo Zhu</v>
      </c>
      <c r="D20845" t="s">
        <v>16</v>
      </c>
      <c r="E20845">
        <v>1</v>
      </c>
    </row>
    <row r="20846" spans="1:5" x14ac:dyDescent="0.25">
      <c r="A20846">
        <v>20845</v>
      </c>
      <c r="B20846">
        <v>6543079</v>
      </c>
      <c r="C20846" s="1" t="str">
        <f>HYPERLINK("http://stackoverflow.com/users/6543079", "Alex")</f>
        <v>Alex</v>
      </c>
      <c r="D20846" t="s">
        <v>4</v>
      </c>
      <c r="E20846">
        <v>1</v>
      </c>
    </row>
    <row r="20847" spans="1:5" x14ac:dyDescent="0.25">
      <c r="A20847">
        <v>20846</v>
      </c>
      <c r="B20847">
        <v>10165171</v>
      </c>
      <c r="C20847" s="1" t="str">
        <f>HYPERLINK("http://stackoverflow.com/users/10165171", "Andres")</f>
        <v>Andres</v>
      </c>
      <c r="D20847" t="s">
        <v>5</v>
      </c>
      <c r="E20847">
        <v>1</v>
      </c>
    </row>
    <row r="20848" spans="1:5" x14ac:dyDescent="0.25">
      <c r="A20848">
        <v>20847</v>
      </c>
      <c r="B20848">
        <v>10165195</v>
      </c>
      <c r="C20848" s="1" t="str">
        <f>HYPERLINK("http://stackoverflow.com/users/10165195", "Jons")</f>
        <v>Jons</v>
      </c>
      <c r="D20848" t="s">
        <v>4</v>
      </c>
      <c r="E20848">
        <v>1</v>
      </c>
    </row>
    <row r="20849" spans="1:5" x14ac:dyDescent="0.25">
      <c r="A20849">
        <v>20848</v>
      </c>
      <c r="B20849">
        <v>946092</v>
      </c>
      <c r="C20849" s="1" t="str">
        <f>HYPERLINK("http://stackoverflow.com/users/946092", "Ming Yeh")</f>
        <v>Ming Yeh</v>
      </c>
      <c r="D20849" t="s">
        <v>57</v>
      </c>
      <c r="E20849">
        <v>1</v>
      </c>
    </row>
    <row r="20850" spans="1:5" x14ac:dyDescent="0.25">
      <c r="A20850">
        <v>20849</v>
      </c>
      <c r="B20850">
        <v>8341430</v>
      </c>
      <c r="C20850" s="1" t="str">
        <f>HYPERLINK("http://stackoverflow.com/users/8341430", "ChinaDolls")</f>
        <v>ChinaDolls</v>
      </c>
      <c r="D20850" t="s">
        <v>11</v>
      </c>
      <c r="E20850">
        <v>1</v>
      </c>
    </row>
    <row r="20851" spans="1:5" x14ac:dyDescent="0.25">
      <c r="A20851">
        <v>20850</v>
      </c>
      <c r="B20851">
        <v>8341431</v>
      </c>
      <c r="C20851" s="1" t="str">
        <f>HYPERLINK("http://stackoverflow.com/users/8341431", "MiracleLee")</f>
        <v>MiracleLee</v>
      </c>
      <c r="D20851" t="s">
        <v>16</v>
      </c>
      <c r="E20851">
        <v>1</v>
      </c>
    </row>
    <row r="20852" spans="1:5" x14ac:dyDescent="0.25">
      <c r="A20852">
        <v>20851</v>
      </c>
      <c r="B20852">
        <v>8341482</v>
      </c>
      <c r="C20852" s="1" t="str">
        <f>HYPERLINK("http://stackoverflow.com/users/8341482", "virusos")</f>
        <v>virusos</v>
      </c>
      <c r="D20852" t="s">
        <v>4</v>
      </c>
      <c r="E20852">
        <v>1</v>
      </c>
    </row>
    <row r="20853" spans="1:5" x14ac:dyDescent="0.25">
      <c r="A20853">
        <v>20852</v>
      </c>
      <c r="B20853">
        <v>8341647</v>
      </c>
      <c r="C20853" s="1" t="str">
        <f>HYPERLINK("http://stackoverflow.com/users/8341647", "danny wang")</f>
        <v>danny wang</v>
      </c>
      <c r="D20853" t="s">
        <v>5</v>
      </c>
      <c r="E20853">
        <v>1</v>
      </c>
    </row>
    <row r="20854" spans="1:5" x14ac:dyDescent="0.25">
      <c r="A20854">
        <v>20853</v>
      </c>
      <c r="B20854">
        <v>8341758</v>
      </c>
      <c r="C20854" s="1" t="str">
        <f>HYPERLINK("http://stackoverflow.com/users/8341758", "Zhen Cui")</f>
        <v>Zhen Cui</v>
      </c>
      <c r="D20854" t="s">
        <v>114</v>
      </c>
      <c r="E20854">
        <v>1</v>
      </c>
    </row>
    <row r="20855" spans="1:5" x14ac:dyDescent="0.25">
      <c r="A20855">
        <v>20854</v>
      </c>
      <c r="B20855">
        <v>8341903</v>
      </c>
      <c r="C20855" s="1" t="str">
        <f>HYPERLINK("http://stackoverflow.com/users/8341903", "Charles Ma")</f>
        <v>Charles Ma</v>
      </c>
      <c r="D20855" t="s">
        <v>5</v>
      </c>
      <c r="E20855">
        <v>1</v>
      </c>
    </row>
    <row r="20856" spans="1:5" x14ac:dyDescent="0.25">
      <c r="A20856">
        <v>20855</v>
      </c>
      <c r="B20856">
        <v>6538757</v>
      </c>
      <c r="C20856" s="1" t="str">
        <f>HYPERLINK("http://stackoverflow.com/users/6538757", "HaiSheng_Zhai")</f>
        <v>HaiSheng_Zhai</v>
      </c>
      <c r="D20856" t="s">
        <v>15</v>
      </c>
      <c r="E20856">
        <v>1</v>
      </c>
    </row>
    <row r="20857" spans="1:5" x14ac:dyDescent="0.25">
      <c r="A20857">
        <v>20856</v>
      </c>
      <c r="B20857">
        <v>3000755</v>
      </c>
      <c r="C20857" s="1" t="str">
        <f>HYPERLINK("http://stackoverflow.com/users/3000755", "mrxuehb")</f>
        <v>mrxuehb</v>
      </c>
      <c r="D20857" t="s">
        <v>12</v>
      </c>
      <c r="E20857">
        <v>1</v>
      </c>
    </row>
    <row r="20858" spans="1:5" x14ac:dyDescent="0.25">
      <c r="A20858">
        <v>20857</v>
      </c>
      <c r="B20858">
        <v>3001169</v>
      </c>
      <c r="C20858" s="1" t="str">
        <f>HYPERLINK("http://stackoverflow.com/users/3001169", "Igo Liao")</f>
        <v>Igo Liao</v>
      </c>
      <c r="D20858" t="s">
        <v>4</v>
      </c>
      <c r="E20858">
        <v>1</v>
      </c>
    </row>
    <row r="20859" spans="1:5" x14ac:dyDescent="0.25">
      <c r="A20859">
        <v>20858</v>
      </c>
      <c r="B20859">
        <v>2997214</v>
      </c>
      <c r="C20859" s="1" t="str">
        <f>HYPERLINK("http://stackoverflow.com/users/2997214", "bowcharn")</f>
        <v>bowcharn</v>
      </c>
      <c r="D20859" t="s">
        <v>12</v>
      </c>
      <c r="E20859">
        <v>1</v>
      </c>
    </row>
    <row r="20860" spans="1:5" x14ac:dyDescent="0.25">
      <c r="A20860">
        <v>20859</v>
      </c>
      <c r="B20860">
        <v>2996453</v>
      </c>
      <c r="C20860" s="1" t="str">
        <f>HYPERLINK("http://stackoverflow.com/users/2996453", "Qian Li")</f>
        <v>Qian Li</v>
      </c>
      <c r="D20860" t="s">
        <v>5</v>
      </c>
      <c r="E20860">
        <v>1</v>
      </c>
    </row>
    <row r="20861" spans="1:5" x14ac:dyDescent="0.25">
      <c r="A20861">
        <v>20860</v>
      </c>
      <c r="B20861">
        <v>2996592</v>
      </c>
      <c r="C20861" s="1" t="str">
        <f>HYPERLINK("http://stackoverflow.com/users/2996592", "tangsi")</f>
        <v>tangsi</v>
      </c>
      <c r="D20861" t="s">
        <v>4</v>
      </c>
      <c r="E20861">
        <v>1</v>
      </c>
    </row>
    <row r="20862" spans="1:5" x14ac:dyDescent="0.25">
      <c r="A20862">
        <v>20861</v>
      </c>
      <c r="B20862">
        <v>945912</v>
      </c>
      <c r="C20862" s="1" t="str">
        <f>HYPERLINK("http://stackoverflow.com/users/945912", "kosl90")</f>
        <v>kosl90</v>
      </c>
      <c r="D20862" t="s">
        <v>8</v>
      </c>
      <c r="E20862">
        <v>1</v>
      </c>
    </row>
    <row r="20863" spans="1:5" x14ac:dyDescent="0.25">
      <c r="A20863">
        <v>20862</v>
      </c>
      <c r="B20863">
        <v>8355024</v>
      </c>
      <c r="C20863" s="1" t="str">
        <f>HYPERLINK("http://stackoverflow.com/users/8355024", "Richard")</f>
        <v>Richard</v>
      </c>
      <c r="D20863" t="s">
        <v>7</v>
      </c>
      <c r="E20863">
        <v>1</v>
      </c>
    </row>
    <row r="20864" spans="1:5" x14ac:dyDescent="0.25">
      <c r="A20864">
        <v>20863</v>
      </c>
      <c r="B20864">
        <v>8355047</v>
      </c>
      <c r="C20864" s="1" t="str">
        <f>HYPERLINK("http://stackoverflow.com/users/8355047", "Cheng Shen")</f>
        <v>Cheng Shen</v>
      </c>
      <c r="D20864" t="s">
        <v>4</v>
      </c>
      <c r="E20864">
        <v>1</v>
      </c>
    </row>
    <row r="20865" spans="1:5" x14ac:dyDescent="0.25">
      <c r="A20865">
        <v>20864</v>
      </c>
      <c r="B20865">
        <v>10168827</v>
      </c>
      <c r="C20865" s="1" t="str">
        <f>HYPERLINK("http://stackoverflow.com/users/10168827", "callentan")</f>
        <v>callentan</v>
      </c>
      <c r="D20865" t="s">
        <v>4</v>
      </c>
      <c r="E20865">
        <v>1</v>
      </c>
    </row>
    <row r="20866" spans="1:5" x14ac:dyDescent="0.25">
      <c r="A20866">
        <v>20865</v>
      </c>
      <c r="B20866">
        <v>10169204</v>
      </c>
      <c r="C20866" s="1" t="str">
        <f>HYPERLINK("http://stackoverflow.com/users/10169204", "sampling")</f>
        <v>sampling</v>
      </c>
      <c r="D20866" t="s">
        <v>1104</v>
      </c>
      <c r="E20866">
        <v>1</v>
      </c>
    </row>
    <row r="20867" spans="1:5" x14ac:dyDescent="0.25">
      <c r="A20867">
        <v>20866</v>
      </c>
      <c r="B20867">
        <v>10169228</v>
      </c>
      <c r="C20867" s="1" t="str">
        <f>HYPERLINK("http://stackoverflow.com/users/10169228", "mygold")</f>
        <v>mygold</v>
      </c>
      <c r="D20867" t="s">
        <v>1105</v>
      </c>
      <c r="E20867">
        <v>1</v>
      </c>
    </row>
    <row r="20868" spans="1:5" x14ac:dyDescent="0.25">
      <c r="A20868">
        <v>20867</v>
      </c>
      <c r="B20868">
        <v>8376153</v>
      </c>
      <c r="C20868" s="1" t="str">
        <f>HYPERLINK("http://stackoverflow.com/users/8376153", "奇衡三")</f>
        <v>奇衡三</v>
      </c>
      <c r="D20868" t="s">
        <v>1106</v>
      </c>
      <c r="E20868">
        <v>1</v>
      </c>
    </row>
    <row r="20869" spans="1:5" x14ac:dyDescent="0.25">
      <c r="A20869">
        <v>20868</v>
      </c>
      <c r="B20869">
        <v>4831278</v>
      </c>
      <c r="C20869" s="1" t="str">
        <f>HYPERLINK("http://stackoverflow.com/users/4831278", "Michael Sun")</f>
        <v>Michael Sun</v>
      </c>
      <c r="D20869" t="s">
        <v>4</v>
      </c>
      <c r="E20869">
        <v>1</v>
      </c>
    </row>
    <row r="20870" spans="1:5" x14ac:dyDescent="0.25">
      <c r="A20870">
        <v>20869</v>
      </c>
      <c r="B20870">
        <v>990977</v>
      </c>
      <c r="C20870" s="1" t="str">
        <f>HYPERLINK("http://stackoverflow.com/users/990977", "Kimi")</f>
        <v>Kimi</v>
      </c>
      <c r="D20870" t="s">
        <v>5</v>
      </c>
      <c r="E20870">
        <v>1</v>
      </c>
    </row>
    <row r="20871" spans="1:5" x14ac:dyDescent="0.25">
      <c r="A20871">
        <v>20870</v>
      </c>
      <c r="B20871">
        <v>8376592</v>
      </c>
      <c r="C20871" s="1" t="str">
        <f>HYPERLINK("http://stackoverflow.com/users/8376592", "zixuan Lin")</f>
        <v>zixuan Lin</v>
      </c>
      <c r="D20871" t="s">
        <v>5</v>
      </c>
      <c r="E20871">
        <v>1</v>
      </c>
    </row>
    <row r="20872" spans="1:5" x14ac:dyDescent="0.25">
      <c r="A20872">
        <v>20871</v>
      </c>
      <c r="B20872">
        <v>10194735</v>
      </c>
      <c r="C20872" s="1" t="str">
        <f>HYPERLINK("http://stackoverflow.com/users/10194735", "user10194735")</f>
        <v>user10194735</v>
      </c>
      <c r="D20872" t="s">
        <v>28</v>
      </c>
      <c r="E20872">
        <v>1</v>
      </c>
    </row>
    <row r="20873" spans="1:5" x14ac:dyDescent="0.25">
      <c r="A20873">
        <v>20872</v>
      </c>
      <c r="B20873">
        <v>10194740</v>
      </c>
      <c r="C20873" s="1" t="str">
        <f>HYPERLINK("http://stackoverflow.com/users/10194740", "BiliDerrick")</f>
        <v>BiliDerrick</v>
      </c>
      <c r="D20873" t="s">
        <v>42</v>
      </c>
      <c r="E20873">
        <v>1</v>
      </c>
    </row>
    <row r="20874" spans="1:5" x14ac:dyDescent="0.25">
      <c r="A20874">
        <v>20873</v>
      </c>
      <c r="B20874">
        <v>8380521</v>
      </c>
      <c r="C20874" s="1" t="str">
        <f>HYPERLINK("http://stackoverflow.com/users/8380521", "Lainey Zheng")</f>
        <v>Lainey Zheng</v>
      </c>
      <c r="D20874" t="s">
        <v>4</v>
      </c>
      <c r="E20874">
        <v>1</v>
      </c>
    </row>
    <row r="20875" spans="1:5" x14ac:dyDescent="0.25">
      <c r="A20875">
        <v>20874</v>
      </c>
      <c r="B20875">
        <v>8380688</v>
      </c>
      <c r="C20875" s="1" t="str">
        <f>HYPERLINK("http://stackoverflow.com/users/8380688", "Neud Tesfay")</f>
        <v>Neud Tesfay</v>
      </c>
      <c r="D20875" t="s">
        <v>55</v>
      </c>
      <c r="E20875">
        <v>1</v>
      </c>
    </row>
    <row r="20876" spans="1:5" x14ac:dyDescent="0.25">
      <c r="A20876">
        <v>20875</v>
      </c>
      <c r="B20876">
        <v>8380736</v>
      </c>
      <c r="C20876" s="1" t="str">
        <f>HYPERLINK("http://stackoverflow.com/users/8380736", "YU L")</f>
        <v>YU L</v>
      </c>
      <c r="D20876" t="s">
        <v>25</v>
      </c>
      <c r="E20876">
        <v>1</v>
      </c>
    </row>
    <row r="20877" spans="1:5" x14ac:dyDescent="0.25">
      <c r="A20877">
        <v>20876</v>
      </c>
      <c r="B20877">
        <v>8381029</v>
      </c>
      <c r="C20877" s="1" t="str">
        <f>HYPERLINK("http://stackoverflow.com/users/8381029", "ElijahB")</f>
        <v>ElijahB</v>
      </c>
      <c r="D20877" t="s">
        <v>101</v>
      </c>
      <c r="E20877">
        <v>1</v>
      </c>
    </row>
    <row r="20878" spans="1:5" x14ac:dyDescent="0.25">
      <c r="A20878">
        <v>20877</v>
      </c>
      <c r="B20878">
        <v>8381140</v>
      </c>
      <c r="C20878" s="1" t="str">
        <f>HYPERLINK("http://stackoverflow.com/users/8381140", "coldesleon")</f>
        <v>coldesleon</v>
      </c>
      <c r="D20878" t="s">
        <v>4</v>
      </c>
      <c r="E20878">
        <v>1</v>
      </c>
    </row>
    <row r="20879" spans="1:5" x14ac:dyDescent="0.25">
      <c r="A20879">
        <v>20878</v>
      </c>
      <c r="B20879">
        <v>8381148</v>
      </c>
      <c r="C20879" s="1" t="str">
        <f>HYPERLINK("http://stackoverflow.com/users/8381148", "Ethan Fan")</f>
        <v>Ethan Fan</v>
      </c>
      <c r="D20879" t="s">
        <v>4</v>
      </c>
      <c r="E20879">
        <v>1</v>
      </c>
    </row>
    <row r="20880" spans="1:5" x14ac:dyDescent="0.25">
      <c r="A20880">
        <v>20879</v>
      </c>
      <c r="B20880">
        <v>3021040</v>
      </c>
      <c r="C20880" s="1" t="str">
        <f>HYPERLINK("http://stackoverflow.com/users/3021040", "waiting for autumn")</f>
        <v>waiting for autumn</v>
      </c>
      <c r="D20880" t="s">
        <v>4</v>
      </c>
      <c r="E20880">
        <v>1</v>
      </c>
    </row>
    <row r="20881" spans="1:5" x14ac:dyDescent="0.25">
      <c r="A20881">
        <v>20880</v>
      </c>
      <c r="B20881">
        <v>4831339</v>
      </c>
      <c r="C20881" s="1" t="str">
        <f>HYPERLINK("http://stackoverflow.com/users/4831339", "陈河宏")</f>
        <v>陈河宏</v>
      </c>
      <c r="D20881" t="s">
        <v>21</v>
      </c>
      <c r="E20881">
        <v>1</v>
      </c>
    </row>
    <row r="20882" spans="1:5" x14ac:dyDescent="0.25">
      <c r="A20882">
        <v>20881</v>
      </c>
      <c r="B20882">
        <v>8363471</v>
      </c>
      <c r="C20882" s="1" t="str">
        <f>HYPERLINK("http://stackoverflow.com/users/8363471", "Jackson")</f>
        <v>Jackson</v>
      </c>
      <c r="D20882" t="s">
        <v>78</v>
      </c>
      <c r="E20882">
        <v>1</v>
      </c>
    </row>
    <row r="20883" spans="1:5" x14ac:dyDescent="0.25">
      <c r="A20883">
        <v>20882</v>
      </c>
      <c r="B20883">
        <v>8363971</v>
      </c>
      <c r="C20883" s="1" t="str">
        <f>HYPERLINK("http://stackoverflow.com/users/8363971", "Stefan.L")</f>
        <v>Stefan.L</v>
      </c>
      <c r="D20883" t="s">
        <v>4</v>
      </c>
      <c r="E20883">
        <v>1</v>
      </c>
    </row>
    <row r="20884" spans="1:5" x14ac:dyDescent="0.25">
      <c r="A20884">
        <v>20883</v>
      </c>
      <c r="B20884">
        <v>3001341</v>
      </c>
      <c r="C20884" s="1" t="str">
        <f>HYPERLINK("http://stackoverflow.com/users/3001341", "Liang Ji-Lan")</f>
        <v>Liang Ji-Lan</v>
      </c>
      <c r="D20884" t="s">
        <v>21</v>
      </c>
      <c r="E20884">
        <v>1</v>
      </c>
    </row>
    <row r="20885" spans="1:5" x14ac:dyDescent="0.25">
      <c r="A20885">
        <v>20884</v>
      </c>
      <c r="B20885">
        <v>3001370</v>
      </c>
      <c r="C20885" s="1" t="str">
        <f>HYPERLINK("http://stackoverflow.com/users/3001370", "Kai Liu")</f>
        <v>Kai Liu</v>
      </c>
      <c r="D20885" t="s">
        <v>4</v>
      </c>
      <c r="E20885">
        <v>1</v>
      </c>
    </row>
    <row r="20886" spans="1:5" x14ac:dyDescent="0.25">
      <c r="A20886">
        <v>20885</v>
      </c>
      <c r="B20886">
        <v>10173730</v>
      </c>
      <c r="C20886" s="1" t="str">
        <f>HYPERLINK("http://stackoverflow.com/users/10173730", "gloria song")</f>
        <v>gloria song</v>
      </c>
      <c r="D20886" t="s">
        <v>57</v>
      </c>
      <c r="E20886">
        <v>1</v>
      </c>
    </row>
    <row r="20887" spans="1:5" x14ac:dyDescent="0.25">
      <c r="A20887">
        <v>20886</v>
      </c>
      <c r="B20887">
        <v>10173965</v>
      </c>
      <c r="C20887" s="1" t="str">
        <f>HYPERLINK("http://stackoverflow.com/users/10173965", "xiaohuan")</f>
        <v>xiaohuan</v>
      </c>
      <c r="D20887" t="s">
        <v>7</v>
      </c>
      <c r="E20887">
        <v>1</v>
      </c>
    </row>
    <row r="20888" spans="1:5" x14ac:dyDescent="0.25">
      <c r="A20888">
        <v>20887</v>
      </c>
      <c r="B20888">
        <v>6550766</v>
      </c>
      <c r="C20888" s="1" t="str">
        <f>HYPERLINK("http://stackoverflow.com/users/6550766", "Ken")</f>
        <v>Ken</v>
      </c>
      <c r="D20888" t="s">
        <v>11</v>
      </c>
      <c r="E20888">
        <v>1</v>
      </c>
    </row>
    <row r="20889" spans="1:5" x14ac:dyDescent="0.25">
      <c r="A20889">
        <v>20888</v>
      </c>
      <c r="B20889">
        <v>6551328</v>
      </c>
      <c r="C20889" s="1" t="str">
        <f>HYPERLINK("http://stackoverflow.com/users/6551328", "Laris Qiao")</f>
        <v>Laris Qiao</v>
      </c>
      <c r="D20889" t="s">
        <v>5</v>
      </c>
      <c r="E20889">
        <v>1</v>
      </c>
    </row>
    <row r="20890" spans="1:5" x14ac:dyDescent="0.25">
      <c r="A20890">
        <v>20889</v>
      </c>
      <c r="B20890">
        <v>978670</v>
      </c>
      <c r="C20890" s="1" t="str">
        <f>HYPERLINK("http://stackoverflow.com/users/978670", "dingo")</f>
        <v>dingo</v>
      </c>
      <c r="D20890" t="s">
        <v>5</v>
      </c>
      <c r="E20890">
        <v>1</v>
      </c>
    </row>
    <row r="20891" spans="1:5" x14ac:dyDescent="0.25">
      <c r="A20891">
        <v>20890</v>
      </c>
      <c r="B20891">
        <v>3004579</v>
      </c>
      <c r="C20891" s="1" t="str">
        <f>HYPERLINK("http://stackoverflow.com/users/3004579", "Kelvin Kuo")</f>
        <v>Kelvin Kuo</v>
      </c>
      <c r="D20891" t="s">
        <v>5</v>
      </c>
      <c r="E20891">
        <v>1</v>
      </c>
    </row>
    <row r="20892" spans="1:5" x14ac:dyDescent="0.25">
      <c r="A20892">
        <v>20891</v>
      </c>
      <c r="B20892">
        <v>3005160</v>
      </c>
      <c r="C20892" s="1" t="str">
        <f>HYPERLINK("http://stackoverflow.com/users/3005160", "xim")</f>
        <v>xim</v>
      </c>
      <c r="D20892" t="s">
        <v>4</v>
      </c>
      <c r="E20892">
        <v>1</v>
      </c>
    </row>
    <row r="20893" spans="1:5" x14ac:dyDescent="0.25">
      <c r="A20893">
        <v>20892</v>
      </c>
      <c r="B20893">
        <v>3008860</v>
      </c>
      <c r="C20893" s="1" t="str">
        <f>HYPERLINK("http://stackoverflow.com/users/3008860", "MadAssassin")</f>
        <v>MadAssassin</v>
      </c>
      <c r="D20893" t="s">
        <v>28</v>
      </c>
      <c r="E20893">
        <v>1</v>
      </c>
    </row>
    <row r="20894" spans="1:5" x14ac:dyDescent="0.25">
      <c r="A20894">
        <v>20893</v>
      </c>
      <c r="B20894">
        <v>3009024</v>
      </c>
      <c r="C20894" s="1" t="str">
        <f>HYPERLINK("http://stackoverflow.com/users/3009024", "helloworld")</f>
        <v>helloworld</v>
      </c>
      <c r="D20894" t="s">
        <v>12</v>
      </c>
      <c r="E20894">
        <v>1</v>
      </c>
    </row>
    <row r="20895" spans="1:5" x14ac:dyDescent="0.25">
      <c r="A20895">
        <v>20894</v>
      </c>
      <c r="B20895">
        <v>6558732</v>
      </c>
      <c r="C20895" s="1" t="str">
        <f>HYPERLINK("http://stackoverflow.com/users/6558732", "Ted Zhang")</f>
        <v>Ted Zhang</v>
      </c>
      <c r="D20895" t="s">
        <v>29</v>
      </c>
      <c r="E20895">
        <v>1</v>
      </c>
    </row>
    <row r="20896" spans="1:5" x14ac:dyDescent="0.25">
      <c r="A20896">
        <v>20895</v>
      </c>
      <c r="B20896">
        <v>6558824</v>
      </c>
      <c r="C20896" s="1" t="str">
        <f>HYPERLINK("http://stackoverflow.com/users/6558824", "张张健")</f>
        <v>张张健</v>
      </c>
      <c r="D20896" t="s">
        <v>36</v>
      </c>
      <c r="E20896">
        <v>1</v>
      </c>
    </row>
    <row r="20897" spans="1:5" x14ac:dyDescent="0.25">
      <c r="A20897">
        <v>20896</v>
      </c>
      <c r="B20897">
        <v>6558878</v>
      </c>
      <c r="C20897" s="1" t="str">
        <f>HYPERLINK("http://stackoverflow.com/users/6558878", "tsrot")</f>
        <v>tsrot</v>
      </c>
      <c r="D20897" t="s">
        <v>16</v>
      </c>
      <c r="E20897">
        <v>1</v>
      </c>
    </row>
    <row r="20898" spans="1:5" x14ac:dyDescent="0.25">
      <c r="A20898">
        <v>20897</v>
      </c>
      <c r="B20898">
        <v>8368467</v>
      </c>
      <c r="C20898" s="1" t="str">
        <f>HYPERLINK("http://stackoverflow.com/users/8368467", "Preditio_0w0")</f>
        <v>Preditio_0w0</v>
      </c>
      <c r="D20898" t="s">
        <v>5</v>
      </c>
      <c r="E20898">
        <v>1</v>
      </c>
    </row>
    <row r="20899" spans="1:5" x14ac:dyDescent="0.25">
      <c r="A20899">
        <v>20898</v>
      </c>
      <c r="B20899">
        <v>8368925</v>
      </c>
      <c r="C20899" s="1" t="str">
        <f>HYPERLINK("http://stackoverflow.com/users/8368925", "Chou Sunny")</f>
        <v>Chou Sunny</v>
      </c>
      <c r="D20899" t="s">
        <v>25</v>
      </c>
      <c r="E20899">
        <v>1</v>
      </c>
    </row>
    <row r="20900" spans="1:5" x14ac:dyDescent="0.25">
      <c r="A20900">
        <v>20899</v>
      </c>
      <c r="B20900">
        <v>8368940</v>
      </c>
      <c r="C20900" s="1" t="str">
        <f>HYPERLINK("http://stackoverflow.com/users/8368940", "Airey_Z")</f>
        <v>Airey_Z</v>
      </c>
      <c r="D20900" t="s">
        <v>79</v>
      </c>
      <c r="E20900">
        <v>1</v>
      </c>
    </row>
    <row r="20901" spans="1:5" x14ac:dyDescent="0.25">
      <c r="A20901">
        <v>20900</v>
      </c>
      <c r="B20901">
        <v>4836361</v>
      </c>
      <c r="C20901" s="1" t="str">
        <f>HYPERLINK("http://stackoverflow.com/users/4836361", "Lacrimosa-0809")</f>
        <v>Lacrimosa-0809</v>
      </c>
      <c r="D20901" t="s">
        <v>37</v>
      </c>
      <c r="E20901">
        <v>1</v>
      </c>
    </row>
    <row r="20902" spans="1:5" x14ac:dyDescent="0.25">
      <c r="A20902">
        <v>20901</v>
      </c>
      <c r="B20902">
        <v>8519989</v>
      </c>
      <c r="C20902" s="1" t="str">
        <f>HYPERLINK("http://stackoverflow.com/users/8519989", "Radiance")</f>
        <v>Radiance</v>
      </c>
      <c r="D20902" t="s">
        <v>5</v>
      </c>
      <c r="E20902">
        <v>1</v>
      </c>
    </row>
    <row r="20903" spans="1:5" x14ac:dyDescent="0.25">
      <c r="A20903">
        <v>20902</v>
      </c>
      <c r="B20903">
        <v>10333077</v>
      </c>
      <c r="C20903" s="1" t="str">
        <f>HYPERLINK("http://stackoverflow.com/users/10333077", "Selim Reza")</f>
        <v>Selim Reza</v>
      </c>
      <c r="D20903" t="s">
        <v>7</v>
      </c>
      <c r="E20903">
        <v>1</v>
      </c>
    </row>
    <row r="20904" spans="1:5" x14ac:dyDescent="0.25">
      <c r="A20904">
        <v>20903</v>
      </c>
      <c r="B20904">
        <v>1222374</v>
      </c>
      <c r="C20904" s="1" t="str">
        <f>HYPERLINK("http://stackoverflow.com/users/1222374", "Juery")</f>
        <v>Juery</v>
      </c>
      <c r="D20904" t="s">
        <v>17</v>
      </c>
      <c r="E20904">
        <v>1</v>
      </c>
    </row>
    <row r="20905" spans="1:5" x14ac:dyDescent="0.25">
      <c r="A20905">
        <v>20904</v>
      </c>
      <c r="B20905">
        <v>1222576</v>
      </c>
      <c r="C20905" s="1" t="str">
        <f>HYPERLINK("http://stackoverflow.com/users/1222576", "zachgenius")</f>
        <v>zachgenius</v>
      </c>
      <c r="D20905" t="s">
        <v>4</v>
      </c>
      <c r="E20905">
        <v>1</v>
      </c>
    </row>
    <row r="20906" spans="1:5" x14ac:dyDescent="0.25">
      <c r="A20906">
        <v>20905</v>
      </c>
      <c r="B20906">
        <v>6694636</v>
      </c>
      <c r="C20906" s="1" t="str">
        <f>HYPERLINK("http://stackoverflow.com/users/6694636", "MiliOnE")</f>
        <v>MiliOnE</v>
      </c>
      <c r="D20906" t="s">
        <v>5</v>
      </c>
      <c r="E20906">
        <v>1</v>
      </c>
    </row>
    <row r="20907" spans="1:5" x14ac:dyDescent="0.25">
      <c r="A20907">
        <v>20906</v>
      </c>
      <c r="B20907">
        <v>6694744</v>
      </c>
      <c r="C20907" s="1" t="str">
        <f>HYPERLINK("http://stackoverflow.com/users/6694744", "Donkey-Tao")</f>
        <v>Donkey-Tao</v>
      </c>
      <c r="D20907" t="s">
        <v>118</v>
      </c>
      <c r="E20907">
        <v>1</v>
      </c>
    </row>
    <row r="20908" spans="1:5" x14ac:dyDescent="0.25">
      <c r="A20908">
        <v>20907</v>
      </c>
      <c r="B20908">
        <v>10336985</v>
      </c>
      <c r="C20908" s="1" t="str">
        <f>HYPERLINK("http://stackoverflow.com/users/10336985", "Cryptonic")</f>
        <v>Cryptonic</v>
      </c>
      <c r="D20908" t="s">
        <v>5</v>
      </c>
      <c r="E20908">
        <v>1</v>
      </c>
    </row>
    <row r="20909" spans="1:5" x14ac:dyDescent="0.25">
      <c r="A20909">
        <v>20908</v>
      </c>
      <c r="B20909">
        <v>10337001</v>
      </c>
      <c r="C20909" s="1" t="str">
        <f>HYPERLINK("http://stackoverflow.com/users/10337001", "V.Wang")</f>
        <v>V.Wang</v>
      </c>
      <c r="D20909" t="s">
        <v>53</v>
      </c>
      <c r="E20909">
        <v>1</v>
      </c>
    </row>
    <row r="20910" spans="1:5" x14ac:dyDescent="0.25">
      <c r="A20910">
        <v>20909</v>
      </c>
      <c r="B20910">
        <v>10337200</v>
      </c>
      <c r="C20910" s="1" t="str">
        <f>HYPERLINK("http://stackoverflow.com/users/10337200", "张永健")</f>
        <v>张永健</v>
      </c>
      <c r="D20910" t="s">
        <v>16</v>
      </c>
      <c r="E20910">
        <v>1</v>
      </c>
    </row>
    <row r="20911" spans="1:5" x14ac:dyDescent="0.25">
      <c r="A20911">
        <v>20910</v>
      </c>
      <c r="B20911">
        <v>10337361</v>
      </c>
      <c r="C20911" s="1" t="str">
        <f>HYPERLINK("http://stackoverflow.com/users/10337361", "Jiakun Tian")</f>
        <v>Jiakun Tian</v>
      </c>
      <c r="D20911" t="s">
        <v>66</v>
      </c>
      <c r="E20911">
        <v>1</v>
      </c>
    </row>
    <row r="20912" spans="1:5" x14ac:dyDescent="0.25">
      <c r="A20912">
        <v>20911</v>
      </c>
      <c r="B20912">
        <v>8523846</v>
      </c>
      <c r="C20912" s="1" t="str">
        <f>HYPERLINK("http://stackoverflow.com/users/8523846", "mike ai")</f>
        <v>mike ai</v>
      </c>
      <c r="D20912" t="s">
        <v>1107</v>
      </c>
      <c r="E20912">
        <v>1</v>
      </c>
    </row>
    <row r="20913" spans="1:5" x14ac:dyDescent="0.25">
      <c r="A20913">
        <v>20912</v>
      </c>
      <c r="B20913">
        <v>3159561</v>
      </c>
      <c r="C20913" s="1" t="str">
        <f>HYPERLINK("http://stackoverflow.com/users/3159561", "Eyon Sun")</f>
        <v>Eyon Sun</v>
      </c>
      <c r="D20913" t="s">
        <v>5</v>
      </c>
      <c r="E20913">
        <v>1</v>
      </c>
    </row>
    <row r="20914" spans="1:5" x14ac:dyDescent="0.25">
      <c r="A20914">
        <v>20913</v>
      </c>
      <c r="B20914">
        <v>3159590</v>
      </c>
      <c r="C20914" s="1" t="str">
        <f>HYPERLINK("http://stackoverflow.com/users/3159590", "LowBee")</f>
        <v>LowBee</v>
      </c>
      <c r="D20914" t="s">
        <v>37</v>
      </c>
      <c r="E20914">
        <v>1</v>
      </c>
    </row>
    <row r="20915" spans="1:5" x14ac:dyDescent="0.25">
      <c r="A20915">
        <v>20914</v>
      </c>
      <c r="B20915">
        <v>1230209</v>
      </c>
      <c r="C20915" s="1" t="str">
        <f>HYPERLINK("http://stackoverflow.com/users/1230209", "jason")</f>
        <v>jason</v>
      </c>
      <c r="D20915" t="s">
        <v>5</v>
      </c>
      <c r="E20915">
        <v>1</v>
      </c>
    </row>
    <row r="20916" spans="1:5" x14ac:dyDescent="0.25">
      <c r="A20916">
        <v>20915</v>
      </c>
      <c r="B20916">
        <v>1230328</v>
      </c>
      <c r="C20916" s="1" t="str">
        <f>HYPERLINK("http://stackoverflow.com/users/1230328", "Robert")</f>
        <v>Robert</v>
      </c>
      <c r="D20916" t="s">
        <v>5</v>
      </c>
      <c r="E20916">
        <v>1</v>
      </c>
    </row>
    <row r="20917" spans="1:5" x14ac:dyDescent="0.25">
      <c r="A20917">
        <v>20916</v>
      </c>
      <c r="B20917">
        <v>3146930</v>
      </c>
      <c r="C20917" s="1" t="str">
        <f>HYPERLINK("http://stackoverflow.com/users/3146930", "DRFish")</f>
        <v>DRFish</v>
      </c>
      <c r="D20917" t="s">
        <v>55</v>
      </c>
      <c r="E20917">
        <v>1</v>
      </c>
    </row>
    <row r="20918" spans="1:5" x14ac:dyDescent="0.25">
      <c r="A20918">
        <v>20917</v>
      </c>
      <c r="B20918">
        <v>6685887</v>
      </c>
      <c r="C20918" s="1" t="str">
        <f>HYPERLINK("http://stackoverflow.com/users/6685887", "Liptonfred")</f>
        <v>Liptonfred</v>
      </c>
      <c r="D20918" t="s">
        <v>5</v>
      </c>
      <c r="E20918">
        <v>1</v>
      </c>
    </row>
    <row r="20919" spans="1:5" x14ac:dyDescent="0.25">
      <c r="A20919">
        <v>20918</v>
      </c>
      <c r="B20919">
        <v>8510467</v>
      </c>
      <c r="C20919" s="1" t="str">
        <f>HYPERLINK("http://stackoverflow.com/users/8510467", "paul.ren")</f>
        <v>paul.ren</v>
      </c>
      <c r="D20919" t="s">
        <v>4</v>
      </c>
      <c r="E20919">
        <v>1</v>
      </c>
    </row>
    <row r="20920" spans="1:5" x14ac:dyDescent="0.25">
      <c r="A20920">
        <v>20919</v>
      </c>
      <c r="B20920">
        <v>8510691</v>
      </c>
      <c r="C20920" s="1" t="str">
        <f>HYPERLINK("http://stackoverflow.com/users/8510691", "Enfei L")</f>
        <v>Enfei L</v>
      </c>
      <c r="D20920" t="s">
        <v>33</v>
      </c>
      <c r="E20920">
        <v>1</v>
      </c>
    </row>
    <row r="20921" spans="1:5" x14ac:dyDescent="0.25">
      <c r="A20921">
        <v>20920</v>
      </c>
      <c r="B20921">
        <v>8510906</v>
      </c>
      <c r="C20921" s="1" t="str">
        <f>HYPERLINK("http://stackoverflow.com/users/8510906", "XueZhong Shan")</f>
        <v>XueZhong Shan</v>
      </c>
      <c r="D20921" t="s">
        <v>57</v>
      </c>
      <c r="E20921">
        <v>1</v>
      </c>
    </row>
    <row r="20922" spans="1:5" x14ac:dyDescent="0.25">
      <c r="A20922">
        <v>20921</v>
      </c>
      <c r="B20922">
        <v>8511083</v>
      </c>
      <c r="C20922" s="1" t="str">
        <f>HYPERLINK("http://stackoverflow.com/users/8511083", "lollo")</f>
        <v>lollo</v>
      </c>
      <c r="D20922" t="s">
        <v>52</v>
      </c>
      <c r="E20922">
        <v>1</v>
      </c>
    </row>
    <row r="20923" spans="1:5" x14ac:dyDescent="0.25">
      <c r="A20923">
        <v>20922</v>
      </c>
      <c r="B20923">
        <v>10323615</v>
      </c>
      <c r="C20923" s="1" t="str">
        <f>HYPERLINK("http://stackoverflow.com/users/10323615", "molrdedurer")</f>
        <v>molrdedurer</v>
      </c>
      <c r="D20923" t="s">
        <v>1108</v>
      </c>
      <c r="E20923">
        <v>1</v>
      </c>
    </row>
    <row r="20924" spans="1:5" x14ac:dyDescent="0.25">
      <c r="A20924">
        <v>20923</v>
      </c>
      <c r="B20924">
        <v>8515683</v>
      </c>
      <c r="C20924" s="1" t="str">
        <f>HYPERLINK("http://stackoverflow.com/users/8515683", "obiora kene")</f>
        <v>obiora kene</v>
      </c>
      <c r="D20924" t="s">
        <v>57</v>
      </c>
      <c r="E20924">
        <v>1</v>
      </c>
    </row>
    <row r="20925" spans="1:5" x14ac:dyDescent="0.25">
      <c r="A20925">
        <v>20924</v>
      </c>
      <c r="B20925">
        <v>6690302</v>
      </c>
      <c r="C20925" s="1" t="str">
        <f>HYPERLINK("http://stackoverflow.com/users/6690302", "zengwei")</f>
        <v>zengwei</v>
      </c>
      <c r="D20925" t="s">
        <v>7</v>
      </c>
      <c r="E20925">
        <v>1</v>
      </c>
    </row>
    <row r="20926" spans="1:5" x14ac:dyDescent="0.25">
      <c r="A20926">
        <v>20925</v>
      </c>
      <c r="B20926">
        <v>6690463</v>
      </c>
      <c r="C20926" s="1" t="str">
        <f>HYPERLINK("http://stackoverflow.com/users/6690463", "Angas Liu")</f>
        <v>Angas Liu</v>
      </c>
      <c r="D20926" t="s">
        <v>4</v>
      </c>
      <c r="E20926">
        <v>1</v>
      </c>
    </row>
    <row r="20927" spans="1:5" x14ac:dyDescent="0.25">
      <c r="A20927">
        <v>20926</v>
      </c>
      <c r="B20927">
        <v>4968929</v>
      </c>
      <c r="C20927" s="1" t="str">
        <f>HYPERLINK("http://stackoverflow.com/users/4968929", "Bob xin")</f>
        <v>Bob xin</v>
      </c>
      <c r="D20927" t="s">
        <v>5</v>
      </c>
      <c r="E20927">
        <v>1</v>
      </c>
    </row>
    <row r="20928" spans="1:5" x14ac:dyDescent="0.25">
      <c r="A20928">
        <v>20927</v>
      </c>
      <c r="B20928">
        <v>3151434</v>
      </c>
      <c r="C20928" s="1" t="str">
        <f>HYPERLINK("http://stackoverflow.com/users/3151434", "xhs")</f>
        <v>xhs</v>
      </c>
      <c r="D20928" t="s">
        <v>25</v>
      </c>
      <c r="E20928">
        <v>1</v>
      </c>
    </row>
    <row r="20929" spans="1:5" x14ac:dyDescent="0.25">
      <c r="A20929">
        <v>20928</v>
      </c>
      <c r="B20929">
        <v>3151571</v>
      </c>
      <c r="C20929" s="1" t="str">
        <f>HYPERLINK("http://stackoverflow.com/users/3151571", "quinnqiu")</f>
        <v>quinnqiu</v>
      </c>
      <c r="D20929" t="s">
        <v>17</v>
      </c>
      <c r="E20929">
        <v>1</v>
      </c>
    </row>
    <row r="20930" spans="1:5" x14ac:dyDescent="0.25">
      <c r="A20930">
        <v>20929</v>
      </c>
      <c r="B20930">
        <v>10329244</v>
      </c>
      <c r="C20930" s="1" t="str">
        <f>HYPERLINK("http://stackoverflow.com/users/10329244", "l.k")</f>
        <v>l.k</v>
      </c>
      <c r="D20930" t="s">
        <v>7</v>
      </c>
      <c r="E20930">
        <v>1</v>
      </c>
    </row>
    <row r="20931" spans="1:5" x14ac:dyDescent="0.25">
      <c r="A20931">
        <v>20930</v>
      </c>
      <c r="B20931">
        <v>3154720</v>
      </c>
      <c r="C20931" s="1" t="str">
        <f>HYPERLINK("http://stackoverflow.com/users/3154720", "acecode")</f>
        <v>acecode</v>
      </c>
      <c r="D20931" t="s">
        <v>5</v>
      </c>
      <c r="E20931">
        <v>1</v>
      </c>
    </row>
    <row r="20932" spans="1:5" x14ac:dyDescent="0.25">
      <c r="A20932">
        <v>20931</v>
      </c>
      <c r="B20932">
        <v>8545849</v>
      </c>
      <c r="C20932" s="1" t="str">
        <f>HYPERLINK("http://stackoverflow.com/users/8545849", "刘伦洋")</f>
        <v>刘伦洋</v>
      </c>
      <c r="D20932" t="s">
        <v>457</v>
      </c>
      <c r="E20932">
        <v>1</v>
      </c>
    </row>
    <row r="20933" spans="1:5" x14ac:dyDescent="0.25">
      <c r="A20933">
        <v>20932</v>
      </c>
      <c r="B20933">
        <v>10357839</v>
      </c>
      <c r="C20933" s="1" t="str">
        <f>HYPERLINK("http://stackoverflow.com/users/10357839", "zslsir")</f>
        <v>zslsir</v>
      </c>
      <c r="D20933" t="s">
        <v>135</v>
      </c>
      <c r="E20933">
        <v>1</v>
      </c>
    </row>
    <row r="20934" spans="1:5" x14ac:dyDescent="0.25">
      <c r="A20934">
        <v>20933</v>
      </c>
      <c r="B20934">
        <v>1256285</v>
      </c>
      <c r="C20934" s="1" t="str">
        <f>HYPERLINK("http://stackoverflow.com/users/1256285", "Paddy")</f>
        <v>Paddy</v>
      </c>
      <c r="D20934" t="s">
        <v>37</v>
      </c>
      <c r="E20934">
        <v>1</v>
      </c>
    </row>
    <row r="20935" spans="1:5" x14ac:dyDescent="0.25">
      <c r="A20935">
        <v>20934</v>
      </c>
      <c r="B20935">
        <v>1256467</v>
      </c>
      <c r="C20935" s="1" t="str">
        <f>HYPERLINK("http://stackoverflow.com/users/1256467", "蜗牛向前冲")</f>
        <v>蜗牛向前冲</v>
      </c>
      <c r="D20935" t="s">
        <v>22</v>
      </c>
      <c r="E20935">
        <v>1</v>
      </c>
    </row>
    <row r="20936" spans="1:5" x14ac:dyDescent="0.25">
      <c r="A20936">
        <v>20935</v>
      </c>
      <c r="B20936">
        <v>1256032</v>
      </c>
      <c r="C20936" s="1" t="str">
        <f>HYPERLINK("http://stackoverflow.com/users/1256032", "luojianzhen")</f>
        <v>luojianzhen</v>
      </c>
      <c r="D20936" t="s">
        <v>21</v>
      </c>
      <c r="E20936">
        <v>1</v>
      </c>
    </row>
    <row r="20937" spans="1:5" x14ac:dyDescent="0.25">
      <c r="A20937">
        <v>20936</v>
      </c>
      <c r="B20937">
        <v>3175903</v>
      </c>
      <c r="C20937" s="1" t="str">
        <f>HYPERLINK("http://stackoverflow.com/users/3175903", "Chandler Chen")</f>
        <v>Chandler Chen</v>
      </c>
      <c r="D20937" t="s">
        <v>5</v>
      </c>
      <c r="E20937">
        <v>1</v>
      </c>
    </row>
    <row r="20938" spans="1:5" x14ac:dyDescent="0.25">
      <c r="A20938">
        <v>20937</v>
      </c>
      <c r="B20938">
        <v>3176129</v>
      </c>
      <c r="C20938" s="1" t="str">
        <f>HYPERLINK("http://stackoverflow.com/users/3176129", "guozp")</f>
        <v>guozp</v>
      </c>
      <c r="D20938" t="s">
        <v>5</v>
      </c>
      <c r="E20938">
        <v>1</v>
      </c>
    </row>
    <row r="20939" spans="1:5" x14ac:dyDescent="0.25">
      <c r="A20939">
        <v>20938</v>
      </c>
      <c r="B20939">
        <v>3176246</v>
      </c>
      <c r="C20939" s="1" t="str">
        <f>HYPERLINK("http://stackoverflow.com/users/3176246", "zhengshangxin")</f>
        <v>zhengshangxin</v>
      </c>
      <c r="D20939" t="s">
        <v>5</v>
      </c>
      <c r="E20939">
        <v>1</v>
      </c>
    </row>
    <row r="20940" spans="1:5" x14ac:dyDescent="0.25">
      <c r="A20940">
        <v>20939</v>
      </c>
      <c r="B20940">
        <v>3176513</v>
      </c>
      <c r="C20940" s="1" t="str">
        <f>HYPERLINK("http://stackoverflow.com/users/3176513", "ikimi")</f>
        <v>ikimi</v>
      </c>
      <c r="D20940" t="s">
        <v>56</v>
      </c>
      <c r="E20940">
        <v>1</v>
      </c>
    </row>
    <row r="20941" spans="1:5" x14ac:dyDescent="0.25">
      <c r="A20941">
        <v>20940</v>
      </c>
      <c r="B20941">
        <v>3176725</v>
      </c>
      <c r="C20941" s="1" t="str">
        <f>HYPERLINK("http://stackoverflow.com/users/3176725", "QingYu")</f>
        <v>QingYu</v>
      </c>
      <c r="D20941" t="s">
        <v>12</v>
      </c>
      <c r="E20941">
        <v>1</v>
      </c>
    </row>
    <row r="20942" spans="1:5" x14ac:dyDescent="0.25">
      <c r="A20942">
        <v>20941</v>
      </c>
      <c r="B20942">
        <v>3164327</v>
      </c>
      <c r="C20942" s="1" t="str">
        <f>HYPERLINK("http://stackoverflow.com/users/3164327", "Asia Lee")</f>
        <v>Asia Lee</v>
      </c>
      <c r="D20942" t="s">
        <v>5</v>
      </c>
      <c r="E20942">
        <v>1</v>
      </c>
    </row>
    <row r="20943" spans="1:5" x14ac:dyDescent="0.25">
      <c r="A20943">
        <v>20942</v>
      </c>
      <c r="B20943">
        <v>10341233</v>
      </c>
      <c r="C20943" s="1" t="str">
        <f>HYPERLINK("http://stackoverflow.com/users/10341233", "Guanhua Ye")</f>
        <v>Guanhua Ye</v>
      </c>
      <c r="D20943" t="s">
        <v>7</v>
      </c>
      <c r="E20943">
        <v>1</v>
      </c>
    </row>
    <row r="20944" spans="1:5" x14ac:dyDescent="0.25">
      <c r="A20944">
        <v>20943</v>
      </c>
      <c r="B20944">
        <v>10341263</v>
      </c>
      <c r="C20944" s="1" t="str">
        <f>HYPERLINK("http://stackoverflow.com/users/10341263", "任傲赢")</f>
        <v>任傲赢</v>
      </c>
      <c r="D20944" t="s">
        <v>16</v>
      </c>
      <c r="E20944">
        <v>1</v>
      </c>
    </row>
    <row r="20945" spans="1:5" x14ac:dyDescent="0.25">
      <c r="A20945">
        <v>20944</v>
      </c>
      <c r="B20945">
        <v>3163938</v>
      </c>
      <c r="C20945" s="1" t="str">
        <f>HYPERLINK("http://stackoverflow.com/users/3163938", "vicentliu")</f>
        <v>vicentliu</v>
      </c>
      <c r="D20945" t="s">
        <v>22</v>
      </c>
      <c r="E20945">
        <v>1</v>
      </c>
    </row>
    <row r="20946" spans="1:5" x14ac:dyDescent="0.25">
      <c r="A20946">
        <v>20945</v>
      </c>
      <c r="B20946">
        <v>3164007</v>
      </c>
      <c r="C20946" s="1" t="str">
        <f>HYPERLINK("http://stackoverflow.com/users/3164007", "Figo")</f>
        <v>Figo</v>
      </c>
      <c r="D20946" t="s">
        <v>17</v>
      </c>
      <c r="E20946">
        <v>1</v>
      </c>
    </row>
    <row r="20947" spans="1:5" x14ac:dyDescent="0.25">
      <c r="A20947">
        <v>20946</v>
      </c>
      <c r="B20947">
        <v>3164098</v>
      </c>
      <c r="C20947" s="1" t="str">
        <f>HYPERLINK("http://stackoverflow.com/users/3164098", "OwenWu")</f>
        <v>OwenWu</v>
      </c>
      <c r="D20947" t="s">
        <v>4</v>
      </c>
      <c r="E20947">
        <v>1</v>
      </c>
    </row>
    <row r="20948" spans="1:5" x14ac:dyDescent="0.25">
      <c r="A20948">
        <v>20947</v>
      </c>
      <c r="B20948">
        <v>3168161</v>
      </c>
      <c r="C20948" s="1" t="str">
        <f>HYPERLINK("http://stackoverflow.com/users/3168161", "Bing")</f>
        <v>Bing</v>
      </c>
      <c r="D20948" t="s">
        <v>37</v>
      </c>
      <c r="E20948">
        <v>1</v>
      </c>
    </row>
    <row r="20949" spans="1:5" x14ac:dyDescent="0.25">
      <c r="A20949">
        <v>20948</v>
      </c>
      <c r="B20949">
        <v>3168266</v>
      </c>
      <c r="C20949" s="1" t="str">
        <f>HYPERLINK("http://stackoverflow.com/users/3168266", "user3168266")</f>
        <v>user3168266</v>
      </c>
      <c r="D20949" t="s">
        <v>4</v>
      </c>
      <c r="E20949">
        <v>1</v>
      </c>
    </row>
    <row r="20950" spans="1:5" x14ac:dyDescent="0.25">
      <c r="A20950">
        <v>20949</v>
      </c>
      <c r="B20950">
        <v>8532192</v>
      </c>
      <c r="C20950" s="1" t="str">
        <f>HYPERLINK("http://stackoverflow.com/users/8532192", "Yuna li")</f>
        <v>Yuna li</v>
      </c>
      <c r="D20950" t="s">
        <v>52</v>
      </c>
      <c r="E20950">
        <v>1</v>
      </c>
    </row>
    <row r="20951" spans="1:5" x14ac:dyDescent="0.25">
      <c r="A20951">
        <v>20950</v>
      </c>
      <c r="B20951">
        <v>8532395</v>
      </c>
      <c r="C20951" s="1" t="str">
        <f>HYPERLINK("http://stackoverflow.com/users/8532395", "changjie xian")</f>
        <v>changjie xian</v>
      </c>
      <c r="D20951" t="s">
        <v>13</v>
      </c>
      <c r="E20951">
        <v>1</v>
      </c>
    </row>
    <row r="20952" spans="1:5" x14ac:dyDescent="0.25">
      <c r="A20952">
        <v>20951</v>
      </c>
      <c r="B20952">
        <v>8532515</v>
      </c>
      <c r="C20952" s="1" t="str">
        <f>HYPERLINK("http://stackoverflow.com/users/8532515", "Jie Zhu")</f>
        <v>Jie Zhu</v>
      </c>
      <c r="D20952" t="s">
        <v>95</v>
      </c>
      <c r="E20952">
        <v>1</v>
      </c>
    </row>
    <row r="20953" spans="1:5" x14ac:dyDescent="0.25">
      <c r="A20953">
        <v>20952</v>
      </c>
      <c r="B20953">
        <v>10345816</v>
      </c>
      <c r="C20953" s="1" t="str">
        <f>HYPERLINK("http://stackoverflow.com/users/10345816", "kun fan")</f>
        <v>kun fan</v>
      </c>
      <c r="D20953" t="s">
        <v>7</v>
      </c>
      <c r="E20953">
        <v>1</v>
      </c>
    </row>
    <row r="20954" spans="1:5" x14ac:dyDescent="0.25">
      <c r="A20954">
        <v>20953</v>
      </c>
      <c r="B20954">
        <v>3172205</v>
      </c>
      <c r="C20954" s="1" t="str">
        <f>HYPERLINK("http://stackoverflow.com/users/3172205", "aaronlibra")</f>
        <v>aaronlibra</v>
      </c>
      <c r="D20954" t="s">
        <v>4</v>
      </c>
      <c r="E20954">
        <v>1</v>
      </c>
    </row>
    <row r="20955" spans="1:5" x14ac:dyDescent="0.25">
      <c r="A20955">
        <v>20954</v>
      </c>
      <c r="B20955">
        <v>3172298</v>
      </c>
      <c r="C20955" s="1" t="str">
        <f>HYPERLINK("http://stackoverflow.com/users/3172298", "xuyu")</f>
        <v>xuyu</v>
      </c>
      <c r="D20955" t="s">
        <v>4</v>
      </c>
      <c r="E20955">
        <v>1</v>
      </c>
    </row>
    <row r="20956" spans="1:5" x14ac:dyDescent="0.25">
      <c r="A20956">
        <v>20955</v>
      </c>
      <c r="B20956">
        <v>4985818</v>
      </c>
      <c r="C20956" s="1" t="str">
        <f>HYPERLINK("http://stackoverflow.com/users/4985818", "hongq")</f>
        <v>hongq</v>
      </c>
      <c r="D20956" t="s">
        <v>22</v>
      </c>
      <c r="E20956">
        <v>1</v>
      </c>
    </row>
    <row r="20957" spans="1:5" x14ac:dyDescent="0.25">
      <c r="A20957">
        <v>20956</v>
      </c>
      <c r="B20957">
        <v>4986141</v>
      </c>
      <c r="C20957" s="1" t="str">
        <f>HYPERLINK("http://stackoverflow.com/users/4986141", "Foryin")</f>
        <v>Foryin</v>
      </c>
      <c r="D20957" t="s">
        <v>17</v>
      </c>
      <c r="E20957">
        <v>1</v>
      </c>
    </row>
    <row r="20958" spans="1:5" x14ac:dyDescent="0.25">
      <c r="A20958">
        <v>20957</v>
      </c>
      <c r="B20958">
        <v>10350233</v>
      </c>
      <c r="C20958" s="1" t="str">
        <f>HYPERLINK("http://stackoverflow.com/users/10350233", "J. Zheng")</f>
        <v>J. Zheng</v>
      </c>
      <c r="D20958" t="s">
        <v>1109</v>
      </c>
      <c r="E20958">
        <v>1</v>
      </c>
    </row>
    <row r="20959" spans="1:5" x14ac:dyDescent="0.25">
      <c r="A20959">
        <v>20958</v>
      </c>
      <c r="B20959">
        <v>3175833</v>
      </c>
      <c r="C20959" s="1" t="str">
        <f>HYPERLINK("http://stackoverflow.com/users/3175833", "sunguide")</f>
        <v>sunguide</v>
      </c>
      <c r="D20959" t="s">
        <v>4</v>
      </c>
      <c r="E20959">
        <v>1</v>
      </c>
    </row>
    <row r="20960" spans="1:5" x14ac:dyDescent="0.25">
      <c r="A20960">
        <v>20959</v>
      </c>
      <c r="B20960">
        <v>1157483</v>
      </c>
      <c r="C20960" s="1" t="str">
        <f>HYPERLINK("http://stackoverflow.com/users/1157483", "Wu Junxian")</f>
        <v>Wu Junxian</v>
      </c>
      <c r="D20960" t="s">
        <v>4</v>
      </c>
      <c r="E20960">
        <v>1</v>
      </c>
    </row>
    <row r="20961" spans="1:5" x14ac:dyDescent="0.25">
      <c r="A20961">
        <v>20960</v>
      </c>
      <c r="B20961">
        <v>1156392</v>
      </c>
      <c r="C20961" s="1" t="str">
        <f>HYPERLINK("http://stackoverflow.com/users/1156392", "Longdou")</f>
        <v>Longdou</v>
      </c>
      <c r="D20961" t="s">
        <v>5</v>
      </c>
      <c r="E20961">
        <v>1</v>
      </c>
    </row>
    <row r="20962" spans="1:5" x14ac:dyDescent="0.25">
      <c r="A20962">
        <v>20961</v>
      </c>
      <c r="B20962">
        <v>10298398</v>
      </c>
      <c r="C20962" s="1" t="str">
        <f>HYPERLINK("http://stackoverflow.com/users/10298398", "user10298398")</f>
        <v>user10298398</v>
      </c>
      <c r="D20962" t="s">
        <v>62</v>
      </c>
      <c r="E20962">
        <v>1</v>
      </c>
    </row>
    <row r="20963" spans="1:5" x14ac:dyDescent="0.25">
      <c r="A20963">
        <v>20962</v>
      </c>
      <c r="B20963">
        <v>10298407</v>
      </c>
      <c r="C20963" s="1" t="str">
        <f>HYPERLINK("http://stackoverflow.com/users/10298407", "shawn shan")</f>
        <v>shawn shan</v>
      </c>
      <c r="D20963" t="s">
        <v>4</v>
      </c>
      <c r="E20963">
        <v>1</v>
      </c>
    </row>
    <row r="20964" spans="1:5" x14ac:dyDescent="0.25">
      <c r="A20964">
        <v>20963</v>
      </c>
      <c r="B20964">
        <v>3122710</v>
      </c>
      <c r="C20964" s="1" t="str">
        <f>HYPERLINK("http://stackoverflow.com/users/3122710", "Bryce")</f>
        <v>Bryce</v>
      </c>
      <c r="D20964" t="s">
        <v>37</v>
      </c>
      <c r="E20964">
        <v>1</v>
      </c>
    </row>
    <row r="20965" spans="1:5" x14ac:dyDescent="0.25">
      <c r="A20965">
        <v>20964</v>
      </c>
      <c r="B20965">
        <v>8485483</v>
      </c>
      <c r="C20965" s="1" t="str">
        <f>HYPERLINK("http://stackoverflow.com/users/8485483", "Kris817")</f>
        <v>Kris817</v>
      </c>
      <c r="D20965" t="s">
        <v>74</v>
      </c>
      <c r="E20965">
        <v>1</v>
      </c>
    </row>
    <row r="20966" spans="1:5" x14ac:dyDescent="0.25">
      <c r="A20966">
        <v>20965</v>
      </c>
      <c r="B20966">
        <v>4934146</v>
      </c>
      <c r="C20966" s="1" t="str">
        <f>HYPERLINK("http://stackoverflow.com/users/4934146", "Feng Zhou")</f>
        <v>Feng Zhou</v>
      </c>
      <c r="D20966" t="s">
        <v>5</v>
      </c>
      <c r="E20966">
        <v>1</v>
      </c>
    </row>
    <row r="20967" spans="1:5" x14ac:dyDescent="0.25">
      <c r="A20967">
        <v>20966</v>
      </c>
      <c r="B20967">
        <v>10294217</v>
      </c>
      <c r="C20967" s="1" t="str">
        <f>HYPERLINK("http://stackoverflow.com/users/10294217", "M ouse")</f>
        <v>M ouse</v>
      </c>
      <c r="D20967" t="s">
        <v>4</v>
      </c>
      <c r="E20967">
        <v>1</v>
      </c>
    </row>
    <row r="20968" spans="1:5" x14ac:dyDescent="0.25">
      <c r="A20968">
        <v>20967</v>
      </c>
      <c r="B20968">
        <v>8480929</v>
      </c>
      <c r="C20968" s="1" t="str">
        <f>HYPERLINK("http://stackoverflow.com/users/8480929", "徐思坤")</f>
        <v>徐思坤</v>
      </c>
      <c r="D20968" t="s">
        <v>4</v>
      </c>
      <c r="E20968">
        <v>1</v>
      </c>
    </row>
    <row r="20969" spans="1:5" x14ac:dyDescent="0.25">
      <c r="A20969">
        <v>20968</v>
      </c>
      <c r="B20969">
        <v>8480988</v>
      </c>
      <c r="C20969" s="1" t="str">
        <f>HYPERLINK("http://stackoverflow.com/users/8480988", "Oleg")</f>
        <v>Oleg</v>
      </c>
      <c r="D20969" t="s">
        <v>25</v>
      </c>
      <c r="E20969">
        <v>1</v>
      </c>
    </row>
    <row r="20970" spans="1:5" x14ac:dyDescent="0.25">
      <c r="A20970">
        <v>20969</v>
      </c>
      <c r="B20970">
        <v>8481105</v>
      </c>
      <c r="C20970" s="1" t="str">
        <f>HYPERLINK("http://stackoverflow.com/users/8481105", "Yugang Chen")</f>
        <v>Yugang Chen</v>
      </c>
      <c r="D20970" t="s">
        <v>4</v>
      </c>
      <c r="E20970">
        <v>1</v>
      </c>
    </row>
    <row r="20971" spans="1:5" x14ac:dyDescent="0.25">
      <c r="A20971">
        <v>20970</v>
      </c>
      <c r="B20971">
        <v>8481158</v>
      </c>
      <c r="C20971" s="1" t="str">
        <f>HYPERLINK("http://stackoverflow.com/users/8481158", "hqgu")</f>
        <v>hqgu</v>
      </c>
      <c r="D20971" t="s">
        <v>5</v>
      </c>
      <c r="E20971">
        <v>1</v>
      </c>
    </row>
    <row r="20972" spans="1:5" x14ac:dyDescent="0.25">
      <c r="A20972">
        <v>20971</v>
      </c>
      <c r="B20972">
        <v>8481166</v>
      </c>
      <c r="C20972" s="1" t="str">
        <f>HYPERLINK("http://stackoverflow.com/users/8481166", "lin.wang")</f>
        <v>lin.wang</v>
      </c>
      <c r="D20972" t="s">
        <v>16</v>
      </c>
      <c r="E20972">
        <v>1</v>
      </c>
    </row>
    <row r="20973" spans="1:5" x14ac:dyDescent="0.25">
      <c r="A20973">
        <v>20972</v>
      </c>
      <c r="B20973">
        <v>8481240</v>
      </c>
      <c r="C20973" s="1" t="str">
        <f>HYPERLINK("http://stackoverflow.com/users/8481240", "min li")</f>
        <v>min li</v>
      </c>
      <c r="D20973" t="s">
        <v>16</v>
      </c>
      <c r="E20973">
        <v>1</v>
      </c>
    </row>
    <row r="20974" spans="1:5" x14ac:dyDescent="0.25">
      <c r="A20974">
        <v>20973</v>
      </c>
      <c r="B20974">
        <v>8481401</v>
      </c>
      <c r="C20974" s="1" t="str">
        <f>HYPERLINK("http://stackoverflow.com/users/8481401", "Wendy Qu")</f>
        <v>Wendy Qu</v>
      </c>
      <c r="D20974" t="s">
        <v>5</v>
      </c>
      <c r="E20974">
        <v>1</v>
      </c>
    </row>
    <row r="20975" spans="1:5" x14ac:dyDescent="0.25">
      <c r="A20975">
        <v>20974</v>
      </c>
      <c r="B20975">
        <v>8488509</v>
      </c>
      <c r="C20975" s="1" t="str">
        <f>HYPERLINK("http://stackoverflow.com/users/8488509", "user8488509")</f>
        <v>user8488509</v>
      </c>
      <c r="D20975" t="s">
        <v>4</v>
      </c>
      <c r="E20975">
        <v>1</v>
      </c>
    </row>
    <row r="20976" spans="1:5" x14ac:dyDescent="0.25">
      <c r="A20976">
        <v>20975</v>
      </c>
      <c r="B20976">
        <v>8493569</v>
      </c>
      <c r="C20976" s="1" t="str">
        <f>HYPERLINK("http://stackoverflow.com/users/8493569", "Cody")</f>
        <v>Cody</v>
      </c>
      <c r="D20976" t="s">
        <v>5</v>
      </c>
      <c r="E20976">
        <v>1</v>
      </c>
    </row>
    <row r="20977" spans="1:5" x14ac:dyDescent="0.25">
      <c r="A20977">
        <v>20976</v>
      </c>
      <c r="B20977">
        <v>8493645</v>
      </c>
      <c r="C20977" s="1" t="str">
        <f>HYPERLINK("http://stackoverflow.com/users/8493645", "TheAsianProphet")</f>
        <v>TheAsianProphet</v>
      </c>
      <c r="D20977" t="s">
        <v>5</v>
      </c>
      <c r="E20977">
        <v>1</v>
      </c>
    </row>
    <row r="20978" spans="1:5" x14ac:dyDescent="0.25">
      <c r="A20978">
        <v>20977</v>
      </c>
      <c r="B20978">
        <v>8493738</v>
      </c>
      <c r="C20978" s="1" t="str">
        <f>HYPERLINK("http://stackoverflow.com/users/8493738", "Frank Liu")</f>
        <v>Frank Liu</v>
      </c>
      <c r="D20978" t="s">
        <v>55</v>
      </c>
      <c r="E20978">
        <v>1</v>
      </c>
    </row>
    <row r="20979" spans="1:5" x14ac:dyDescent="0.25">
      <c r="A20979">
        <v>20978</v>
      </c>
      <c r="B20979">
        <v>8493753</v>
      </c>
      <c r="C20979" s="1" t="str">
        <f>HYPERLINK("http://stackoverflow.com/users/8493753", "Jiaqi Cai")</f>
        <v>Jiaqi Cai</v>
      </c>
      <c r="D20979" t="s">
        <v>5</v>
      </c>
      <c r="E20979">
        <v>1</v>
      </c>
    </row>
    <row r="20980" spans="1:5" x14ac:dyDescent="0.25">
      <c r="A20980">
        <v>20979</v>
      </c>
      <c r="B20980">
        <v>8497472</v>
      </c>
      <c r="C20980" s="1" t="str">
        <f>HYPERLINK("http://stackoverflow.com/users/8497472", "Vincent Chou")</f>
        <v>Vincent Chou</v>
      </c>
      <c r="D20980" t="s">
        <v>36</v>
      </c>
      <c r="E20980">
        <v>1</v>
      </c>
    </row>
    <row r="20981" spans="1:5" x14ac:dyDescent="0.25">
      <c r="A20981">
        <v>20980</v>
      </c>
      <c r="B20981">
        <v>8497474</v>
      </c>
      <c r="C20981" s="1" t="str">
        <f>HYPERLINK("http://stackoverflow.com/users/8497474", "jinrong")</f>
        <v>jinrong</v>
      </c>
      <c r="D20981" t="s">
        <v>7</v>
      </c>
      <c r="E20981">
        <v>1</v>
      </c>
    </row>
    <row r="20982" spans="1:5" x14ac:dyDescent="0.25">
      <c r="A20982">
        <v>20981</v>
      </c>
      <c r="B20982">
        <v>8497598</v>
      </c>
      <c r="C20982" s="1" t="str">
        <f>HYPERLINK("http://stackoverflow.com/users/8497598", "Lily")</f>
        <v>Lily</v>
      </c>
      <c r="D20982" t="s">
        <v>4</v>
      </c>
      <c r="E20982">
        <v>1</v>
      </c>
    </row>
    <row r="20983" spans="1:5" x14ac:dyDescent="0.25">
      <c r="A20983">
        <v>20982</v>
      </c>
      <c r="B20983">
        <v>8497735</v>
      </c>
      <c r="C20983" s="1" t="str">
        <f>HYPERLINK("http://stackoverflow.com/users/8497735", "Singler")</f>
        <v>Singler</v>
      </c>
      <c r="D20983" t="s">
        <v>5</v>
      </c>
      <c r="E20983">
        <v>1</v>
      </c>
    </row>
    <row r="20984" spans="1:5" x14ac:dyDescent="0.25">
      <c r="A20984">
        <v>20983</v>
      </c>
      <c r="B20984">
        <v>10318902</v>
      </c>
      <c r="C20984" s="1" t="str">
        <f>HYPERLINK("http://stackoverflow.com/users/10318902", "Xunix Huang")</f>
        <v>Xunix Huang</v>
      </c>
      <c r="D20984" t="s">
        <v>16</v>
      </c>
      <c r="E20984">
        <v>1</v>
      </c>
    </row>
    <row r="20985" spans="1:5" x14ac:dyDescent="0.25">
      <c r="A20985">
        <v>20984</v>
      </c>
      <c r="B20985">
        <v>10319239</v>
      </c>
      <c r="C20985" s="1" t="str">
        <f>HYPERLINK("http://stackoverflow.com/users/10319239", "evelyn ren")</f>
        <v>evelyn ren</v>
      </c>
      <c r="D20985" t="s">
        <v>1110</v>
      </c>
      <c r="E20985">
        <v>1</v>
      </c>
    </row>
    <row r="20986" spans="1:5" x14ac:dyDescent="0.25">
      <c r="A20986">
        <v>20985</v>
      </c>
      <c r="B20986">
        <v>10319291</v>
      </c>
      <c r="C20986" s="1" t="str">
        <f>HYPERLINK("http://stackoverflow.com/users/10319291", "York")</f>
        <v>York</v>
      </c>
      <c r="D20986" t="s">
        <v>28</v>
      </c>
      <c r="E20986">
        <v>1</v>
      </c>
    </row>
    <row r="20987" spans="1:5" x14ac:dyDescent="0.25">
      <c r="A20987">
        <v>20986</v>
      </c>
      <c r="B20987">
        <v>8506498</v>
      </c>
      <c r="C20987" s="1" t="str">
        <f>HYPERLINK("http://stackoverflow.com/users/8506498", "knightmare")</f>
        <v>knightmare</v>
      </c>
      <c r="D20987" t="s">
        <v>5</v>
      </c>
      <c r="E20987">
        <v>1</v>
      </c>
    </row>
    <row r="20988" spans="1:5" x14ac:dyDescent="0.25">
      <c r="A20988">
        <v>20987</v>
      </c>
      <c r="B20988">
        <v>3138423</v>
      </c>
      <c r="C20988" s="1" t="str">
        <f>HYPERLINK("http://stackoverflow.com/users/3138423", "hetao")</f>
        <v>hetao</v>
      </c>
      <c r="D20988" t="s">
        <v>4</v>
      </c>
      <c r="E20988">
        <v>1</v>
      </c>
    </row>
    <row r="20989" spans="1:5" x14ac:dyDescent="0.25">
      <c r="A20989">
        <v>20988</v>
      </c>
      <c r="B20989">
        <v>10318890</v>
      </c>
      <c r="C20989" s="1" t="str">
        <f>HYPERLINK("http://stackoverflow.com/users/10318890", "pdcdfncsfels")</f>
        <v>pdcdfncsfels</v>
      </c>
      <c r="D20989" t="s">
        <v>628</v>
      </c>
      <c r="E20989">
        <v>1</v>
      </c>
    </row>
    <row r="20990" spans="1:5" x14ac:dyDescent="0.25">
      <c r="A20990">
        <v>20989</v>
      </c>
      <c r="B20990">
        <v>3146686</v>
      </c>
      <c r="C20990" s="1" t="str">
        <f>HYPERLINK("http://stackoverflow.com/users/3146686", "Jaosn Liu")</f>
        <v>Jaosn Liu</v>
      </c>
      <c r="D20990" t="s">
        <v>12</v>
      </c>
      <c r="E20990">
        <v>1</v>
      </c>
    </row>
    <row r="20991" spans="1:5" x14ac:dyDescent="0.25">
      <c r="A20991">
        <v>20990</v>
      </c>
      <c r="B20991">
        <v>3146078</v>
      </c>
      <c r="C20991" s="1" t="str">
        <f>HYPERLINK("http://stackoverflow.com/users/3146078", "ego_ecust")</f>
        <v>ego_ecust</v>
      </c>
      <c r="D20991" t="s">
        <v>4</v>
      </c>
      <c r="E20991">
        <v>1</v>
      </c>
    </row>
    <row r="20992" spans="1:5" x14ac:dyDescent="0.25">
      <c r="A20992">
        <v>20991</v>
      </c>
      <c r="B20992">
        <v>10310479</v>
      </c>
      <c r="C20992" s="1" t="str">
        <f>HYPERLINK("http://stackoverflow.com/users/10310479", "Lysias")</f>
        <v>Lysias</v>
      </c>
      <c r="D20992" t="s">
        <v>5</v>
      </c>
      <c r="E20992">
        <v>1</v>
      </c>
    </row>
    <row r="20993" spans="1:5" x14ac:dyDescent="0.25">
      <c r="A20993">
        <v>20992</v>
      </c>
      <c r="B20993">
        <v>10310571</v>
      </c>
      <c r="C20993" s="1" t="str">
        <f>HYPERLINK("http://stackoverflow.com/users/10310571", "Zack Liu")</f>
        <v>Zack Liu</v>
      </c>
      <c r="D20993" t="s">
        <v>5</v>
      </c>
      <c r="E20993">
        <v>1</v>
      </c>
    </row>
    <row r="20994" spans="1:5" x14ac:dyDescent="0.25">
      <c r="A20994">
        <v>20993</v>
      </c>
      <c r="B20994">
        <v>1189039</v>
      </c>
      <c r="C20994" s="1" t="str">
        <f>HYPERLINK("http://stackoverflow.com/users/1189039", "Jianxin Du")</f>
        <v>Jianxin Du</v>
      </c>
      <c r="D20994" t="s">
        <v>5</v>
      </c>
      <c r="E20994">
        <v>1</v>
      </c>
    </row>
    <row r="20995" spans="1:5" x14ac:dyDescent="0.25">
      <c r="A20995">
        <v>20994</v>
      </c>
      <c r="B20995">
        <v>1182756</v>
      </c>
      <c r="C20995" s="1" t="str">
        <f>HYPERLINK("http://stackoverflow.com/users/1182756", "fjun")</f>
        <v>fjun</v>
      </c>
      <c r="D20995" t="s">
        <v>5</v>
      </c>
      <c r="E20995">
        <v>1</v>
      </c>
    </row>
    <row r="20996" spans="1:5" x14ac:dyDescent="0.25">
      <c r="A20996">
        <v>20995</v>
      </c>
      <c r="B20996">
        <v>6670811</v>
      </c>
      <c r="C20996" s="1" t="str">
        <f>HYPERLINK("http://stackoverflow.com/users/6670811", "DeleiGuo")</f>
        <v>DeleiGuo</v>
      </c>
      <c r="D20996" t="s">
        <v>4</v>
      </c>
      <c r="E20996">
        <v>1</v>
      </c>
    </row>
    <row r="20997" spans="1:5" x14ac:dyDescent="0.25">
      <c r="A20997">
        <v>20996</v>
      </c>
      <c r="B20997">
        <v>1182203</v>
      </c>
      <c r="C20997" s="1" t="str">
        <f>HYPERLINK("http://stackoverflow.com/users/1182203", "ender")</f>
        <v>ender</v>
      </c>
      <c r="D20997" t="s">
        <v>37</v>
      </c>
      <c r="E20997">
        <v>1</v>
      </c>
    </row>
    <row r="20998" spans="1:5" x14ac:dyDescent="0.25">
      <c r="A20998">
        <v>20997</v>
      </c>
      <c r="B20998">
        <v>3134667</v>
      </c>
      <c r="C20998" s="1" t="str">
        <f>HYPERLINK("http://stackoverflow.com/users/3134667", "Ather Shu")</f>
        <v>Ather Shu</v>
      </c>
      <c r="D20998" t="s">
        <v>12</v>
      </c>
      <c r="E20998">
        <v>1</v>
      </c>
    </row>
    <row r="20999" spans="1:5" x14ac:dyDescent="0.25">
      <c r="A20999">
        <v>20998</v>
      </c>
      <c r="B20999">
        <v>3134730</v>
      </c>
      <c r="C20999" s="1" t="str">
        <f>HYPERLINK("http://stackoverflow.com/users/3134730", "zhuleipd")</f>
        <v>zhuleipd</v>
      </c>
      <c r="D20999" t="s">
        <v>5</v>
      </c>
      <c r="E20999">
        <v>1</v>
      </c>
    </row>
    <row r="21000" spans="1:5" x14ac:dyDescent="0.25">
      <c r="A21000">
        <v>20999</v>
      </c>
      <c r="B21000">
        <v>3138168</v>
      </c>
      <c r="C21000" s="1" t="str">
        <f>HYPERLINK("http://stackoverflow.com/users/3138168", "olivia")</f>
        <v>olivia</v>
      </c>
      <c r="D21000" t="s">
        <v>4</v>
      </c>
      <c r="E21000">
        <v>1</v>
      </c>
    </row>
    <row r="21001" spans="1:5" x14ac:dyDescent="0.25">
      <c r="A21001">
        <v>21000</v>
      </c>
      <c r="B21001">
        <v>3138203</v>
      </c>
      <c r="C21001" s="1" t="str">
        <f>HYPERLINK("http://stackoverflow.com/users/3138203", "Wu Jun")</f>
        <v>Wu Jun</v>
      </c>
      <c r="D21001" t="s">
        <v>98</v>
      </c>
      <c r="E21001">
        <v>1</v>
      </c>
    </row>
    <row r="21002" spans="1:5" x14ac:dyDescent="0.25">
      <c r="A21002">
        <v>21001</v>
      </c>
      <c r="B21002">
        <v>3138256</v>
      </c>
      <c r="C21002" s="1" t="str">
        <f>HYPERLINK("http://stackoverflow.com/users/3138256", "Danny Xu")</f>
        <v>Danny Xu</v>
      </c>
      <c r="D21002" t="s">
        <v>4</v>
      </c>
      <c r="E21002">
        <v>1</v>
      </c>
    </row>
    <row r="21003" spans="1:5" x14ac:dyDescent="0.25">
      <c r="A21003">
        <v>21002</v>
      </c>
      <c r="B21003">
        <v>3138565</v>
      </c>
      <c r="C21003" s="1" t="str">
        <f>HYPERLINK("http://stackoverflow.com/users/3138565", "xuanye")</f>
        <v>xuanye</v>
      </c>
      <c r="D21003" t="s">
        <v>4</v>
      </c>
      <c r="E21003">
        <v>1</v>
      </c>
    </row>
    <row r="21004" spans="1:5" x14ac:dyDescent="0.25">
      <c r="A21004">
        <v>21003</v>
      </c>
      <c r="B21004">
        <v>3138619</v>
      </c>
      <c r="C21004" s="1" t="str">
        <f>HYPERLINK("http://stackoverflow.com/users/3138619", "Bing Jiang")</f>
        <v>Bing Jiang</v>
      </c>
      <c r="D21004" t="s">
        <v>5</v>
      </c>
      <c r="E21004">
        <v>1</v>
      </c>
    </row>
    <row r="21005" spans="1:5" x14ac:dyDescent="0.25">
      <c r="A21005">
        <v>21004</v>
      </c>
      <c r="B21005">
        <v>8501577</v>
      </c>
      <c r="C21005" s="1" t="str">
        <f>HYPERLINK("http://stackoverflow.com/users/8501577", "Nabeil Eltayieb")</f>
        <v>Nabeil Eltayieb</v>
      </c>
      <c r="D21005" t="s">
        <v>28</v>
      </c>
      <c r="E21005">
        <v>1</v>
      </c>
    </row>
    <row r="21006" spans="1:5" x14ac:dyDescent="0.25">
      <c r="A21006">
        <v>21005</v>
      </c>
      <c r="B21006">
        <v>1196187</v>
      </c>
      <c r="C21006" s="1" t="str">
        <f>HYPERLINK("http://stackoverflow.com/users/1196187", "Patrick")</f>
        <v>Patrick</v>
      </c>
      <c r="D21006" t="s">
        <v>4</v>
      </c>
      <c r="E21006">
        <v>1</v>
      </c>
    </row>
    <row r="21007" spans="1:5" x14ac:dyDescent="0.25">
      <c r="A21007">
        <v>21006</v>
      </c>
      <c r="B21007">
        <v>3222062</v>
      </c>
      <c r="C21007" s="1" t="str">
        <f>HYPERLINK("http://stackoverflow.com/users/3222062", "Aaron")</f>
        <v>Aaron</v>
      </c>
      <c r="D21007" t="s">
        <v>4</v>
      </c>
      <c r="E21007">
        <v>1</v>
      </c>
    </row>
    <row r="21008" spans="1:5" x14ac:dyDescent="0.25">
      <c r="A21008">
        <v>21007</v>
      </c>
      <c r="B21008">
        <v>3228189</v>
      </c>
      <c r="C21008" s="1" t="str">
        <f>HYPERLINK("http://stackoverflow.com/users/3228189", "Rahul_Cloud")</f>
        <v>Rahul_Cloud</v>
      </c>
      <c r="D21008" t="s">
        <v>4</v>
      </c>
      <c r="E21008">
        <v>1</v>
      </c>
    </row>
    <row r="21009" spans="1:5" x14ac:dyDescent="0.25">
      <c r="A21009">
        <v>21008</v>
      </c>
      <c r="B21009">
        <v>3215465</v>
      </c>
      <c r="C21009" s="1" t="str">
        <f>HYPERLINK("http://stackoverflow.com/users/3215465", "hitface")</f>
        <v>hitface</v>
      </c>
      <c r="D21009" t="s">
        <v>8</v>
      </c>
      <c r="E21009">
        <v>1</v>
      </c>
    </row>
    <row r="21010" spans="1:5" x14ac:dyDescent="0.25">
      <c r="A21010">
        <v>21009</v>
      </c>
      <c r="B21010">
        <v>3215643</v>
      </c>
      <c r="C21010" s="1" t="str">
        <f>HYPERLINK("http://stackoverflow.com/users/3215643", "wh1100717")</f>
        <v>wh1100717</v>
      </c>
      <c r="D21010" t="s">
        <v>56</v>
      </c>
      <c r="E21010">
        <v>1</v>
      </c>
    </row>
    <row r="21011" spans="1:5" x14ac:dyDescent="0.25">
      <c r="A21011">
        <v>21010</v>
      </c>
      <c r="B21011">
        <v>6750920</v>
      </c>
      <c r="C21011" s="1" t="str">
        <f>HYPERLINK("http://stackoverflow.com/users/6750920", "Hana")</f>
        <v>Hana</v>
      </c>
      <c r="D21011" t="s">
        <v>25</v>
      </c>
      <c r="E21011">
        <v>1</v>
      </c>
    </row>
    <row r="21012" spans="1:5" x14ac:dyDescent="0.25">
      <c r="A21012">
        <v>21011</v>
      </c>
      <c r="B21012">
        <v>6751007</v>
      </c>
      <c r="C21012" s="1" t="str">
        <f>HYPERLINK("http://stackoverflow.com/users/6751007", "Marco Ma")</f>
        <v>Marco Ma</v>
      </c>
      <c r="D21012" t="s">
        <v>7</v>
      </c>
      <c r="E21012">
        <v>1</v>
      </c>
    </row>
    <row r="21013" spans="1:5" x14ac:dyDescent="0.25">
      <c r="A21013">
        <v>21012</v>
      </c>
      <c r="B21013">
        <v>8589511</v>
      </c>
      <c r="C21013" s="1" t="str">
        <f>HYPERLINK("http://stackoverflow.com/users/8589511", "Robb Fang")</f>
        <v>Robb Fang</v>
      </c>
      <c r="D21013" t="s">
        <v>131</v>
      </c>
      <c r="E21013">
        <v>1</v>
      </c>
    </row>
    <row r="21014" spans="1:5" x14ac:dyDescent="0.25">
      <c r="A21014">
        <v>21013</v>
      </c>
      <c r="B21014">
        <v>8589540</v>
      </c>
      <c r="C21014" s="1" t="str">
        <f>HYPERLINK("http://stackoverflow.com/users/8589540", "L.Stephen")</f>
        <v>L.Stephen</v>
      </c>
      <c r="D21014" t="s">
        <v>74</v>
      </c>
      <c r="E21014">
        <v>1</v>
      </c>
    </row>
    <row r="21015" spans="1:5" x14ac:dyDescent="0.25">
      <c r="A21015">
        <v>21014</v>
      </c>
      <c r="B21015">
        <v>8589560</v>
      </c>
      <c r="C21015" s="1" t="str">
        <f>HYPERLINK("http://stackoverflow.com/users/8589560", "AltBOC")</f>
        <v>AltBOC</v>
      </c>
      <c r="D21015" t="s">
        <v>4</v>
      </c>
      <c r="E21015">
        <v>1</v>
      </c>
    </row>
    <row r="21016" spans="1:5" x14ac:dyDescent="0.25">
      <c r="A21016">
        <v>21015</v>
      </c>
      <c r="B21016">
        <v>8589632</v>
      </c>
      <c r="C21016" s="1" t="str">
        <f>HYPERLINK("http://stackoverflow.com/users/8589632", "Robin chou")</f>
        <v>Robin chou</v>
      </c>
      <c r="D21016" t="s">
        <v>43</v>
      </c>
      <c r="E21016">
        <v>1</v>
      </c>
    </row>
    <row r="21017" spans="1:5" x14ac:dyDescent="0.25">
      <c r="A21017">
        <v>21016</v>
      </c>
      <c r="B21017">
        <v>8589690</v>
      </c>
      <c r="C21017" s="1" t="str">
        <f>HYPERLINK("http://stackoverflow.com/users/8589690", "glorysdj")</f>
        <v>glorysdj</v>
      </c>
      <c r="D21017" t="s">
        <v>120</v>
      </c>
      <c r="E21017">
        <v>1</v>
      </c>
    </row>
    <row r="21018" spans="1:5" x14ac:dyDescent="0.25">
      <c r="A21018">
        <v>21017</v>
      </c>
      <c r="B21018">
        <v>8589700</v>
      </c>
      <c r="C21018" s="1" t="str">
        <f>HYPERLINK("http://stackoverflow.com/users/8589700", "周羲和")</f>
        <v>周羲和</v>
      </c>
      <c r="D21018" t="s">
        <v>135</v>
      </c>
      <c r="E21018">
        <v>1</v>
      </c>
    </row>
    <row r="21019" spans="1:5" x14ac:dyDescent="0.25">
      <c r="A21019">
        <v>21018</v>
      </c>
      <c r="B21019">
        <v>5032496</v>
      </c>
      <c r="C21019" s="1" t="str">
        <f>HYPERLINK("http://stackoverflow.com/users/5032496", "lozio")</f>
        <v>lozio</v>
      </c>
      <c r="D21019" t="s">
        <v>21</v>
      </c>
      <c r="E21019">
        <v>1</v>
      </c>
    </row>
    <row r="21020" spans="1:5" x14ac:dyDescent="0.25">
      <c r="A21020">
        <v>21019</v>
      </c>
      <c r="B21020">
        <v>6768664</v>
      </c>
      <c r="C21020" s="1" t="str">
        <f>HYPERLINK("http://stackoverflow.com/users/6768664", "jiaxing qin")</f>
        <v>jiaxing qin</v>
      </c>
      <c r="D21020" t="s">
        <v>1111</v>
      </c>
      <c r="E21020">
        <v>1</v>
      </c>
    </row>
    <row r="21021" spans="1:5" x14ac:dyDescent="0.25">
      <c r="A21021">
        <v>21020</v>
      </c>
      <c r="B21021">
        <v>6769019</v>
      </c>
      <c r="C21021" s="1" t="str">
        <f>HYPERLINK("http://stackoverflow.com/users/6769019", "ExDevilLee")</f>
        <v>ExDevilLee</v>
      </c>
      <c r="D21021" t="s">
        <v>131</v>
      </c>
      <c r="E21021">
        <v>1</v>
      </c>
    </row>
    <row r="21022" spans="1:5" x14ac:dyDescent="0.25">
      <c r="A21022">
        <v>21021</v>
      </c>
      <c r="B21022">
        <v>3235297</v>
      </c>
      <c r="C21022" s="1" t="str">
        <f>HYPERLINK("http://stackoverflow.com/users/3235297", "Eli Zeng")</f>
        <v>Eli Zeng</v>
      </c>
      <c r="D21022" t="s">
        <v>5</v>
      </c>
      <c r="E21022">
        <v>1</v>
      </c>
    </row>
    <row r="21023" spans="1:5" x14ac:dyDescent="0.25">
      <c r="A21023">
        <v>21022</v>
      </c>
      <c r="B21023">
        <v>3238942</v>
      </c>
      <c r="C21023" s="1" t="str">
        <f>HYPERLINK("http://stackoverflow.com/users/3238942", "Xavier")</f>
        <v>Xavier</v>
      </c>
      <c r="D21023" t="s">
        <v>4</v>
      </c>
      <c r="E21023">
        <v>1</v>
      </c>
    </row>
    <row r="21024" spans="1:5" x14ac:dyDescent="0.25">
      <c r="A21024">
        <v>21023</v>
      </c>
      <c r="B21024">
        <v>3239051</v>
      </c>
      <c r="C21024" s="1" t="str">
        <f>HYPERLINK("http://stackoverflow.com/users/3239051", "dmyang")</f>
        <v>dmyang</v>
      </c>
      <c r="D21024" t="s">
        <v>17</v>
      </c>
      <c r="E21024">
        <v>1</v>
      </c>
    </row>
    <row r="21025" spans="1:5" x14ac:dyDescent="0.25">
      <c r="A21025">
        <v>21024</v>
      </c>
      <c r="B21025">
        <v>8595107</v>
      </c>
      <c r="C21025" s="1" t="str">
        <f>HYPERLINK("http://stackoverflow.com/users/8595107", "Mojun Qian")</f>
        <v>Mojun Qian</v>
      </c>
      <c r="D21025" t="s">
        <v>4</v>
      </c>
      <c r="E21025">
        <v>1</v>
      </c>
    </row>
    <row r="21026" spans="1:5" x14ac:dyDescent="0.25">
      <c r="A21026">
        <v>21025</v>
      </c>
      <c r="B21026">
        <v>8595136</v>
      </c>
      <c r="C21026" s="1" t="str">
        <f>HYPERLINK("http://stackoverflow.com/users/8595136", "halley Liu")</f>
        <v>halley Liu</v>
      </c>
      <c r="D21026" t="s">
        <v>4</v>
      </c>
      <c r="E21026">
        <v>1</v>
      </c>
    </row>
    <row r="21027" spans="1:5" x14ac:dyDescent="0.25">
      <c r="A21027">
        <v>21026</v>
      </c>
      <c r="B21027">
        <v>8595269</v>
      </c>
      <c r="C21027" s="1" t="str">
        <f>HYPERLINK("http://stackoverflow.com/users/8595269", "iclosed")</f>
        <v>iclosed</v>
      </c>
      <c r="D21027" t="s">
        <v>135</v>
      </c>
      <c r="E21027">
        <v>1</v>
      </c>
    </row>
    <row r="21028" spans="1:5" x14ac:dyDescent="0.25">
      <c r="A21028">
        <v>21027</v>
      </c>
      <c r="B21028">
        <v>8595824</v>
      </c>
      <c r="C21028" s="1" t="str">
        <f>HYPERLINK("http://stackoverflow.com/users/8595824", "Gilbert Zhu")</f>
        <v>Gilbert Zhu</v>
      </c>
      <c r="D21028" t="s">
        <v>4</v>
      </c>
      <c r="E21028">
        <v>1</v>
      </c>
    </row>
    <row r="21029" spans="1:5" x14ac:dyDescent="0.25">
      <c r="A21029">
        <v>21028</v>
      </c>
      <c r="B21029">
        <v>10412056</v>
      </c>
      <c r="C21029" s="1" t="str">
        <f>HYPERLINK("http://stackoverflow.com/users/10412056", "user10412056")</f>
        <v>user10412056</v>
      </c>
      <c r="D21029" t="s">
        <v>19</v>
      </c>
      <c r="E21029">
        <v>1</v>
      </c>
    </row>
    <row r="21030" spans="1:5" x14ac:dyDescent="0.25">
      <c r="A21030">
        <v>21029</v>
      </c>
      <c r="B21030">
        <v>5041207</v>
      </c>
      <c r="C21030" s="1" t="str">
        <f>HYPERLINK("http://stackoverflow.com/users/5041207", "chyyuu")</f>
        <v>chyyuu</v>
      </c>
      <c r="D21030" t="s">
        <v>5</v>
      </c>
      <c r="E21030">
        <v>1</v>
      </c>
    </row>
    <row r="21031" spans="1:5" x14ac:dyDescent="0.25">
      <c r="A21031">
        <v>21030</v>
      </c>
      <c r="B21031">
        <v>10416122</v>
      </c>
      <c r="C21031" s="1" t="str">
        <f>HYPERLINK("http://stackoverflow.com/users/10416122", "reveriel")</f>
        <v>reveriel</v>
      </c>
      <c r="D21031" t="s">
        <v>12</v>
      </c>
      <c r="E21031">
        <v>1</v>
      </c>
    </row>
    <row r="21032" spans="1:5" x14ac:dyDescent="0.25">
      <c r="A21032">
        <v>21031</v>
      </c>
      <c r="B21032">
        <v>8602482</v>
      </c>
      <c r="C21032" s="1" t="str">
        <f>HYPERLINK("http://stackoverflow.com/users/8602482", "Feilong Lu")</f>
        <v>Feilong Lu</v>
      </c>
      <c r="D21032" t="s">
        <v>28</v>
      </c>
      <c r="E21032">
        <v>1</v>
      </c>
    </row>
    <row r="21033" spans="1:5" x14ac:dyDescent="0.25">
      <c r="A21033">
        <v>21032</v>
      </c>
      <c r="B21033">
        <v>8602486</v>
      </c>
      <c r="C21033" s="1" t="str">
        <f>HYPERLINK("http://stackoverflow.com/users/8602486", "范富瀚")</f>
        <v>范富瀚</v>
      </c>
      <c r="D21033" t="s">
        <v>1112</v>
      </c>
      <c r="E21033">
        <v>1</v>
      </c>
    </row>
    <row r="21034" spans="1:5" x14ac:dyDescent="0.25">
      <c r="A21034">
        <v>21033</v>
      </c>
      <c r="B21034">
        <v>8603218</v>
      </c>
      <c r="C21034" s="1" t="str">
        <f>HYPERLINK("http://stackoverflow.com/users/8603218", "Hankel BAO")</f>
        <v>Hankel BAO</v>
      </c>
      <c r="D21034" t="s">
        <v>43</v>
      </c>
      <c r="E21034">
        <v>1</v>
      </c>
    </row>
    <row r="21035" spans="1:5" x14ac:dyDescent="0.25">
      <c r="A21035">
        <v>21034</v>
      </c>
      <c r="B21035">
        <v>10388766</v>
      </c>
      <c r="C21035" s="1" t="str">
        <f>HYPERLINK("http://stackoverflow.com/users/10388766", "pingyang wu")</f>
        <v>pingyang wu</v>
      </c>
      <c r="D21035" t="s">
        <v>135</v>
      </c>
      <c r="E21035">
        <v>1</v>
      </c>
    </row>
    <row r="21036" spans="1:5" x14ac:dyDescent="0.25">
      <c r="A21036">
        <v>21035</v>
      </c>
      <c r="B21036">
        <v>10388769</v>
      </c>
      <c r="C21036" s="1" t="str">
        <f>HYPERLINK("http://stackoverflow.com/users/10388769", "JACK Zheng")</f>
        <v>JACK Zheng</v>
      </c>
      <c r="D21036" t="s">
        <v>47</v>
      </c>
      <c r="E21036">
        <v>1</v>
      </c>
    </row>
    <row r="21037" spans="1:5" x14ac:dyDescent="0.25">
      <c r="A21037">
        <v>21036</v>
      </c>
      <c r="B21037">
        <v>10388953</v>
      </c>
      <c r="C21037" s="1" t="str">
        <f>HYPERLINK("http://stackoverflow.com/users/10388953", "Jian Tan")</f>
        <v>Jian Tan</v>
      </c>
      <c r="D21037" t="s">
        <v>4</v>
      </c>
      <c r="E21037">
        <v>1</v>
      </c>
    </row>
    <row r="21038" spans="1:5" x14ac:dyDescent="0.25">
      <c r="A21038">
        <v>21037</v>
      </c>
      <c r="B21038">
        <v>10389120</v>
      </c>
      <c r="C21038" s="1" t="str">
        <f>HYPERLINK("http://stackoverflow.com/users/10389120", "fcolaco")</f>
        <v>fcolaco</v>
      </c>
      <c r="D21038" t="s">
        <v>5</v>
      </c>
      <c r="E21038">
        <v>1</v>
      </c>
    </row>
    <row r="21039" spans="1:5" x14ac:dyDescent="0.25">
      <c r="A21039">
        <v>21038</v>
      </c>
      <c r="B21039">
        <v>5020030</v>
      </c>
      <c r="C21039" s="1" t="str">
        <f>HYPERLINK("http://stackoverflow.com/users/5020030", "Harold Liu")</f>
        <v>Harold Liu</v>
      </c>
      <c r="D21039" t="s">
        <v>4</v>
      </c>
      <c r="E21039">
        <v>1</v>
      </c>
    </row>
    <row r="21040" spans="1:5" x14ac:dyDescent="0.25">
      <c r="A21040">
        <v>21039</v>
      </c>
      <c r="B21040">
        <v>1308231</v>
      </c>
      <c r="C21040" s="1" t="str">
        <f>HYPERLINK("http://stackoverflow.com/users/1308231", "Rick Luo")</f>
        <v>Rick Luo</v>
      </c>
      <c r="D21040" t="s">
        <v>52</v>
      </c>
      <c r="E21040">
        <v>1</v>
      </c>
    </row>
    <row r="21041" spans="1:5" x14ac:dyDescent="0.25">
      <c r="A21041">
        <v>21040</v>
      </c>
      <c r="B21041">
        <v>1308642</v>
      </c>
      <c r="C21041" s="1" t="str">
        <f>HYPERLINK("http://stackoverflow.com/users/1308642", "meixr")</f>
        <v>meixr</v>
      </c>
      <c r="D21041" t="s">
        <v>5</v>
      </c>
      <c r="E21041">
        <v>1</v>
      </c>
    </row>
    <row r="21042" spans="1:5" x14ac:dyDescent="0.25">
      <c r="A21042">
        <v>21041</v>
      </c>
      <c r="B21042">
        <v>1319197</v>
      </c>
      <c r="C21042" s="1" t="str">
        <f>HYPERLINK("http://stackoverflow.com/users/1319197", "SivaGao")</f>
        <v>SivaGao</v>
      </c>
      <c r="D21042" t="s">
        <v>5</v>
      </c>
      <c r="E21042">
        <v>1</v>
      </c>
    </row>
    <row r="21043" spans="1:5" x14ac:dyDescent="0.25">
      <c r="A21043">
        <v>21042</v>
      </c>
      <c r="B21043">
        <v>3205451</v>
      </c>
      <c r="C21043" s="1" t="str">
        <f>HYPERLINK("http://stackoverflow.com/users/3205451", "wt1098078873")</f>
        <v>wt1098078873</v>
      </c>
      <c r="D21043" t="s">
        <v>4</v>
      </c>
      <c r="E21043">
        <v>1</v>
      </c>
    </row>
    <row r="21044" spans="1:5" x14ac:dyDescent="0.25">
      <c r="A21044">
        <v>21043</v>
      </c>
      <c r="B21044">
        <v>1307221</v>
      </c>
      <c r="C21044" s="1" t="str">
        <f>HYPERLINK("http://stackoverflow.com/users/1307221", "Rao_risk")</f>
        <v>Rao_risk</v>
      </c>
      <c r="D21044" t="s">
        <v>5</v>
      </c>
      <c r="E21044">
        <v>1</v>
      </c>
    </row>
    <row r="21045" spans="1:5" x14ac:dyDescent="0.25">
      <c r="A21045">
        <v>21044</v>
      </c>
      <c r="B21045">
        <v>5013398</v>
      </c>
      <c r="C21045" s="1" t="str">
        <f>HYPERLINK("http://stackoverflow.com/users/5013398", "James Zhao")</f>
        <v>James Zhao</v>
      </c>
      <c r="D21045" t="s">
        <v>5</v>
      </c>
      <c r="E21045">
        <v>1</v>
      </c>
    </row>
    <row r="21046" spans="1:5" x14ac:dyDescent="0.25">
      <c r="A21046">
        <v>21045</v>
      </c>
      <c r="B21046">
        <v>5010124</v>
      </c>
      <c r="C21046" s="1" t="str">
        <f>HYPERLINK("http://stackoverflow.com/users/5010124", "Harry Ding")</f>
        <v>Harry Ding</v>
      </c>
      <c r="D21046" t="s">
        <v>54</v>
      </c>
      <c r="E21046">
        <v>1</v>
      </c>
    </row>
    <row r="21047" spans="1:5" x14ac:dyDescent="0.25">
      <c r="A21047">
        <v>21046</v>
      </c>
      <c r="B21047">
        <v>5010238</v>
      </c>
      <c r="C21047" s="1" t="str">
        <f>HYPERLINK("http://stackoverflow.com/users/5010238", "Liu Yan")</f>
        <v>Liu Yan</v>
      </c>
      <c r="D21047" t="s">
        <v>5</v>
      </c>
      <c r="E21047">
        <v>1</v>
      </c>
    </row>
    <row r="21048" spans="1:5" x14ac:dyDescent="0.25">
      <c r="A21048">
        <v>21047</v>
      </c>
      <c r="B21048">
        <v>3205091</v>
      </c>
      <c r="C21048" s="1" t="str">
        <f>HYPERLINK("http://stackoverflow.com/users/3205091", "user3205091")</f>
        <v>user3205091</v>
      </c>
      <c r="D21048" t="s">
        <v>21</v>
      </c>
      <c r="E21048">
        <v>1</v>
      </c>
    </row>
    <row r="21049" spans="1:5" x14ac:dyDescent="0.25">
      <c r="A21049">
        <v>21048</v>
      </c>
      <c r="B21049">
        <v>3205165</v>
      </c>
      <c r="C21049" s="1" t="str">
        <f>HYPERLINK("http://stackoverflow.com/users/3205165", "small pudding")</f>
        <v>small pudding</v>
      </c>
      <c r="D21049" t="s">
        <v>5</v>
      </c>
      <c r="E21049">
        <v>1</v>
      </c>
    </row>
    <row r="21050" spans="1:5" x14ac:dyDescent="0.25">
      <c r="A21050">
        <v>21049</v>
      </c>
      <c r="B21050">
        <v>3205196</v>
      </c>
      <c r="C21050" s="1" t="str">
        <f>HYPERLINK("http://stackoverflow.com/users/3205196", "user3205196")</f>
        <v>user3205196</v>
      </c>
      <c r="D21050" t="s">
        <v>4</v>
      </c>
      <c r="E21050">
        <v>1</v>
      </c>
    </row>
    <row r="21051" spans="1:5" x14ac:dyDescent="0.25">
      <c r="A21051">
        <v>21050</v>
      </c>
      <c r="B21051">
        <v>5013544</v>
      </c>
      <c r="C21051" s="1" t="str">
        <f>HYPERLINK("http://stackoverflow.com/users/5013544", "neilwu")</f>
        <v>neilwu</v>
      </c>
      <c r="D21051" t="s">
        <v>22</v>
      </c>
      <c r="E21051">
        <v>1</v>
      </c>
    </row>
    <row r="21052" spans="1:5" x14ac:dyDescent="0.25">
      <c r="A21052">
        <v>21051</v>
      </c>
      <c r="B21052">
        <v>3201593</v>
      </c>
      <c r="C21052" s="1" t="str">
        <f>HYPERLINK("http://stackoverflow.com/users/3201593", "Phodal")</f>
        <v>Phodal</v>
      </c>
      <c r="D21052" t="s">
        <v>54</v>
      </c>
      <c r="E21052">
        <v>1</v>
      </c>
    </row>
    <row r="21053" spans="1:5" x14ac:dyDescent="0.25">
      <c r="A21053">
        <v>21052</v>
      </c>
      <c r="B21053">
        <v>10384157</v>
      </c>
      <c r="C21053" s="1" t="str">
        <f>HYPERLINK("http://stackoverflow.com/users/10384157", "Luofang3")</f>
        <v>Luofang3</v>
      </c>
      <c r="D21053" t="s">
        <v>4</v>
      </c>
      <c r="E21053">
        <v>1</v>
      </c>
    </row>
    <row r="21054" spans="1:5" x14ac:dyDescent="0.25">
      <c r="A21054">
        <v>21053</v>
      </c>
      <c r="B21054">
        <v>10384212</v>
      </c>
      <c r="C21054" s="1" t="str">
        <f>HYPERLINK("http://stackoverflow.com/users/10384212", "CathyChen")</f>
        <v>CathyChen</v>
      </c>
      <c r="D21054" t="s">
        <v>25</v>
      </c>
      <c r="E21054">
        <v>1</v>
      </c>
    </row>
    <row r="21055" spans="1:5" x14ac:dyDescent="0.25">
      <c r="A21055">
        <v>21054</v>
      </c>
      <c r="B21055">
        <v>10384430</v>
      </c>
      <c r="C21055" s="1" t="str">
        <f>HYPERLINK("http://stackoverflow.com/users/10384430", "Jiuxin Zhang")</f>
        <v>Jiuxin Zhang</v>
      </c>
      <c r="D21055" t="s">
        <v>4</v>
      </c>
      <c r="E21055">
        <v>1</v>
      </c>
    </row>
    <row r="21056" spans="1:5" x14ac:dyDescent="0.25">
      <c r="A21056">
        <v>21055</v>
      </c>
      <c r="B21056">
        <v>10384579</v>
      </c>
      <c r="C21056" s="1" t="str">
        <f>HYPERLINK("http://stackoverflow.com/users/10384579", "fozza")</f>
        <v>fozza</v>
      </c>
      <c r="D21056" t="s">
        <v>1113</v>
      </c>
      <c r="E21056">
        <v>1</v>
      </c>
    </row>
    <row r="21057" spans="1:5" x14ac:dyDescent="0.25">
      <c r="A21057">
        <v>21056</v>
      </c>
      <c r="B21057">
        <v>8570993</v>
      </c>
      <c r="C21057" s="1" t="str">
        <f>HYPERLINK("http://stackoverflow.com/users/8570993", "Imron Adi Laksono")</f>
        <v>Imron Adi Laksono</v>
      </c>
      <c r="D21057" t="s">
        <v>55</v>
      </c>
      <c r="E21057">
        <v>1</v>
      </c>
    </row>
    <row r="21058" spans="1:5" x14ac:dyDescent="0.25">
      <c r="A21058">
        <v>21057</v>
      </c>
      <c r="B21058">
        <v>3204902</v>
      </c>
      <c r="C21058" s="1" t="str">
        <f>HYPERLINK("http://stackoverflow.com/users/3204902", "phantom")</f>
        <v>phantom</v>
      </c>
      <c r="D21058" t="s">
        <v>4</v>
      </c>
      <c r="E21058">
        <v>1</v>
      </c>
    </row>
    <row r="21059" spans="1:5" x14ac:dyDescent="0.25">
      <c r="A21059">
        <v>21058</v>
      </c>
      <c r="B21059">
        <v>10371107</v>
      </c>
      <c r="C21059" s="1" t="str">
        <f>HYPERLINK("http://stackoverflow.com/users/10371107", "Tephereth")</f>
        <v>Tephereth</v>
      </c>
      <c r="D21059" t="s">
        <v>28</v>
      </c>
      <c r="E21059">
        <v>1</v>
      </c>
    </row>
    <row r="21060" spans="1:5" x14ac:dyDescent="0.25">
      <c r="A21060">
        <v>21059</v>
      </c>
      <c r="B21060">
        <v>8558133</v>
      </c>
      <c r="C21060" s="1" t="str">
        <f>HYPERLINK("http://stackoverflow.com/users/8558133", "Suplumb")</f>
        <v>Suplumb</v>
      </c>
      <c r="D21060" t="s">
        <v>11</v>
      </c>
      <c r="E21060">
        <v>1</v>
      </c>
    </row>
    <row r="21061" spans="1:5" x14ac:dyDescent="0.25">
      <c r="A21061">
        <v>21060</v>
      </c>
      <c r="B21061">
        <v>8558407</v>
      </c>
      <c r="C21061" s="1" t="str">
        <f>HYPERLINK("http://stackoverflow.com/users/8558407", "MianHuaTang")</f>
        <v>MianHuaTang</v>
      </c>
      <c r="D21061" t="s">
        <v>5</v>
      </c>
      <c r="E21061">
        <v>1</v>
      </c>
    </row>
    <row r="21062" spans="1:5" x14ac:dyDescent="0.25">
      <c r="A21062">
        <v>21061</v>
      </c>
      <c r="B21062">
        <v>1289590</v>
      </c>
      <c r="C21062" s="1" t="str">
        <f>HYPERLINK("http://stackoverflow.com/users/1289590", "semooncun")</f>
        <v>semooncun</v>
      </c>
      <c r="D21062" t="s">
        <v>4</v>
      </c>
      <c r="E21062">
        <v>1</v>
      </c>
    </row>
    <row r="21063" spans="1:5" x14ac:dyDescent="0.25">
      <c r="A21063">
        <v>21062</v>
      </c>
      <c r="B21063">
        <v>1280694</v>
      </c>
      <c r="C21063" s="1" t="str">
        <f>HYPERLINK("http://stackoverflow.com/users/1280694", "xinglu")</f>
        <v>xinglu</v>
      </c>
      <c r="D21063" t="s">
        <v>21</v>
      </c>
      <c r="E21063">
        <v>1</v>
      </c>
    </row>
    <row r="21064" spans="1:5" x14ac:dyDescent="0.25">
      <c r="A21064">
        <v>21063</v>
      </c>
      <c r="B21064">
        <v>3192818</v>
      </c>
      <c r="C21064" s="1" t="str">
        <f>HYPERLINK("http://stackoverflow.com/users/3192818", "namelysweet")</f>
        <v>namelysweet</v>
      </c>
      <c r="D21064" t="s">
        <v>5</v>
      </c>
      <c r="E21064">
        <v>1</v>
      </c>
    </row>
    <row r="21065" spans="1:5" x14ac:dyDescent="0.25">
      <c r="A21065">
        <v>21064</v>
      </c>
      <c r="B21065">
        <v>3192833</v>
      </c>
      <c r="C21065" s="1" t="str">
        <f>HYPERLINK("http://stackoverflow.com/users/3192833", "Han Xiao")</f>
        <v>Han Xiao</v>
      </c>
      <c r="D21065" t="s">
        <v>62</v>
      </c>
      <c r="E21065">
        <v>1</v>
      </c>
    </row>
    <row r="21066" spans="1:5" x14ac:dyDescent="0.25">
      <c r="A21066">
        <v>21065</v>
      </c>
      <c r="B21066">
        <v>3192917</v>
      </c>
      <c r="C21066" s="1" t="str">
        <f>HYPERLINK("http://stackoverflow.com/users/3192917", "yuhualingfeng")</f>
        <v>yuhualingfeng</v>
      </c>
      <c r="D21066" t="s">
        <v>22</v>
      </c>
      <c r="E21066">
        <v>1</v>
      </c>
    </row>
    <row r="21067" spans="1:5" x14ac:dyDescent="0.25">
      <c r="A21067">
        <v>21066</v>
      </c>
      <c r="B21067">
        <v>5010016</v>
      </c>
      <c r="C21067" s="1" t="str">
        <f>HYPERLINK("http://stackoverflow.com/users/5010016", "Vivid Sunshine")</f>
        <v>Vivid Sunshine</v>
      </c>
      <c r="D21067" t="s">
        <v>12</v>
      </c>
      <c r="E21067">
        <v>1</v>
      </c>
    </row>
    <row r="21068" spans="1:5" x14ac:dyDescent="0.25">
      <c r="A21068">
        <v>21067</v>
      </c>
      <c r="B21068">
        <v>1290779</v>
      </c>
      <c r="C21068" s="1" t="str">
        <f>HYPERLINK("http://stackoverflow.com/users/1290779", "陆仁周")</f>
        <v>陆仁周</v>
      </c>
      <c r="D21068" t="s">
        <v>4</v>
      </c>
      <c r="E21068">
        <v>1</v>
      </c>
    </row>
    <row r="21069" spans="1:5" x14ac:dyDescent="0.25">
      <c r="A21069">
        <v>21068</v>
      </c>
      <c r="B21069">
        <v>5009502</v>
      </c>
      <c r="C21069" s="1" t="str">
        <f>HYPERLINK("http://stackoverflow.com/users/5009502", "ZHOU Zhang")</f>
        <v>ZHOU Zhang</v>
      </c>
      <c r="D21069" t="s">
        <v>5</v>
      </c>
      <c r="E21069">
        <v>1</v>
      </c>
    </row>
    <row r="21070" spans="1:5" x14ac:dyDescent="0.25">
      <c r="A21070">
        <v>21069</v>
      </c>
      <c r="B21070">
        <v>5009592</v>
      </c>
      <c r="C21070" s="1" t="str">
        <f>HYPERLINK("http://stackoverflow.com/users/5009592", "Jecox")</f>
        <v>Jecox</v>
      </c>
      <c r="D21070" t="s">
        <v>5</v>
      </c>
      <c r="E21070">
        <v>1</v>
      </c>
    </row>
    <row r="21071" spans="1:5" x14ac:dyDescent="0.25">
      <c r="A21071">
        <v>21070</v>
      </c>
      <c r="B21071">
        <v>5010353</v>
      </c>
      <c r="C21071" s="1" t="str">
        <f>HYPERLINK("http://stackoverflow.com/users/5010353", "Yukun Sun")</f>
        <v>Yukun Sun</v>
      </c>
      <c r="D21071" t="s">
        <v>5</v>
      </c>
      <c r="E21071">
        <v>1</v>
      </c>
    </row>
    <row r="21072" spans="1:5" x14ac:dyDescent="0.25">
      <c r="A21072">
        <v>21071</v>
      </c>
      <c r="B21072">
        <v>8563745</v>
      </c>
      <c r="C21072" s="1" t="str">
        <f>HYPERLINK("http://stackoverflow.com/users/8563745", "朱晓杰")</f>
        <v>朱晓杰</v>
      </c>
      <c r="D21072" t="s">
        <v>52</v>
      </c>
      <c r="E21072">
        <v>1</v>
      </c>
    </row>
    <row r="21073" spans="1:5" x14ac:dyDescent="0.25">
      <c r="A21073">
        <v>21072</v>
      </c>
      <c r="B21073">
        <v>8564301</v>
      </c>
      <c r="C21073" s="1" t="str">
        <f>HYPERLINK("http://stackoverflow.com/users/8564301", "Zimu Yi")</f>
        <v>Zimu Yi</v>
      </c>
      <c r="D21073" t="s">
        <v>5</v>
      </c>
      <c r="E21073">
        <v>1</v>
      </c>
    </row>
    <row r="21074" spans="1:5" x14ac:dyDescent="0.25">
      <c r="A21074">
        <v>21073</v>
      </c>
      <c r="B21074">
        <v>8564406</v>
      </c>
      <c r="C21074" s="1" t="str">
        <f>HYPERLINK("http://stackoverflow.com/users/8564406", "jin zhao")</f>
        <v>jin zhao</v>
      </c>
      <c r="D21074" t="s">
        <v>5</v>
      </c>
      <c r="E21074">
        <v>1</v>
      </c>
    </row>
    <row r="21075" spans="1:5" x14ac:dyDescent="0.25">
      <c r="A21075">
        <v>21074</v>
      </c>
      <c r="B21075">
        <v>8568047</v>
      </c>
      <c r="C21075" s="1" t="str">
        <f>HYPERLINK("http://stackoverflow.com/users/8568047", "Ruilin Huang")</f>
        <v>Ruilin Huang</v>
      </c>
      <c r="D21075" t="s">
        <v>25</v>
      </c>
      <c r="E21075">
        <v>1</v>
      </c>
    </row>
    <row r="21076" spans="1:5" x14ac:dyDescent="0.25">
      <c r="A21076">
        <v>21075</v>
      </c>
      <c r="B21076">
        <v>8568060</v>
      </c>
      <c r="C21076" s="1" t="str">
        <f>HYPERLINK("http://stackoverflow.com/users/8568060", "Preter.Lee")</f>
        <v>Preter.Lee</v>
      </c>
      <c r="D21076" t="s">
        <v>7</v>
      </c>
      <c r="E21076">
        <v>1</v>
      </c>
    </row>
    <row r="21077" spans="1:5" x14ac:dyDescent="0.25">
      <c r="A21077">
        <v>21076</v>
      </c>
      <c r="B21077">
        <v>6736985</v>
      </c>
      <c r="C21077" s="1" t="str">
        <f>HYPERLINK("http://stackoverflow.com/users/6736985", "Broadmind")</f>
        <v>Broadmind</v>
      </c>
      <c r="D21077" t="s">
        <v>248</v>
      </c>
      <c r="E21077">
        <v>1</v>
      </c>
    </row>
    <row r="21078" spans="1:5" x14ac:dyDescent="0.25">
      <c r="A21078">
        <v>21077</v>
      </c>
      <c r="B21078">
        <v>4997144</v>
      </c>
      <c r="C21078" s="1" t="str">
        <f>HYPERLINK("http://stackoverflow.com/users/4997144", "caixingke")</f>
        <v>caixingke</v>
      </c>
      <c r="D21078" t="s">
        <v>17</v>
      </c>
      <c r="E21078">
        <v>1</v>
      </c>
    </row>
    <row r="21079" spans="1:5" x14ac:dyDescent="0.25">
      <c r="A21079">
        <v>21078</v>
      </c>
      <c r="B21079">
        <v>4997258</v>
      </c>
      <c r="C21079" s="1" t="str">
        <f>HYPERLINK("http://stackoverflow.com/users/4997258", "fmricky")</f>
        <v>fmricky</v>
      </c>
      <c r="D21079" t="s">
        <v>15</v>
      </c>
      <c r="E21079">
        <v>1</v>
      </c>
    </row>
    <row r="21080" spans="1:5" x14ac:dyDescent="0.25">
      <c r="A21080">
        <v>21079</v>
      </c>
      <c r="B21080">
        <v>3185073</v>
      </c>
      <c r="C21080" s="1" t="str">
        <f>HYPERLINK("http://stackoverflow.com/users/3185073", "JimShu")</f>
        <v>JimShu</v>
      </c>
      <c r="D21080" t="s">
        <v>4</v>
      </c>
      <c r="E21080">
        <v>1</v>
      </c>
    </row>
    <row r="21081" spans="1:5" x14ac:dyDescent="0.25">
      <c r="A21081">
        <v>21080</v>
      </c>
      <c r="B21081">
        <v>4997281</v>
      </c>
      <c r="C21081" s="1" t="str">
        <f>HYPERLINK("http://stackoverflow.com/users/4997281", "homfen")</f>
        <v>homfen</v>
      </c>
      <c r="D21081" t="s">
        <v>4</v>
      </c>
      <c r="E21081">
        <v>1</v>
      </c>
    </row>
    <row r="21082" spans="1:5" x14ac:dyDescent="0.25">
      <c r="A21082">
        <v>21081</v>
      </c>
      <c r="B21082">
        <v>10362709</v>
      </c>
      <c r="C21082" s="1" t="str">
        <f>HYPERLINK("http://stackoverflow.com/users/10362709", "Erin Yang")</f>
        <v>Erin Yang</v>
      </c>
      <c r="D21082" t="s">
        <v>17</v>
      </c>
      <c r="E21082">
        <v>1</v>
      </c>
    </row>
    <row r="21083" spans="1:5" x14ac:dyDescent="0.25">
      <c r="A21083">
        <v>21082</v>
      </c>
      <c r="B21083">
        <v>6716161</v>
      </c>
      <c r="C21083" s="1" t="str">
        <f>HYPERLINK("http://stackoverflow.com/users/6716161", "Feng Ma")</f>
        <v>Feng Ma</v>
      </c>
      <c r="D21083" t="s">
        <v>6</v>
      </c>
      <c r="E21083">
        <v>1</v>
      </c>
    </row>
    <row r="21084" spans="1:5" x14ac:dyDescent="0.25">
      <c r="A21084">
        <v>21083</v>
      </c>
      <c r="B21084">
        <v>4993139</v>
      </c>
      <c r="C21084" s="1" t="str">
        <f>HYPERLINK("http://stackoverflow.com/users/4993139", "Zeson")</f>
        <v>Zeson</v>
      </c>
      <c r="D21084" t="s">
        <v>4</v>
      </c>
      <c r="E21084">
        <v>1</v>
      </c>
    </row>
    <row r="21085" spans="1:5" x14ac:dyDescent="0.25">
      <c r="A21085">
        <v>21084</v>
      </c>
      <c r="B21085">
        <v>8558115</v>
      </c>
      <c r="C21085" s="1" t="str">
        <f>HYPERLINK("http://stackoverflow.com/users/8558115", "ppx")</f>
        <v>ppx</v>
      </c>
      <c r="D21085" t="s">
        <v>91</v>
      </c>
      <c r="E21085">
        <v>1</v>
      </c>
    </row>
    <row r="21086" spans="1:5" x14ac:dyDescent="0.25">
      <c r="A21086">
        <v>21085</v>
      </c>
      <c r="B21086">
        <v>3192454</v>
      </c>
      <c r="C21086" s="1" t="str">
        <f>HYPERLINK("http://stackoverflow.com/users/3192454", "user3192454")</f>
        <v>user3192454</v>
      </c>
      <c r="D21086" t="s">
        <v>169</v>
      </c>
      <c r="E21086">
        <v>1</v>
      </c>
    </row>
    <row r="21087" spans="1:5" x14ac:dyDescent="0.25">
      <c r="A21087">
        <v>21086</v>
      </c>
      <c r="B21087">
        <v>3188729</v>
      </c>
      <c r="C21087" s="1" t="str">
        <f>HYPERLINK("http://stackoverflow.com/users/3188729", "wrd")</f>
        <v>wrd</v>
      </c>
      <c r="D21087" t="s">
        <v>63</v>
      </c>
      <c r="E21087">
        <v>1</v>
      </c>
    </row>
    <row r="21088" spans="1:5" x14ac:dyDescent="0.25">
      <c r="A21088">
        <v>21087</v>
      </c>
      <c r="B21088">
        <v>3188896</v>
      </c>
      <c r="C21088" s="1" t="str">
        <f>HYPERLINK("http://stackoverflow.com/users/3188896", "qxhy123")</f>
        <v>qxhy123</v>
      </c>
      <c r="D21088" t="s">
        <v>54</v>
      </c>
      <c r="E21088">
        <v>1</v>
      </c>
    </row>
    <row r="21089" spans="1:5" x14ac:dyDescent="0.25">
      <c r="A21089">
        <v>21088</v>
      </c>
      <c r="B21089">
        <v>10366487</v>
      </c>
      <c r="C21089" s="1" t="str">
        <f>HYPERLINK("http://stackoverflow.com/users/10366487", "Nell Du")</f>
        <v>Nell Du</v>
      </c>
      <c r="D21089" t="s">
        <v>7</v>
      </c>
      <c r="E21089">
        <v>1</v>
      </c>
    </row>
    <row r="21090" spans="1:5" x14ac:dyDescent="0.25">
      <c r="A21090">
        <v>21089</v>
      </c>
      <c r="B21090">
        <v>10366501</v>
      </c>
      <c r="C21090" s="1" t="str">
        <f>HYPERLINK("http://stackoverflow.com/users/10366501", "Peng Sun")</f>
        <v>Peng Sun</v>
      </c>
      <c r="D21090" t="s">
        <v>5</v>
      </c>
      <c r="E21090">
        <v>1</v>
      </c>
    </row>
    <row r="21091" spans="1:5" x14ac:dyDescent="0.25">
      <c r="A21091">
        <v>21090</v>
      </c>
      <c r="B21091">
        <v>10366531</v>
      </c>
      <c r="C21091" s="1" t="str">
        <f>HYPERLINK("http://stackoverflow.com/users/10366531", "user10366531")</f>
        <v>user10366531</v>
      </c>
      <c r="D21091" t="s">
        <v>52</v>
      </c>
      <c r="E21091">
        <v>1</v>
      </c>
    </row>
    <row r="21092" spans="1:5" x14ac:dyDescent="0.25">
      <c r="A21092">
        <v>21091</v>
      </c>
      <c r="B21092">
        <v>10366650</v>
      </c>
      <c r="C21092" s="1" t="str">
        <f>HYPERLINK("http://stackoverflow.com/users/10366650", "Stone")</f>
        <v>Stone</v>
      </c>
      <c r="D21092" t="s">
        <v>4</v>
      </c>
      <c r="E21092">
        <v>1</v>
      </c>
    </row>
    <row r="21093" spans="1:5" x14ac:dyDescent="0.25">
      <c r="A21093">
        <v>21092</v>
      </c>
      <c r="B21093">
        <v>10367169</v>
      </c>
      <c r="C21093" s="1" t="str">
        <f>HYPERLINK("http://stackoverflow.com/users/10367169", "Kawkeye")</f>
        <v>Kawkeye</v>
      </c>
      <c r="D21093" t="s">
        <v>25</v>
      </c>
      <c r="E21093">
        <v>1</v>
      </c>
    </row>
    <row r="21094" spans="1:5" x14ac:dyDescent="0.25">
      <c r="A21094">
        <v>21093</v>
      </c>
      <c r="B21094">
        <v>1275230</v>
      </c>
      <c r="C21094" s="1" t="str">
        <f>HYPERLINK("http://stackoverflow.com/users/1275230", "Johnson")</f>
        <v>Johnson</v>
      </c>
      <c r="D21094" t="s">
        <v>5</v>
      </c>
      <c r="E21094">
        <v>1</v>
      </c>
    </row>
    <row r="21095" spans="1:5" x14ac:dyDescent="0.25">
      <c r="A21095">
        <v>21094</v>
      </c>
      <c r="B21095">
        <v>7344087</v>
      </c>
      <c r="C21095" s="1" t="str">
        <f>HYPERLINK("http://stackoverflow.com/users/7344087", "MengyuZhang")</f>
        <v>MengyuZhang</v>
      </c>
      <c r="D21095" t="s">
        <v>5</v>
      </c>
      <c r="E21095">
        <v>1</v>
      </c>
    </row>
    <row r="21096" spans="1:5" x14ac:dyDescent="0.25">
      <c r="A21096">
        <v>21095</v>
      </c>
      <c r="B21096">
        <v>7344104</v>
      </c>
      <c r="C21096" s="1" t="str">
        <f>HYPERLINK("http://stackoverflow.com/users/7344104", "Aaron Lee")</f>
        <v>Aaron Lee</v>
      </c>
      <c r="D21096" t="s">
        <v>25</v>
      </c>
      <c r="E21096">
        <v>1</v>
      </c>
    </row>
    <row r="21097" spans="1:5" x14ac:dyDescent="0.25">
      <c r="A21097">
        <v>21096</v>
      </c>
      <c r="B21097">
        <v>7344153</v>
      </c>
      <c r="C21097" s="1" t="str">
        <f>HYPERLINK("http://stackoverflow.com/users/7344153", "Bing Liu")</f>
        <v>Bing Liu</v>
      </c>
      <c r="D21097" t="s">
        <v>5</v>
      </c>
      <c r="E21097">
        <v>1</v>
      </c>
    </row>
    <row r="21098" spans="1:5" x14ac:dyDescent="0.25">
      <c r="A21098">
        <v>21097</v>
      </c>
      <c r="B21098">
        <v>7344182</v>
      </c>
      <c r="C21098" s="1" t="str">
        <f>HYPERLINK("http://stackoverflow.com/users/7344182", "user7344182")</f>
        <v>user7344182</v>
      </c>
      <c r="D21098" t="s">
        <v>55</v>
      </c>
      <c r="E21098">
        <v>1</v>
      </c>
    </row>
    <row r="21099" spans="1:5" x14ac:dyDescent="0.25">
      <c r="A21099">
        <v>21098</v>
      </c>
      <c r="B21099">
        <v>7344425</v>
      </c>
      <c r="C21099" s="1" t="str">
        <f>HYPERLINK("http://stackoverflow.com/users/7344425", "David ")</f>
        <v xml:space="preserve">David </v>
      </c>
      <c r="D21099" t="s">
        <v>4</v>
      </c>
      <c r="E21099">
        <v>1</v>
      </c>
    </row>
    <row r="21100" spans="1:5" x14ac:dyDescent="0.25">
      <c r="A21100">
        <v>21099</v>
      </c>
      <c r="B21100">
        <v>7344478</v>
      </c>
      <c r="C21100" s="1" t="str">
        <f>HYPERLINK("http://stackoverflow.com/users/7344478", "aiming")</f>
        <v>aiming</v>
      </c>
      <c r="D21100" t="s">
        <v>4</v>
      </c>
      <c r="E21100">
        <v>1</v>
      </c>
    </row>
    <row r="21101" spans="1:5" x14ac:dyDescent="0.25">
      <c r="A21101">
        <v>21100</v>
      </c>
      <c r="B21101">
        <v>5588026</v>
      </c>
      <c r="C21101" s="1" t="str">
        <f>HYPERLINK("http://stackoverflow.com/users/5588026", "saber")</f>
        <v>saber</v>
      </c>
      <c r="D21101" t="s">
        <v>5</v>
      </c>
      <c r="E21101">
        <v>1</v>
      </c>
    </row>
    <row r="21102" spans="1:5" x14ac:dyDescent="0.25">
      <c r="A21102">
        <v>21101</v>
      </c>
      <c r="B21102">
        <v>5588145</v>
      </c>
      <c r="C21102" s="1" t="str">
        <f>HYPERLINK("http://stackoverflow.com/users/5588145", "Chris")</f>
        <v>Chris</v>
      </c>
      <c r="D21102" t="s">
        <v>59</v>
      </c>
      <c r="E21102">
        <v>1</v>
      </c>
    </row>
    <row r="21103" spans="1:5" x14ac:dyDescent="0.25">
      <c r="A21103">
        <v>21102</v>
      </c>
      <c r="B21103">
        <v>5588203</v>
      </c>
      <c r="C21103" s="1" t="str">
        <f>HYPERLINK("http://stackoverflow.com/users/5588203", "Wu.sz")</f>
        <v>Wu.sz</v>
      </c>
      <c r="D21103" t="s">
        <v>74</v>
      </c>
      <c r="E21103">
        <v>1</v>
      </c>
    </row>
    <row r="21104" spans="1:5" x14ac:dyDescent="0.25">
      <c r="A21104">
        <v>21103</v>
      </c>
      <c r="B21104">
        <v>5588366</v>
      </c>
      <c r="C21104" s="1" t="str">
        <f>HYPERLINK("http://stackoverflow.com/users/5588366", "黄伟财")</f>
        <v>黄伟财</v>
      </c>
      <c r="D21104" t="s">
        <v>17</v>
      </c>
      <c r="E21104">
        <v>1</v>
      </c>
    </row>
    <row r="21105" spans="1:5" x14ac:dyDescent="0.25">
      <c r="A21105">
        <v>21104</v>
      </c>
      <c r="B21105">
        <v>3795620</v>
      </c>
      <c r="C21105" s="1" t="str">
        <f>HYPERLINK("http://stackoverflow.com/users/3795620", "A J")</f>
        <v>A J</v>
      </c>
      <c r="D21105" t="s">
        <v>35</v>
      </c>
      <c r="E21105">
        <v>1</v>
      </c>
    </row>
    <row r="21106" spans="1:5" x14ac:dyDescent="0.25">
      <c r="A21106">
        <v>21105</v>
      </c>
      <c r="B21106">
        <v>9225565</v>
      </c>
      <c r="C21106" s="1" t="str">
        <f>HYPERLINK("http://stackoverflow.com/users/9225565", "daojun")</f>
        <v>daojun</v>
      </c>
      <c r="D21106" t="s">
        <v>4</v>
      </c>
      <c r="E21106">
        <v>1</v>
      </c>
    </row>
    <row r="21107" spans="1:5" x14ac:dyDescent="0.25">
      <c r="A21107">
        <v>21106</v>
      </c>
      <c r="B21107">
        <v>7341070</v>
      </c>
      <c r="C21107" s="1" t="str">
        <f>HYPERLINK("http://stackoverflow.com/users/7341070", "J.Liu")</f>
        <v>J.Liu</v>
      </c>
      <c r="D21107" t="s">
        <v>55</v>
      </c>
      <c r="E21107">
        <v>1</v>
      </c>
    </row>
    <row r="21108" spans="1:5" x14ac:dyDescent="0.25">
      <c r="A21108">
        <v>21107</v>
      </c>
      <c r="B21108">
        <v>7343988</v>
      </c>
      <c r="C21108" s="1" t="str">
        <f>HYPERLINK("http://stackoverflow.com/users/7343988", "Ksheng")</f>
        <v>Ksheng</v>
      </c>
      <c r="D21108" t="s">
        <v>4</v>
      </c>
      <c r="E21108">
        <v>1</v>
      </c>
    </row>
    <row r="21109" spans="1:5" x14ac:dyDescent="0.25">
      <c r="A21109">
        <v>21108</v>
      </c>
      <c r="B21109">
        <v>9228813</v>
      </c>
      <c r="C21109" s="1" t="str">
        <f>HYPERLINK("http://stackoverflow.com/users/9228813", "xin liu")</f>
        <v>xin liu</v>
      </c>
      <c r="D21109" t="s">
        <v>104</v>
      </c>
      <c r="E21109">
        <v>1</v>
      </c>
    </row>
    <row r="21110" spans="1:5" x14ac:dyDescent="0.25">
      <c r="A21110">
        <v>21109</v>
      </c>
      <c r="B21110">
        <v>9229237</v>
      </c>
      <c r="C21110" s="1" t="str">
        <f>HYPERLINK("http://stackoverflow.com/users/9229237", "tekpig")</f>
        <v>tekpig</v>
      </c>
      <c r="D21110" t="s">
        <v>4</v>
      </c>
      <c r="E21110">
        <v>1</v>
      </c>
    </row>
    <row r="21111" spans="1:5" x14ac:dyDescent="0.25">
      <c r="A21111">
        <v>21110</v>
      </c>
      <c r="B21111">
        <v>2027575</v>
      </c>
      <c r="C21111" s="1" t="str">
        <f>HYPERLINK("http://stackoverflow.com/users/2027575", "szdanian")</f>
        <v>szdanian</v>
      </c>
      <c r="D21111" t="s">
        <v>17</v>
      </c>
      <c r="E21111">
        <v>1</v>
      </c>
    </row>
    <row r="21112" spans="1:5" x14ac:dyDescent="0.25">
      <c r="A21112">
        <v>21111</v>
      </c>
      <c r="B21112">
        <v>2002687</v>
      </c>
      <c r="C21112" s="1" t="str">
        <f>HYPERLINK("http://stackoverflow.com/users/2002687", "wally")</f>
        <v>wally</v>
      </c>
      <c r="D21112" t="s">
        <v>5</v>
      </c>
      <c r="E21112">
        <v>1</v>
      </c>
    </row>
    <row r="21113" spans="1:5" x14ac:dyDescent="0.25">
      <c r="A21113">
        <v>21112</v>
      </c>
      <c r="B21113">
        <v>2002710</v>
      </c>
      <c r="C21113" s="1" t="str">
        <f>HYPERLINK("http://stackoverflow.com/users/2002710", "David Han")</f>
        <v>David Han</v>
      </c>
      <c r="D21113" t="s">
        <v>4</v>
      </c>
      <c r="E21113">
        <v>1</v>
      </c>
    </row>
    <row r="21114" spans="1:5" x14ac:dyDescent="0.25">
      <c r="A21114">
        <v>21113</v>
      </c>
      <c r="B21114">
        <v>7337188</v>
      </c>
      <c r="C21114" s="1" t="str">
        <f>HYPERLINK("http://stackoverflow.com/users/7337188", "luoyunqing")</f>
        <v>luoyunqing</v>
      </c>
      <c r="D21114" t="s">
        <v>7</v>
      </c>
      <c r="E21114">
        <v>1</v>
      </c>
    </row>
    <row r="21115" spans="1:5" x14ac:dyDescent="0.25">
      <c r="A21115">
        <v>21114</v>
      </c>
      <c r="B21115">
        <v>5585020</v>
      </c>
      <c r="C21115" s="1" t="str">
        <f>HYPERLINK("http://stackoverflow.com/users/5585020", "shaoping mao")</f>
        <v>shaoping mao</v>
      </c>
      <c r="D21115" t="s">
        <v>28</v>
      </c>
      <c r="E21115">
        <v>1</v>
      </c>
    </row>
    <row r="21116" spans="1:5" x14ac:dyDescent="0.25">
      <c r="A21116">
        <v>21115</v>
      </c>
      <c r="B21116">
        <v>5585022</v>
      </c>
      <c r="C21116" s="1" t="str">
        <f>HYPERLINK("http://stackoverflow.com/users/5585022", "YunTian")</f>
        <v>YunTian</v>
      </c>
      <c r="D21116" t="s">
        <v>5</v>
      </c>
      <c r="E21116">
        <v>1</v>
      </c>
    </row>
    <row r="21117" spans="1:5" x14ac:dyDescent="0.25">
      <c r="A21117">
        <v>21116</v>
      </c>
      <c r="B21117">
        <v>7337585</v>
      </c>
      <c r="C21117" s="1" t="str">
        <f>HYPERLINK("http://stackoverflow.com/users/7337585", "bmjLearnToCODE")</f>
        <v>bmjLearnToCODE</v>
      </c>
      <c r="D21117" t="s">
        <v>4</v>
      </c>
      <c r="E21117">
        <v>1</v>
      </c>
    </row>
    <row r="21118" spans="1:5" x14ac:dyDescent="0.25">
      <c r="A21118">
        <v>21117</v>
      </c>
      <c r="B21118">
        <v>5581295</v>
      </c>
      <c r="C21118" s="1" t="str">
        <f>HYPERLINK("http://stackoverflow.com/users/5581295", "Yonghao Song")</f>
        <v>Yonghao Song</v>
      </c>
      <c r="D21118" t="s">
        <v>5</v>
      </c>
      <c r="E21118">
        <v>1</v>
      </c>
    </row>
    <row r="21119" spans="1:5" x14ac:dyDescent="0.25">
      <c r="A21119">
        <v>21118</v>
      </c>
      <c r="B21119">
        <v>5581379</v>
      </c>
      <c r="C21119" s="1" t="str">
        <f>HYPERLINK("http://stackoverflow.com/users/5581379", "yaorui")</f>
        <v>yaorui</v>
      </c>
      <c r="D21119" t="s">
        <v>4</v>
      </c>
      <c r="E21119">
        <v>1</v>
      </c>
    </row>
    <row r="21120" spans="1:5" x14ac:dyDescent="0.25">
      <c r="A21120">
        <v>21119</v>
      </c>
      <c r="B21120">
        <v>5581486</v>
      </c>
      <c r="C21120" s="1" t="str">
        <f>HYPERLINK("http://stackoverflow.com/users/5581486", "fangyuan")</f>
        <v>fangyuan</v>
      </c>
      <c r="D21120" t="s">
        <v>12</v>
      </c>
      <c r="E21120">
        <v>1</v>
      </c>
    </row>
    <row r="21121" spans="1:5" x14ac:dyDescent="0.25">
      <c r="A21121">
        <v>21120</v>
      </c>
      <c r="B21121">
        <v>5584554</v>
      </c>
      <c r="C21121" s="1" t="str">
        <f>HYPERLINK("http://stackoverflow.com/users/5584554", "EYE")</f>
        <v>EYE</v>
      </c>
      <c r="D21121" t="s">
        <v>4</v>
      </c>
      <c r="E21121">
        <v>1</v>
      </c>
    </row>
    <row r="21122" spans="1:5" x14ac:dyDescent="0.25">
      <c r="A21122">
        <v>21121</v>
      </c>
      <c r="B21122">
        <v>5584609</v>
      </c>
      <c r="C21122" s="1" t="str">
        <f>HYPERLINK("http://stackoverflow.com/users/5584609", "ibrucekong")</f>
        <v>ibrucekong</v>
      </c>
      <c r="D21122" t="s">
        <v>1114</v>
      </c>
      <c r="E21122">
        <v>1</v>
      </c>
    </row>
    <row r="21123" spans="1:5" x14ac:dyDescent="0.25">
      <c r="A21123">
        <v>21122</v>
      </c>
      <c r="B21123">
        <v>5584850</v>
      </c>
      <c r="C21123" s="1" t="str">
        <f>HYPERLINK("http://stackoverflow.com/users/5584850", "Frozenmap")</f>
        <v>Frozenmap</v>
      </c>
      <c r="D21123" t="s">
        <v>4</v>
      </c>
      <c r="E21123">
        <v>1</v>
      </c>
    </row>
    <row r="21124" spans="1:5" x14ac:dyDescent="0.25">
      <c r="A21124">
        <v>21123</v>
      </c>
      <c r="B21124">
        <v>11040289</v>
      </c>
      <c r="C21124" s="1" t="str">
        <f>HYPERLINK("http://stackoverflow.com/users/11040289", "jokes000")</f>
        <v>jokes000</v>
      </c>
      <c r="D21124" t="s">
        <v>4</v>
      </c>
      <c r="E21124">
        <v>1</v>
      </c>
    </row>
    <row r="21125" spans="1:5" x14ac:dyDescent="0.25">
      <c r="A21125">
        <v>21124</v>
      </c>
      <c r="B21125">
        <v>11040499</v>
      </c>
      <c r="C21125" s="1" t="str">
        <f>HYPERLINK("http://stackoverflow.com/users/11040499", "CooperGD")</f>
        <v>CooperGD</v>
      </c>
      <c r="D21125" t="s">
        <v>54</v>
      </c>
      <c r="E21125">
        <v>1</v>
      </c>
    </row>
    <row r="21126" spans="1:5" x14ac:dyDescent="0.25">
      <c r="A21126">
        <v>21125</v>
      </c>
      <c r="B21126">
        <v>11044560</v>
      </c>
      <c r="C21126" s="1" t="str">
        <f>HYPERLINK("http://stackoverflow.com/users/11044560", "han wu")</f>
        <v>han wu</v>
      </c>
      <c r="D21126" t="s">
        <v>97</v>
      </c>
      <c r="E21126">
        <v>1</v>
      </c>
    </row>
    <row r="21127" spans="1:5" x14ac:dyDescent="0.25">
      <c r="A21127">
        <v>21126</v>
      </c>
      <c r="B21127">
        <v>3819495</v>
      </c>
      <c r="C21127" s="1" t="str">
        <f>HYPERLINK("http://stackoverflow.com/users/3819495", "Rocky Bear")</f>
        <v>Rocky Bear</v>
      </c>
      <c r="D21127" t="s">
        <v>5</v>
      </c>
      <c r="E21127">
        <v>1</v>
      </c>
    </row>
    <row r="21128" spans="1:5" x14ac:dyDescent="0.25">
      <c r="A21128">
        <v>21127</v>
      </c>
      <c r="B21128">
        <v>3819569</v>
      </c>
      <c r="C21128" s="1" t="str">
        <f>HYPERLINK("http://stackoverflow.com/users/3819569", "stormhouse")</f>
        <v>stormhouse</v>
      </c>
      <c r="D21128" t="s">
        <v>5</v>
      </c>
      <c r="E21128">
        <v>1</v>
      </c>
    </row>
    <row r="21129" spans="1:5" x14ac:dyDescent="0.25">
      <c r="A21129">
        <v>21128</v>
      </c>
      <c r="B21129">
        <v>9250529</v>
      </c>
      <c r="C21129" s="1" t="str">
        <f>HYPERLINK("http://stackoverflow.com/users/9250529", "Hanxi Fu")</f>
        <v>Hanxi Fu</v>
      </c>
      <c r="D21129" t="s">
        <v>4</v>
      </c>
      <c r="E21129">
        <v>1</v>
      </c>
    </row>
    <row r="21130" spans="1:5" x14ac:dyDescent="0.25">
      <c r="A21130">
        <v>21129</v>
      </c>
      <c r="B21130">
        <v>5606838</v>
      </c>
      <c r="C21130" s="1" t="str">
        <f>HYPERLINK("http://stackoverflow.com/users/5606838", "Hongjiang")</f>
        <v>Hongjiang</v>
      </c>
      <c r="D21130" t="s">
        <v>5</v>
      </c>
      <c r="E21130">
        <v>1</v>
      </c>
    </row>
    <row r="21131" spans="1:5" x14ac:dyDescent="0.25">
      <c r="A21131">
        <v>21130</v>
      </c>
      <c r="B21131">
        <v>5607080</v>
      </c>
      <c r="C21131" s="1" t="str">
        <f>HYPERLINK("http://stackoverflow.com/users/5607080", "lucci")</f>
        <v>lucci</v>
      </c>
      <c r="D21131" t="s">
        <v>4</v>
      </c>
      <c r="E21131">
        <v>1</v>
      </c>
    </row>
    <row r="21132" spans="1:5" x14ac:dyDescent="0.25">
      <c r="A21132">
        <v>21131</v>
      </c>
      <c r="B21132">
        <v>5607338</v>
      </c>
      <c r="C21132" s="1" t="str">
        <f>HYPERLINK("http://stackoverflow.com/users/5607338", "ExcitedCat")</f>
        <v>ExcitedCat</v>
      </c>
      <c r="D21132" t="s">
        <v>63</v>
      </c>
      <c r="E21132">
        <v>1</v>
      </c>
    </row>
    <row r="21133" spans="1:5" x14ac:dyDescent="0.25">
      <c r="A21133">
        <v>21132</v>
      </c>
      <c r="B21133">
        <v>5607467</v>
      </c>
      <c r="C21133" s="1" t="str">
        <f>HYPERLINK("http://stackoverflow.com/users/5607467", "swallow")</f>
        <v>swallow</v>
      </c>
      <c r="D21133" t="s">
        <v>22</v>
      </c>
      <c r="E21133">
        <v>1</v>
      </c>
    </row>
    <row r="21134" spans="1:5" x14ac:dyDescent="0.25">
      <c r="A21134">
        <v>21133</v>
      </c>
      <c r="B21134">
        <v>9245095</v>
      </c>
      <c r="C21134" s="1" t="str">
        <f>HYPERLINK("http://stackoverflow.com/users/9245095", "Dev Comex")</f>
        <v>Dev Comex</v>
      </c>
      <c r="D21134" t="s">
        <v>7</v>
      </c>
      <c r="E21134">
        <v>1</v>
      </c>
    </row>
    <row r="21135" spans="1:5" x14ac:dyDescent="0.25">
      <c r="A21135">
        <v>21134</v>
      </c>
      <c r="B21135">
        <v>9245678</v>
      </c>
      <c r="C21135" s="1" t="str">
        <f>HYPERLINK("http://stackoverflow.com/users/9245678", "JinzJin")</f>
        <v>JinzJin</v>
      </c>
      <c r="D21135" t="s">
        <v>33</v>
      </c>
      <c r="E21135">
        <v>1</v>
      </c>
    </row>
    <row r="21136" spans="1:5" x14ac:dyDescent="0.25">
      <c r="A21136">
        <v>21135</v>
      </c>
      <c r="B21136">
        <v>9245971</v>
      </c>
      <c r="C21136" s="1" t="str">
        <f>HYPERLINK("http://stackoverflow.com/users/9245971", "A.Hleb.King")</f>
        <v>A.Hleb.King</v>
      </c>
      <c r="D21136" t="s">
        <v>43</v>
      </c>
      <c r="E21136">
        <v>1</v>
      </c>
    </row>
    <row r="21137" spans="1:5" x14ac:dyDescent="0.25">
      <c r="A21137">
        <v>21136</v>
      </c>
      <c r="B21137">
        <v>2040309</v>
      </c>
      <c r="C21137" s="1" t="str">
        <f>HYPERLINK("http://stackoverflow.com/users/2040309", "mlou")</f>
        <v>mlou</v>
      </c>
      <c r="D21137" t="s">
        <v>4</v>
      </c>
      <c r="E21137">
        <v>1</v>
      </c>
    </row>
    <row r="21138" spans="1:5" x14ac:dyDescent="0.25">
      <c r="A21138">
        <v>21137</v>
      </c>
      <c r="B21138">
        <v>2040689</v>
      </c>
      <c r="C21138" s="1" t="str">
        <f>HYPERLINK("http://stackoverflow.com/users/2040689", "Raghav")</f>
        <v>Raghav</v>
      </c>
      <c r="D21138" t="s">
        <v>4</v>
      </c>
      <c r="E21138">
        <v>1</v>
      </c>
    </row>
    <row r="21139" spans="1:5" x14ac:dyDescent="0.25">
      <c r="A21139">
        <v>21138</v>
      </c>
      <c r="B21139">
        <v>5603562</v>
      </c>
      <c r="C21139" s="1" t="str">
        <f>HYPERLINK("http://stackoverflow.com/users/5603562", "Taurus金毅然")</f>
        <v>Taurus金毅然</v>
      </c>
      <c r="D21139" t="s">
        <v>4</v>
      </c>
      <c r="E21139">
        <v>1</v>
      </c>
    </row>
    <row r="21140" spans="1:5" x14ac:dyDescent="0.25">
      <c r="A21140">
        <v>21139</v>
      </c>
      <c r="B21140">
        <v>7352148</v>
      </c>
      <c r="C21140" s="1" t="str">
        <f>HYPERLINK("http://stackoverflow.com/users/7352148", "wzxjiang")</f>
        <v>wzxjiang</v>
      </c>
      <c r="D21140" t="s">
        <v>4</v>
      </c>
      <c r="E21140">
        <v>1</v>
      </c>
    </row>
    <row r="21141" spans="1:5" x14ac:dyDescent="0.25">
      <c r="A21141">
        <v>21140</v>
      </c>
      <c r="B21141">
        <v>11031603</v>
      </c>
      <c r="C21141" s="1" t="str">
        <f>HYPERLINK("http://stackoverflow.com/users/11031603", "K.Y")</f>
        <v>K.Y</v>
      </c>
      <c r="D21141" t="s">
        <v>596</v>
      </c>
      <c r="E21141">
        <v>1</v>
      </c>
    </row>
    <row r="21142" spans="1:5" x14ac:dyDescent="0.25">
      <c r="A21142">
        <v>21141</v>
      </c>
      <c r="B21142">
        <v>5588473</v>
      </c>
      <c r="C21142" s="1" t="str">
        <f>HYPERLINK("http://stackoverflow.com/users/5588473", "Seven He")</f>
        <v>Seven He</v>
      </c>
      <c r="D21142" t="s">
        <v>113</v>
      </c>
      <c r="E21142">
        <v>1</v>
      </c>
    </row>
    <row r="21143" spans="1:5" x14ac:dyDescent="0.25">
      <c r="A21143">
        <v>21142</v>
      </c>
      <c r="B21143">
        <v>9233019</v>
      </c>
      <c r="C21143" s="1" t="str">
        <f>HYPERLINK("http://stackoverflow.com/users/9233019", "Pengfei")</f>
        <v>Pengfei</v>
      </c>
      <c r="D21143" t="s">
        <v>320</v>
      </c>
      <c r="E21143">
        <v>1</v>
      </c>
    </row>
    <row r="21144" spans="1:5" x14ac:dyDescent="0.25">
      <c r="A21144">
        <v>21143</v>
      </c>
      <c r="B21144">
        <v>9233176</v>
      </c>
      <c r="C21144" s="1" t="str">
        <f>HYPERLINK("http://stackoverflow.com/users/9233176", "Saul Goodman")</f>
        <v>Saul Goodman</v>
      </c>
      <c r="D21144" t="s">
        <v>7</v>
      </c>
      <c r="E21144">
        <v>1</v>
      </c>
    </row>
    <row r="21145" spans="1:5" x14ac:dyDescent="0.25">
      <c r="A21145">
        <v>21144</v>
      </c>
      <c r="B21145">
        <v>9233384</v>
      </c>
      <c r="C21145" s="1" t="str">
        <f>HYPERLINK("http://stackoverflow.com/users/9233384", "lifeng zhou")</f>
        <v>lifeng zhou</v>
      </c>
      <c r="D21145" t="s">
        <v>1115</v>
      </c>
      <c r="E21145">
        <v>1</v>
      </c>
    </row>
    <row r="21146" spans="1:5" x14ac:dyDescent="0.25">
      <c r="A21146">
        <v>21145</v>
      </c>
      <c r="B21146">
        <v>9233483</v>
      </c>
      <c r="C21146" s="1" t="str">
        <f>HYPERLINK("http://stackoverflow.com/users/9233483", "Kenny Lee")</f>
        <v>Kenny Lee</v>
      </c>
      <c r="D21146" t="s">
        <v>74</v>
      </c>
      <c r="E21146">
        <v>1</v>
      </c>
    </row>
    <row r="21147" spans="1:5" x14ac:dyDescent="0.25">
      <c r="A21147">
        <v>21146</v>
      </c>
      <c r="B21147">
        <v>5591941</v>
      </c>
      <c r="C21147" s="1" t="str">
        <f>HYPERLINK("http://stackoverflow.com/users/5591941", "tianlong")</f>
        <v>tianlong</v>
      </c>
      <c r="D21147" t="s">
        <v>5</v>
      </c>
      <c r="E21147">
        <v>1</v>
      </c>
    </row>
    <row r="21148" spans="1:5" x14ac:dyDescent="0.25">
      <c r="A21148">
        <v>21147</v>
      </c>
      <c r="B21148">
        <v>3807210</v>
      </c>
      <c r="C21148" s="1" t="str">
        <f>HYPERLINK("http://stackoverflow.com/users/3807210", "zwheui")</f>
        <v>zwheui</v>
      </c>
      <c r="D21148" t="s">
        <v>4</v>
      </c>
      <c r="E21148">
        <v>1</v>
      </c>
    </row>
    <row r="21149" spans="1:5" x14ac:dyDescent="0.25">
      <c r="A21149">
        <v>21148</v>
      </c>
      <c r="B21149">
        <v>5595445</v>
      </c>
      <c r="C21149" s="1" t="str">
        <f>HYPERLINK("http://stackoverflow.com/users/5595445", "单金伟")</f>
        <v>单金伟</v>
      </c>
      <c r="D21149" t="s">
        <v>7</v>
      </c>
      <c r="E21149">
        <v>1</v>
      </c>
    </row>
    <row r="21150" spans="1:5" x14ac:dyDescent="0.25">
      <c r="A21150">
        <v>21149</v>
      </c>
      <c r="B21150">
        <v>5595685</v>
      </c>
      <c r="C21150" s="1" t="str">
        <f>HYPERLINK("http://stackoverflow.com/users/5595685", "Sinoa 51n04R1735h")</f>
        <v>Sinoa 51n04R1735h</v>
      </c>
      <c r="D21150" t="s">
        <v>37</v>
      </c>
      <c r="E21150">
        <v>1</v>
      </c>
    </row>
    <row r="21151" spans="1:5" x14ac:dyDescent="0.25">
      <c r="A21151">
        <v>21150</v>
      </c>
      <c r="B21151">
        <v>5595734</v>
      </c>
      <c r="C21151" s="1" t="str">
        <f>HYPERLINK("http://stackoverflow.com/users/5595734", "SHAO Z T")</f>
        <v>SHAO Z T</v>
      </c>
      <c r="D21151" t="s">
        <v>5</v>
      </c>
      <c r="E21151">
        <v>1</v>
      </c>
    </row>
    <row r="21152" spans="1:5" x14ac:dyDescent="0.25">
      <c r="A21152">
        <v>21151</v>
      </c>
      <c r="B21152">
        <v>7351917</v>
      </c>
      <c r="C21152" s="1" t="str">
        <f>HYPERLINK("http://stackoverflow.com/users/7351917", "Alex Chen")</f>
        <v>Alex Chen</v>
      </c>
      <c r="D21152" t="s">
        <v>73</v>
      </c>
      <c r="E21152">
        <v>1</v>
      </c>
    </row>
    <row r="21153" spans="1:5" x14ac:dyDescent="0.25">
      <c r="A21153">
        <v>21152</v>
      </c>
      <c r="B21153">
        <v>5637837</v>
      </c>
      <c r="C21153" s="1" t="str">
        <f>HYPERLINK("http://stackoverflow.com/users/5637837", "YG.Wren")</f>
        <v>YG.Wren</v>
      </c>
      <c r="D21153" t="s">
        <v>5</v>
      </c>
      <c r="E21153">
        <v>1</v>
      </c>
    </row>
    <row r="21154" spans="1:5" x14ac:dyDescent="0.25">
      <c r="A21154">
        <v>21153</v>
      </c>
      <c r="B21154">
        <v>5637842</v>
      </c>
      <c r="C21154" s="1" t="str">
        <f>HYPERLINK("http://stackoverflow.com/users/5637842", "Shinji")</f>
        <v>Shinji</v>
      </c>
      <c r="D21154" t="s">
        <v>5</v>
      </c>
      <c r="E21154">
        <v>1</v>
      </c>
    </row>
    <row r="21155" spans="1:5" x14ac:dyDescent="0.25">
      <c r="A21155">
        <v>21154</v>
      </c>
      <c r="B21155">
        <v>5638237</v>
      </c>
      <c r="C21155" s="1" t="str">
        <f>HYPERLINK("http://stackoverflow.com/users/5638237", "N_Xiao")</f>
        <v>N_Xiao</v>
      </c>
      <c r="D21155" t="s">
        <v>5</v>
      </c>
      <c r="E21155">
        <v>1</v>
      </c>
    </row>
    <row r="21156" spans="1:5" x14ac:dyDescent="0.25">
      <c r="A21156">
        <v>21155</v>
      </c>
      <c r="B21156">
        <v>5638387</v>
      </c>
      <c r="C21156" s="1" t="str">
        <f>HYPERLINK("http://stackoverflow.com/users/5638387", "user5638387")</f>
        <v>user5638387</v>
      </c>
      <c r="D21156" t="s">
        <v>7</v>
      </c>
      <c r="E21156">
        <v>1</v>
      </c>
    </row>
    <row r="21157" spans="1:5" x14ac:dyDescent="0.25">
      <c r="A21157">
        <v>21156</v>
      </c>
      <c r="B21157">
        <v>7394279</v>
      </c>
      <c r="C21157" s="1" t="str">
        <f>HYPERLINK("http://stackoverflow.com/users/7394279", "Terence")</f>
        <v>Terence</v>
      </c>
      <c r="D21157" t="s">
        <v>55</v>
      </c>
      <c r="E21157">
        <v>1</v>
      </c>
    </row>
    <row r="21158" spans="1:5" x14ac:dyDescent="0.25">
      <c r="A21158">
        <v>21157</v>
      </c>
      <c r="B21158">
        <v>3858964</v>
      </c>
      <c r="C21158" s="1" t="str">
        <f>HYPERLINK("http://stackoverflow.com/users/3858964", "Gallon Choi")</f>
        <v>Gallon Choi</v>
      </c>
      <c r="D21158" t="s">
        <v>21</v>
      </c>
      <c r="E21158">
        <v>1</v>
      </c>
    </row>
    <row r="21159" spans="1:5" x14ac:dyDescent="0.25">
      <c r="A21159">
        <v>21158</v>
      </c>
      <c r="B21159">
        <v>3859057</v>
      </c>
      <c r="C21159" s="1" t="str">
        <f>HYPERLINK("http://stackoverflow.com/users/3859057", "Fising")</f>
        <v>Fising</v>
      </c>
      <c r="D21159" t="s">
        <v>4</v>
      </c>
      <c r="E21159">
        <v>1</v>
      </c>
    </row>
    <row r="21160" spans="1:5" x14ac:dyDescent="0.25">
      <c r="A21160">
        <v>21159</v>
      </c>
      <c r="B21160">
        <v>3859141</v>
      </c>
      <c r="C21160" s="1" t="str">
        <f>HYPERLINK("http://stackoverflow.com/users/3859141", "TracyZhang")</f>
        <v>TracyZhang</v>
      </c>
      <c r="D21160" t="s">
        <v>5</v>
      </c>
      <c r="E21160">
        <v>1</v>
      </c>
    </row>
    <row r="21161" spans="1:5" x14ac:dyDescent="0.25">
      <c r="A21161">
        <v>21160</v>
      </c>
      <c r="B21161">
        <v>5641998</v>
      </c>
      <c r="C21161" s="1" t="str">
        <f>HYPERLINK("http://stackoverflow.com/users/5641998", "Ethan Yang")</f>
        <v>Ethan Yang</v>
      </c>
      <c r="D21161" t="s">
        <v>4</v>
      </c>
      <c r="E21161">
        <v>1</v>
      </c>
    </row>
    <row r="21162" spans="1:5" x14ac:dyDescent="0.25">
      <c r="A21162">
        <v>21161</v>
      </c>
      <c r="B21162">
        <v>9292841</v>
      </c>
      <c r="C21162" s="1" t="str">
        <f>HYPERLINK("http://stackoverflow.com/users/9292841", "Jason Chen")</f>
        <v>Jason Chen</v>
      </c>
      <c r="D21162" t="s">
        <v>52</v>
      </c>
      <c r="E21162">
        <v>1</v>
      </c>
    </row>
    <row r="21163" spans="1:5" x14ac:dyDescent="0.25">
      <c r="A21163">
        <v>21162</v>
      </c>
      <c r="B21163">
        <v>9292978</v>
      </c>
      <c r="C21163" s="1" t="str">
        <f>HYPERLINK("http://stackoverflow.com/users/9292978", "junbang luo")</f>
        <v>junbang luo</v>
      </c>
      <c r="D21163" t="s">
        <v>25</v>
      </c>
      <c r="E21163">
        <v>1</v>
      </c>
    </row>
    <row r="21164" spans="1:5" x14ac:dyDescent="0.25">
      <c r="A21164">
        <v>21163</v>
      </c>
      <c r="B21164">
        <v>9293071</v>
      </c>
      <c r="C21164" s="1" t="str">
        <f>HYPERLINK("http://stackoverflow.com/users/9293071", "Xu He")</f>
        <v>Xu He</v>
      </c>
      <c r="D21164" t="s">
        <v>7</v>
      </c>
      <c r="E21164">
        <v>1</v>
      </c>
    </row>
    <row r="21165" spans="1:5" x14ac:dyDescent="0.25">
      <c r="A21165">
        <v>21164</v>
      </c>
      <c r="B21165">
        <v>9293448</v>
      </c>
      <c r="C21165" s="1" t="str">
        <f>HYPERLINK("http://stackoverflow.com/users/9293448", "Wei Zhao")</f>
        <v>Wei Zhao</v>
      </c>
      <c r="D21165" t="s">
        <v>4</v>
      </c>
      <c r="E21165">
        <v>1</v>
      </c>
    </row>
    <row r="21166" spans="1:5" x14ac:dyDescent="0.25">
      <c r="A21166">
        <v>21165</v>
      </c>
      <c r="B21166">
        <v>2089705</v>
      </c>
      <c r="C21166" s="1" t="str">
        <f>HYPERLINK("http://stackoverflow.com/users/2089705", "hange")</f>
        <v>hange</v>
      </c>
      <c r="D21166" t="s">
        <v>5</v>
      </c>
      <c r="E21166">
        <v>1</v>
      </c>
    </row>
    <row r="21167" spans="1:5" x14ac:dyDescent="0.25">
      <c r="A21167">
        <v>21166</v>
      </c>
      <c r="B21167">
        <v>7400107</v>
      </c>
      <c r="C21167" s="1" t="str">
        <f>HYPERLINK("http://stackoverflow.com/users/7400107", "SakilaWAW")</f>
        <v>SakilaWAW</v>
      </c>
      <c r="D21167" t="s">
        <v>5</v>
      </c>
      <c r="E21167">
        <v>1</v>
      </c>
    </row>
    <row r="21168" spans="1:5" x14ac:dyDescent="0.25">
      <c r="A21168">
        <v>21167</v>
      </c>
      <c r="B21168">
        <v>9276683</v>
      </c>
      <c r="C21168" s="1" t="str">
        <f>HYPERLINK("http://stackoverflow.com/users/9276683", "flora yu")</f>
        <v>flora yu</v>
      </c>
      <c r="D21168" t="s">
        <v>118</v>
      </c>
      <c r="E21168">
        <v>1</v>
      </c>
    </row>
    <row r="21169" spans="1:5" x14ac:dyDescent="0.25">
      <c r="A21169">
        <v>21168</v>
      </c>
      <c r="B21169">
        <v>11070638</v>
      </c>
      <c r="C21169" s="1" t="str">
        <f>HYPERLINK("http://stackoverflow.com/users/11070638", "JiHao Shang")</f>
        <v>JiHao Shang</v>
      </c>
      <c r="D21169" t="s">
        <v>17</v>
      </c>
      <c r="E21169">
        <v>1</v>
      </c>
    </row>
    <row r="21170" spans="1:5" x14ac:dyDescent="0.25">
      <c r="A21170">
        <v>21169</v>
      </c>
      <c r="B21170">
        <v>7397224</v>
      </c>
      <c r="C21170" s="1" t="str">
        <f>HYPERLINK("http://stackoverflow.com/users/7397224", "Jony Dogg")</f>
        <v>Jony Dogg</v>
      </c>
      <c r="D21170" t="s">
        <v>1116</v>
      </c>
      <c r="E21170">
        <v>1</v>
      </c>
    </row>
    <row r="21171" spans="1:5" x14ac:dyDescent="0.25">
      <c r="A21171">
        <v>21170</v>
      </c>
      <c r="B21171">
        <v>7397633</v>
      </c>
      <c r="C21171" s="1" t="str">
        <f>HYPERLINK("http://stackoverflow.com/users/7397633", "Huang Qi")</f>
        <v>Huang Qi</v>
      </c>
      <c r="D21171" t="s">
        <v>120</v>
      </c>
      <c r="E21171">
        <v>1</v>
      </c>
    </row>
    <row r="21172" spans="1:5" x14ac:dyDescent="0.25">
      <c r="A21172">
        <v>21171</v>
      </c>
      <c r="B21172">
        <v>11087519</v>
      </c>
      <c r="C21172" s="1" t="str">
        <f>HYPERLINK("http://stackoverflow.com/users/11087519", "wtnan2003")</f>
        <v>wtnan2003</v>
      </c>
      <c r="D21172" t="s">
        <v>1117</v>
      </c>
      <c r="E21172">
        <v>1</v>
      </c>
    </row>
    <row r="21173" spans="1:5" x14ac:dyDescent="0.25">
      <c r="A21173">
        <v>21172</v>
      </c>
      <c r="B21173">
        <v>11087526</v>
      </c>
      <c r="C21173" s="1" t="str">
        <f>HYPERLINK("http://stackoverflow.com/users/11087526", "Christopher Woo")</f>
        <v>Christopher Woo</v>
      </c>
      <c r="D21173" t="s">
        <v>25</v>
      </c>
      <c r="E21173">
        <v>1</v>
      </c>
    </row>
    <row r="21174" spans="1:5" x14ac:dyDescent="0.25">
      <c r="A21174">
        <v>21173</v>
      </c>
      <c r="B21174">
        <v>5654004</v>
      </c>
      <c r="C21174" s="1" t="str">
        <f>HYPERLINK("http://stackoverflow.com/users/5654004", "Echo")</f>
        <v>Echo</v>
      </c>
      <c r="D21174" t="s">
        <v>17</v>
      </c>
      <c r="E21174">
        <v>1</v>
      </c>
    </row>
    <row r="21175" spans="1:5" x14ac:dyDescent="0.25">
      <c r="A21175">
        <v>21174</v>
      </c>
      <c r="B21175">
        <v>5654442</v>
      </c>
      <c r="C21175" s="1" t="str">
        <f>HYPERLINK("http://stackoverflow.com/users/5654442", "Fakai Wang")</f>
        <v>Fakai Wang</v>
      </c>
      <c r="D21175" t="s">
        <v>12</v>
      </c>
      <c r="E21175">
        <v>1</v>
      </c>
    </row>
    <row r="21176" spans="1:5" x14ac:dyDescent="0.25">
      <c r="A21176">
        <v>21175</v>
      </c>
      <c r="B21176">
        <v>3871121</v>
      </c>
      <c r="C21176" s="1" t="str">
        <f>HYPERLINK("http://stackoverflow.com/users/3871121", "Ryan")</f>
        <v>Ryan</v>
      </c>
      <c r="D21176" t="s">
        <v>5</v>
      </c>
      <c r="E21176">
        <v>1</v>
      </c>
    </row>
    <row r="21177" spans="1:5" x14ac:dyDescent="0.25">
      <c r="A21177">
        <v>21176</v>
      </c>
      <c r="B21177">
        <v>3871238</v>
      </c>
      <c r="C21177" s="1" t="str">
        <f>HYPERLINK("http://stackoverflow.com/users/3871238", "Guanglin")</f>
        <v>Guanglin</v>
      </c>
      <c r="D21177" t="s">
        <v>5</v>
      </c>
      <c r="E21177">
        <v>1</v>
      </c>
    </row>
    <row r="21178" spans="1:5" x14ac:dyDescent="0.25">
      <c r="A21178">
        <v>21177</v>
      </c>
      <c r="B21178">
        <v>9303500</v>
      </c>
      <c r="C21178" s="1" t="str">
        <f>HYPERLINK("http://stackoverflow.com/users/9303500", "Wang Fei")</f>
        <v>Wang Fei</v>
      </c>
      <c r="D21178" t="s">
        <v>48</v>
      </c>
      <c r="E21178">
        <v>1</v>
      </c>
    </row>
    <row r="21179" spans="1:5" x14ac:dyDescent="0.25">
      <c r="A21179">
        <v>21178</v>
      </c>
      <c r="B21179">
        <v>9298834</v>
      </c>
      <c r="C21179" s="1" t="str">
        <f>HYPERLINK("http://stackoverflow.com/users/9298834", "Jasper Fan")</f>
        <v>Jasper Fan</v>
      </c>
      <c r="D21179" t="s">
        <v>1118</v>
      </c>
      <c r="E21179">
        <v>1</v>
      </c>
    </row>
    <row r="21180" spans="1:5" x14ac:dyDescent="0.25">
      <c r="A21180">
        <v>21179</v>
      </c>
      <c r="B21180">
        <v>9298852</v>
      </c>
      <c r="C21180" s="1" t="str">
        <f>HYPERLINK("http://stackoverflow.com/users/9298852", "Ted Wang")</f>
        <v>Ted Wang</v>
      </c>
      <c r="D21180" t="s">
        <v>5</v>
      </c>
      <c r="E21180">
        <v>1</v>
      </c>
    </row>
    <row r="21181" spans="1:5" x14ac:dyDescent="0.25">
      <c r="A21181">
        <v>21180</v>
      </c>
      <c r="B21181">
        <v>9298888</v>
      </c>
      <c r="C21181" s="1" t="str">
        <f>HYPERLINK("http://stackoverflow.com/users/9298888", "mark ma")</f>
        <v>mark ma</v>
      </c>
      <c r="D21181" t="s">
        <v>120</v>
      </c>
      <c r="E21181">
        <v>1</v>
      </c>
    </row>
    <row r="21182" spans="1:5" x14ac:dyDescent="0.25">
      <c r="A21182">
        <v>21181</v>
      </c>
      <c r="B21182">
        <v>5614304</v>
      </c>
      <c r="C21182" s="1" t="str">
        <f>HYPERLINK("http://stackoverflow.com/users/5614304", "kuky yz")</f>
        <v>kuky yz</v>
      </c>
      <c r="D21182" t="s">
        <v>22</v>
      </c>
      <c r="E21182">
        <v>1</v>
      </c>
    </row>
    <row r="21183" spans="1:5" x14ac:dyDescent="0.25">
      <c r="A21183">
        <v>21182</v>
      </c>
      <c r="B21183">
        <v>5614334</v>
      </c>
      <c r="C21183" s="1" t="str">
        <f>HYPERLINK("http://stackoverflow.com/users/5614334", "mintisan")</f>
        <v>mintisan</v>
      </c>
      <c r="D21183" t="s">
        <v>17</v>
      </c>
      <c r="E21183">
        <v>1</v>
      </c>
    </row>
    <row r="21184" spans="1:5" x14ac:dyDescent="0.25">
      <c r="A21184">
        <v>21183</v>
      </c>
      <c r="B21184">
        <v>5614593</v>
      </c>
      <c r="C21184" s="1" t="str">
        <f>HYPERLINK("http://stackoverflow.com/users/5614593", "Charlence")</f>
        <v>Charlence</v>
      </c>
      <c r="D21184" t="s">
        <v>27</v>
      </c>
      <c r="E21184">
        <v>1</v>
      </c>
    </row>
    <row r="21185" spans="1:5" x14ac:dyDescent="0.25">
      <c r="A21185">
        <v>21184</v>
      </c>
      <c r="B21185">
        <v>5614730</v>
      </c>
      <c r="C21185" s="1" t="str">
        <f>HYPERLINK("http://stackoverflow.com/users/5614730", "ZjHOU")</f>
        <v>ZjHOU</v>
      </c>
      <c r="D21185" t="s">
        <v>130</v>
      </c>
      <c r="E21185">
        <v>1</v>
      </c>
    </row>
    <row r="21186" spans="1:5" x14ac:dyDescent="0.25">
      <c r="A21186">
        <v>21185</v>
      </c>
      <c r="B21186">
        <v>3832437</v>
      </c>
      <c r="C21186" s="1" t="str">
        <f>HYPERLINK("http://stackoverflow.com/users/3832437", "Eric")</f>
        <v>Eric</v>
      </c>
      <c r="D21186" t="s">
        <v>38</v>
      </c>
      <c r="E21186">
        <v>1</v>
      </c>
    </row>
    <row r="21187" spans="1:5" x14ac:dyDescent="0.25">
      <c r="A21187">
        <v>21186</v>
      </c>
      <c r="B21187">
        <v>2045860</v>
      </c>
      <c r="C21187" s="1" t="str">
        <f>HYPERLINK("http://stackoverflow.com/users/2045860", "gangz")</f>
        <v>gangz</v>
      </c>
      <c r="D21187" t="s">
        <v>4</v>
      </c>
      <c r="E21187">
        <v>1</v>
      </c>
    </row>
    <row r="21188" spans="1:5" x14ac:dyDescent="0.25">
      <c r="A21188">
        <v>21187</v>
      </c>
      <c r="B21188">
        <v>2046028</v>
      </c>
      <c r="C21188" s="1" t="str">
        <f>HYPERLINK("http://stackoverflow.com/users/2046028", "a11y")</f>
        <v>a11y</v>
      </c>
      <c r="D21188" t="s">
        <v>5</v>
      </c>
      <c r="E21188">
        <v>1</v>
      </c>
    </row>
    <row r="21189" spans="1:5" x14ac:dyDescent="0.25">
      <c r="A21189">
        <v>21188</v>
      </c>
      <c r="B21189">
        <v>11048258</v>
      </c>
      <c r="C21189" s="1" t="str">
        <f>HYPERLINK("http://stackoverflow.com/users/11048258", "yinghu5")</f>
        <v>yinghu5</v>
      </c>
      <c r="D21189" t="s">
        <v>4</v>
      </c>
      <c r="E21189">
        <v>1</v>
      </c>
    </row>
    <row r="21190" spans="1:5" x14ac:dyDescent="0.25">
      <c r="A21190">
        <v>21189</v>
      </c>
      <c r="B21190">
        <v>11048330</v>
      </c>
      <c r="C21190" s="1" t="str">
        <f>HYPERLINK("http://stackoverflow.com/users/11048330", "Zhuowei Si")</f>
        <v>Zhuowei Si</v>
      </c>
      <c r="D21190" t="s">
        <v>4</v>
      </c>
      <c r="E21190">
        <v>1</v>
      </c>
    </row>
    <row r="21191" spans="1:5" x14ac:dyDescent="0.25">
      <c r="A21191">
        <v>21190</v>
      </c>
      <c r="B21191">
        <v>11048635</v>
      </c>
      <c r="C21191" s="1" t="str">
        <f>HYPERLINK("http://stackoverflow.com/users/11048635", "Su Wang")</f>
        <v>Su Wang</v>
      </c>
      <c r="D21191" t="s">
        <v>5</v>
      </c>
      <c r="E21191">
        <v>1</v>
      </c>
    </row>
    <row r="21192" spans="1:5" x14ac:dyDescent="0.25">
      <c r="A21192">
        <v>21191</v>
      </c>
      <c r="B21192">
        <v>3824951</v>
      </c>
      <c r="C21192" s="1" t="str">
        <f>HYPERLINK("http://stackoverflow.com/users/3824951", "Elaner")</f>
        <v>Elaner</v>
      </c>
      <c r="D21192" t="s">
        <v>99</v>
      </c>
      <c r="E21192">
        <v>1</v>
      </c>
    </row>
    <row r="21193" spans="1:5" x14ac:dyDescent="0.25">
      <c r="A21193">
        <v>21192</v>
      </c>
      <c r="B21193">
        <v>3825199</v>
      </c>
      <c r="C21193" s="1" t="str">
        <f>HYPERLINK("http://stackoverflow.com/users/3825199", "Andye")</f>
        <v>Andye</v>
      </c>
      <c r="D21193" t="s">
        <v>5</v>
      </c>
      <c r="E21193">
        <v>1</v>
      </c>
    </row>
    <row r="21194" spans="1:5" x14ac:dyDescent="0.25">
      <c r="A21194">
        <v>21193</v>
      </c>
      <c r="B21194">
        <v>9255208</v>
      </c>
      <c r="C21194" s="1" t="str">
        <f>HYPERLINK("http://stackoverflow.com/users/9255208", "long xu")</f>
        <v>long xu</v>
      </c>
      <c r="D21194" t="s">
        <v>4</v>
      </c>
      <c r="E21194">
        <v>1</v>
      </c>
    </row>
    <row r="21195" spans="1:5" x14ac:dyDescent="0.25">
      <c r="A21195">
        <v>21194</v>
      </c>
      <c r="B21195">
        <v>9255506</v>
      </c>
      <c r="C21195" s="1" t="str">
        <f>HYPERLINK("http://stackoverflow.com/users/9255506", "Michael")</f>
        <v>Michael</v>
      </c>
      <c r="D21195" t="s">
        <v>12</v>
      </c>
      <c r="E21195">
        <v>1</v>
      </c>
    </row>
    <row r="21196" spans="1:5" x14ac:dyDescent="0.25">
      <c r="A21196">
        <v>21195</v>
      </c>
      <c r="B21196">
        <v>9255808</v>
      </c>
      <c r="C21196" s="1" t="str">
        <f>HYPERLINK("http://stackoverflow.com/users/9255808", "Wu Luo")</f>
        <v>Wu Luo</v>
      </c>
      <c r="D21196" t="s">
        <v>5</v>
      </c>
      <c r="E21196">
        <v>1</v>
      </c>
    </row>
    <row r="21197" spans="1:5" x14ac:dyDescent="0.25">
      <c r="A21197">
        <v>21196</v>
      </c>
      <c r="B21197">
        <v>3827745</v>
      </c>
      <c r="C21197" s="1" t="str">
        <f>HYPERLINK("http://stackoverflow.com/users/3827745", "Jaych Su")</f>
        <v>Jaych Su</v>
      </c>
      <c r="D21197" t="s">
        <v>4</v>
      </c>
      <c r="E21197">
        <v>1</v>
      </c>
    </row>
    <row r="21198" spans="1:5" x14ac:dyDescent="0.25">
      <c r="A21198">
        <v>21197</v>
      </c>
      <c r="B21198">
        <v>3827815</v>
      </c>
      <c r="C21198" s="1" t="str">
        <f>HYPERLINK("http://stackoverflow.com/users/3827815", "joyocaowei")</f>
        <v>joyocaowei</v>
      </c>
      <c r="D21198" t="s">
        <v>12</v>
      </c>
      <c r="E21198">
        <v>1</v>
      </c>
    </row>
    <row r="21199" spans="1:5" x14ac:dyDescent="0.25">
      <c r="A21199">
        <v>21198</v>
      </c>
      <c r="B21199">
        <v>3828126</v>
      </c>
      <c r="C21199" s="1" t="str">
        <f>HYPERLINK("http://stackoverflow.com/users/3828126", "Canvas.DoDo")</f>
        <v>Canvas.DoDo</v>
      </c>
      <c r="D21199" t="s">
        <v>1119</v>
      </c>
      <c r="E21199">
        <v>1</v>
      </c>
    </row>
    <row r="21200" spans="1:5" x14ac:dyDescent="0.25">
      <c r="A21200">
        <v>21199</v>
      </c>
      <c r="B21200">
        <v>3836316</v>
      </c>
      <c r="C21200" s="1" t="str">
        <f>HYPERLINK("http://stackoverflow.com/users/3836316", "maozaizi")</f>
        <v>maozaizi</v>
      </c>
      <c r="D21200" t="s">
        <v>54</v>
      </c>
      <c r="E21200">
        <v>1</v>
      </c>
    </row>
    <row r="21201" spans="1:5" x14ac:dyDescent="0.25">
      <c r="A21201">
        <v>21200</v>
      </c>
      <c r="B21201">
        <v>7378811</v>
      </c>
      <c r="C21201" s="1" t="str">
        <f>HYPERLINK("http://stackoverflow.com/users/7378811", "roy")</f>
        <v>roy</v>
      </c>
      <c r="D21201" t="s">
        <v>4</v>
      </c>
      <c r="E21201">
        <v>1</v>
      </c>
    </row>
    <row r="21202" spans="1:5" x14ac:dyDescent="0.25">
      <c r="A21202">
        <v>21201</v>
      </c>
      <c r="B21202">
        <v>7378939</v>
      </c>
      <c r="C21202" s="1" t="str">
        <f>HYPERLINK("http://stackoverflow.com/users/7378939", "Rainstorm")</f>
        <v>Rainstorm</v>
      </c>
      <c r="D21202" t="s">
        <v>415</v>
      </c>
      <c r="E21202">
        <v>1</v>
      </c>
    </row>
    <row r="21203" spans="1:5" x14ac:dyDescent="0.25">
      <c r="A21203">
        <v>21202</v>
      </c>
      <c r="B21203">
        <v>11065720</v>
      </c>
      <c r="C21203" s="1" t="str">
        <f>HYPERLINK("http://stackoverflow.com/users/11065720", "user11065720")</f>
        <v>user11065720</v>
      </c>
      <c r="D21203" t="s">
        <v>28</v>
      </c>
      <c r="E21203">
        <v>1</v>
      </c>
    </row>
    <row r="21204" spans="1:5" x14ac:dyDescent="0.25">
      <c r="A21204">
        <v>21203</v>
      </c>
      <c r="B21204">
        <v>9272387</v>
      </c>
      <c r="C21204" s="1" t="str">
        <f>HYPERLINK("http://stackoverflow.com/users/9272387", "CoderArthur")</f>
        <v>CoderArthur</v>
      </c>
      <c r="D21204" t="s">
        <v>16</v>
      </c>
      <c r="E21204">
        <v>1</v>
      </c>
    </row>
    <row r="21205" spans="1:5" x14ac:dyDescent="0.25">
      <c r="A21205">
        <v>21204</v>
      </c>
      <c r="B21205">
        <v>7381946</v>
      </c>
      <c r="C21205" s="1" t="str">
        <f>HYPERLINK("http://stackoverflow.com/users/7381946", "Chao")</f>
        <v>Chao</v>
      </c>
      <c r="D21205" t="s">
        <v>5</v>
      </c>
      <c r="E21205">
        <v>1</v>
      </c>
    </row>
    <row r="21206" spans="1:5" x14ac:dyDescent="0.25">
      <c r="A21206">
        <v>21205</v>
      </c>
      <c r="B21206">
        <v>7381950</v>
      </c>
      <c r="C21206" s="1" t="str">
        <f>HYPERLINK("http://stackoverflow.com/users/7381950", "DBz")</f>
        <v>DBz</v>
      </c>
      <c r="D21206" t="s">
        <v>5</v>
      </c>
      <c r="E21206">
        <v>1</v>
      </c>
    </row>
    <row r="21207" spans="1:5" x14ac:dyDescent="0.25">
      <c r="A21207">
        <v>21206</v>
      </c>
      <c r="B21207">
        <v>7381979</v>
      </c>
      <c r="C21207" s="1" t="str">
        <f>HYPERLINK("http://stackoverflow.com/users/7381979", "Vincent")</f>
        <v>Vincent</v>
      </c>
      <c r="D21207" t="s">
        <v>5</v>
      </c>
      <c r="E21207">
        <v>1</v>
      </c>
    </row>
    <row r="21208" spans="1:5" x14ac:dyDescent="0.25">
      <c r="A21208">
        <v>21207</v>
      </c>
      <c r="B21208">
        <v>7382592</v>
      </c>
      <c r="C21208" s="1" t="str">
        <f>HYPERLINK("http://stackoverflow.com/users/7382592", "Mr.Xu")</f>
        <v>Mr.Xu</v>
      </c>
      <c r="D21208" t="s">
        <v>42</v>
      </c>
      <c r="E21208">
        <v>1</v>
      </c>
    </row>
    <row r="21209" spans="1:5" x14ac:dyDescent="0.25">
      <c r="A21209">
        <v>21208</v>
      </c>
      <c r="B21209">
        <v>11074605</v>
      </c>
      <c r="C21209" s="1" t="str">
        <f>HYPERLINK("http://stackoverflow.com/users/11074605", "God.wang")</f>
        <v>God.wang</v>
      </c>
      <c r="D21209" t="s">
        <v>47</v>
      </c>
      <c r="E21209">
        <v>1</v>
      </c>
    </row>
    <row r="21210" spans="1:5" x14ac:dyDescent="0.25">
      <c r="A21210">
        <v>21209</v>
      </c>
      <c r="B21210">
        <v>9281438</v>
      </c>
      <c r="C21210" s="1" t="str">
        <f>HYPERLINK("http://stackoverflow.com/users/9281438", "叶小豪")</f>
        <v>叶小豪</v>
      </c>
      <c r="D21210" t="s">
        <v>25</v>
      </c>
      <c r="E21210">
        <v>1</v>
      </c>
    </row>
    <row r="21211" spans="1:5" x14ac:dyDescent="0.25">
      <c r="A21211">
        <v>21210</v>
      </c>
      <c r="B21211">
        <v>9281548</v>
      </c>
      <c r="C21211" s="1" t="str">
        <f>HYPERLINK("http://stackoverflow.com/users/9281548", "loong576")</f>
        <v>loong576</v>
      </c>
      <c r="D21211" t="s">
        <v>1120</v>
      </c>
      <c r="E21211">
        <v>1</v>
      </c>
    </row>
    <row r="21212" spans="1:5" x14ac:dyDescent="0.25">
      <c r="A21212">
        <v>21211</v>
      </c>
      <c r="B21212">
        <v>3845483</v>
      </c>
      <c r="C21212" s="1" t="str">
        <f>HYPERLINK("http://stackoverflow.com/users/3845483", "Edward")</f>
        <v>Edward</v>
      </c>
      <c r="D21212" t="s">
        <v>21</v>
      </c>
      <c r="E21212">
        <v>1</v>
      </c>
    </row>
    <row r="21213" spans="1:5" x14ac:dyDescent="0.25">
      <c r="A21213">
        <v>21212</v>
      </c>
      <c r="B21213">
        <v>5633561</v>
      </c>
      <c r="C21213" s="1" t="str">
        <f>HYPERLINK("http://stackoverflow.com/users/5633561", "Yao Matthew")</f>
        <v>Yao Matthew</v>
      </c>
      <c r="D21213" t="s">
        <v>4</v>
      </c>
      <c r="E21213">
        <v>1</v>
      </c>
    </row>
    <row r="21214" spans="1:5" x14ac:dyDescent="0.25">
      <c r="A21214">
        <v>21213</v>
      </c>
      <c r="B21214">
        <v>7389583</v>
      </c>
      <c r="C21214" s="1" t="str">
        <f>HYPERLINK("http://stackoverflow.com/users/7389583", "xyz")</f>
        <v>xyz</v>
      </c>
      <c r="D21214" t="s">
        <v>4</v>
      </c>
      <c r="E21214">
        <v>1</v>
      </c>
    </row>
    <row r="21215" spans="1:5" x14ac:dyDescent="0.25">
      <c r="A21215">
        <v>21214</v>
      </c>
      <c r="B21215">
        <v>3849265</v>
      </c>
      <c r="C21215" s="1" t="str">
        <f>HYPERLINK("http://stackoverflow.com/users/3849265", "fomodlx")</f>
        <v>fomodlx</v>
      </c>
      <c r="D21215" t="s">
        <v>8</v>
      </c>
      <c r="E21215">
        <v>1</v>
      </c>
    </row>
    <row r="21216" spans="1:5" x14ac:dyDescent="0.25">
      <c r="A21216">
        <v>21215</v>
      </c>
      <c r="B21216">
        <v>7307337</v>
      </c>
      <c r="C21216" s="1" t="str">
        <f>HYPERLINK("http://stackoverflow.com/users/7307337", "Liu Ning")</f>
        <v>Liu Ning</v>
      </c>
      <c r="D21216" t="s">
        <v>5</v>
      </c>
      <c r="E21216">
        <v>1</v>
      </c>
    </row>
    <row r="21217" spans="1:5" x14ac:dyDescent="0.25">
      <c r="A21217">
        <v>21216</v>
      </c>
      <c r="B21217">
        <v>10984425</v>
      </c>
      <c r="C21217" s="1" t="str">
        <f>HYPERLINK("http://stackoverflow.com/users/10984425", "user10984425")</f>
        <v>user10984425</v>
      </c>
      <c r="D21217" t="s">
        <v>78</v>
      </c>
      <c r="E21217">
        <v>1</v>
      </c>
    </row>
    <row r="21218" spans="1:5" x14ac:dyDescent="0.25">
      <c r="A21218">
        <v>21217</v>
      </c>
      <c r="B21218">
        <v>3761991</v>
      </c>
      <c r="C21218" s="1" t="str">
        <f>HYPERLINK("http://stackoverflow.com/users/3761991", "dowe")</f>
        <v>dowe</v>
      </c>
      <c r="D21218" t="s">
        <v>4</v>
      </c>
      <c r="E21218">
        <v>1</v>
      </c>
    </row>
    <row r="21219" spans="1:5" x14ac:dyDescent="0.25">
      <c r="A21219">
        <v>21218</v>
      </c>
      <c r="B21219">
        <v>1970556</v>
      </c>
      <c r="C21219" s="1" t="str">
        <f>HYPERLINK("http://stackoverflow.com/users/1970556", "ltang")</f>
        <v>ltang</v>
      </c>
      <c r="D21219" t="s">
        <v>12</v>
      </c>
      <c r="E21219">
        <v>1</v>
      </c>
    </row>
    <row r="21220" spans="1:5" x14ac:dyDescent="0.25">
      <c r="A21220">
        <v>21219</v>
      </c>
      <c r="B21220">
        <v>10977061</v>
      </c>
      <c r="C21220" s="1" t="str">
        <f>HYPERLINK("http://stackoverflow.com/users/10977061", "Yu-zh")</f>
        <v>Yu-zh</v>
      </c>
      <c r="D21220" t="s">
        <v>5</v>
      </c>
      <c r="E21220">
        <v>1</v>
      </c>
    </row>
    <row r="21221" spans="1:5" x14ac:dyDescent="0.25">
      <c r="A21221">
        <v>21220</v>
      </c>
      <c r="B21221">
        <v>10977207</v>
      </c>
      <c r="C21221" s="1" t="str">
        <f>HYPERLINK("http://stackoverflow.com/users/10977207", "Junyu Zhan")</f>
        <v>Junyu Zhan</v>
      </c>
      <c r="D21221" t="s">
        <v>28</v>
      </c>
      <c r="E21221">
        <v>1</v>
      </c>
    </row>
    <row r="21222" spans="1:5" x14ac:dyDescent="0.25">
      <c r="A21222">
        <v>21221</v>
      </c>
      <c r="B21222">
        <v>9181822</v>
      </c>
      <c r="C21222" s="1" t="str">
        <f>HYPERLINK("http://stackoverflow.com/users/9181822", "curious.shaolin")</f>
        <v>curious.shaolin</v>
      </c>
      <c r="D21222" t="s">
        <v>415</v>
      </c>
      <c r="E21222">
        <v>1</v>
      </c>
    </row>
    <row r="21223" spans="1:5" x14ac:dyDescent="0.25">
      <c r="A21223">
        <v>21222</v>
      </c>
      <c r="B21223">
        <v>9182235</v>
      </c>
      <c r="C21223" s="1" t="str">
        <f>HYPERLINK("http://stackoverflow.com/users/9182235", "Jam")</f>
        <v>Jam</v>
      </c>
      <c r="D21223" t="s">
        <v>1121</v>
      </c>
      <c r="E21223">
        <v>1</v>
      </c>
    </row>
    <row r="21224" spans="1:5" x14ac:dyDescent="0.25">
      <c r="A21224">
        <v>21223</v>
      </c>
      <c r="B21224">
        <v>9173070</v>
      </c>
      <c r="C21224" s="1" t="str">
        <f>HYPERLINK("http://stackoverflow.com/users/9173070", "wanxp")</f>
        <v>wanxp</v>
      </c>
      <c r="D21224" t="s">
        <v>120</v>
      </c>
      <c r="E21224">
        <v>1</v>
      </c>
    </row>
    <row r="21225" spans="1:5" x14ac:dyDescent="0.25">
      <c r="A21225">
        <v>21224</v>
      </c>
      <c r="B21225">
        <v>10971891</v>
      </c>
      <c r="C21225" s="1" t="str">
        <f>HYPERLINK("http://stackoverflow.com/users/10971891", "Sunnywillow")</f>
        <v>Sunnywillow</v>
      </c>
      <c r="D21225" t="s">
        <v>3</v>
      </c>
      <c r="E21225">
        <v>1</v>
      </c>
    </row>
    <row r="21226" spans="1:5" x14ac:dyDescent="0.25">
      <c r="A21226">
        <v>21225</v>
      </c>
      <c r="B21226">
        <v>7299870</v>
      </c>
      <c r="C21226" s="1" t="str">
        <f>HYPERLINK("http://stackoverflow.com/users/7299870", "huangzhhui")</f>
        <v>huangzhhui</v>
      </c>
      <c r="D21226" t="s">
        <v>7</v>
      </c>
      <c r="E21226">
        <v>1</v>
      </c>
    </row>
    <row r="21227" spans="1:5" x14ac:dyDescent="0.25">
      <c r="A21227">
        <v>21226</v>
      </c>
      <c r="B21227">
        <v>7299889</v>
      </c>
      <c r="C21227" s="1" t="str">
        <f>HYPERLINK("http://stackoverflow.com/users/7299889", "Lizzy")</f>
        <v>Lizzy</v>
      </c>
      <c r="D21227" t="s">
        <v>28</v>
      </c>
      <c r="E21227">
        <v>1</v>
      </c>
    </row>
    <row r="21228" spans="1:5" x14ac:dyDescent="0.25">
      <c r="A21228">
        <v>21227</v>
      </c>
      <c r="B21228">
        <v>1968806</v>
      </c>
      <c r="C21228" s="1" t="str">
        <f>HYPERLINK("http://stackoverflow.com/users/1968806", "tonylee0329")</f>
        <v>tonylee0329</v>
      </c>
      <c r="D21228" t="s">
        <v>4</v>
      </c>
      <c r="E21228">
        <v>1</v>
      </c>
    </row>
    <row r="21229" spans="1:5" x14ac:dyDescent="0.25">
      <c r="A21229">
        <v>21228</v>
      </c>
      <c r="B21229">
        <v>1969158</v>
      </c>
      <c r="C21229" s="1" t="str">
        <f>HYPERLINK("http://stackoverflow.com/users/1969158", "wangxue")</f>
        <v>wangxue</v>
      </c>
      <c r="D21229" t="s">
        <v>3</v>
      </c>
      <c r="E21229">
        <v>1</v>
      </c>
    </row>
    <row r="21230" spans="1:5" x14ac:dyDescent="0.25">
      <c r="A21230">
        <v>21229</v>
      </c>
      <c r="B21230">
        <v>7290081</v>
      </c>
      <c r="C21230" s="1" t="str">
        <f>HYPERLINK("http://stackoverflow.com/users/7290081", "chenwy")</f>
        <v>chenwy</v>
      </c>
      <c r="D21230" t="s">
        <v>4</v>
      </c>
      <c r="E21230">
        <v>1</v>
      </c>
    </row>
    <row r="21231" spans="1:5" x14ac:dyDescent="0.25">
      <c r="A21231">
        <v>21230</v>
      </c>
      <c r="B21231">
        <v>5528903</v>
      </c>
      <c r="C21231" s="1" t="str">
        <f>HYPERLINK("http://stackoverflow.com/users/5528903", "WmIwd")</f>
        <v>WmIwd</v>
      </c>
      <c r="D21231" t="s">
        <v>5</v>
      </c>
      <c r="E21231">
        <v>1</v>
      </c>
    </row>
    <row r="21232" spans="1:5" x14ac:dyDescent="0.25">
      <c r="A21232">
        <v>21231</v>
      </c>
      <c r="B21232">
        <v>10955072</v>
      </c>
      <c r="C21232" s="1" t="str">
        <f>HYPERLINK("http://stackoverflow.com/users/10955072", "QILING Disk Master")</f>
        <v>QILING Disk Master</v>
      </c>
      <c r="D21232" t="s">
        <v>1122</v>
      </c>
      <c r="E21232">
        <v>1</v>
      </c>
    </row>
    <row r="21233" spans="1:5" x14ac:dyDescent="0.25">
      <c r="A21233">
        <v>21232</v>
      </c>
      <c r="B21233">
        <v>1947754</v>
      </c>
      <c r="C21233" s="1" t="str">
        <f>HYPERLINK("http://stackoverflow.com/users/1947754", "Taurus Anger")</f>
        <v>Taurus Anger</v>
      </c>
      <c r="D21233" t="s">
        <v>54</v>
      </c>
      <c r="E21233">
        <v>1</v>
      </c>
    </row>
    <row r="21234" spans="1:5" x14ac:dyDescent="0.25">
      <c r="A21234">
        <v>21233</v>
      </c>
      <c r="B21234">
        <v>1952586</v>
      </c>
      <c r="C21234" s="1" t="str">
        <f>HYPERLINK("http://stackoverflow.com/users/1952586", "LVM ZHAN")</f>
        <v>LVM ZHAN</v>
      </c>
      <c r="D21234" t="s">
        <v>5</v>
      </c>
      <c r="E21234">
        <v>1</v>
      </c>
    </row>
    <row r="21235" spans="1:5" x14ac:dyDescent="0.25">
      <c r="A21235">
        <v>21234</v>
      </c>
      <c r="B21235">
        <v>1952605</v>
      </c>
      <c r="C21235" s="1" t="str">
        <f>HYPERLINK("http://stackoverflow.com/users/1952605", "MozTea")</f>
        <v>MozTea</v>
      </c>
      <c r="D21235" t="s">
        <v>5</v>
      </c>
      <c r="E21235">
        <v>1</v>
      </c>
    </row>
    <row r="21236" spans="1:5" x14ac:dyDescent="0.25">
      <c r="A21236">
        <v>21235</v>
      </c>
      <c r="B21236">
        <v>1952689</v>
      </c>
      <c r="C21236" s="1" t="str">
        <f>HYPERLINK("http://stackoverflow.com/users/1952689", "yue.zheng")</f>
        <v>yue.zheng</v>
      </c>
      <c r="D21236" t="s">
        <v>4</v>
      </c>
      <c r="E21236">
        <v>1</v>
      </c>
    </row>
    <row r="21237" spans="1:5" x14ac:dyDescent="0.25">
      <c r="A21237">
        <v>21236</v>
      </c>
      <c r="B21237">
        <v>1952720</v>
      </c>
      <c r="C21237" s="1" t="str">
        <f>HYPERLINK("http://stackoverflow.com/users/1952720", "Synix")</f>
        <v>Synix</v>
      </c>
      <c r="D21237" t="s">
        <v>54</v>
      </c>
      <c r="E21237">
        <v>1</v>
      </c>
    </row>
    <row r="21238" spans="1:5" x14ac:dyDescent="0.25">
      <c r="A21238">
        <v>21237</v>
      </c>
      <c r="B21238">
        <v>1952754</v>
      </c>
      <c r="C21238" s="1" t="str">
        <f>HYPERLINK("http://stackoverflow.com/users/1952754", "forlsy")</f>
        <v>forlsy</v>
      </c>
      <c r="D21238" t="s">
        <v>22</v>
      </c>
      <c r="E21238">
        <v>1</v>
      </c>
    </row>
    <row r="21239" spans="1:5" x14ac:dyDescent="0.25">
      <c r="A21239">
        <v>21238</v>
      </c>
      <c r="B21239">
        <v>1953960</v>
      </c>
      <c r="C21239" s="1" t="str">
        <f>HYPERLINK("http://stackoverflow.com/users/1953960", "sofakeer")</f>
        <v>sofakeer</v>
      </c>
      <c r="D21239" t="s">
        <v>5</v>
      </c>
      <c r="E21239">
        <v>1</v>
      </c>
    </row>
    <row r="21240" spans="1:5" x14ac:dyDescent="0.25">
      <c r="A21240">
        <v>21239</v>
      </c>
      <c r="B21240">
        <v>5537287</v>
      </c>
      <c r="C21240" s="1" t="str">
        <f>HYPERLINK("http://stackoverflow.com/users/5537287", "Shine Xu")</f>
        <v>Shine Xu</v>
      </c>
      <c r="D21240" t="s">
        <v>5</v>
      </c>
      <c r="E21240">
        <v>1</v>
      </c>
    </row>
    <row r="21241" spans="1:5" x14ac:dyDescent="0.25">
      <c r="A21241">
        <v>21240</v>
      </c>
      <c r="B21241">
        <v>1989594</v>
      </c>
      <c r="C21241" s="1" t="str">
        <f>HYPERLINK("http://stackoverflow.com/users/1989594", "William Wu")</f>
        <v>William Wu</v>
      </c>
      <c r="D21241" t="s">
        <v>4</v>
      </c>
      <c r="E21241">
        <v>1</v>
      </c>
    </row>
    <row r="21242" spans="1:5" x14ac:dyDescent="0.25">
      <c r="A21242">
        <v>21241</v>
      </c>
      <c r="B21242">
        <v>9197929</v>
      </c>
      <c r="C21242" s="1" t="str">
        <f>HYPERLINK("http://stackoverflow.com/users/9197929", "user269190")</f>
        <v>user269190</v>
      </c>
      <c r="D21242" t="s">
        <v>5</v>
      </c>
      <c r="E21242">
        <v>1</v>
      </c>
    </row>
    <row r="21243" spans="1:5" x14ac:dyDescent="0.25">
      <c r="A21243">
        <v>21242</v>
      </c>
      <c r="B21243">
        <v>3766058</v>
      </c>
      <c r="C21243" s="1" t="str">
        <f>HYPERLINK("http://stackoverflow.com/users/3766058", "andye")</f>
        <v>andye</v>
      </c>
      <c r="D21243" t="s">
        <v>5</v>
      </c>
      <c r="E21243">
        <v>1</v>
      </c>
    </row>
    <row r="21244" spans="1:5" x14ac:dyDescent="0.25">
      <c r="A21244">
        <v>21243</v>
      </c>
      <c r="B21244">
        <v>3766131</v>
      </c>
      <c r="C21244" s="1" t="str">
        <f>HYPERLINK("http://stackoverflow.com/users/3766131", "Rocs.ZH")</f>
        <v>Rocs.ZH</v>
      </c>
      <c r="D21244" t="s">
        <v>22</v>
      </c>
      <c r="E21244">
        <v>1</v>
      </c>
    </row>
    <row r="21245" spans="1:5" x14ac:dyDescent="0.25">
      <c r="A21245">
        <v>21244</v>
      </c>
      <c r="B21245">
        <v>1989083</v>
      </c>
      <c r="C21245" s="1" t="str">
        <f>HYPERLINK("http://stackoverflow.com/users/1989083", "chentao1006")</f>
        <v>chentao1006</v>
      </c>
      <c r="D21245" t="s">
        <v>61</v>
      </c>
      <c r="E21245">
        <v>1</v>
      </c>
    </row>
    <row r="21246" spans="1:5" x14ac:dyDescent="0.25">
      <c r="A21246">
        <v>21245</v>
      </c>
      <c r="B21246">
        <v>9190279</v>
      </c>
      <c r="C21246" s="1" t="str">
        <f>HYPERLINK("http://stackoverflow.com/users/9190279", "Jane Yue")</f>
        <v>Jane Yue</v>
      </c>
      <c r="D21246" t="s">
        <v>4</v>
      </c>
      <c r="E21246">
        <v>1</v>
      </c>
    </row>
    <row r="21247" spans="1:5" x14ac:dyDescent="0.25">
      <c r="A21247">
        <v>21246</v>
      </c>
      <c r="B21247">
        <v>10988043</v>
      </c>
      <c r="C21247" s="1" t="str">
        <f>HYPERLINK("http://stackoverflow.com/users/10988043", "huaLin")</f>
        <v>huaLin</v>
      </c>
      <c r="D21247" t="s">
        <v>4</v>
      </c>
      <c r="E21247">
        <v>1</v>
      </c>
    </row>
    <row r="21248" spans="1:5" x14ac:dyDescent="0.25">
      <c r="A21248">
        <v>21247</v>
      </c>
      <c r="B21248">
        <v>10988708</v>
      </c>
      <c r="C21248" s="1" t="str">
        <f>HYPERLINK("http://stackoverflow.com/users/10988708", "JMCC")</f>
        <v>JMCC</v>
      </c>
      <c r="D21248" t="s">
        <v>5</v>
      </c>
      <c r="E21248">
        <v>1</v>
      </c>
    </row>
    <row r="21249" spans="1:5" x14ac:dyDescent="0.25">
      <c r="A21249">
        <v>21248</v>
      </c>
      <c r="B21249">
        <v>10988733</v>
      </c>
      <c r="C21249" s="1" t="str">
        <f>HYPERLINK("http://stackoverflow.com/users/10988733", "Xinguang Wang")</f>
        <v>Xinguang Wang</v>
      </c>
      <c r="D21249" t="s">
        <v>4</v>
      </c>
      <c r="E21249">
        <v>1</v>
      </c>
    </row>
    <row r="21250" spans="1:5" x14ac:dyDescent="0.25">
      <c r="A21250">
        <v>21249</v>
      </c>
      <c r="B21250">
        <v>10988791</v>
      </c>
      <c r="C21250" s="1" t="str">
        <f>HYPERLINK("http://stackoverflow.com/users/10988791", "gilberthamster")</f>
        <v>gilberthamster</v>
      </c>
      <c r="D21250" t="s">
        <v>374</v>
      </c>
      <c r="E21250">
        <v>1</v>
      </c>
    </row>
    <row r="21251" spans="1:5" x14ac:dyDescent="0.25">
      <c r="A21251">
        <v>21250</v>
      </c>
      <c r="B21251">
        <v>3765894</v>
      </c>
      <c r="C21251" s="1" t="str">
        <f>HYPERLINK("http://stackoverflow.com/users/3765894", "jokan")</f>
        <v>jokan</v>
      </c>
      <c r="D21251" t="s">
        <v>5</v>
      </c>
      <c r="E21251">
        <v>1</v>
      </c>
    </row>
    <row r="21252" spans="1:5" x14ac:dyDescent="0.25">
      <c r="A21252">
        <v>21251</v>
      </c>
      <c r="B21252">
        <v>9202426</v>
      </c>
      <c r="C21252" s="1" t="str">
        <f>HYPERLINK("http://stackoverflow.com/users/9202426", "Michael Tang")</f>
        <v>Michael Tang</v>
      </c>
      <c r="D21252" t="s">
        <v>4</v>
      </c>
      <c r="E21252">
        <v>1</v>
      </c>
    </row>
    <row r="21253" spans="1:5" x14ac:dyDescent="0.25">
      <c r="A21253">
        <v>21252</v>
      </c>
      <c r="B21253">
        <v>9206974</v>
      </c>
      <c r="C21253" s="1" t="str">
        <f>HYPERLINK("http://stackoverflow.com/users/9206974", "董茂健")</f>
        <v>董茂健</v>
      </c>
      <c r="D21253" t="s">
        <v>55</v>
      </c>
      <c r="E21253">
        <v>1</v>
      </c>
    </row>
    <row r="21254" spans="1:5" x14ac:dyDescent="0.25">
      <c r="A21254">
        <v>21253</v>
      </c>
      <c r="B21254">
        <v>9207105</v>
      </c>
      <c r="C21254" s="1" t="str">
        <f>HYPERLINK("http://stackoverflow.com/users/9207105", "Damon Chen")</f>
        <v>Damon Chen</v>
      </c>
      <c r="D21254" t="s">
        <v>5</v>
      </c>
      <c r="E21254">
        <v>1</v>
      </c>
    </row>
    <row r="21255" spans="1:5" x14ac:dyDescent="0.25">
      <c r="A21255">
        <v>21254</v>
      </c>
      <c r="B21255">
        <v>1999769</v>
      </c>
      <c r="C21255" s="1" t="str">
        <f>HYPERLINK("http://stackoverflow.com/users/1999769", "红桃貮")</f>
        <v>红桃貮</v>
      </c>
      <c r="D21255" t="s">
        <v>4</v>
      </c>
      <c r="E21255">
        <v>1</v>
      </c>
    </row>
    <row r="21256" spans="1:5" x14ac:dyDescent="0.25">
      <c r="A21256">
        <v>21255</v>
      </c>
      <c r="B21256">
        <v>1998953</v>
      </c>
      <c r="C21256" s="1" t="str">
        <f>HYPERLINK("http://stackoverflow.com/users/1998953", "Brooks")</f>
        <v>Brooks</v>
      </c>
      <c r="D21256" t="s">
        <v>57</v>
      </c>
      <c r="E21256">
        <v>1</v>
      </c>
    </row>
    <row r="21257" spans="1:5" x14ac:dyDescent="0.25">
      <c r="A21257">
        <v>21256</v>
      </c>
      <c r="B21257">
        <v>3782225</v>
      </c>
      <c r="C21257" s="1" t="str">
        <f>HYPERLINK("http://stackoverflow.com/users/3782225", "user3782225")</f>
        <v>user3782225</v>
      </c>
      <c r="D21257" t="s">
        <v>4</v>
      </c>
      <c r="E21257">
        <v>1</v>
      </c>
    </row>
    <row r="21258" spans="1:5" x14ac:dyDescent="0.25">
      <c r="A21258">
        <v>21257</v>
      </c>
      <c r="B21258">
        <v>7334447</v>
      </c>
      <c r="C21258" s="1" t="str">
        <f>HYPERLINK("http://stackoverflow.com/users/7334447", "codertrz")</f>
        <v>codertrz</v>
      </c>
      <c r="D21258" t="s">
        <v>7</v>
      </c>
      <c r="E21258">
        <v>1</v>
      </c>
    </row>
    <row r="21259" spans="1:5" x14ac:dyDescent="0.25">
      <c r="A21259">
        <v>21258</v>
      </c>
      <c r="B21259">
        <v>7334464</v>
      </c>
      <c r="C21259" s="1" t="str">
        <f>HYPERLINK("http://stackoverflow.com/users/7334464", "Seapeakcn")</f>
        <v>Seapeakcn</v>
      </c>
      <c r="D21259" t="s">
        <v>135</v>
      </c>
      <c r="E21259">
        <v>1</v>
      </c>
    </row>
    <row r="21260" spans="1:5" x14ac:dyDescent="0.25">
      <c r="A21260">
        <v>21259</v>
      </c>
      <c r="B21260">
        <v>7334467</v>
      </c>
      <c r="C21260" s="1" t="str">
        <f>HYPERLINK("http://stackoverflow.com/users/7334467", "廖云坤")</f>
        <v>廖云坤</v>
      </c>
      <c r="D21260" t="s">
        <v>4</v>
      </c>
      <c r="E21260">
        <v>1</v>
      </c>
    </row>
    <row r="21261" spans="1:5" x14ac:dyDescent="0.25">
      <c r="A21261">
        <v>21260</v>
      </c>
      <c r="B21261">
        <v>3791117</v>
      </c>
      <c r="C21261" s="1" t="str">
        <f>HYPERLINK("http://stackoverflow.com/users/3791117", "zhshhere")</f>
        <v>zhshhere</v>
      </c>
      <c r="D21261" t="s">
        <v>5</v>
      </c>
      <c r="E21261">
        <v>1</v>
      </c>
    </row>
    <row r="21262" spans="1:5" x14ac:dyDescent="0.25">
      <c r="A21262">
        <v>21261</v>
      </c>
      <c r="B21262">
        <v>3791131</v>
      </c>
      <c r="C21262" s="1" t="str">
        <f>HYPERLINK("http://stackoverflow.com/users/3791131", "Xavier Pan")</f>
        <v>Xavier Pan</v>
      </c>
      <c r="D21262" t="s">
        <v>3</v>
      </c>
      <c r="E21262">
        <v>1</v>
      </c>
    </row>
    <row r="21263" spans="1:5" x14ac:dyDescent="0.25">
      <c r="A21263">
        <v>21262</v>
      </c>
      <c r="B21263">
        <v>7336907</v>
      </c>
      <c r="C21263" s="1" t="str">
        <f>HYPERLINK("http://stackoverflow.com/users/7336907", "Tanlifan")</f>
        <v>Tanlifan</v>
      </c>
      <c r="D21263" t="s">
        <v>1123</v>
      </c>
      <c r="E21263">
        <v>1</v>
      </c>
    </row>
    <row r="21264" spans="1:5" x14ac:dyDescent="0.25">
      <c r="A21264">
        <v>21263</v>
      </c>
      <c r="B21264">
        <v>1918230</v>
      </c>
      <c r="C21264" s="1" t="str">
        <f>HYPERLINK("http://stackoverflow.com/users/1918230", "Nilous")</f>
        <v>Nilous</v>
      </c>
      <c r="D21264" t="s">
        <v>3</v>
      </c>
      <c r="E21264">
        <v>1</v>
      </c>
    </row>
    <row r="21265" spans="1:5" x14ac:dyDescent="0.25">
      <c r="A21265">
        <v>21264</v>
      </c>
      <c r="B21265">
        <v>7265494</v>
      </c>
      <c r="C21265" s="1" t="str">
        <f>HYPERLINK("http://stackoverflow.com/users/7265494", "Kai Guo")</f>
        <v>Kai Guo</v>
      </c>
      <c r="D21265" t="s">
        <v>5</v>
      </c>
      <c r="E21265">
        <v>1</v>
      </c>
    </row>
    <row r="21266" spans="1:5" x14ac:dyDescent="0.25">
      <c r="A21266">
        <v>21265</v>
      </c>
      <c r="B21266">
        <v>5513968</v>
      </c>
      <c r="C21266" s="1" t="str">
        <f>HYPERLINK("http://stackoverflow.com/users/5513968", "Robbie Cao")</f>
        <v>Robbie Cao</v>
      </c>
      <c r="D21266" t="s">
        <v>4</v>
      </c>
      <c r="E21266">
        <v>1</v>
      </c>
    </row>
    <row r="21267" spans="1:5" x14ac:dyDescent="0.25">
      <c r="A21267">
        <v>21266</v>
      </c>
      <c r="B21267">
        <v>5514220</v>
      </c>
      <c r="C21267" s="1" t="str">
        <f>HYPERLINK("http://stackoverflow.com/users/5514220", "Leo Agle")</f>
        <v>Leo Agle</v>
      </c>
      <c r="D21267" t="s">
        <v>22</v>
      </c>
      <c r="E21267">
        <v>1</v>
      </c>
    </row>
    <row r="21268" spans="1:5" x14ac:dyDescent="0.25">
      <c r="A21268">
        <v>21267</v>
      </c>
      <c r="B21268">
        <v>1917991</v>
      </c>
      <c r="C21268" s="1" t="str">
        <f>HYPERLINK("http://stackoverflow.com/users/1917991", "Cancer Lee")</f>
        <v>Cancer Lee</v>
      </c>
      <c r="D21268" t="s">
        <v>22</v>
      </c>
      <c r="E21268">
        <v>1</v>
      </c>
    </row>
    <row r="21269" spans="1:5" x14ac:dyDescent="0.25">
      <c r="A21269">
        <v>21268</v>
      </c>
      <c r="B21269">
        <v>1918021</v>
      </c>
      <c r="C21269" s="1" t="str">
        <f>HYPERLINK("http://stackoverflow.com/users/1918021", "Danny")</f>
        <v>Danny</v>
      </c>
      <c r="D21269" t="s">
        <v>22</v>
      </c>
      <c r="E21269">
        <v>1</v>
      </c>
    </row>
    <row r="21270" spans="1:5" x14ac:dyDescent="0.25">
      <c r="A21270">
        <v>21269</v>
      </c>
      <c r="B21270">
        <v>10931091</v>
      </c>
      <c r="C21270" s="1" t="str">
        <f>HYPERLINK("http://stackoverflow.com/users/10931091", "xiaohoo Yang")</f>
        <v>xiaohoo Yang</v>
      </c>
      <c r="D21270" t="s">
        <v>131</v>
      </c>
      <c r="E21270">
        <v>1</v>
      </c>
    </row>
    <row r="21271" spans="1:5" x14ac:dyDescent="0.25">
      <c r="A21271">
        <v>21270</v>
      </c>
      <c r="B21271">
        <v>10931225</v>
      </c>
      <c r="C21271" s="1" t="str">
        <f>HYPERLINK("http://stackoverflow.com/users/10931225", "yan jack")</f>
        <v>yan jack</v>
      </c>
      <c r="D21271" t="s">
        <v>1124</v>
      </c>
      <c r="E21271">
        <v>1</v>
      </c>
    </row>
    <row r="21272" spans="1:5" x14ac:dyDescent="0.25">
      <c r="A21272">
        <v>21271</v>
      </c>
      <c r="B21272">
        <v>10931235</v>
      </c>
      <c r="C21272" s="1" t="str">
        <f>HYPERLINK("http://stackoverflow.com/users/10931235", "Spark")</f>
        <v>Spark</v>
      </c>
      <c r="D21272" t="s">
        <v>28</v>
      </c>
      <c r="E21272">
        <v>1</v>
      </c>
    </row>
    <row r="21273" spans="1:5" x14ac:dyDescent="0.25">
      <c r="A21273">
        <v>21272</v>
      </c>
      <c r="B21273">
        <v>1923158</v>
      </c>
      <c r="C21273" s="1" t="str">
        <f>HYPERLINK("http://stackoverflow.com/users/1923158", "minchensz")</f>
        <v>minchensz</v>
      </c>
      <c r="D21273" t="s">
        <v>3</v>
      </c>
      <c r="E21273">
        <v>1</v>
      </c>
    </row>
    <row r="21274" spans="1:5" x14ac:dyDescent="0.25">
      <c r="A21274">
        <v>21273</v>
      </c>
      <c r="B21274">
        <v>1909655</v>
      </c>
      <c r="C21274" s="1" t="str">
        <f>HYPERLINK("http://stackoverflow.com/users/1909655", "Marcello Cai")</f>
        <v>Marcello Cai</v>
      </c>
      <c r="D21274" t="s">
        <v>5</v>
      </c>
      <c r="E21274">
        <v>1</v>
      </c>
    </row>
    <row r="21275" spans="1:5" x14ac:dyDescent="0.25">
      <c r="A21275">
        <v>21274</v>
      </c>
      <c r="B21275">
        <v>1909124</v>
      </c>
      <c r="C21275" s="1" t="str">
        <f>HYPERLINK("http://stackoverflow.com/users/1909124", "zach")</f>
        <v>zach</v>
      </c>
      <c r="D21275" t="s">
        <v>4</v>
      </c>
      <c r="E21275">
        <v>1</v>
      </c>
    </row>
    <row r="21276" spans="1:5" x14ac:dyDescent="0.25">
      <c r="A21276">
        <v>21275</v>
      </c>
      <c r="B21276">
        <v>7255339</v>
      </c>
      <c r="C21276" s="1" t="str">
        <f>HYPERLINK("http://stackoverflow.com/users/7255339", "blackfish7")</f>
        <v>blackfish7</v>
      </c>
      <c r="D21276" t="s">
        <v>19</v>
      </c>
      <c r="E21276">
        <v>1</v>
      </c>
    </row>
    <row r="21277" spans="1:5" x14ac:dyDescent="0.25">
      <c r="A21277">
        <v>21276</v>
      </c>
      <c r="B21277">
        <v>9127661</v>
      </c>
      <c r="C21277" s="1" t="str">
        <f>HYPERLINK("http://stackoverflow.com/users/9127661", "P.li")</f>
        <v>P.li</v>
      </c>
      <c r="D21277" t="s">
        <v>131</v>
      </c>
      <c r="E21277">
        <v>1</v>
      </c>
    </row>
    <row r="21278" spans="1:5" x14ac:dyDescent="0.25">
      <c r="A21278">
        <v>21277</v>
      </c>
      <c r="B21278">
        <v>5497168</v>
      </c>
      <c r="C21278" s="1" t="str">
        <f>HYPERLINK("http://stackoverflow.com/users/5497168", "PENGYU LI")</f>
        <v>PENGYU LI</v>
      </c>
      <c r="D21278" t="s">
        <v>5</v>
      </c>
      <c r="E21278">
        <v>1</v>
      </c>
    </row>
    <row r="21279" spans="1:5" x14ac:dyDescent="0.25">
      <c r="A21279">
        <v>21278</v>
      </c>
      <c r="B21279">
        <v>1899964</v>
      </c>
      <c r="C21279" s="1" t="str">
        <f>HYPERLINK("http://stackoverflow.com/users/1899964", "Frank")</f>
        <v>Frank</v>
      </c>
      <c r="D21279" t="s">
        <v>5</v>
      </c>
      <c r="E21279">
        <v>1</v>
      </c>
    </row>
    <row r="21280" spans="1:5" x14ac:dyDescent="0.25">
      <c r="A21280">
        <v>21279</v>
      </c>
      <c r="B21280">
        <v>9157505</v>
      </c>
      <c r="C21280" s="1" t="str">
        <f>HYPERLINK("http://stackoverflow.com/users/9157505", "马腾飞")</f>
        <v>马腾飞</v>
      </c>
      <c r="D21280" t="s">
        <v>7</v>
      </c>
      <c r="E21280">
        <v>1</v>
      </c>
    </row>
    <row r="21281" spans="1:5" x14ac:dyDescent="0.25">
      <c r="A21281">
        <v>21280</v>
      </c>
      <c r="B21281">
        <v>9157594</v>
      </c>
      <c r="C21281" s="1" t="str">
        <f>HYPERLINK("http://stackoverflow.com/users/9157594", "lee aven")</f>
        <v>lee aven</v>
      </c>
      <c r="D21281" t="s">
        <v>55</v>
      </c>
      <c r="E21281">
        <v>1</v>
      </c>
    </row>
    <row r="21282" spans="1:5" x14ac:dyDescent="0.25">
      <c r="A21282">
        <v>21281</v>
      </c>
      <c r="B21282">
        <v>1936387</v>
      </c>
      <c r="C21282" s="1" t="str">
        <f>HYPERLINK("http://stackoverflow.com/users/1936387", "Han Zongze")</f>
        <v>Han Zongze</v>
      </c>
      <c r="D21282" t="s">
        <v>5</v>
      </c>
      <c r="E21282">
        <v>1</v>
      </c>
    </row>
    <row r="21283" spans="1:5" x14ac:dyDescent="0.25">
      <c r="A21283">
        <v>21282</v>
      </c>
      <c r="B21283">
        <v>1936524</v>
      </c>
      <c r="C21283" s="1" t="str">
        <f>HYPERLINK("http://stackoverflow.com/users/1936524", "XieRan")</f>
        <v>XieRan</v>
      </c>
      <c r="D21283" t="s">
        <v>5</v>
      </c>
      <c r="E21283">
        <v>1</v>
      </c>
    </row>
    <row r="21284" spans="1:5" x14ac:dyDescent="0.25">
      <c r="A21284">
        <v>21283</v>
      </c>
      <c r="B21284">
        <v>10955536</v>
      </c>
      <c r="C21284" s="1" t="str">
        <f>HYPERLINK("http://stackoverflow.com/users/10955536", "Hasan Mahmud")</f>
        <v>Hasan Mahmud</v>
      </c>
      <c r="D21284" t="s">
        <v>16</v>
      </c>
      <c r="E21284">
        <v>1</v>
      </c>
    </row>
    <row r="21285" spans="1:5" x14ac:dyDescent="0.25">
      <c r="A21285">
        <v>21284</v>
      </c>
      <c r="B21285">
        <v>10955579</v>
      </c>
      <c r="C21285" s="1" t="str">
        <f>HYPERLINK("http://stackoverflow.com/users/10955579", "David Qian")</f>
        <v>David Qian</v>
      </c>
      <c r="D21285" t="s">
        <v>10</v>
      </c>
      <c r="E21285">
        <v>1</v>
      </c>
    </row>
    <row r="21286" spans="1:5" x14ac:dyDescent="0.25">
      <c r="A21286">
        <v>21285</v>
      </c>
      <c r="B21286">
        <v>9160855</v>
      </c>
      <c r="C21286" s="1" t="str">
        <f>HYPERLINK("http://stackoverflow.com/users/9160855", "Batwarror")</f>
        <v>Batwarror</v>
      </c>
      <c r="D21286" t="s">
        <v>1125</v>
      </c>
      <c r="E21286">
        <v>1</v>
      </c>
    </row>
    <row r="21287" spans="1:5" x14ac:dyDescent="0.25">
      <c r="A21287">
        <v>21286</v>
      </c>
      <c r="B21287">
        <v>1936057</v>
      </c>
      <c r="C21287" s="1" t="str">
        <f>HYPERLINK("http://stackoverflow.com/users/1936057", "hangj")</f>
        <v>hangj</v>
      </c>
      <c r="D21287" t="s">
        <v>4</v>
      </c>
      <c r="E21287">
        <v>1</v>
      </c>
    </row>
    <row r="21288" spans="1:5" x14ac:dyDescent="0.25">
      <c r="A21288">
        <v>21287</v>
      </c>
      <c r="B21288">
        <v>1936069</v>
      </c>
      <c r="C21288" s="1" t="str">
        <f>HYPERLINK("http://stackoverflow.com/users/1936069", "Jimmy Zhang")</f>
        <v>Jimmy Zhang</v>
      </c>
      <c r="D21288" t="s">
        <v>78</v>
      </c>
      <c r="E21288">
        <v>1</v>
      </c>
    </row>
    <row r="21289" spans="1:5" x14ac:dyDescent="0.25">
      <c r="A21289">
        <v>21288</v>
      </c>
      <c r="B21289">
        <v>1935807</v>
      </c>
      <c r="C21289" s="1" t="str">
        <f>HYPERLINK("http://stackoverflow.com/users/1935807", "maocaoliu")</f>
        <v>maocaoliu</v>
      </c>
      <c r="D21289" t="s">
        <v>4</v>
      </c>
      <c r="E21289">
        <v>1</v>
      </c>
    </row>
    <row r="21290" spans="1:5" x14ac:dyDescent="0.25">
      <c r="A21290">
        <v>21289</v>
      </c>
      <c r="B21290">
        <v>9152610</v>
      </c>
      <c r="C21290" s="1" t="str">
        <f>HYPERLINK("http://stackoverflow.com/users/9152610", "Bingxing Kang")</f>
        <v>Bingxing Kang</v>
      </c>
      <c r="D21290" t="s">
        <v>5</v>
      </c>
      <c r="E21290">
        <v>1</v>
      </c>
    </row>
    <row r="21291" spans="1:5" x14ac:dyDescent="0.25">
      <c r="A21291">
        <v>21290</v>
      </c>
      <c r="B21291">
        <v>9152749</v>
      </c>
      <c r="C21291" s="1" t="str">
        <f>HYPERLINK("http://stackoverflow.com/users/9152749", "Mikasa ")</f>
        <v xml:space="preserve">Mikasa </v>
      </c>
      <c r="D21291" t="s">
        <v>5</v>
      </c>
      <c r="E21291">
        <v>1</v>
      </c>
    </row>
    <row r="21292" spans="1:5" x14ac:dyDescent="0.25">
      <c r="A21292">
        <v>21291</v>
      </c>
      <c r="B21292">
        <v>3728272</v>
      </c>
      <c r="C21292" s="1" t="str">
        <f>HYPERLINK("http://stackoverflow.com/users/3728272", "VicentLiu")</f>
        <v>VicentLiu</v>
      </c>
      <c r="D21292" t="s">
        <v>28</v>
      </c>
      <c r="E21292">
        <v>1</v>
      </c>
    </row>
    <row r="21293" spans="1:5" x14ac:dyDescent="0.25">
      <c r="A21293">
        <v>21292</v>
      </c>
      <c r="B21293">
        <v>3728319</v>
      </c>
      <c r="C21293" s="1" t="str">
        <f>HYPERLINK("http://stackoverflow.com/users/3728319", "user3728319")</f>
        <v>user3728319</v>
      </c>
      <c r="D21293" t="s">
        <v>5</v>
      </c>
      <c r="E21293">
        <v>1</v>
      </c>
    </row>
    <row r="21294" spans="1:5" x14ac:dyDescent="0.25">
      <c r="A21294">
        <v>21293</v>
      </c>
      <c r="B21294">
        <v>9148276</v>
      </c>
      <c r="C21294" s="1" t="str">
        <f>HYPERLINK("http://stackoverflow.com/users/9148276", "H.u")</f>
        <v>H.u</v>
      </c>
      <c r="D21294" t="s">
        <v>25</v>
      </c>
      <c r="E21294">
        <v>1</v>
      </c>
    </row>
    <row r="21295" spans="1:5" x14ac:dyDescent="0.25">
      <c r="A21295">
        <v>21294</v>
      </c>
      <c r="B21295">
        <v>9148491</v>
      </c>
      <c r="C21295" s="1" t="str">
        <f>HYPERLINK("http://stackoverflow.com/users/9148491", "陈向来")</f>
        <v>陈向来</v>
      </c>
      <c r="D21295" t="s">
        <v>43</v>
      </c>
      <c r="E21295">
        <v>1</v>
      </c>
    </row>
    <row r="21296" spans="1:5" x14ac:dyDescent="0.25">
      <c r="A21296">
        <v>21295</v>
      </c>
      <c r="B21296">
        <v>9148568</v>
      </c>
      <c r="C21296" s="1" t="str">
        <f>HYPERLINK("http://stackoverflow.com/users/9148568", "Jialun Yu")</f>
        <v>Jialun Yu</v>
      </c>
      <c r="D21296" t="s">
        <v>4</v>
      </c>
      <c r="E21296">
        <v>1</v>
      </c>
    </row>
    <row r="21297" spans="1:5" x14ac:dyDescent="0.25">
      <c r="A21297">
        <v>21296</v>
      </c>
      <c r="B21297">
        <v>9148886</v>
      </c>
      <c r="C21297" s="1" t="str">
        <f>HYPERLINK("http://stackoverflow.com/users/9148886", "JincityKasto")</f>
        <v>JincityKasto</v>
      </c>
      <c r="D21297" t="s">
        <v>5</v>
      </c>
      <c r="E21297">
        <v>1</v>
      </c>
    </row>
    <row r="21298" spans="1:5" x14ac:dyDescent="0.25">
      <c r="A21298">
        <v>21297</v>
      </c>
      <c r="B21298">
        <v>7272677</v>
      </c>
      <c r="C21298" s="1" t="str">
        <f>HYPERLINK("http://stackoverflow.com/users/7272677", "Jingwu Chen")</f>
        <v>Jingwu Chen</v>
      </c>
      <c r="D21298" t="s">
        <v>221</v>
      </c>
      <c r="E21298">
        <v>1</v>
      </c>
    </row>
    <row r="21299" spans="1:5" x14ac:dyDescent="0.25">
      <c r="A21299">
        <v>21298</v>
      </c>
      <c r="B21299">
        <v>10939406</v>
      </c>
      <c r="C21299" s="1" t="str">
        <f>HYPERLINK("http://stackoverflow.com/users/10939406", "Yingzi Wang")</f>
        <v>Yingzi Wang</v>
      </c>
      <c r="D21299" t="s">
        <v>16</v>
      </c>
      <c r="E21299">
        <v>1</v>
      </c>
    </row>
    <row r="21300" spans="1:5" x14ac:dyDescent="0.25">
      <c r="A21300">
        <v>21299</v>
      </c>
      <c r="B21300">
        <v>9143848</v>
      </c>
      <c r="C21300" s="1" t="str">
        <f>HYPERLINK("http://stackoverflow.com/users/9143848", "user9143848")</f>
        <v>user9143848</v>
      </c>
      <c r="D21300" t="s">
        <v>4</v>
      </c>
      <c r="E21300">
        <v>1</v>
      </c>
    </row>
    <row r="21301" spans="1:5" x14ac:dyDescent="0.25">
      <c r="A21301">
        <v>21300</v>
      </c>
      <c r="B21301">
        <v>9143864</v>
      </c>
      <c r="C21301" s="1" t="str">
        <f>HYPERLINK("http://stackoverflow.com/users/9143864", "martin amakobe")</f>
        <v>martin amakobe</v>
      </c>
      <c r="D21301" t="s">
        <v>4</v>
      </c>
      <c r="E21301">
        <v>1</v>
      </c>
    </row>
    <row r="21302" spans="1:5" x14ac:dyDescent="0.25">
      <c r="A21302">
        <v>21301</v>
      </c>
      <c r="B21302">
        <v>9147644</v>
      </c>
      <c r="C21302" s="1" t="str">
        <f>HYPERLINK("http://stackoverflow.com/users/9147644", "David")</f>
        <v>David</v>
      </c>
      <c r="D21302" t="s">
        <v>5</v>
      </c>
      <c r="E21302">
        <v>1</v>
      </c>
    </row>
    <row r="21303" spans="1:5" x14ac:dyDescent="0.25">
      <c r="A21303">
        <v>21302</v>
      </c>
      <c r="B21303">
        <v>9148183</v>
      </c>
      <c r="C21303" s="1" t="str">
        <f>HYPERLINK("http://stackoverflow.com/users/9148183", "s.Hi")</f>
        <v>s.Hi</v>
      </c>
      <c r="D21303" t="s">
        <v>1126</v>
      </c>
      <c r="E21303">
        <v>1</v>
      </c>
    </row>
    <row r="21304" spans="1:5" x14ac:dyDescent="0.25">
      <c r="A21304">
        <v>21303</v>
      </c>
      <c r="B21304">
        <v>3723911</v>
      </c>
      <c r="C21304" s="1" t="str">
        <f>HYPERLINK("http://stackoverflow.com/users/3723911", "yuchang")</f>
        <v>yuchang</v>
      </c>
      <c r="D21304" t="s">
        <v>5</v>
      </c>
      <c r="E21304">
        <v>1</v>
      </c>
    </row>
    <row r="21305" spans="1:5" x14ac:dyDescent="0.25">
      <c r="A21305">
        <v>21304</v>
      </c>
      <c r="B21305">
        <v>10943150</v>
      </c>
      <c r="C21305" s="1" t="str">
        <f>HYPERLINK("http://stackoverflow.com/users/10943150", "Wayne En Wang")</f>
        <v>Wayne En Wang</v>
      </c>
      <c r="D21305" t="s">
        <v>91</v>
      </c>
      <c r="E21305">
        <v>1</v>
      </c>
    </row>
    <row r="21306" spans="1:5" x14ac:dyDescent="0.25">
      <c r="A21306">
        <v>21305</v>
      </c>
      <c r="B21306">
        <v>10943358</v>
      </c>
      <c r="C21306" s="1" t="str">
        <f>HYPERLINK("http://stackoverflow.com/users/10943358", "Travis Zhang")</f>
        <v>Travis Zhang</v>
      </c>
      <c r="D21306" t="s">
        <v>5</v>
      </c>
      <c r="E21306">
        <v>1</v>
      </c>
    </row>
    <row r="21307" spans="1:5" x14ac:dyDescent="0.25">
      <c r="A21307">
        <v>21306</v>
      </c>
      <c r="B21307">
        <v>10943385</v>
      </c>
      <c r="C21307" s="1" t="str">
        <f>HYPERLINK("http://stackoverflow.com/users/10943385", "Reacher")</f>
        <v>Reacher</v>
      </c>
      <c r="D21307" t="s">
        <v>5</v>
      </c>
      <c r="E21307">
        <v>1</v>
      </c>
    </row>
    <row r="21308" spans="1:5" x14ac:dyDescent="0.25">
      <c r="A21308">
        <v>21307</v>
      </c>
      <c r="B21308">
        <v>10943404</v>
      </c>
      <c r="C21308" s="1" t="str">
        <f>HYPERLINK("http://stackoverflow.com/users/10943404", "Lugal.CN")</f>
        <v>Lugal.CN</v>
      </c>
      <c r="D21308" t="s">
        <v>5</v>
      </c>
      <c r="E21308">
        <v>1</v>
      </c>
    </row>
    <row r="21309" spans="1:5" x14ac:dyDescent="0.25">
      <c r="A21309">
        <v>21308</v>
      </c>
      <c r="B21309">
        <v>1776010</v>
      </c>
      <c r="C21309" s="1" t="str">
        <f>HYPERLINK("http://stackoverflow.com/users/1776010", "user1776010")</f>
        <v>user1776010</v>
      </c>
      <c r="D21309" t="s">
        <v>5</v>
      </c>
      <c r="E21309">
        <v>1</v>
      </c>
    </row>
    <row r="21310" spans="1:5" x14ac:dyDescent="0.25">
      <c r="A21310">
        <v>21309</v>
      </c>
      <c r="B21310">
        <v>5392682</v>
      </c>
      <c r="C21310" s="1" t="str">
        <f>HYPERLINK("http://stackoverflow.com/users/5392682", "Jack Zhou")</f>
        <v>Jack Zhou</v>
      </c>
      <c r="D21310" t="s">
        <v>5</v>
      </c>
      <c r="E21310">
        <v>1</v>
      </c>
    </row>
    <row r="21311" spans="1:5" x14ac:dyDescent="0.25">
      <c r="A21311">
        <v>21310</v>
      </c>
      <c r="B21311">
        <v>10802010</v>
      </c>
      <c r="C21311" s="1" t="str">
        <f>HYPERLINK("http://stackoverflow.com/users/10802010", "DK2333")</f>
        <v>DK2333</v>
      </c>
      <c r="D21311" t="s">
        <v>13</v>
      </c>
      <c r="E21311">
        <v>1</v>
      </c>
    </row>
    <row r="21312" spans="1:5" x14ac:dyDescent="0.25">
      <c r="A21312">
        <v>21311</v>
      </c>
      <c r="B21312">
        <v>5387884</v>
      </c>
      <c r="C21312" s="1" t="str">
        <f>HYPERLINK("http://stackoverflow.com/users/5387884", "yinkaisheng")</f>
        <v>yinkaisheng</v>
      </c>
      <c r="D21312" t="s">
        <v>37</v>
      </c>
      <c r="E21312">
        <v>1</v>
      </c>
    </row>
    <row r="21313" spans="1:5" x14ac:dyDescent="0.25">
      <c r="A21313">
        <v>21312</v>
      </c>
      <c r="B21313">
        <v>5388026</v>
      </c>
      <c r="C21313" s="1" t="str">
        <f>HYPERLINK("http://stackoverflow.com/users/5388026", "Johnny Shao")</f>
        <v>Johnny Shao</v>
      </c>
      <c r="D21313" t="s">
        <v>7</v>
      </c>
      <c r="E21313">
        <v>1</v>
      </c>
    </row>
    <row r="21314" spans="1:5" x14ac:dyDescent="0.25">
      <c r="A21314">
        <v>21313</v>
      </c>
      <c r="B21314">
        <v>5388105</v>
      </c>
      <c r="C21314" s="1" t="str">
        <f>HYPERLINK("http://stackoverflow.com/users/5388105", "Hailin")</f>
        <v>Hailin</v>
      </c>
      <c r="D21314" t="s">
        <v>28</v>
      </c>
      <c r="E21314">
        <v>1</v>
      </c>
    </row>
    <row r="21315" spans="1:5" x14ac:dyDescent="0.25">
      <c r="A21315">
        <v>21314</v>
      </c>
      <c r="B21315">
        <v>5388197</v>
      </c>
      <c r="C21315" s="1" t="str">
        <f>HYPERLINK("http://stackoverflow.com/users/5388197", "Gsc")</f>
        <v>Gsc</v>
      </c>
      <c r="D21315" t="s">
        <v>5</v>
      </c>
      <c r="E21315">
        <v>1</v>
      </c>
    </row>
    <row r="21316" spans="1:5" x14ac:dyDescent="0.25">
      <c r="A21316">
        <v>21315</v>
      </c>
      <c r="B21316">
        <v>1776185</v>
      </c>
      <c r="C21316" s="1" t="str">
        <f>HYPERLINK("http://stackoverflow.com/users/1776185", "user142113")</f>
        <v>user142113</v>
      </c>
      <c r="D21316" t="s">
        <v>17</v>
      </c>
      <c r="E21316">
        <v>1</v>
      </c>
    </row>
    <row r="21317" spans="1:5" x14ac:dyDescent="0.25">
      <c r="A21317">
        <v>21316</v>
      </c>
      <c r="B21317">
        <v>1776332</v>
      </c>
      <c r="C21317" s="1" t="str">
        <f>HYPERLINK("http://stackoverflow.com/users/1776332", "SlideIdea")</f>
        <v>SlideIdea</v>
      </c>
      <c r="D21317" t="s">
        <v>4</v>
      </c>
      <c r="E21317">
        <v>1</v>
      </c>
    </row>
    <row r="21318" spans="1:5" x14ac:dyDescent="0.25">
      <c r="A21318">
        <v>21317</v>
      </c>
      <c r="B21318">
        <v>1776582</v>
      </c>
      <c r="C21318" s="1" t="str">
        <f>HYPERLINK("http://stackoverflow.com/users/1776582", "Suley")</f>
        <v>Suley</v>
      </c>
      <c r="D21318" t="s">
        <v>5</v>
      </c>
      <c r="E21318">
        <v>1</v>
      </c>
    </row>
    <row r="21319" spans="1:5" x14ac:dyDescent="0.25">
      <c r="A21319">
        <v>21318</v>
      </c>
      <c r="B21319">
        <v>1776587</v>
      </c>
      <c r="C21319" s="1" t="str">
        <f>HYPERLINK("http://stackoverflow.com/users/1776587", "BeShining")</f>
        <v>BeShining</v>
      </c>
      <c r="D21319" t="s">
        <v>5</v>
      </c>
      <c r="E21319">
        <v>1</v>
      </c>
    </row>
    <row r="21320" spans="1:5" x14ac:dyDescent="0.25">
      <c r="A21320">
        <v>21319</v>
      </c>
      <c r="B21320">
        <v>7157674</v>
      </c>
      <c r="C21320" s="1" t="str">
        <f>HYPERLINK("http://stackoverflow.com/users/7157674", "arthur-lee")</f>
        <v>arthur-lee</v>
      </c>
      <c r="D21320" t="s">
        <v>5</v>
      </c>
      <c r="E21320">
        <v>1</v>
      </c>
    </row>
    <row r="21321" spans="1:5" x14ac:dyDescent="0.25">
      <c r="A21321">
        <v>21320</v>
      </c>
      <c r="B21321">
        <v>9013029</v>
      </c>
      <c r="C21321" s="1" t="str">
        <f>HYPERLINK("http://stackoverflow.com/users/9013029", "AItsuki")</f>
        <v>AItsuki</v>
      </c>
      <c r="D21321" t="s">
        <v>17</v>
      </c>
      <c r="E21321">
        <v>1</v>
      </c>
    </row>
    <row r="21322" spans="1:5" x14ac:dyDescent="0.25">
      <c r="A21322">
        <v>21321</v>
      </c>
      <c r="B21322">
        <v>9013182</v>
      </c>
      <c r="C21322" s="1" t="str">
        <f>HYPERLINK("http://stackoverflow.com/users/9013182", "Javed")</f>
        <v>Javed</v>
      </c>
      <c r="D21322" t="s">
        <v>4</v>
      </c>
      <c r="E21322">
        <v>1</v>
      </c>
    </row>
    <row r="21323" spans="1:5" x14ac:dyDescent="0.25">
      <c r="A21323">
        <v>21322</v>
      </c>
      <c r="B21323">
        <v>9008271</v>
      </c>
      <c r="C21323" s="1" t="str">
        <f>HYPERLINK("http://stackoverflow.com/users/9008271", "keyiyi")</f>
        <v>keyiyi</v>
      </c>
      <c r="D21323" t="s">
        <v>1127</v>
      </c>
      <c r="E21323">
        <v>1</v>
      </c>
    </row>
    <row r="21324" spans="1:5" x14ac:dyDescent="0.25">
      <c r="A21324">
        <v>21323</v>
      </c>
      <c r="B21324">
        <v>7153393</v>
      </c>
      <c r="C21324" s="1" t="str">
        <f>HYPERLINK("http://stackoverflow.com/users/7153393", "dyz2102")</f>
        <v>dyz2102</v>
      </c>
      <c r="D21324" t="s">
        <v>5</v>
      </c>
      <c r="E21324">
        <v>1</v>
      </c>
    </row>
    <row r="21325" spans="1:5" x14ac:dyDescent="0.25">
      <c r="A21325">
        <v>21324</v>
      </c>
      <c r="B21325">
        <v>10811971</v>
      </c>
      <c r="C21325" s="1" t="str">
        <f>HYPERLINK("http://stackoverflow.com/users/10811971", "ZeroRin")</f>
        <v>ZeroRin</v>
      </c>
      <c r="D21325" t="s">
        <v>108</v>
      </c>
      <c r="E21325">
        <v>1</v>
      </c>
    </row>
    <row r="21326" spans="1:5" x14ac:dyDescent="0.25">
      <c r="A21326">
        <v>21325</v>
      </c>
      <c r="B21326">
        <v>9013498</v>
      </c>
      <c r="C21326" s="1" t="str">
        <f>HYPERLINK("http://stackoverflow.com/users/9013498", "WILL.april.tan")</f>
        <v>WILL.april.tan</v>
      </c>
      <c r="D21326" t="s">
        <v>193</v>
      </c>
      <c r="E21326">
        <v>1</v>
      </c>
    </row>
    <row r="21327" spans="1:5" x14ac:dyDescent="0.25">
      <c r="A21327">
        <v>21326</v>
      </c>
      <c r="B21327">
        <v>10815019</v>
      </c>
      <c r="C21327" s="1" t="str">
        <f>HYPERLINK("http://stackoverflow.com/users/10815019", "Rrrrr5r")</f>
        <v>Rrrrr5r</v>
      </c>
      <c r="D21327" t="s">
        <v>4</v>
      </c>
      <c r="E21327">
        <v>1</v>
      </c>
    </row>
    <row r="21328" spans="1:5" x14ac:dyDescent="0.25">
      <c r="A21328">
        <v>21327</v>
      </c>
      <c r="B21328">
        <v>9013384</v>
      </c>
      <c r="C21328" s="1" t="str">
        <f>HYPERLINK("http://stackoverflow.com/users/9013384", "CraK")</f>
        <v>CraK</v>
      </c>
      <c r="D21328" t="s">
        <v>16</v>
      </c>
      <c r="E21328">
        <v>1</v>
      </c>
    </row>
    <row r="21329" spans="1:5" x14ac:dyDescent="0.25">
      <c r="A21329">
        <v>21328</v>
      </c>
      <c r="B21329">
        <v>9013472</v>
      </c>
      <c r="C21329" s="1" t="str">
        <f>HYPERLINK("http://stackoverflow.com/users/9013472", "Eric Ray")</f>
        <v>Eric Ray</v>
      </c>
      <c r="D21329" t="s">
        <v>16</v>
      </c>
      <c r="E21329">
        <v>1</v>
      </c>
    </row>
    <row r="21330" spans="1:5" x14ac:dyDescent="0.25">
      <c r="A21330">
        <v>21329</v>
      </c>
      <c r="B21330">
        <v>1788821</v>
      </c>
      <c r="C21330" s="1" t="str">
        <f>HYPERLINK("http://stackoverflow.com/users/1788821", "user1788821")</f>
        <v>user1788821</v>
      </c>
      <c r="D21330" t="s">
        <v>37</v>
      </c>
      <c r="E21330">
        <v>1</v>
      </c>
    </row>
    <row r="21331" spans="1:5" x14ac:dyDescent="0.25">
      <c r="A21331">
        <v>21330</v>
      </c>
      <c r="B21331">
        <v>1793133</v>
      </c>
      <c r="C21331" s="1" t="str">
        <f>HYPERLINK("http://stackoverflow.com/users/1793133", "Jiacongh")</f>
        <v>Jiacongh</v>
      </c>
      <c r="D21331" t="s">
        <v>25</v>
      </c>
      <c r="E21331">
        <v>1</v>
      </c>
    </row>
    <row r="21332" spans="1:5" x14ac:dyDescent="0.25">
      <c r="A21332">
        <v>21331</v>
      </c>
      <c r="B21332">
        <v>1793392</v>
      </c>
      <c r="C21332" s="1" t="str">
        <f>HYPERLINK("http://stackoverflow.com/users/1793392", "zanglaowei")</f>
        <v>zanglaowei</v>
      </c>
      <c r="D21332" t="s">
        <v>34</v>
      </c>
      <c r="E21332">
        <v>1</v>
      </c>
    </row>
    <row r="21333" spans="1:5" x14ac:dyDescent="0.25">
      <c r="A21333">
        <v>21332</v>
      </c>
      <c r="B21333">
        <v>1793601</v>
      </c>
      <c r="C21333" s="1" t="str">
        <f>HYPERLINK("http://stackoverflow.com/users/1793601", "Architect19")</f>
        <v>Architect19</v>
      </c>
      <c r="D21333" t="s">
        <v>17</v>
      </c>
      <c r="E21333">
        <v>1</v>
      </c>
    </row>
    <row r="21334" spans="1:5" x14ac:dyDescent="0.25">
      <c r="A21334">
        <v>21333</v>
      </c>
      <c r="B21334">
        <v>1793859</v>
      </c>
      <c r="C21334" s="1" t="str">
        <f>HYPERLINK("http://stackoverflow.com/users/1793859", "忧郁天蓝")</f>
        <v>忧郁天蓝</v>
      </c>
      <c r="D21334" t="s">
        <v>21</v>
      </c>
      <c r="E21334">
        <v>1</v>
      </c>
    </row>
    <row r="21335" spans="1:5" x14ac:dyDescent="0.25">
      <c r="A21335">
        <v>21334</v>
      </c>
      <c r="B21335">
        <v>9025969</v>
      </c>
      <c r="C21335" s="1" t="str">
        <f>HYPERLINK("http://stackoverflow.com/users/9025969", "Lucas.K.Yang")</f>
        <v>Lucas.K.Yang</v>
      </c>
      <c r="D21335" t="s">
        <v>16</v>
      </c>
      <c r="E21335">
        <v>1</v>
      </c>
    </row>
    <row r="21336" spans="1:5" x14ac:dyDescent="0.25">
      <c r="A21336">
        <v>21335</v>
      </c>
      <c r="B21336">
        <v>9025978</v>
      </c>
      <c r="C21336" s="1" t="str">
        <f>HYPERLINK("http://stackoverflow.com/users/9025978", "Lehao Feng")</f>
        <v>Lehao Feng</v>
      </c>
      <c r="D21336" t="s">
        <v>4</v>
      </c>
      <c r="E21336">
        <v>1</v>
      </c>
    </row>
    <row r="21337" spans="1:5" x14ac:dyDescent="0.25">
      <c r="A21337">
        <v>21336</v>
      </c>
      <c r="B21337">
        <v>10827905</v>
      </c>
      <c r="C21337" s="1" t="str">
        <f>HYPERLINK("http://stackoverflow.com/users/10827905", "Deron")</f>
        <v>Deron</v>
      </c>
      <c r="D21337" t="s">
        <v>16</v>
      </c>
      <c r="E21337">
        <v>1</v>
      </c>
    </row>
    <row r="21338" spans="1:5" x14ac:dyDescent="0.25">
      <c r="A21338">
        <v>21337</v>
      </c>
      <c r="B21338">
        <v>10828028</v>
      </c>
      <c r="C21338" s="1" t="str">
        <f>HYPERLINK("http://stackoverflow.com/users/10828028", "zengxs")</f>
        <v>zengxs</v>
      </c>
      <c r="D21338" t="s">
        <v>17</v>
      </c>
      <c r="E21338">
        <v>1</v>
      </c>
    </row>
    <row r="21339" spans="1:5" x14ac:dyDescent="0.25">
      <c r="A21339">
        <v>21338</v>
      </c>
      <c r="B21339">
        <v>7164934</v>
      </c>
      <c r="C21339" s="1" t="str">
        <f>HYPERLINK("http://stackoverflow.com/users/7164934", "TZ.kang")</f>
        <v>TZ.kang</v>
      </c>
      <c r="D21339" t="s">
        <v>7</v>
      </c>
      <c r="E21339">
        <v>1</v>
      </c>
    </row>
    <row r="21340" spans="1:5" x14ac:dyDescent="0.25">
      <c r="A21340">
        <v>21339</v>
      </c>
      <c r="B21340">
        <v>7164998</v>
      </c>
      <c r="C21340" s="1" t="str">
        <f>HYPERLINK("http://stackoverflow.com/users/7164998", "user7164998")</f>
        <v>user7164998</v>
      </c>
      <c r="D21340" t="s">
        <v>28</v>
      </c>
      <c r="E21340">
        <v>1</v>
      </c>
    </row>
    <row r="21341" spans="1:5" x14ac:dyDescent="0.25">
      <c r="A21341">
        <v>21340</v>
      </c>
      <c r="B21341">
        <v>7165317</v>
      </c>
      <c r="C21341" s="1" t="str">
        <f>HYPERLINK("http://stackoverflow.com/users/7165317", "gaosiyang")</f>
        <v>gaosiyang</v>
      </c>
      <c r="D21341" t="s">
        <v>7</v>
      </c>
      <c r="E21341">
        <v>1</v>
      </c>
    </row>
    <row r="21342" spans="1:5" x14ac:dyDescent="0.25">
      <c r="A21342">
        <v>21341</v>
      </c>
      <c r="B21342">
        <v>10825054</v>
      </c>
      <c r="C21342" s="1" t="str">
        <f>HYPERLINK("http://stackoverflow.com/users/10825054", "Jim Wang 王者悟 ")</f>
        <v xml:space="preserve">Jim Wang 王者悟 </v>
      </c>
      <c r="D21342" t="s">
        <v>367</v>
      </c>
      <c r="E21342">
        <v>1</v>
      </c>
    </row>
    <row r="21343" spans="1:5" x14ac:dyDescent="0.25">
      <c r="A21343">
        <v>21342</v>
      </c>
      <c r="B21343">
        <v>10828188</v>
      </c>
      <c r="C21343" s="1" t="str">
        <f>HYPERLINK("http://stackoverflow.com/users/10828188", "Daniel Gu")</f>
        <v>Daniel Gu</v>
      </c>
      <c r="D21343" t="s">
        <v>4</v>
      </c>
      <c r="E21343">
        <v>1</v>
      </c>
    </row>
    <row r="21344" spans="1:5" x14ac:dyDescent="0.25">
      <c r="A21344">
        <v>21343</v>
      </c>
      <c r="B21344">
        <v>10828230</v>
      </c>
      <c r="C21344" s="1" t="str">
        <f>HYPERLINK("http://stackoverflow.com/users/10828230", "hglf")</f>
        <v>hglf</v>
      </c>
      <c r="D21344" t="s">
        <v>28</v>
      </c>
      <c r="E21344">
        <v>1</v>
      </c>
    </row>
    <row r="21345" spans="1:5" x14ac:dyDescent="0.25">
      <c r="A21345">
        <v>21344</v>
      </c>
      <c r="B21345">
        <v>1787724</v>
      </c>
      <c r="C21345" s="1" t="str">
        <f>HYPERLINK("http://stackoverflow.com/users/1787724", "zylinkus.com")</f>
        <v>zylinkus.com</v>
      </c>
      <c r="D21345" t="s">
        <v>4</v>
      </c>
      <c r="E21345">
        <v>1</v>
      </c>
    </row>
    <row r="21346" spans="1:5" x14ac:dyDescent="0.25">
      <c r="A21346">
        <v>21345</v>
      </c>
      <c r="B21346">
        <v>7172762</v>
      </c>
      <c r="C21346" s="1" t="str">
        <f>HYPERLINK("http://stackoverflow.com/users/7172762", "kingzhou")</f>
        <v>kingzhou</v>
      </c>
      <c r="D21346" t="s">
        <v>95</v>
      </c>
      <c r="E21346">
        <v>1</v>
      </c>
    </row>
    <row r="21347" spans="1:5" x14ac:dyDescent="0.25">
      <c r="A21347">
        <v>21346</v>
      </c>
      <c r="B21347">
        <v>9031928</v>
      </c>
      <c r="C21347" s="1" t="str">
        <f>HYPERLINK("http://stackoverflow.com/users/9031928", "Cure2C")</f>
        <v>Cure2C</v>
      </c>
      <c r="D21347" t="s">
        <v>4</v>
      </c>
      <c r="E21347">
        <v>1</v>
      </c>
    </row>
    <row r="21348" spans="1:5" x14ac:dyDescent="0.25">
      <c r="A21348">
        <v>21347</v>
      </c>
      <c r="B21348">
        <v>9031995</v>
      </c>
      <c r="C21348" s="1" t="str">
        <f>HYPERLINK("http://stackoverflow.com/users/9031995", "Daofan Cao")</f>
        <v>Daofan Cao</v>
      </c>
      <c r="D21348" t="s">
        <v>5</v>
      </c>
      <c r="E21348">
        <v>1</v>
      </c>
    </row>
    <row r="21349" spans="1:5" x14ac:dyDescent="0.25">
      <c r="A21349">
        <v>21348</v>
      </c>
      <c r="B21349">
        <v>9032833</v>
      </c>
      <c r="C21349" s="1" t="str">
        <f>HYPERLINK("http://stackoverflow.com/users/9032833", "Zihan Ding")</f>
        <v>Zihan Ding</v>
      </c>
      <c r="D21349" t="s">
        <v>4</v>
      </c>
      <c r="E21349">
        <v>1</v>
      </c>
    </row>
    <row r="21350" spans="1:5" x14ac:dyDescent="0.25">
      <c r="A21350">
        <v>21349</v>
      </c>
      <c r="B21350">
        <v>3613926</v>
      </c>
      <c r="C21350" s="1" t="str">
        <f>HYPERLINK("http://stackoverflow.com/users/3613926", "mshahbazch")</f>
        <v>mshahbazch</v>
      </c>
      <c r="D21350" t="s">
        <v>1022</v>
      </c>
      <c r="E21350">
        <v>1</v>
      </c>
    </row>
    <row r="21351" spans="1:5" x14ac:dyDescent="0.25">
      <c r="A21351">
        <v>21350</v>
      </c>
      <c r="B21351">
        <v>7175835</v>
      </c>
      <c r="C21351" s="1" t="str">
        <f>HYPERLINK("http://stackoverflow.com/users/7175835", "Smart_XiaoLeiGe")</f>
        <v>Smart_XiaoLeiGe</v>
      </c>
      <c r="D21351" t="s">
        <v>4</v>
      </c>
      <c r="E21351">
        <v>1</v>
      </c>
    </row>
    <row r="21352" spans="1:5" x14ac:dyDescent="0.25">
      <c r="A21352">
        <v>21351</v>
      </c>
      <c r="B21352">
        <v>7176085</v>
      </c>
      <c r="C21352" s="1" t="str">
        <f>HYPERLINK("http://stackoverflow.com/users/7176085", "NIKO")</f>
        <v>NIKO</v>
      </c>
      <c r="D21352" t="s">
        <v>4</v>
      </c>
      <c r="E21352">
        <v>1</v>
      </c>
    </row>
    <row r="21353" spans="1:5" x14ac:dyDescent="0.25">
      <c r="A21353">
        <v>21352</v>
      </c>
      <c r="B21353">
        <v>9036981</v>
      </c>
      <c r="C21353" s="1" t="str">
        <f>HYPERLINK("http://stackoverflow.com/users/9036981", "连孝锋")</f>
        <v>连孝锋</v>
      </c>
      <c r="D21353" t="s">
        <v>252</v>
      </c>
      <c r="E21353">
        <v>1</v>
      </c>
    </row>
    <row r="21354" spans="1:5" x14ac:dyDescent="0.25">
      <c r="A21354">
        <v>21353</v>
      </c>
      <c r="B21354">
        <v>9037075</v>
      </c>
      <c r="C21354" s="1" t="str">
        <f>HYPERLINK("http://stackoverflow.com/users/9037075", "Z.Jooker")</f>
        <v>Z.Jooker</v>
      </c>
      <c r="D21354" t="s">
        <v>475</v>
      </c>
      <c r="E21354">
        <v>1</v>
      </c>
    </row>
    <row r="21355" spans="1:5" x14ac:dyDescent="0.25">
      <c r="A21355">
        <v>21354</v>
      </c>
      <c r="B21355">
        <v>7176159</v>
      </c>
      <c r="C21355" s="1" t="str">
        <f>HYPERLINK("http://stackoverflow.com/users/7176159", "唐自刚")</f>
        <v>唐自刚</v>
      </c>
      <c r="D21355" t="s">
        <v>25</v>
      </c>
      <c r="E21355">
        <v>1</v>
      </c>
    </row>
    <row r="21356" spans="1:5" x14ac:dyDescent="0.25">
      <c r="A21356">
        <v>21355</v>
      </c>
      <c r="B21356">
        <v>7176290</v>
      </c>
      <c r="C21356" s="1" t="str">
        <f>HYPERLINK("http://stackoverflow.com/users/7176290", "Tan Hongjie")</f>
        <v>Tan Hongjie</v>
      </c>
      <c r="D21356" t="s">
        <v>4</v>
      </c>
      <c r="E21356">
        <v>1</v>
      </c>
    </row>
    <row r="21357" spans="1:5" x14ac:dyDescent="0.25">
      <c r="A21357">
        <v>21356</v>
      </c>
      <c r="B21357">
        <v>10836493</v>
      </c>
      <c r="C21357" s="1" t="str">
        <f>HYPERLINK("http://stackoverflow.com/users/10836493", "John")</f>
        <v>John</v>
      </c>
      <c r="D21357" t="s">
        <v>1128</v>
      </c>
      <c r="E21357">
        <v>1</v>
      </c>
    </row>
    <row r="21358" spans="1:5" x14ac:dyDescent="0.25">
      <c r="A21358">
        <v>21357</v>
      </c>
      <c r="B21358">
        <v>10837070</v>
      </c>
      <c r="C21358" s="1" t="str">
        <f>HYPERLINK("http://stackoverflow.com/users/10837070", "Harry")</f>
        <v>Harry</v>
      </c>
      <c r="D21358" t="s">
        <v>17</v>
      </c>
      <c r="E21358">
        <v>1</v>
      </c>
    </row>
    <row r="21359" spans="1:5" x14ac:dyDescent="0.25">
      <c r="A21359">
        <v>21358</v>
      </c>
      <c r="B21359">
        <v>3622638</v>
      </c>
      <c r="C21359" s="1" t="str">
        <f>HYPERLINK("http://stackoverflow.com/users/3622638", "Cola Chan")</f>
        <v>Cola Chan</v>
      </c>
      <c r="D21359" t="s">
        <v>12</v>
      </c>
      <c r="E21359">
        <v>1</v>
      </c>
    </row>
    <row r="21360" spans="1:5" x14ac:dyDescent="0.25">
      <c r="A21360">
        <v>21359</v>
      </c>
      <c r="B21360">
        <v>10796402</v>
      </c>
      <c r="C21360" s="1" t="str">
        <f>HYPERLINK("http://stackoverflow.com/users/10796402", "min lu")</f>
        <v>min lu</v>
      </c>
      <c r="D21360" t="s">
        <v>4</v>
      </c>
      <c r="E21360">
        <v>1</v>
      </c>
    </row>
    <row r="21361" spans="1:5" x14ac:dyDescent="0.25">
      <c r="A21361">
        <v>21360</v>
      </c>
      <c r="B21361">
        <v>10796677</v>
      </c>
      <c r="C21361" s="1" t="str">
        <f>HYPERLINK("http://stackoverflow.com/users/10796677", "柴学鼎")</f>
        <v>柴学鼎</v>
      </c>
      <c r="D21361" t="s">
        <v>135</v>
      </c>
      <c r="E21361">
        <v>1</v>
      </c>
    </row>
    <row r="21362" spans="1:5" x14ac:dyDescent="0.25">
      <c r="A21362">
        <v>21361</v>
      </c>
      <c r="B21362">
        <v>10796731</v>
      </c>
      <c r="C21362" s="1" t="str">
        <f>HYPERLINK("http://stackoverflow.com/users/10796731", "Zijie Zhang")</f>
        <v>Zijie Zhang</v>
      </c>
      <c r="D21362" t="s">
        <v>55</v>
      </c>
      <c r="E21362">
        <v>1</v>
      </c>
    </row>
    <row r="21363" spans="1:5" x14ac:dyDescent="0.25">
      <c r="A21363">
        <v>21362</v>
      </c>
      <c r="B21363">
        <v>1764474</v>
      </c>
      <c r="C21363" s="1" t="str">
        <f>HYPERLINK("http://stackoverflow.com/users/1764474", "Huan Li")</f>
        <v>Huan Li</v>
      </c>
      <c r="D21363" t="s">
        <v>5</v>
      </c>
      <c r="E21363">
        <v>1</v>
      </c>
    </row>
    <row r="21364" spans="1:5" x14ac:dyDescent="0.25">
      <c r="A21364">
        <v>21363</v>
      </c>
      <c r="B21364">
        <v>1764629</v>
      </c>
      <c r="C21364" s="1" t="str">
        <f>HYPERLINK("http://stackoverflow.com/users/1764629", "hexi")</f>
        <v>hexi</v>
      </c>
      <c r="D21364" t="s">
        <v>54</v>
      </c>
      <c r="E21364">
        <v>1</v>
      </c>
    </row>
    <row r="21365" spans="1:5" x14ac:dyDescent="0.25">
      <c r="A21365">
        <v>21364</v>
      </c>
      <c r="B21365">
        <v>7140234</v>
      </c>
      <c r="C21365" s="1" t="str">
        <f>HYPERLINK("http://stackoverflow.com/users/7140234", "Zhongtao")</f>
        <v>Zhongtao</v>
      </c>
      <c r="D21365" t="s">
        <v>5</v>
      </c>
      <c r="E21365">
        <v>1</v>
      </c>
    </row>
    <row r="21366" spans="1:5" x14ac:dyDescent="0.25">
      <c r="A21366">
        <v>21365</v>
      </c>
      <c r="B21366">
        <v>10792468</v>
      </c>
      <c r="C21366" s="1" t="str">
        <f>HYPERLINK("http://stackoverflow.com/users/10792468", "Fast Work")</f>
        <v>Fast Work</v>
      </c>
      <c r="D21366" t="s">
        <v>33</v>
      </c>
      <c r="E21366">
        <v>1</v>
      </c>
    </row>
    <row r="21367" spans="1:5" x14ac:dyDescent="0.25">
      <c r="A21367">
        <v>21366</v>
      </c>
      <c r="B21367">
        <v>3580601</v>
      </c>
      <c r="C21367" s="1" t="str">
        <f>HYPERLINK("http://stackoverflow.com/users/3580601", "chui")</f>
        <v>chui</v>
      </c>
      <c r="D21367" t="s">
        <v>5</v>
      </c>
      <c r="E21367">
        <v>1</v>
      </c>
    </row>
    <row r="21368" spans="1:5" x14ac:dyDescent="0.25">
      <c r="A21368">
        <v>21367</v>
      </c>
      <c r="B21368">
        <v>3580703</v>
      </c>
      <c r="C21368" s="1" t="str">
        <f>HYPERLINK("http://stackoverflow.com/users/3580703", "Stone")</f>
        <v>Stone</v>
      </c>
      <c r="D21368" t="s">
        <v>5</v>
      </c>
      <c r="E21368">
        <v>1</v>
      </c>
    </row>
    <row r="21369" spans="1:5" x14ac:dyDescent="0.25">
      <c r="A21369">
        <v>21368</v>
      </c>
      <c r="B21369">
        <v>3584489</v>
      </c>
      <c r="C21369" s="1" t="str">
        <f>HYPERLINK("http://stackoverflow.com/users/3584489", "chebec")</f>
        <v>chebec</v>
      </c>
      <c r="D21369" t="s">
        <v>5</v>
      </c>
      <c r="E21369">
        <v>1</v>
      </c>
    </row>
    <row r="21370" spans="1:5" x14ac:dyDescent="0.25">
      <c r="A21370">
        <v>21369</v>
      </c>
      <c r="B21370">
        <v>8994613</v>
      </c>
      <c r="C21370" s="1" t="str">
        <f>HYPERLINK("http://stackoverflow.com/users/8994613", "allen")</f>
        <v>allen</v>
      </c>
      <c r="D21370" t="s">
        <v>184</v>
      </c>
      <c r="E21370">
        <v>1</v>
      </c>
    </row>
    <row r="21371" spans="1:5" x14ac:dyDescent="0.25">
      <c r="A21371">
        <v>21370</v>
      </c>
      <c r="B21371">
        <v>8994753</v>
      </c>
      <c r="C21371" s="1" t="str">
        <f>HYPERLINK("http://stackoverflow.com/users/8994753", "user8994753")</f>
        <v>user8994753</v>
      </c>
      <c r="D21371" t="s">
        <v>131</v>
      </c>
      <c r="E21371">
        <v>1</v>
      </c>
    </row>
    <row r="21372" spans="1:5" x14ac:dyDescent="0.25">
      <c r="A21372">
        <v>21371</v>
      </c>
      <c r="B21372">
        <v>8994906</v>
      </c>
      <c r="C21372" s="1" t="str">
        <f>HYPERLINK("http://stackoverflow.com/users/8994906", "John")</f>
        <v>John</v>
      </c>
      <c r="D21372" t="s">
        <v>4</v>
      </c>
      <c r="E21372">
        <v>1</v>
      </c>
    </row>
    <row r="21373" spans="1:5" x14ac:dyDescent="0.25">
      <c r="A21373">
        <v>21372</v>
      </c>
      <c r="B21373">
        <v>8994950</v>
      </c>
      <c r="C21373" s="1" t="str">
        <f>HYPERLINK("http://stackoverflow.com/users/8994950", "Li.Stephen")</f>
        <v>Li.Stephen</v>
      </c>
      <c r="D21373" t="s">
        <v>1129</v>
      </c>
      <c r="E21373">
        <v>1</v>
      </c>
    </row>
    <row r="21374" spans="1:5" x14ac:dyDescent="0.25">
      <c r="A21374">
        <v>21373</v>
      </c>
      <c r="B21374">
        <v>3567950</v>
      </c>
      <c r="C21374" s="1" t="str">
        <f>HYPERLINK("http://stackoverflow.com/users/3567950", "Brian Xue")</f>
        <v>Brian Xue</v>
      </c>
      <c r="D21374" t="s">
        <v>4</v>
      </c>
      <c r="E21374">
        <v>1</v>
      </c>
    </row>
    <row r="21375" spans="1:5" x14ac:dyDescent="0.25">
      <c r="A21375">
        <v>21374</v>
      </c>
      <c r="B21375">
        <v>3568084</v>
      </c>
      <c r="C21375" s="1" t="str">
        <f>HYPERLINK("http://stackoverflow.com/users/3568084", "Elvin")</f>
        <v>Elvin</v>
      </c>
      <c r="D21375" t="s">
        <v>4</v>
      </c>
      <c r="E21375">
        <v>1</v>
      </c>
    </row>
    <row r="21376" spans="1:5" x14ac:dyDescent="0.25">
      <c r="A21376">
        <v>21375</v>
      </c>
      <c r="B21376">
        <v>10788472</v>
      </c>
      <c r="C21376" s="1" t="str">
        <f>HYPERLINK("http://stackoverflow.com/users/10788472", "Forrest LYU")</f>
        <v>Forrest LYU</v>
      </c>
      <c r="D21376" t="s">
        <v>7</v>
      </c>
      <c r="E21376">
        <v>1</v>
      </c>
    </row>
    <row r="21377" spans="1:5" x14ac:dyDescent="0.25">
      <c r="A21377">
        <v>21376</v>
      </c>
      <c r="B21377">
        <v>5380968</v>
      </c>
      <c r="C21377" s="1" t="str">
        <f>HYPERLINK("http://stackoverflow.com/users/5380968", "zfceer")</f>
        <v>zfceer</v>
      </c>
      <c r="D21377" t="s">
        <v>28</v>
      </c>
      <c r="E21377">
        <v>1</v>
      </c>
    </row>
    <row r="21378" spans="1:5" x14ac:dyDescent="0.25">
      <c r="A21378">
        <v>21377</v>
      </c>
      <c r="B21378">
        <v>7129942</v>
      </c>
      <c r="C21378" s="1" t="str">
        <f>HYPERLINK("http://stackoverflow.com/users/7129942", "Jerky_G")</f>
        <v>Jerky_G</v>
      </c>
      <c r="D21378" t="s">
        <v>16</v>
      </c>
      <c r="E21378">
        <v>1</v>
      </c>
    </row>
    <row r="21379" spans="1:5" x14ac:dyDescent="0.25">
      <c r="A21379">
        <v>21378</v>
      </c>
      <c r="B21379">
        <v>7130329</v>
      </c>
      <c r="C21379" s="1" t="str">
        <f>HYPERLINK("http://stackoverflow.com/users/7130329", "Jia Cheng")</f>
        <v>Jia Cheng</v>
      </c>
      <c r="D21379" t="s">
        <v>5</v>
      </c>
      <c r="E21379">
        <v>1</v>
      </c>
    </row>
    <row r="21380" spans="1:5" x14ac:dyDescent="0.25">
      <c r="A21380">
        <v>21379</v>
      </c>
      <c r="B21380">
        <v>8977524</v>
      </c>
      <c r="C21380" s="1" t="str">
        <f>HYPERLINK("http://stackoverflow.com/users/8977524", "将军大")</f>
        <v>将军大</v>
      </c>
      <c r="D21380" t="s">
        <v>52</v>
      </c>
      <c r="E21380">
        <v>1</v>
      </c>
    </row>
    <row r="21381" spans="1:5" x14ac:dyDescent="0.25">
      <c r="A21381">
        <v>21380</v>
      </c>
      <c r="B21381">
        <v>8977627</v>
      </c>
      <c r="C21381" s="1" t="str">
        <f>HYPERLINK("http://stackoverflow.com/users/8977627", "JeffYao")</f>
        <v>JeffYao</v>
      </c>
      <c r="D21381" t="s">
        <v>416</v>
      </c>
      <c r="E21381">
        <v>1</v>
      </c>
    </row>
    <row r="21382" spans="1:5" x14ac:dyDescent="0.25">
      <c r="A21382">
        <v>21381</v>
      </c>
      <c r="B21382">
        <v>8977850</v>
      </c>
      <c r="C21382" s="1" t="str">
        <f>HYPERLINK("http://stackoverflow.com/users/8977850", "Sean Yang")</f>
        <v>Sean Yang</v>
      </c>
      <c r="D21382" t="s">
        <v>25</v>
      </c>
      <c r="E21382">
        <v>1</v>
      </c>
    </row>
    <row r="21383" spans="1:5" x14ac:dyDescent="0.25">
      <c r="A21383">
        <v>21382</v>
      </c>
      <c r="B21383">
        <v>10784452</v>
      </c>
      <c r="C21383" s="1" t="str">
        <f>HYPERLINK("http://stackoverflow.com/users/10784452", "mqyang56")</f>
        <v>mqyang56</v>
      </c>
      <c r="D21383" t="s">
        <v>7</v>
      </c>
      <c r="E21383">
        <v>1</v>
      </c>
    </row>
    <row r="21384" spans="1:5" x14ac:dyDescent="0.25">
      <c r="A21384">
        <v>21383</v>
      </c>
      <c r="B21384">
        <v>10784590</v>
      </c>
      <c r="C21384" s="1" t="str">
        <f>HYPERLINK("http://stackoverflow.com/users/10784590", "Z. Yuxiang")</f>
        <v>Z. Yuxiang</v>
      </c>
      <c r="D21384" t="s">
        <v>118</v>
      </c>
      <c r="E21384">
        <v>1</v>
      </c>
    </row>
    <row r="21385" spans="1:5" x14ac:dyDescent="0.25">
      <c r="A21385">
        <v>21384</v>
      </c>
      <c r="B21385">
        <v>10784591</v>
      </c>
      <c r="C21385" s="1" t="str">
        <f>HYPERLINK("http://stackoverflow.com/users/10784591", "JJJw")</f>
        <v>JJJw</v>
      </c>
      <c r="D21385" t="s">
        <v>16</v>
      </c>
      <c r="E21385">
        <v>1</v>
      </c>
    </row>
    <row r="21386" spans="1:5" x14ac:dyDescent="0.25">
      <c r="A21386">
        <v>21385</v>
      </c>
      <c r="B21386">
        <v>10784977</v>
      </c>
      <c r="C21386" s="1" t="str">
        <f>HYPERLINK("http://stackoverflow.com/users/10784977", "chidechers")</f>
        <v>chidechers</v>
      </c>
      <c r="D21386" t="s">
        <v>525</v>
      </c>
      <c r="E21386">
        <v>1</v>
      </c>
    </row>
    <row r="21387" spans="1:5" x14ac:dyDescent="0.25">
      <c r="A21387">
        <v>21386</v>
      </c>
      <c r="B21387">
        <v>10784980</v>
      </c>
      <c r="C21387" s="1" t="str">
        <f>HYPERLINK("http://stackoverflow.com/users/10784980", "kitchenware")</f>
        <v>kitchenware</v>
      </c>
      <c r="D21387" t="s">
        <v>1130</v>
      </c>
      <c r="E21387">
        <v>1</v>
      </c>
    </row>
    <row r="21388" spans="1:5" x14ac:dyDescent="0.25">
      <c r="A21388">
        <v>21387</v>
      </c>
      <c r="B21388">
        <v>10785025</v>
      </c>
      <c r="C21388" s="1" t="str">
        <f>HYPERLINK("http://stackoverflow.com/users/10785025", "Thomas Li")</f>
        <v>Thomas Li</v>
      </c>
      <c r="D21388" t="s">
        <v>4</v>
      </c>
      <c r="E21388">
        <v>1</v>
      </c>
    </row>
    <row r="21389" spans="1:5" x14ac:dyDescent="0.25">
      <c r="A21389">
        <v>21388</v>
      </c>
      <c r="B21389">
        <v>3532749</v>
      </c>
      <c r="C21389" s="1" t="str">
        <f>HYPERLINK("http://stackoverflow.com/users/3532749", "Frank Fu")</f>
        <v>Frank Fu</v>
      </c>
      <c r="D21389" t="s">
        <v>1131</v>
      </c>
      <c r="E21389">
        <v>1</v>
      </c>
    </row>
    <row r="21390" spans="1:5" x14ac:dyDescent="0.25">
      <c r="A21390">
        <v>21389</v>
      </c>
      <c r="B21390">
        <v>10742975</v>
      </c>
      <c r="C21390" s="1" t="str">
        <f>HYPERLINK("http://stackoverflow.com/users/10742975", "Daping")</f>
        <v>Daping</v>
      </c>
      <c r="D21390" t="s">
        <v>7</v>
      </c>
      <c r="E21390">
        <v>1</v>
      </c>
    </row>
    <row r="21391" spans="1:5" x14ac:dyDescent="0.25">
      <c r="A21391">
        <v>21390</v>
      </c>
      <c r="B21391">
        <v>1730513</v>
      </c>
      <c r="C21391" s="1" t="str">
        <f>HYPERLINK("http://stackoverflow.com/users/1730513", "Daniel Zhou")</f>
        <v>Daniel Zhou</v>
      </c>
      <c r="D21391" t="s">
        <v>5</v>
      </c>
      <c r="E21391">
        <v>1</v>
      </c>
    </row>
    <row r="21392" spans="1:5" x14ac:dyDescent="0.25">
      <c r="A21392">
        <v>21391</v>
      </c>
      <c r="B21392">
        <v>8942367</v>
      </c>
      <c r="C21392" s="1" t="str">
        <f>HYPERLINK("http://stackoverflow.com/users/8942367", "Kang")</f>
        <v>Kang</v>
      </c>
      <c r="D21392" t="s">
        <v>91</v>
      </c>
      <c r="E21392">
        <v>1</v>
      </c>
    </row>
    <row r="21393" spans="1:5" x14ac:dyDescent="0.25">
      <c r="A21393">
        <v>21392</v>
      </c>
      <c r="B21393">
        <v>8955598</v>
      </c>
      <c r="C21393" s="1" t="str">
        <f>HYPERLINK("http://stackoverflow.com/users/8955598", "R. N. ZHAO")</f>
        <v>R. N. ZHAO</v>
      </c>
      <c r="D21393" t="s">
        <v>5</v>
      </c>
      <c r="E21393">
        <v>1</v>
      </c>
    </row>
    <row r="21394" spans="1:5" x14ac:dyDescent="0.25">
      <c r="A21394">
        <v>21393</v>
      </c>
      <c r="B21394">
        <v>5361934</v>
      </c>
      <c r="C21394" s="1" t="str">
        <f>HYPERLINK("http://stackoverflow.com/users/5361934", "titanjf")</f>
        <v>titanjf</v>
      </c>
      <c r="D21394" t="s">
        <v>5</v>
      </c>
      <c r="E21394">
        <v>1</v>
      </c>
    </row>
    <row r="21395" spans="1:5" x14ac:dyDescent="0.25">
      <c r="A21395">
        <v>21394</v>
      </c>
      <c r="B21395">
        <v>5362070</v>
      </c>
      <c r="C21395" s="1" t="str">
        <f>HYPERLINK("http://stackoverflow.com/users/5362070", "enzo")</f>
        <v>enzo</v>
      </c>
      <c r="D21395" t="s">
        <v>37</v>
      </c>
      <c r="E21395">
        <v>1</v>
      </c>
    </row>
    <row r="21396" spans="1:5" x14ac:dyDescent="0.25">
      <c r="A21396">
        <v>21395</v>
      </c>
      <c r="B21396">
        <v>5362421</v>
      </c>
      <c r="C21396" s="1" t="str">
        <f>HYPERLINK("http://stackoverflow.com/users/5362421", "David Kai")</f>
        <v>David Kai</v>
      </c>
      <c r="D21396" t="s">
        <v>5</v>
      </c>
      <c r="E21396">
        <v>1</v>
      </c>
    </row>
    <row r="21397" spans="1:5" x14ac:dyDescent="0.25">
      <c r="A21397">
        <v>21396</v>
      </c>
      <c r="B21397">
        <v>7119860</v>
      </c>
      <c r="C21397" s="1" t="str">
        <f>HYPERLINK("http://stackoverflow.com/users/7119860", "Yixuan Xu")</f>
        <v>Yixuan Xu</v>
      </c>
      <c r="D21397" t="s">
        <v>52</v>
      </c>
      <c r="E21397">
        <v>1</v>
      </c>
    </row>
    <row r="21398" spans="1:5" x14ac:dyDescent="0.25">
      <c r="A21398">
        <v>21397</v>
      </c>
      <c r="B21398">
        <v>10771616</v>
      </c>
      <c r="C21398" s="1" t="str">
        <f>HYPERLINK("http://stackoverflow.com/users/10771616", "spitz")</f>
        <v>spitz</v>
      </c>
      <c r="D21398" t="s">
        <v>4</v>
      </c>
      <c r="E21398">
        <v>1</v>
      </c>
    </row>
    <row r="21399" spans="1:5" x14ac:dyDescent="0.25">
      <c r="A21399">
        <v>21398</v>
      </c>
      <c r="B21399">
        <v>1743058</v>
      </c>
      <c r="C21399" s="1" t="str">
        <f>HYPERLINK("http://stackoverflow.com/users/1743058", "Francis Lee")</f>
        <v>Francis Lee</v>
      </c>
      <c r="D21399" t="s">
        <v>4</v>
      </c>
      <c r="E21399">
        <v>1</v>
      </c>
    </row>
    <row r="21400" spans="1:5" x14ac:dyDescent="0.25">
      <c r="A21400">
        <v>21399</v>
      </c>
      <c r="B21400">
        <v>1751746</v>
      </c>
      <c r="C21400" s="1" t="str">
        <f>HYPERLINK("http://stackoverflow.com/users/1751746", "bhcrazycrane")</f>
        <v>bhcrazycrane</v>
      </c>
      <c r="D21400" t="s">
        <v>5</v>
      </c>
      <c r="E21400">
        <v>1</v>
      </c>
    </row>
    <row r="21401" spans="1:5" x14ac:dyDescent="0.25">
      <c r="A21401">
        <v>21400</v>
      </c>
      <c r="B21401">
        <v>1751808</v>
      </c>
      <c r="C21401" s="1" t="str">
        <f>HYPERLINK("http://stackoverflow.com/users/1751808", "skygongle")</f>
        <v>skygongle</v>
      </c>
      <c r="D21401" t="s">
        <v>4</v>
      </c>
      <c r="E21401">
        <v>1</v>
      </c>
    </row>
    <row r="21402" spans="1:5" x14ac:dyDescent="0.25">
      <c r="A21402">
        <v>21401</v>
      </c>
      <c r="B21402">
        <v>1748879</v>
      </c>
      <c r="C21402" s="1" t="str">
        <f>HYPERLINK("http://stackoverflow.com/users/1748879", "stevensunzh")</f>
        <v>stevensunzh</v>
      </c>
      <c r="D21402" t="s">
        <v>17</v>
      </c>
      <c r="E21402">
        <v>1</v>
      </c>
    </row>
    <row r="21403" spans="1:5" x14ac:dyDescent="0.25">
      <c r="A21403">
        <v>21402</v>
      </c>
      <c r="B21403">
        <v>5370061</v>
      </c>
      <c r="C21403" s="1" t="str">
        <f>HYPERLINK("http://stackoverflow.com/users/5370061", "wenlong xue")</f>
        <v>wenlong xue</v>
      </c>
      <c r="D21403" t="s">
        <v>5</v>
      </c>
      <c r="E21403">
        <v>1</v>
      </c>
    </row>
    <row r="21404" spans="1:5" x14ac:dyDescent="0.25">
      <c r="A21404">
        <v>21403</v>
      </c>
      <c r="B21404">
        <v>5370293</v>
      </c>
      <c r="C21404" s="1" t="str">
        <f>HYPERLINK("http://stackoverflow.com/users/5370293", "alexander")</f>
        <v>alexander</v>
      </c>
      <c r="D21404" t="s">
        <v>5</v>
      </c>
      <c r="E21404">
        <v>1</v>
      </c>
    </row>
    <row r="21405" spans="1:5" x14ac:dyDescent="0.25">
      <c r="A21405">
        <v>21404</v>
      </c>
      <c r="B21405">
        <v>5370543</v>
      </c>
      <c r="C21405" s="1" t="str">
        <f>HYPERLINK("http://stackoverflow.com/users/5370543", "Martyn")</f>
        <v>Martyn</v>
      </c>
      <c r="D21405" t="s">
        <v>4</v>
      </c>
      <c r="E21405">
        <v>1</v>
      </c>
    </row>
    <row r="21406" spans="1:5" x14ac:dyDescent="0.25">
      <c r="A21406">
        <v>21405</v>
      </c>
      <c r="B21406">
        <v>5370638</v>
      </c>
      <c r="C21406" s="1" t="str">
        <f>HYPERLINK("http://stackoverflow.com/users/5370638", "Madaha")</f>
        <v>Madaha</v>
      </c>
      <c r="D21406" t="s">
        <v>5</v>
      </c>
      <c r="E21406">
        <v>1</v>
      </c>
    </row>
    <row r="21407" spans="1:5" x14ac:dyDescent="0.25">
      <c r="A21407">
        <v>21406</v>
      </c>
      <c r="B21407">
        <v>8950717</v>
      </c>
      <c r="C21407" s="1" t="str">
        <f>HYPERLINK("http://stackoverflow.com/users/8950717", "Ren Mujie")</f>
        <v>Ren Mujie</v>
      </c>
      <c r="D21407" t="s">
        <v>682</v>
      </c>
      <c r="E21407">
        <v>1</v>
      </c>
    </row>
    <row r="21408" spans="1:5" x14ac:dyDescent="0.25">
      <c r="A21408">
        <v>21407</v>
      </c>
      <c r="B21408">
        <v>5355135</v>
      </c>
      <c r="C21408" s="1" t="str">
        <f>HYPERLINK("http://stackoverflow.com/users/5355135", "jianan yang")</f>
        <v>jianan yang</v>
      </c>
      <c r="D21408" t="s">
        <v>5</v>
      </c>
      <c r="E21408">
        <v>1</v>
      </c>
    </row>
    <row r="21409" spans="1:5" x14ac:dyDescent="0.25">
      <c r="A21409">
        <v>21408</v>
      </c>
      <c r="B21409">
        <v>3553195</v>
      </c>
      <c r="C21409" s="1" t="str">
        <f>HYPERLINK("http://stackoverflow.com/users/3553195", "Thierryk")</f>
        <v>Thierryk</v>
      </c>
      <c r="D21409" t="s">
        <v>57</v>
      </c>
      <c r="E21409">
        <v>1</v>
      </c>
    </row>
    <row r="21410" spans="1:5" x14ac:dyDescent="0.25">
      <c r="A21410">
        <v>21409</v>
      </c>
      <c r="B21410">
        <v>1743522</v>
      </c>
      <c r="C21410" s="1" t="str">
        <f>HYPERLINK("http://stackoverflow.com/users/1743522", "i_Focus")</f>
        <v>i_Focus</v>
      </c>
      <c r="D21410" t="s">
        <v>22</v>
      </c>
      <c r="E21410">
        <v>1</v>
      </c>
    </row>
    <row r="21411" spans="1:5" x14ac:dyDescent="0.25">
      <c r="A21411">
        <v>21410</v>
      </c>
      <c r="B21411">
        <v>5365659</v>
      </c>
      <c r="C21411" s="1" t="str">
        <f>HYPERLINK("http://stackoverflow.com/users/5365659", "baozheliu")</f>
        <v>baozheliu</v>
      </c>
      <c r="D21411" t="s">
        <v>4</v>
      </c>
      <c r="E21411">
        <v>1</v>
      </c>
    </row>
    <row r="21412" spans="1:5" x14ac:dyDescent="0.25">
      <c r="A21412">
        <v>21411</v>
      </c>
      <c r="B21412">
        <v>5366077</v>
      </c>
      <c r="C21412" s="1" t="str">
        <f>HYPERLINK("http://stackoverflow.com/users/5366077", "Tanenbaum")</f>
        <v>Tanenbaum</v>
      </c>
      <c r="D21412" t="s">
        <v>5</v>
      </c>
      <c r="E21412">
        <v>1</v>
      </c>
    </row>
    <row r="21413" spans="1:5" x14ac:dyDescent="0.25">
      <c r="A21413">
        <v>21412</v>
      </c>
      <c r="B21413">
        <v>1747616</v>
      </c>
      <c r="C21413" s="1" t="str">
        <f>HYPERLINK("http://stackoverflow.com/users/1747616", "Jimmy")</f>
        <v>Jimmy</v>
      </c>
      <c r="D21413" t="s">
        <v>4</v>
      </c>
      <c r="E21413">
        <v>1</v>
      </c>
    </row>
    <row r="21414" spans="1:5" x14ac:dyDescent="0.25">
      <c r="A21414">
        <v>21413</v>
      </c>
      <c r="B21414">
        <v>1748657</v>
      </c>
      <c r="C21414" s="1" t="str">
        <f>HYPERLINK("http://stackoverflow.com/users/1748657", "phenix3443")</f>
        <v>phenix3443</v>
      </c>
      <c r="D21414" t="s">
        <v>12</v>
      </c>
      <c r="E21414">
        <v>1</v>
      </c>
    </row>
    <row r="21415" spans="1:5" x14ac:dyDescent="0.25">
      <c r="A21415">
        <v>21414</v>
      </c>
      <c r="B21415">
        <v>5478220</v>
      </c>
      <c r="C21415" s="1" t="str">
        <f>HYPERLINK("http://stackoverflow.com/users/5478220", "feeling")</f>
        <v>feeling</v>
      </c>
      <c r="D21415" t="s">
        <v>5</v>
      </c>
      <c r="E21415">
        <v>1</v>
      </c>
    </row>
    <row r="21416" spans="1:5" x14ac:dyDescent="0.25">
      <c r="A21416">
        <v>21415</v>
      </c>
      <c r="B21416">
        <v>5478298</v>
      </c>
      <c r="C21416" s="1" t="str">
        <f>HYPERLINK("http://stackoverflow.com/users/5478298", "Zhou Qing")</f>
        <v>Zhou Qing</v>
      </c>
      <c r="D21416" t="s">
        <v>131</v>
      </c>
      <c r="E21416">
        <v>1</v>
      </c>
    </row>
    <row r="21417" spans="1:5" x14ac:dyDescent="0.25">
      <c r="A21417">
        <v>21416</v>
      </c>
      <c r="B21417">
        <v>5474917</v>
      </c>
      <c r="C21417" s="1" t="str">
        <f>HYPERLINK("http://stackoverflow.com/users/5474917", "Alex Liu")</f>
        <v>Alex Liu</v>
      </c>
      <c r="D21417" t="s">
        <v>12</v>
      </c>
      <c r="E21417">
        <v>1</v>
      </c>
    </row>
    <row r="21418" spans="1:5" x14ac:dyDescent="0.25">
      <c r="A21418">
        <v>21417</v>
      </c>
      <c r="B21418">
        <v>10893064</v>
      </c>
      <c r="C21418" s="1" t="str">
        <f>HYPERLINK("http://stackoverflow.com/users/10893064", "Bin Wu")</f>
        <v>Bin Wu</v>
      </c>
      <c r="D21418" t="s">
        <v>5</v>
      </c>
      <c r="E21418">
        <v>1</v>
      </c>
    </row>
    <row r="21419" spans="1:5" x14ac:dyDescent="0.25">
      <c r="A21419">
        <v>21418</v>
      </c>
      <c r="B21419">
        <v>9098451</v>
      </c>
      <c r="C21419" s="1" t="str">
        <f>HYPERLINK("http://stackoverflow.com/users/9098451", "mclovin.xxh")</f>
        <v>mclovin.xxh</v>
      </c>
      <c r="D21419" t="s">
        <v>5</v>
      </c>
      <c r="E21419">
        <v>1</v>
      </c>
    </row>
    <row r="21420" spans="1:5" x14ac:dyDescent="0.25">
      <c r="A21420">
        <v>21419</v>
      </c>
      <c r="B21420">
        <v>1884743</v>
      </c>
      <c r="C21420" s="1" t="str">
        <f>HYPERLINK("http://stackoverflow.com/users/1884743", "Keith")</f>
        <v>Keith</v>
      </c>
      <c r="D21420" t="s">
        <v>17</v>
      </c>
      <c r="E21420">
        <v>1</v>
      </c>
    </row>
    <row r="21421" spans="1:5" x14ac:dyDescent="0.25">
      <c r="A21421">
        <v>21420</v>
      </c>
      <c r="B21421">
        <v>9101897</v>
      </c>
      <c r="C21421" s="1" t="str">
        <f>HYPERLINK("http://stackoverflow.com/users/9101897", "Jinxing Lu")</f>
        <v>Jinxing Lu</v>
      </c>
      <c r="D21421" t="s">
        <v>4</v>
      </c>
      <c r="E21421">
        <v>1</v>
      </c>
    </row>
    <row r="21422" spans="1:5" x14ac:dyDescent="0.25">
      <c r="A21422">
        <v>21421</v>
      </c>
      <c r="B21422">
        <v>7236179</v>
      </c>
      <c r="C21422" s="1" t="str">
        <f>HYPERLINK("http://stackoverflow.com/users/7236179", "WangYixin")</f>
        <v>WangYixin</v>
      </c>
      <c r="D21422" t="s">
        <v>131</v>
      </c>
      <c r="E21422">
        <v>1</v>
      </c>
    </row>
    <row r="21423" spans="1:5" x14ac:dyDescent="0.25">
      <c r="A21423">
        <v>21422</v>
      </c>
      <c r="B21423">
        <v>3678858</v>
      </c>
      <c r="C21423" s="1" t="str">
        <f>HYPERLINK("http://stackoverflow.com/users/3678858", "bearing_bear")</f>
        <v>bearing_bear</v>
      </c>
      <c r="D21423" t="s">
        <v>54</v>
      </c>
      <c r="E21423">
        <v>1</v>
      </c>
    </row>
    <row r="21424" spans="1:5" x14ac:dyDescent="0.25">
      <c r="A21424">
        <v>21423</v>
      </c>
      <c r="B21424">
        <v>9101459</v>
      </c>
      <c r="C21424" s="1" t="str">
        <f>HYPERLINK("http://stackoverflow.com/users/9101459", "Jeff Xi")</f>
        <v>Jeff Xi</v>
      </c>
      <c r="D21424" t="s">
        <v>4</v>
      </c>
      <c r="E21424">
        <v>1</v>
      </c>
    </row>
    <row r="21425" spans="1:5" x14ac:dyDescent="0.25">
      <c r="A21425">
        <v>21424</v>
      </c>
      <c r="B21425">
        <v>1869696</v>
      </c>
      <c r="C21425" s="1" t="str">
        <f>HYPERLINK("http://stackoverflow.com/users/1869696", "scalerzhangjie")</f>
        <v>scalerzhangjie</v>
      </c>
      <c r="D21425" t="s">
        <v>257</v>
      </c>
      <c r="E21425">
        <v>1</v>
      </c>
    </row>
    <row r="21426" spans="1:5" x14ac:dyDescent="0.25">
      <c r="A21426">
        <v>21425</v>
      </c>
      <c r="B21426">
        <v>9097648</v>
      </c>
      <c r="C21426" s="1" t="str">
        <f>HYPERLINK("http://stackoverflow.com/users/9097648", "paper")</f>
        <v>paper</v>
      </c>
      <c r="D21426" t="s">
        <v>118</v>
      </c>
      <c r="E21426">
        <v>1</v>
      </c>
    </row>
    <row r="21427" spans="1:5" x14ac:dyDescent="0.25">
      <c r="A21427">
        <v>21426</v>
      </c>
      <c r="B21427">
        <v>9097782</v>
      </c>
      <c r="C21427" s="1" t="str">
        <f>HYPERLINK("http://stackoverflow.com/users/9097782", "zhd173")</f>
        <v>zhd173</v>
      </c>
      <c r="D21427" t="s">
        <v>5</v>
      </c>
      <c r="E21427">
        <v>1</v>
      </c>
    </row>
    <row r="21428" spans="1:5" x14ac:dyDescent="0.25">
      <c r="A21428">
        <v>21427</v>
      </c>
      <c r="B21428">
        <v>5474584</v>
      </c>
      <c r="C21428" s="1" t="str">
        <f>HYPERLINK("http://stackoverflow.com/users/5474584", "karminski")</f>
        <v>karminski</v>
      </c>
      <c r="D21428" t="s">
        <v>5</v>
      </c>
      <c r="E21428">
        <v>1</v>
      </c>
    </row>
    <row r="21429" spans="1:5" x14ac:dyDescent="0.25">
      <c r="A21429">
        <v>21428</v>
      </c>
      <c r="B21429">
        <v>5474606</v>
      </c>
      <c r="C21429" s="1" t="str">
        <f>HYPERLINK("http://stackoverflow.com/users/5474606", "li.xin")</f>
        <v>li.xin</v>
      </c>
      <c r="D21429" t="s">
        <v>5</v>
      </c>
      <c r="E21429">
        <v>1</v>
      </c>
    </row>
    <row r="21430" spans="1:5" x14ac:dyDescent="0.25">
      <c r="A21430">
        <v>21429</v>
      </c>
      <c r="B21430">
        <v>7225151</v>
      </c>
      <c r="C21430" s="1" t="str">
        <f>HYPERLINK("http://stackoverflow.com/users/7225151", "Derek Chen")</f>
        <v>Derek Chen</v>
      </c>
      <c r="D21430" t="s">
        <v>8</v>
      </c>
      <c r="E21430">
        <v>1</v>
      </c>
    </row>
    <row r="21431" spans="1:5" x14ac:dyDescent="0.25">
      <c r="A21431">
        <v>21430</v>
      </c>
      <c r="B21431">
        <v>10887532</v>
      </c>
      <c r="C21431" s="1" t="str">
        <f>HYPERLINK("http://stackoverflow.com/users/10887532", "sevendark")</f>
        <v>sevendark</v>
      </c>
      <c r="D21431" t="s">
        <v>5</v>
      </c>
      <c r="E21431">
        <v>1</v>
      </c>
    </row>
    <row r="21432" spans="1:5" x14ac:dyDescent="0.25">
      <c r="A21432">
        <v>21431</v>
      </c>
      <c r="B21432">
        <v>3670782</v>
      </c>
      <c r="C21432" s="1" t="str">
        <f>HYPERLINK("http://stackoverflow.com/users/3670782", "JRoger")</f>
        <v>JRoger</v>
      </c>
      <c r="D21432" t="s">
        <v>5</v>
      </c>
      <c r="E21432">
        <v>1</v>
      </c>
    </row>
    <row r="21433" spans="1:5" x14ac:dyDescent="0.25">
      <c r="A21433">
        <v>21432</v>
      </c>
      <c r="B21433">
        <v>9093004</v>
      </c>
      <c r="C21433" s="1" t="str">
        <f>HYPERLINK("http://stackoverflow.com/users/9093004", "Jidan Yin")</f>
        <v>Jidan Yin</v>
      </c>
      <c r="D21433" t="s">
        <v>5</v>
      </c>
      <c r="E21433">
        <v>1</v>
      </c>
    </row>
    <row r="21434" spans="1:5" x14ac:dyDescent="0.25">
      <c r="A21434">
        <v>21433</v>
      </c>
      <c r="B21434">
        <v>9093086</v>
      </c>
      <c r="C21434" s="1" t="str">
        <f>HYPERLINK("http://stackoverflow.com/users/9093086", "Tang Longyang")</f>
        <v>Tang Longyang</v>
      </c>
      <c r="D21434" t="s">
        <v>62</v>
      </c>
      <c r="E21434">
        <v>1</v>
      </c>
    </row>
    <row r="21435" spans="1:5" x14ac:dyDescent="0.25">
      <c r="A21435">
        <v>21434</v>
      </c>
      <c r="B21435">
        <v>9093705</v>
      </c>
      <c r="C21435" s="1" t="str">
        <f>HYPERLINK("http://stackoverflow.com/users/9093705", "Shangzhi Huang")</f>
        <v>Shangzhi Huang</v>
      </c>
      <c r="D21435" t="s">
        <v>4</v>
      </c>
      <c r="E21435">
        <v>1</v>
      </c>
    </row>
    <row r="21436" spans="1:5" x14ac:dyDescent="0.25">
      <c r="A21436">
        <v>21435</v>
      </c>
      <c r="B21436">
        <v>3676014</v>
      </c>
      <c r="C21436" s="1" t="str">
        <f>HYPERLINK("http://stackoverflow.com/users/3676014", "Hochipun")</f>
        <v>Hochipun</v>
      </c>
      <c r="D21436" t="s">
        <v>59</v>
      </c>
      <c r="E21436">
        <v>1</v>
      </c>
    </row>
    <row r="21437" spans="1:5" x14ac:dyDescent="0.25">
      <c r="A21437">
        <v>21436</v>
      </c>
      <c r="B21437">
        <v>7229374</v>
      </c>
      <c r="C21437" s="1" t="str">
        <f>HYPERLINK("http://stackoverflow.com/users/7229374", "winter cao")</f>
        <v>winter cao</v>
      </c>
      <c r="D21437" t="s">
        <v>5</v>
      </c>
      <c r="E21437">
        <v>1</v>
      </c>
    </row>
    <row r="21438" spans="1:5" x14ac:dyDescent="0.25">
      <c r="A21438">
        <v>21437</v>
      </c>
      <c r="B21438">
        <v>7229432</v>
      </c>
      <c r="C21438" s="1" t="str">
        <f>HYPERLINK("http://stackoverflow.com/users/7229432", "elefnt")</f>
        <v>elefnt</v>
      </c>
      <c r="D21438" t="s">
        <v>5</v>
      </c>
      <c r="E21438">
        <v>1</v>
      </c>
    </row>
    <row r="21439" spans="1:5" x14ac:dyDescent="0.25">
      <c r="A21439">
        <v>21438</v>
      </c>
      <c r="B21439">
        <v>7229459</v>
      </c>
      <c r="C21439" s="1" t="str">
        <f>HYPERLINK("http://stackoverflow.com/users/7229459", "L.Xiao")</f>
        <v>L.Xiao</v>
      </c>
      <c r="D21439" t="s">
        <v>5</v>
      </c>
      <c r="E21439">
        <v>1</v>
      </c>
    </row>
    <row r="21440" spans="1:5" x14ac:dyDescent="0.25">
      <c r="A21440">
        <v>21439</v>
      </c>
      <c r="B21440">
        <v>7229474</v>
      </c>
      <c r="C21440" s="1" t="str">
        <f>HYPERLINK("http://stackoverflow.com/users/7229474", "Alan Song")</f>
        <v>Alan Song</v>
      </c>
      <c r="D21440" t="s">
        <v>4</v>
      </c>
      <c r="E21440">
        <v>1</v>
      </c>
    </row>
    <row r="21441" spans="1:5" x14ac:dyDescent="0.25">
      <c r="A21441">
        <v>21440</v>
      </c>
      <c r="B21441">
        <v>7229647</v>
      </c>
      <c r="C21441" s="1" t="str">
        <f>HYPERLINK("http://stackoverflow.com/users/7229647", "王云亮")</f>
        <v>王云亮</v>
      </c>
      <c r="D21441" t="s">
        <v>29</v>
      </c>
      <c r="E21441">
        <v>1</v>
      </c>
    </row>
    <row r="21442" spans="1:5" x14ac:dyDescent="0.25">
      <c r="A21442">
        <v>21441</v>
      </c>
      <c r="B21442">
        <v>10908729</v>
      </c>
      <c r="C21442" s="1" t="str">
        <f>HYPERLINK("http://stackoverflow.com/users/10908729", "Bull Demon")</f>
        <v>Bull Demon</v>
      </c>
      <c r="D21442" t="s">
        <v>7</v>
      </c>
      <c r="E21442">
        <v>1</v>
      </c>
    </row>
    <row r="21443" spans="1:5" x14ac:dyDescent="0.25">
      <c r="A21443">
        <v>21442</v>
      </c>
      <c r="B21443">
        <v>9113829</v>
      </c>
      <c r="C21443" s="1" t="str">
        <f>HYPERLINK("http://stackoverflow.com/users/9113829", "Yvonne Qin")</f>
        <v>Yvonne Qin</v>
      </c>
      <c r="D21443" t="s">
        <v>4</v>
      </c>
      <c r="E21443">
        <v>1</v>
      </c>
    </row>
    <row r="21444" spans="1:5" x14ac:dyDescent="0.25">
      <c r="A21444">
        <v>21443</v>
      </c>
      <c r="B21444">
        <v>9113846</v>
      </c>
      <c r="C21444" s="1" t="str">
        <f>HYPERLINK("http://stackoverflow.com/users/9113846", "user9113846")</f>
        <v>user9113846</v>
      </c>
      <c r="D21444" t="s">
        <v>427</v>
      </c>
      <c r="E21444">
        <v>1</v>
      </c>
    </row>
    <row r="21445" spans="1:5" x14ac:dyDescent="0.25">
      <c r="A21445">
        <v>21444</v>
      </c>
      <c r="B21445">
        <v>9114352</v>
      </c>
      <c r="C21445" s="1" t="str">
        <f>HYPERLINK("http://stackoverflow.com/users/9114352", "Zhiyong Chen")</f>
        <v>Zhiyong Chen</v>
      </c>
      <c r="D21445" t="s">
        <v>4</v>
      </c>
      <c r="E21445">
        <v>1</v>
      </c>
    </row>
    <row r="21446" spans="1:5" x14ac:dyDescent="0.25">
      <c r="A21446">
        <v>21445</v>
      </c>
      <c r="B21446">
        <v>3685946</v>
      </c>
      <c r="C21446" s="1" t="str">
        <f>HYPERLINK("http://stackoverflow.com/users/3685946", "hongquan.zhang")</f>
        <v>hongquan.zhang</v>
      </c>
      <c r="D21446" t="s">
        <v>4</v>
      </c>
      <c r="E21446">
        <v>1</v>
      </c>
    </row>
    <row r="21447" spans="1:5" x14ac:dyDescent="0.25">
      <c r="A21447">
        <v>21446</v>
      </c>
      <c r="B21447">
        <v>3685838</v>
      </c>
      <c r="C21447" s="1" t="str">
        <f>HYPERLINK("http://stackoverflow.com/users/3685838", "colin.lin")</f>
        <v>colin.lin</v>
      </c>
      <c r="D21447" t="s">
        <v>8</v>
      </c>
      <c r="E21447">
        <v>1</v>
      </c>
    </row>
    <row r="21448" spans="1:5" x14ac:dyDescent="0.25">
      <c r="A21448">
        <v>21447</v>
      </c>
      <c r="B21448">
        <v>1885886</v>
      </c>
      <c r="C21448" s="1" t="str">
        <f>HYPERLINK("http://stackoverflow.com/users/1885886", "sapronlee")</f>
        <v>sapronlee</v>
      </c>
      <c r="D21448" t="s">
        <v>28</v>
      </c>
      <c r="E21448">
        <v>1</v>
      </c>
    </row>
    <row r="21449" spans="1:5" x14ac:dyDescent="0.25">
      <c r="A21449">
        <v>21448</v>
      </c>
      <c r="B21449">
        <v>1889631</v>
      </c>
      <c r="C21449" s="1" t="str">
        <f>HYPERLINK("http://stackoverflow.com/users/1889631", "Cospring")</f>
        <v>Cospring</v>
      </c>
      <c r="D21449" t="s">
        <v>5</v>
      </c>
      <c r="E21449">
        <v>1</v>
      </c>
    </row>
    <row r="21450" spans="1:5" x14ac:dyDescent="0.25">
      <c r="A21450">
        <v>21449</v>
      </c>
      <c r="B21450">
        <v>1889238</v>
      </c>
      <c r="C21450" s="1" t="str">
        <f>HYPERLINK("http://stackoverflow.com/users/1889238", "ouyongke")</f>
        <v>ouyongke</v>
      </c>
      <c r="D21450" t="s">
        <v>5</v>
      </c>
      <c r="E21450">
        <v>1</v>
      </c>
    </row>
    <row r="21451" spans="1:5" x14ac:dyDescent="0.25">
      <c r="A21451">
        <v>21450</v>
      </c>
      <c r="B21451">
        <v>3686243</v>
      </c>
      <c r="C21451" s="1" t="str">
        <f>HYPERLINK("http://stackoverflow.com/users/3686243", "dingjian")</f>
        <v>dingjian</v>
      </c>
      <c r="D21451" t="s">
        <v>5</v>
      </c>
      <c r="E21451">
        <v>1</v>
      </c>
    </row>
    <row r="21452" spans="1:5" x14ac:dyDescent="0.25">
      <c r="A21452">
        <v>21451</v>
      </c>
      <c r="B21452">
        <v>3689801</v>
      </c>
      <c r="C21452" s="1" t="str">
        <f>HYPERLINK("http://stackoverflow.com/users/3689801", "Li Hao")</f>
        <v>Li Hao</v>
      </c>
      <c r="D21452" t="s">
        <v>4</v>
      </c>
      <c r="E21452">
        <v>1</v>
      </c>
    </row>
    <row r="21453" spans="1:5" x14ac:dyDescent="0.25">
      <c r="A21453">
        <v>21452</v>
      </c>
      <c r="B21453">
        <v>3690342</v>
      </c>
      <c r="C21453" s="1" t="str">
        <f>HYPERLINK("http://stackoverflow.com/users/3690342", "Hui Huang")</f>
        <v>Hui Huang</v>
      </c>
      <c r="D21453" t="s">
        <v>5</v>
      </c>
      <c r="E21453">
        <v>1</v>
      </c>
    </row>
    <row r="21454" spans="1:5" x14ac:dyDescent="0.25">
      <c r="A21454">
        <v>21453</v>
      </c>
      <c r="B21454">
        <v>5488305</v>
      </c>
      <c r="C21454" s="1" t="str">
        <f>HYPERLINK("http://stackoverflow.com/users/5488305", "Liu Saideng")</f>
        <v>Liu Saideng</v>
      </c>
      <c r="D21454" t="s">
        <v>12</v>
      </c>
      <c r="E21454">
        <v>1</v>
      </c>
    </row>
    <row r="21455" spans="1:5" x14ac:dyDescent="0.25">
      <c r="A21455">
        <v>21454</v>
      </c>
      <c r="B21455">
        <v>5488510</v>
      </c>
      <c r="C21455" s="1" t="str">
        <f>HYPERLINK("http://stackoverflow.com/users/5488510", "bo.pang")</f>
        <v>bo.pang</v>
      </c>
      <c r="D21455" t="s">
        <v>1132</v>
      </c>
      <c r="E21455">
        <v>1</v>
      </c>
    </row>
    <row r="21456" spans="1:5" x14ac:dyDescent="0.25">
      <c r="A21456">
        <v>21455</v>
      </c>
      <c r="B21456">
        <v>9118507</v>
      </c>
      <c r="C21456" s="1" t="str">
        <f>HYPERLINK("http://stackoverflow.com/users/9118507", "S.Mukuka")</f>
        <v>S.Mukuka</v>
      </c>
      <c r="D21456" t="s">
        <v>16</v>
      </c>
      <c r="E21456">
        <v>1</v>
      </c>
    </row>
    <row r="21457" spans="1:5" x14ac:dyDescent="0.25">
      <c r="A21457">
        <v>21456</v>
      </c>
      <c r="B21457">
        <v>5492441</v>
      </c>
      <c r="C21457" s="1" t="str">
        <f>HYPERLINK("http://stackoverflow.com/users/5492441", "AledaLee")</f>
        <v>AledaLee</v>
      </c>
      <c r="D21457" t="s">
        <v>5</v>
      </c>
      <c r="E21457">
        <v>1</v>
      </c>
    </row>
    <row r="21458" spans="1:5" x14ac:dyDescent="0.25">
      <c r="A21458">
        <v>21457</v>
      </c>
      <c r="B21458">
        <v>1904043</v>
      </c>
      <c r="C21458" s="1" t="str">
        <f>HYPERLINK("http://stackoverflow.com/users/1904043", "rankun203")</f>
        <v>rankun203</v>
      </c>
      <c r="D21458" t="s">
        <v>22</v>
      </c>
      <c r="E21458">
        <v>1</v>
      </c>
    </row>
    <row r="21459" spans="1:5" x14ac:dyDescent="0.25">
      <c r="A21459">
        <v>21458</v>
      </c>
      <c r="B21459">
        <v>7251468</v>
      </c>
      <c r="C21459" s="1" t="str">
        <f>HYPERLINK("http://stackoverflow.com/users/7251468", "AHMED OLEIWI")</f>
        <v>AHMED OLEIWI</v>
      </c>
      <c r="D21459" t="s">
        <v>78</v>
      </c>
      <c r="E21459">
        <v>1</v>
      </c>
    </row>
    <row r="21460" spans="1:5" x14ac:dyDescent="0.25">
      <c r="A21460">
        <v>21459</v>
      </c>
      <c r="B21460">
        <v>7251657</v>
      </c>
      <c r="C21460" s="1" t="str">
        <f>HYPERLINK("http://stackoverflow.com/users/7251657", "Tsubasa Oozora")</f>
        <v>Tsubasa Oozora</v>
      </c>
      <c r="D21460" t="s">
        <v>28</v>
      </c>
      <c r="E21460">
        <v>1</v>
      </c>
    </row>
    <row r="21461" spans="1:5" x14ac:dyDescent="0.25">
      <c r="A21461">
        <v>21460</v>
      </c>
      <c r="B21461">
        <v>5496540</v>
      </c>
      <c r="C21461" s="1" t="str">
        <f>HYPERLINK("http://stackoverflow.com/users/5496540", "冯金龙")</f>
        <v>冯金龙</v>
      </c>
      <c r="D21461" t="s">
        <v>22</v>
      </c>
      <c r="E21461">
        <v>1</v>
      </c>
    </row>
    <row r="21462" spans="1:5" x14ac:dyDescent="0.25">
      <c r="A21462">
        <v>21461</v>
      </c>
      <c r="B21462">
        <v>5496605</v>
      </c>
      <c r="C21462" s="1" t="str">
        <f>HYPERLINK("http://stackoverflow.com/users/5496605", "Zhenlin An")</f>
        <v>Zhenlin An</v>
      </c>
      <c r="D21462" t="s">
        <v>74</v>
      </c>
      <c r="E21462">
        <v>1</v>
      </c>
    </row>
    <row r="21463" spans="1:5" x14ac:dyDescent="0.25">
      <c r="A21463">
        <v>21462</v>
      </c>
      <c r="B21463">
        <v>9088311</v>
      </c>
      <c r="C21463" s="1" t="str">
        <f>HYPERLINK("http://stackoverflow.com/users/9088311", "Sar Kerson")</f>
        <v>Sar Kerson</v>
      </c>
      <c r="D21463" t="s">
        <v>74</v>
      </c>
      <c r="E21463">
        <v>1</v>
      </c>
    </row>
    <row r="21464" spans="1:5" x14ac:dyDescent="0.25">
      <c r="A21464">
        <v>21463</v>
      </c>
      <c r="B21464">
        <v>9088582</v>
      </c>
      <c r="C21464" s="1" t="str">
        <f>HYPERLINK("http://stackoverflow.com/users/9088582", "Mars")</f>
        <v>Mars</v>
      </c>
      <c r="D21464" t="s">
        <v>5</v>
      </c>
      <c r="E21464">
        <v>1</v>
      </c>
    </row>
    <row r="21465" spans="1:5" x14ac:dyDescent="0.25">
      <c r="A21465">
        <v>21464</v>
      </c>
      <c r="B21465">
        <v>7220737</v>
      </c>
      <c r="C21465" s="1" t="str">
        <f>HYPERLINK("http://stackoverflow.com/users/7220737", "Frank Z.K. Li")</f>
        <v>Frank Z.K. Li</v>
      </c>
      <c r="D21465" t="s">
        <v>57</v>
      </c>
      <c r="E21465">
        <v>1</v>
      </c>
    </row>
    <row r="21466" spans="1:5" x14ac:dyDescent="0.25">
      <c r="A21466">
        <v>21465</v>
      </c>
      <c r="B21466">
        <v>9087788</v>
      </c>
      <c r="C21466" s="1" t="str">
        <f>HYPERLINK("http://stackoverflow.com/users/9087788", "YuntangLiu")</f>
        <v>YuntangLiu</v>
      </c>
      <c r="D21466" t="s">
        <v>448</v>
      </c>
      <c r="E21466">
        <v>1</v>
      </c>
    </row>
    <row r="21467" spans="1:5" x14ac:dyDescent="0.25">
      <c r="A21467">
        <v>21466</v>
      </c>
      <c r="B21467">
        <v>9087992</v>
      </c>
      <c r="C21467" s="1" t="str">
        <f>HYPERLINK("http://stackoverflow.com/users/9087992", "Russell Zhang")</f>
        <v>Russell Zhang</v>
      </c>
      <c r="D21467" t="s">
        <v>16</v>
      </c>
      <c r="E21467">
        <v>1</v>
      </c>
    </row>
    <row r="21468" spans="1:5" x14ac:dyDescent="0.25">
      <c r="A21468">
        <v>21467</v>
      </c>
      <c r="B21468">
        <v>9088097</v>
      </c>
      <c r="C21468" s="1" t="str">
        <f>HYPERLINK("http://stackoverflow.com/users/9088097", "user9088097")</f>
        <v>user9088097</v>
      </c>
      <c r="D21468" t="s">
        <v>5</v>
      </c>
      <c r="E21468">
        <v>1</v>
      </c>
    </row>
    <row r="21469" spans="1:5" x14ac:dyDescent="0.25">
      <c r="A21469">
        <v>21468</v>
      </c>
      <c r="B21469">
        <v>10878805</v>
      </c>
      <c r="C21469" s="1" t="str">
        <f>HYPERLINK("http://stackoverflow.com/users/10878805", "yasin shaw")</f>
        <v>yasin shaw</v>
      </c>
      <c r="D21469" t="s">
        <v>28</v>
      </c>
      <c r="E21469">
        <v>1</v>
      </c>
    </row>
    <row r="21470" spans="1:5" x14ac:dyDescent="0.25">
      <c r="A21470">
        <v>21469</v>
      </c>
      <c r="B21470">
        <v>1840479</v>
      </c>
      <c r="C21470" s="1" t="str">
        <f>HYPERLINK("http://stackoverflow.com/users/1840479", "DylanYang")</f>
        <v>DylanYang</v>
      </c>
      <c r="D21470" t="s">
        <v>22</v>
      </c>
      <c r="E21470">
        <v>1</v>
      </c>
    </row>
    <row r="21471" spans="1:5" x14ac:dyDescent="0.25">
      <c r="A21471">
        <v>21470</v>
      </c>
      <c r="B21471">
        <v>1855212</v>
      </c>
      <c r="C21471" s="1" t="str">
        <f>HYPERLINK("http://stackoverflow.com/users/1855212", "Jacob")</f>
        <v>Jacob</v>
      </c>
      <c r="D21471" t="s">
        <v>4</v>
      </c>
      <c r="E21471">
        <v>1</v>
      </c>
    </row>
    <row r="21472" spans="1:5" x14ac:dyDescent="0.25">
      <c r="A21472">
        <v>21471</v>
      </c>
      <c r="B21472">
        <v>10873964</v>
      </c>
      <c r="C21472" s="1" t="str">
        <f>HYPERLINK("http://stackoverflow.com/users/10873964", "tangkaichuan")</f>
        <v>tangkaichuan</v>
      </c>
      <c r="D21472" t="s">
        <v>78</v>
      </c>
      <c r="E21472">
        <v>1</v>
      </c>
    </row>
    <row r="21473" spans="1:5" x14ac:dyDescent="0.25">
      <c r="A21473">
        <v>21472</v>
      </c>
      <c r="B21473">
        <v>10874589</v>
      </c>
      <c r="C21473" s="1" t="str">
        <f>HYPERLINK("http://stackoverflow.com/users/10874589", "Holly Feng")</f>
        <v>Holly Feng</v>
      </c>
      <c r="D21473" t="s">
        <v>28</v>
      </c>
      <c r="E21473">
        <v>1</v>
      </c>
    </row>
    <row r="21474" spans="1:5" x14ac:dyDescent="0.25">
      <c r="A21474">
        <v>21473</v>
      </c>
      <c r="B21474">
        <v>9078463</v>
      </c>
      <c r="C21474" s="1" t="str">
        <f>HYPERLINK("http://stackoverflow.com/users/9078463", "user9078463")</f>
        <v>user9078463</v>
      </c>
      <c r="D21474" t="s">
        <v>29</v>
      </c>
      <c r="E21474">
        <v>1</v>
      </c>
    </row>
    <row r="21475" spans="1:5" x14ac:dyDescent="0.25">
      <c r="A21475">
        <v>21474</v>
      </c>
      <c r="B21475">
        <v>5458656</v>
      </c>
      <c r="C21475" s="1" t="str">
        <f>HYPERLINK("http://stackoverflow.com/users/5458656", "Wang Ningning")</f>
        <v>Wang Ningning</v>
      </c>
      <c r="D21475" t="s">
        <v>11</v>
      </c>
      <c r="E21475">
        <v>1</v>
      </c>
    </row>
    <row r="21476" spans="1:5" x14ac:dyDescent="0.25">
      <c r="A21476">
        <v>21475</v>
      </c>
      <c r="B21476">
        <v>1853416</v>
      </c>
      <c r="C21476" s="1" t="str">
        <f>HYPERLINK("http://stackoverflow.com/users/1853416", "GeorgeWill")</f>
        <v>GeorgeWill</v>
      </c>
      <c r="D21476" t="s">
        <v>5</v>
      </c>
      <c r="E21476">
        <v>1</v>
      </c>
    </row>
    <row r="21477" spans="1:5" x14ac:dyDescent="0.25">
      <c r="A21477">
        <v>21476</v>
      </c>
      <c r="B21477">
        <v>10865404</v>
      </c>
      <c r="C21477" s="1" t="str">
        <f>HYPERLINK("http://stackoverflow.com/users/10865404", "Nate")</f>
        <v>Nate</v>
      </c>
      <c r="D21477" t="s">
        <v>1133</v>
      </c>
      <c r="E21477">
        <v>1</v>
      </c>
    </row>
    <row r="21478" spans="1:5" x14ac:dyDescent="0.25">
      <c r="A21478">
        <v>21477</v>
      </c>
      <c r="B21478">
        <v>10865482</v>
      </c>
      <c r="C21478" s="1" t="str">
        <f>HYPERLINK("http://stackoverflow.com/users/10865482", "TOMMY B")</f>
        <v>TOMMY B</v>
      </c>
      <c r="D21478" t="s">
        <v>33</v>
      </c>
      <c r="E21478">
        <v>1</v>
      </c>
    </row>
    <row r="21479" spans="1:5" x14ac:dyDescent="0.25">
      <c r="A21479">
        <v>21478</v>
      </c>
      <c r="B21479">
        <v>5449806</v>
      </c>
      <c r="C21479" s="1" t="str">
        <f>HYPERLINK("http://stackoverflow.com/users/5449806", "Jeff Ng")</f>
        <v>Jeff Ng</v>
      </c>
      <c r="D21479" t="s">
        <v>37</v>
      </c>
      <c r="E21479">
        <v>1</v>
      </c>
    </row>
    <row r="21480" spans="1:5" x14ac:dyDescent="0.25">
      <c r="A21480">
        <v>21479</v>
      </c>
      <c r="B21480">
        <v>7205418</v>
      </c>
      <c r="C21480" s="1" t="str">
        <f>HYPERLINK("http://stackoverflow.com/users/7205418", "Don")</f>
        <v>Don</v>
      </c>
      <c r="D21480" t="s">
        <v>16</v>
      </c>
      <c r="E21480">
        <v>1</v>
      </c>
    </row>
    <row r="21481" spans="1:5" x14ac:dyDescent="0.25">
      <c r="A21481">
        <v>21480</v>
      </c>
      <c r="B21481">
        <v>5453700</v>
      </c>
      <c r="C21481" s="1" t="str">
        <f>HYPERLINK("http://stackoverflow.com/users/5453700", "wenpeng")</f>
        <v>wenpeng</v>
      </c>
      <c r="D21481" t="s">
        <v>4</v>
      </c>
      <c r="E21481">
        <v>1</v>
      </c>
    </row>
    <row r="21482" spans="1:5" x14ac:dyDescent="0.25">
      <c r="A21482">
        <v>21481</v>
      </c>
      <c r="B21482">
        <v>7208501</v>
      </c>
      <c r="C21482" s="1" t="str">
        <f>HYPERLINK("http://stackoverflow.com/users/7208501", "Banks")</f>
        <v>Banks</v>
      </c>
      <c r="D21482" t="s">
        <v>4</v>
      </c>
      <c r="E21482">
        <v>1</v>
      </c>
    </row>
    <row r="21483" spans="1:5" x14ac:dyDescent="0.25">
      <c r="A21483">
        <v>21482</v>
      </c>
      <c r="B21483">
        <v>7208710</v>
      </c>
      <c r="C21483" s="1" t="str">
        <f>HYPERLINK("http://stackoverflow.com/users/7208710", "Frank Fan")</f>
        <v>Frank Fan</v>
      </c>
      <c r="D21483" t="s">
        <v>5</v>
      </c>
      <c r="E21483">
        <v>1</v>
      </c>
    </row>
    <row r="21484" spans="1:5" x14ac:dyDescent="0.25">
      <c r="A21484">
        <v>21483</v>
      </c>
      <c r="B21484">
        <v>7209100</v>
      </c>
      <c r="C21484" s="1" t="str">
        <f>HYPERLINK("http://stackoverflow.com/users/7209100", "pete cheng")</f>
        <v>pete cheng</v>
      </c>
      <c r="D21484" t="s">
        <v>1134</v>
      </c>
      <c r="E21484">
        <v>1</v>
      </c>
    </row>
    <row r="21485" spans="1:5" x14ac:dyDescent="0.25">
      <c r="A21485">
        <v>21484</v>
      </c>
      <c r="B21485">
        <v>1848213</v>
      </c>
      <c r="C21485" s="1" t="str">
        <f>HYPERLINK("http://stackoverflow.com/users/1848213", "Gao")</f>
        <v>Gao</v>
      </c>
      <c r="D21485" t="s">
        <v>5</v>
      </c>
      <c r="E21485">
        <v>1</v>
      </c>
    </row>
    <row r="21486" spans="1:5" x14ac:dyDescent="0.25">
      <c r="A21486">
        <v>21485</v>
      </c>
      <c r="B21486">
        <v>1848840</v>
      </c>
      <c r="C21486" s="1" t="str">
        <f>HYPERLINK("http://stackoverflow.com/users/1848840", "ZJX")</f>
        <v>ZJX</v>
      </c>
      <c r="D21486" t="s">
        <v>5</v>
      </c>
      <c r="E21486">
        <v>1</v>
      </c>
    </row>
    <row r="21487" spans="1:5" x14ac:dyDescent="0.25">
      <c r="A21487">
        <v>21486</v>
      </c>
      <c r="B21487">
        <v>9065641</v>
      </c>
      <c r="C21487" s="1" t="str">
        <f>HYPERLINK("http://stackoverflow.com/users/9065641", "Rhys")</f>
        <v>Rhys</v>
      </c>
      <c r="D21487" t="s">
        <v>19</v>
      </c>
      <c r="E21487">
        <v>1</v>
      </c>
    </row>
    <row r="21488" spans="1:5" x14ac:dyDescent="0.25">
      <c r="A21488">
        <v>21487</v>
      </c>
      <c r="B21488">
        <v>9065651</v>
      </c>
      <c r="C21488" s="1" t="str">
        <f>HYPERLINK("http://stackoverflow.com/users/9065651", "jack.xu")</f>
        <v>jack.xu</v>
      </c>
      <c r="D21488" t="s">
        <v>1135</v>
      </c>
      <c r="E21488">
        <v>1</v>
      </c>
    </row>
    <row r="21489" spans="1:5" x14ac:dyDescent="0.25">
      <c r="A21489">
        <v>21488</v>
      </c>
      <c r="B21489">
        <v>9065676</v>
      </c>
      <c r="C21489" s="1" t="str">
        <f>HYPERLINK("http://stackoverflow.com/users/9065676", "Jerry Tou")</f>
        <v>Jerry Tou</v>
      </c>
      <c r="D21489" t="s">
        <v>5</v>
      </c>
      <c r="E21489">
        <v>1</v>
      </c>
    </row>
    <row r="21490" spans="1:5" x14ac:dyDescent="0.25">
      <c r="A21490">
        <v>21489</v>
      </c>
      <c r="B21490">
        <v>9065751</v>
      </c>
      <c r="C21490" s="1" t="str">
        <f>HYPERLINK("http://stackoverflow.com/users/9065751", "Geller Xie")</f>
        <v>Geller Xie</v>
      </c>
      <c r="D21490" t="s">
        <v>5</v>
      </c>
      <c r="E21490">
        <v>1</v>
      </c>
    </row>
    <row r="21491" spans="1:5" x14ac:dyDescent="0.25">
      <c r="A21491">
        <v>21490</v>
      </c>
      <c r="B21491">
        <v>9065968</v>
      </c>
      <c r="C21491" s="1" t="str">
        <f>HYPERLINK("http://stackoverflow.com/users/9065968", "Jiang Meng")</f>
        <v>Jiang Meng</v>
      </c>
      <c r="D21491" t="s">
        <v>612</v>
      </c>
      <c r="E21491">
        <v>1</v>
      </c>
    </row>
    <row r="21492" spans="1:5" x14ac:dyDescent="0.25">
      <c r="A21492">
        <v>21491</v>
      </c>
      <c r="B21492">
        <v>9066298</v>
      </c>
      <c r="C21492" s="1" t="str">
        <f>HYPERLINK("http://stackoverflow.com/users/9066298", "王伟佳")</f>
        <v>王伟佳</v>
      </c>
      <c r="D21492" t="s">
        <v>15</v>
      </c>
      <c r="E21492">
        <v>1</v>
      </c>
    </row>
    <row r="21493" spans="1:5" x14ac:dyDescent="0.25">
      <c r="A21493">
        <v>21492</v>
      </c>
      <c r="B21493">
        <v>10861352</v>
      </c>
      <c r="C21493" s="1" t="str">
        <f>HYPERLINK("http://stackoverflow.com/users/10861352", "高国海")</f>
        <v>高国海</v>
      </c>
      <c r="D21493" t="s">
        <v>5</v>
      </c>
      <c r="E21493">
        <v>1</v>
      </c>
    </row>
    <row r="21494" spans="1:5" x14ac:dyDescent="0.25">
      <c r="A21494">
        <v>21493</v>
      </c>
      <c r="B21494">
        <v>10861466</v>
      </c>
      <c r="C21494" s="1" t="str">
        <f>HYPERLINK("http://stackoverflow.com/users/10861466", "walter zhang")</f>
        <v>walter zhang</v>
      </c>
      <c r="D21494" t="s">
        <v>52</v>
      </c>
      <c r="E21494">
        <v>1</v>
      </c>
    </row>
    <row r="21495" spans="1:5" x14ac:dyDescent="0.25">
      <c r="A21495">
        <v>21494</v>
      </c>
      <c r="B21495">
        <v>1844315</v>
      </c>
      <c r="C21495" s="1" t="str">
        <f>HYPERLINK("http://stackoverflow.com/users/1844315", "Valerie.luo")</f>
        <v>Valerie.luo</v>
      </c>
      <c r="D21495" t="s">
        <v>12</v>
      </c>
      <c r="E21495">
        <v>1</v>
      </c>
    </row>
    <row r="21496" spans="1:5" x14ac:dyDescent="0.25">
      <c r="A21496">
        <v>21495</v>
      </c>
      <c r="B21496">
        <v>5445513</v>
      </c>
      <c r="C21496" s="1" t="str">
        <f>HYPERLINK("http://stackoverflow.com/users/5445513", "ronnie")</f>
        <v>ronnie</v>
      </c>
      <c r="D21496" t="s">
        <v>5</v>
      </c>
      <c r="E21496">
        <v>1</v>
      </c>
    </row>
    <row r="21497" spans="1:5" x14ac:dyDescent="0.25">
      <c r="A21497">
        <v>21496</v>
      </c>
      <c r="B21497">
        <v>5430472</v>
      </c>
      <c r="C21497" s="1" t="str">
        <f>HYPERLINK("http://stackoverflow.com/users/5430472", "Tuberose621")</f>
        <v>Tuberose621</v>
      </c>
      <c r="D21497" t="s">
        <v>5</v>
      </c>
      <c r="E21497">
        <v>1</v>
      </c>
    </row>
    <row r="21498" spans="1:5" x14ac:dyDescent="0.25">
      <c r="A21498">
        <v>21497</v>
      </c>
      <c r="B21498">
        <v>5430523</v>
      </c>
      <c r="C21498" s="1" t="str">
        <f>HYPERLINK("http://stackoverflow.com/users/5430523", "Waston Geng")</f>
        <v>Waston Geng</v>
      </c>
      <c r="D21498" t="s">
        <v>5</v>
      </c>
      <c r="E21498">
        <v>1</v>
      </c>
    </row>
    <row r="21499" spans="1:5" x14ac:dyDescent="0.25">
      <c r="A21499">
        <v>21498</v>
      </c>
      <c r="B21499">
        <v>7198173</v>
      </c>
      <c r="C21499" s="1" t="str">
        <f>HYPERLINK("http://stackoverflow.com/users/7198173", "J.Wang")</f>
        <v>J.Wang</v>
      </c>
      <c r="D21499" t="s">
        <v>5</v>
      </c>
      <c r="E21499">
        <v>1</v>
      </c>
    </row>
    <row r="21500" spans="1:5" x14ac:dyDescent="0.25">
      <c r="A21500">
        <v>21499</v>
      </c>
      <c r="B21500">
        <v>7198273</v>
      </c>
      <c r="C21500" s="1" t="str">
        <f>HYPERLINK("http://stackoverflow.com/users/7198273", "I. Zhang")</f>
        <v>I. Zhang</v>
      </c>
      <c r="D21500" t="s">
        <v>5</v>
      </c>
      <c r="E21500">
        <v>1</v>
      </c>
    </row>
    <row r="21501" spans="1:5" x14ac:dyDescent="0.25">
      <c r="A21501">
        <v>21500</v>
      </c>
      <c r="B21501">
        <v>7198348</v>
      </c>
      <c r="C21501" s="1" t="str">
        <f>HYPERLINK("http://stackoverflow.com/users/7198348", "Dorian Lin")</f>
        <v>Dorian Lin</v>
      </c>
      <c r="D21501" t="s">
        <v>15</v>
      </c>
      <c r="E21501">
        <v>1</v>
      </c>
    </row>
    <row r="21502" spans="1:5" x14ac:dyDescent="0.25">
      <c r="A21502">
        <v>21501</v>
      </c>
      <c r="B21502">
        <v>5445161</v>
      </c>
      <c r="C21502" s="1" t="str">
        <f>HYPERLINK("http://stackoverflow.com/users/5445161", "Christian Sheng")</f>
        <v>Christian Sheng</v>
      </c>
      <c r="D21502" t="s">
        <v>4</v>
      </c>
      <c r="E21502">
        <v>1</v>
      </c>
    </row>
    <row r="21503" spans="1:5" x14ac:dyDescent="0.25">
      <c r="A21503">
        <v>21502</v>
      </c>
      <c r="B21503">
        <v>5445204</v>
      </c>
      <c r="C21503" s="1" t="str">
        <f>HYPERLINK("http://stackoverflow.com/users/5445204", "nanjiye")</f>
        <v>nanjiye</v>
      </c>
      <c r="D21503" t="s">
        <v>5</v>
      </c>
      <c r="E21503">
        <v>1</v>
      </c>
    </row>
    <row r="21504" spans="1:5" x14ac:dyDescent="0.25">
      <c r="A21504">
        <v>21503</v>
      </c>
      <c r="B21504">
        <v>5427635</v>
      </c>
      <c r="C21504" s="1" t="str">
        <f>HYPERLINK("http://stackoverflow.com/users/5427635", "Tiema")</f>
        <v>Tiema</v>
      </c>
      <c r="D21504" t="s">
        <v>21</v>
      </c>
      <c r="E21504">
        <v>1</v>
      </c>
    </row>
    <row r="21505" spans="1:5" x14ac:dyDescent="0.25">
      <c r="A21505">
        <v>21504</v>
      </c>
      <c r="B21505">
        <v>10841203</v>
      </c>
      <c r="C21505" s="1" t="str">
        <f>HYPERLINK("http://stackoverflow.com/users/10841203", "Angerxzer")</f>
        <v>Angerxzer</v>
      </c>
      <c r="D21505" t="s">
        <v>47</v>
      </c>
      <c r="E21505">
        <v>1</v>
      </c>
    </row>
    <row r="21506" spans="1:5" x14ac:dyDescent="0.25">
      <c r="A21506">
        <v>21505</v>
      </c>
      <c r="B21506">
        <v>10841410</v>
      </c>
      <c r="C21506" s="1" t="str">
        <f>HYPERLINK("http://stackoverflow.com/users/10841410", "Zhao Ran")</f>
        <v>Zhao Ran</v>
      </c>
      <c r="D21506" t="s">
        <v>28</v>
      </c>
      <c r="E21506">
        <v>1</v>
      </c>
    </row>
    <row r="21507" spans="1:5" x14ac:dyDescent="0.25">
      <c r="A21507">
        <v>21506</v>
      </c>
      <c r="B21507">
        <v>10844960</v>
      </c>
      <c r="C21507" s="1" t="str">
        <f>HYPERLINK("http://stackoverflow.com/users/10844960", "chwt9299")</f>
        <v>chwt9299</v>
      </c>
      <c r="D21507" t="s">
        <v>1136</v>
      </c>
      <c r="E21507">
        <v>1</v>
      </c>
    </row>
    <row r="21508" spans="1:5" x14ac:dyDescent="0.25">
      <c r="A21508">
        <v>21507</v>
      </c>
      <c r="B21508">
        <v>9049339</v>
      </c>
      <c r="C21508" s="1" t="str">
        <f>HYPERLINK("http://stackoverflow.com/users/9049339", "zahid")</f>
        <v>zahid</v>
      </c>
      <c r="D21508" t="s">
        <v>4</v>
      </c>
      <c r="E21508">
        <v>1</v>
      </c>
    </row>
    <row r="21509" spans="1:5" x14ac:dyDescent="0.25">
      <c r="A21509">
        <v>21508</v>
      </c>
      <c r="B21509">
        <v>9049635</v>
      </c>
      <c r="C21509" s="1" t="str">
        <f>HYPERLINK("http://stackoverflow.com/users/9049635", "Tim Zong")</f>
        <v>Tim Zong</v>
      </c>
      <c r="D21509" t="s">
        <v>5</v>
      </c>
      <c r="E21509">
        <v>1</v>
      </c>
    </row>
    <row r="21510" spans="1:5" x14ac:dyDescent="0.25">
      <c r="A21510">
        <v>21509</v>
      </c>
      <c r="B21510">
        <v>7187117</v>
      </c>
      <c r="C21510" s="1" t="str">
        <f>HYPERLINK("http://stackoverflow.com/users/7187117", "LiamW")</f>
        <v>LiamW</v>
      </c>
      <c r="D21510" t="s">
        <v>52</v>
      </c>
      <c r="E21510">
        <v>1</v>
      </c>
    </row>
    <row r="21511" spans="1:5" x14ac:dyDescent="0.25">
      <c r="A21511">
        <v>21510</v>
      </c>
      <c r="B21511">
        <v>7187180</v>
      </c>
      <c r="C21511" s="1" t="str">
        <f>HYPERLINK("http://stackoverflow.com/users/7187180", "Tyrone Zhang")</f>
        <v>Tyrone Zhang</v>
      </c>
      <c r="D21511" t="s">
        <v>28</v>
      </c>
      <c r="E21511">
        <v>1</v>
      </c>
    </row>
    <row r="21512" spans="1:5" x14ac:dyDescent="0.25">
      <c r="A21512">
        <v>21511</v>
      </c>
      <c r="B21512">
        <v>3632155</v>
      </c>
      <c r="C21512" s="1" t="str">
        <f>HYPERLINK("http://stackoverflow.com/users/3632155", "TJT")</f>
        <v>TJT</v>
      </c>
      <c r="D21512" t="s">
        <v>338</v>
      </c>
      <c r="E21512">
        <v>1</v>
      </c>
    </row>
    <row r="21513" spans="1:5" x14ac:dyDescent="0.25">
      <c r="A21513">
        <v>21512</v>
      </c>
      <c r="B21513">
        <v>7189676</v>
      </c>
      <c r="C21513" s="1" t="str">
        <f>HYPERLINK("http://stackoverflow.com/users/7189676", "Wenlong")</f>
        <v>Wenlong</v>
      </c>
      <c r="D21513" t="s">
        <v>131</v>
      </c>
      <c r="E21513">
        <v>1</v>
      </c>
    </row>
    <row r="21514" spans="1:5" x14ac:dyDescent="0.25">
      <c r="A21514">
        <v>21513</v>
      </c>
      <c r="B21514">
        <v>10848569</v>
      </c>
      <c r="C21514" s="1" t="str">
        <f>HYPERLINK("http://stackoverflow.com/users/10848569", "fzh0917")</f>
        <v>fzh0917</v>
      </c>
      <c r="D21514" t="s">
        <v>5</v>
      </c>
      <c r="E21514">
        <v>1</v>
      </c>
    </row>
    <row r="21515" spans="1:5" x14ac:dyDescent="0.25">
      <c r="A21515">
        <v>21514</v>
      </c>
      <c r="B21515">
        <v>3636611</v>
      </c>
      <c r="C21515" s="1" t="str">
        <f>HYPERLINK("http://stackoverflow.com/users/3636611", "Jexxie")</f>
        <v>Jexxie</v>
      </c>
      <c r="D21515" t="s">
        <v>25</v>
      </c>
      <c r="E21515">
        <v>1</v>
      </c>
    </row>
    <row r="21516" spans="1:5" x14ac:dyDescent="0.25">
      <c r="A21516">
        <v>21515</v>
      </c>
      <c r="B21516">
        <v>3636757</v>
      </c>
      <c r="C21516" s="1" t="str">
        <f>HYPERLINK("http://stackoverflow.com/users/3636757", "ShounenG")</f>
        <v>ShounenG</v>
      </c>
      <c r="D21516" t="s">
        <v>5</v>
      </c>
      <c r="E21516">
        <v>1</v>
      </c>
    </row>
    <row r="21517" spans="1:5" x14ac:dyDescent="0.25">
      <c r="A21517">
        <v>21516</v>
      </c>
      <c r="B21517">
        <v>3636807</v>
      </c>
      <c r="C21517" s="1" t="str">
        <f>HYPERLINK("http://stackoverflow.com/users/3636807", "Zhuang Ma")</f>
        <v>Zhuang Ma</v>
      </c>
      <c r="D21517" t="s">
        <v>5</v>
      </c>
      <c r="E21517">
        <v>1</v>
      </c>
    </row>
    <row r="21518" spans="1:5" x14ac:dyDescent="0.25">
      <c r="A21518">
        <v>21517</v>
      </c>
      <c r="B21518">
        <v>3637074</v>
      </c>
      <c r="C21518" s="1" t="str">
        <f>HYPERLINK("http://stackoverflow.com/users/3637074", "Huang Xiao")</f>
        <v>Huang Xiao</v>
      </c>
      <c r="D21518" t="s">
        <v>37</v>
      </c>
      <c r="E21518">
        <v>1</v>
      </c>
    </row>
    <row r="21519" spans="1:5" x14ac:dyDescent="0.25">
      <c r="A21519">
        <v>21518</v>
      </c>
      <c r="B21519">
        <v>10856500</v>
      </c>
      <c r="C21519" s="1" t="str">
        <f>HYPERLINK("http://stackoverflow.com/users/10856500", "Vegen")</f>
        <v>Vegen</v>
      </c>
      <c r="D21519" t="s">
        <v>25</v>
      </c>
      <c r="E21519">
        <v>1</v>
      </c>
    </row>
    <row r="21520" spans="1:5" x14ac:dyDescent="0.25">
      <c r="A21520">
        <v>21519</v>
      </c>
      <c r="B21520">
        <v>10856902</v>
      </c>
      <c r="C21520" s="1" t="str">
        <f>HYPERLINK("http://stackoverflow.com/users/10856902", "Sinnable")</f>
        <v>Sinnable</v>
      </c>
      <c r="D21520" t="s">
        <v>78</v>
      </c>
      <c r="E21520">
        <v>1</v>
      </c>
    </row>
    <row r="21521" spans="1:5" x14ac:dyDescent="0.25">
      <c r="A21521">
        <v>21520</v>
      </c>
      <c r="B21521">
        <v>10857152</v>
      </c>
      <c r="C21521" s="1" t="str">
        <f>HYPERLINK("http://stackoverflow.com/users/10857152", "jianzhou lee")</f>
        <v>jianzhou lee</v>
      </c>
      <c r="D21521" t="s">
        <v>146</v>
      </c>
      <c r="E21521">
        <v>1</v>
      </c>
    </row>
    <row r="21522" spans="1:5" x14ac:dyDescent="0.25">
      <c r="A21522">
        <v>21521</v>
      </c>
      <c r="B21522">
        <v>9061966</v>
      </c>
      <c r="C21522" s="1" t="str">
        <f>HYPERLINK("http://stackoverflow.com/users/9061966", "Sylvia Cheung")</f>
        <v>Sylvia Cheung</v>
      </c>
      <c r="D21522" t="s">
        <v>7</v>
      </c>
      <c r="E21522">
        <v>1</v>
      </c>
    </row>
    <row r="21523" spans="1:5" x14ac:dyDescent="0.25">
      <c r="A21523">
        <v>21522</v>
      </c>
      <c r="B21523">
        <v>9062066</v>
      </c>
      <c r="C21523" s="1" t="str">
        <f>HYPERLINK("http://stackoverflow.com/users/9062066", "Tianle Heric")</f>
        <v>Tianle Heric</v>
      </c>
      <c r="D21523" t="s">
        <v>5</v>
      </c>
      <c r="E21523">
        <v>1</v>
      </c>
    </row>
    <row r="21524" spans="1:5" x14ac:dyDescent="0.25">
      <c r="A21524">
        <v>21523</v>
      </c>
      <c r="B21524">
        <v>3641656</v>
      </c>
      <c r="C21524" s="1" t="str">
        <f>HYPERLINK("http://stackoverflow.com/users/3641656", "yitianqifei")</f>
        <v>yitianqifei</v>
      </c>
      <c r="D21524" t="s">
        <v>17</v>
      </c>
      <c r="E21524">
        <v>1</v>
      </c>
    </row>
    <row r="21525" spans="1:5" x14ac:dyDescent="0.25">
      <c r="A21525">
        <v>21524</v>
      </c>
      <c r="B21525">
        <v>7197648</v>
      </c>
      <c r="C21525" s="1" t="str">
        <f>HYPERLINK("http://stackoverflow.com/users/7197648", "F. Zheng")</f>
        <v>F. Zheng</v>
      </c>
      <c r="D21525" t="s">
        <v>118</v>
      </c>
      <c r="E21525">
        <v>1</v>
      </c>
    </row>
    <row r="21526" spans="1:5" x14ac:dyDescent="0.25">
      <c r="A21526">
        <v>21525</v>
      </c>
      <c r="B21526">
        <v>9544174</v>
      </c>
      <c r="C21526" s="1" t="str">
        <f>HYPERLINK("http://stackoverflow.com/users/9544174", "Chenlin")</f>
        <v>Chenlin</v>
      </c>
      <c r="D21526" t="s">
        <v>5</v>
      </c>
      <c r="E21526">
        <v>1</v>
      </c>
    </row>
    <row r="21527" spans="1:5" x14ac:dyDescent="0.25">
      <c r="A21527">
        <v>21526</v>
      </c>
      <c r="B21527">
        <v>2365408</v>
      </c>
      <c r="C21527" s="1" t="str">
        <f>HYPERLINK("http://stackoverflow.com/users/2365408", "cindy")</f>
        <v>cindy</v>
      </c>
      <c r="D21527" t="s">
        <v>5</v>
      </c>
      <c r="E21527">
        <v>1</v>
      </c>
    </row>
    <row r="21528" spans="1:5" x14ac:dyDescent="0.25">
      <c r="A21528">
        <v>21527</v>
      </c>
      <c r="B21528">
        <v>2365449</v>
      </c>
      <c r="C21528" s="1" t="str">
        <f>HYPERLINK("http://stackoverflow.com/users/2365449", "Elvis.Zhou")</f>
        <v>Elvis.Zhou</v>
      </c>
      <c r="D21528" t="s">
        <v>12</v>
      </c>
      <c r="E21528">
        <v>1</v>
      </c>
    </row>
    <row r="21529" spans="1:5" x14ac:dyDescent="0.25">
      <c r="A21529">
        <v>21528</v>
      </c>
      <c r="B21529">
        <v>4090862</v>
      </c>
      <c r="C21529" s="1" t="str">
        <f>HYPERLINK("http://stackoverflow.com/users/4090862", "David")</f>
        <v>David</v>
      </c>
      <c r="D21529" t="s">
        <v>5</v>
      </c>
      <c r="E21529">
        <v>1</v>
      </c>
    </row>
    <row r="21530" spans="1:5" x14ac:dyDescent="0.25">
      <c r="A21530">
        <v>21529</v>
      </c>
      <c r="B21530">
        <v>2372255</v>
      </c>
      <c r="C21530" s="1" t="str">
        <f>HYPERLINK("http://stackoverflow.com/users/2372255", "Frank Yang")</f>
        <v>Frank Yang</v>
      </c>
      <c r="D21530" t="s">
        <v>1137</v>
      </c>
      <c r="E21530">
        <v>1</v>
      </c>
    </row>
    <row r="21531" spans="1:5" x14ac:dyDescent="0.25">
      <c r="A21531">
        <v>21530</v>
      </c>
      <c r="B21531">
        <v>9555639</v>
      </c>
      <c r="C21531" s="1" t="str">
        <f>HYPERLINK("http://stackoverflow.com/users/9555639", "徐飞洋")</f>
        <v>徐飞洋</v>
      </c>
      <c r="D21531" t="s">
        <v>120</v>
      </c>
      <c r="E21531">
        <v>1</v>
      </c>
    </row>
    <row r="21532" spans="1:5" x14ac:dyDescent="0.25">
      <c r="A21532">
        <v>21531</v>
      </c>
      <c r="B21532">
        <v>9555828</v>
      </c>
      <c r="C21532" s="1" t="str">
        <f>HYPERLINK("http://stackoverflow.com/users/9555828", "Carson.Yip")</f>
        <v>Carson.Yip</v>
      </c>
      <c r="D21532" t="s">
        <v>261</v>
      </c>
      <c r="E21532">
        <v>1</v>
      </c>
    </row>
    <row r="21533" spans="1:5" x14ac:dyDescent="0.25">
      <c r="A21533">
        <v>21532</v>
      </c>
      <c r="B21533">
        <v>9555863</v>
      </c>
      <c r="C21533" s="1" t="str">
        <f>HYPERLINK("http://stackoverflow.com/users/9555863", "user9555863")</f>
        <v>user9555863</v>
      </c>
      <c r="D21533" t="s">
        <v>27</v>
      </c>
      <c r="E21533">
        <v>1</v>
      </c>
    </row>
    <row r="21534" spans="1:5" x14ac:dyDescent="0.25">
      <c r="A21534">
        <v>21533</v>
      </c>
      <c r="B21534">
        <v>2379739</v>
      </c>
      <c r="C21534" s="1" t="str">
        <f>HYPERLINK("http://stackoverflow.com/users/2379739", "AlexZ")</f>
        <v>AlexZ</v>
      </c>
      <c r="D21534" t="s">
        <v>131</v>
      </c>
      <c r="E21534">
        <v>1</v>
      </c>
    </row>
    <row r="21535" spans="1:5" x14ac:dyDescent="0.25">
      <c r="A21535">
        <v>21534</v>
      </c>
      <c r="B21535">
        <v>2379883</v>
      </c>
      <c r="C21535" s="1" t="str">
        <f>HYPERLINK("http://stackoverflow.com/users/2379883", "Allen.Dou")</f>
        <v>Allen.Dou</v>
      </c>
      <c r="D21535" t="s">
        <v>5</v>
      </c>
      <c r="E21535">
        <v>1</v>
      </c>
    </row>
    <row r="21536" spans="1:5" x14ac:dyDescent="0.25">
      <c r="A21536">
        <v>21535</v>
      </c>
      <c r="B21536">
        <v>2379943</v>
      </c>
      <c r="C21536" s="1" t="str">
        <f>HYPERLINK("http://stackoverflow.com/users/2379943", "Ivey")</f>
        <v>Ivey</v>
      </c>
      <c r="D21536" t="s">
        <v>636</v>
      </c>
      <c r="E21536">
        <v>1</v>
      </c>
    </row>
    <row r="21537" spans="1:5" x14ac:dyDescent="0.25">
      <c r="A21537">
        <v>21536</v>
      </c>
      <c r="B21537">
        <v>4102762</v>
      </c>
      <c r="C21537" s="1" t="str">
        <f>HYPERLINK("http://stackoverflow.com/users/4102762", "yzxia")</f>
        <v>yzxia</v>
      </c>
      <c r="D21537" t="s">
        <v>22</v>
      </c>
      <c r="E21537">
        <v>1</v>
      </c>
    </row>
    <row r="21538" spans="1:5" x14ac:dyDescent="0.25">
      <c r="A21538">
        <v>21537</v>
      </c>
      <c r="B21538">
        <v>2392559</v>
      </c>
      <c r="C21538" s="1" t="str">
        <f>HYPERLINK("http://stackoverflow.com/users/2392559", "JackJCSN")</f>
        <v>JackJCSN</v>
      </c>
      <c r="D21538" t="s">
        <v>477</v>
      </c>
      <c r="E21538">
        <v>1</v>
      </c>
    </row>
    <row r="21539" spans="1:5" x14ac:dyDescent="0.25">
      <c r="A21539">
        <v>21538</v>
      </c>
      <c r="B21539">
        <v>2370911</v>
      </c>
      <c r="C21539" s="1" t="str">
        <f>HYPERLINK("http://stackoverflow.com/users/2370911", "Beam Leung")</f>
        <v>Beam Leung</v>
      </c>
      <c r="D21539" t="s">
        <v>17</v>
      </c>
      <c r="E21539">
        <v>1</v>
      </c>
    </row>
    <row r="21540" spans="1:5" x14ac:dyDescent="0.25">
      <c r="A21540">
        <v>21539</v>
      </c>
      <c r="B21540">
        <v>2371956</v>
      </c>
      <c r="C21540" s="1" t="str">
        <f>HYPERLINK("http://stackoverflow.com/users/2371956", "Bill Xiao")</f>
        <v>Bill Xiao</v>
      </c>
      <c r="D21540" t="s">
        <v>5</v>
      </c>
      <c r="E21540">
        <v>1</v>
      </c>
    </row>
    <row r="21541" spans="1:5" x14ac:dyDescent="0.25">
      <c r="A21541">
        <v>21540</v>
      </c>
      <c r="B21541">
        <v>2392168</v>
      </c>
      <c r="C21541" s="1" t="str">
        <f>HYPERLINK("http://stackoverflow.com/users/2392168", "Johnmy Jode")</f>
        <v>Johnmy Jode</v>
      </c>
      <c r="D21541" t="s">
        <v>4</v>
      </c>
      <c r="E21541">
        <v>1</v>
      </c>
    </row>
    <row r="21542" spans="1:5" x14ac:dyDescent="0.25">
      <c r="A21542">
        <v>21541</v>
      </c>
      <c r="B21542">
        <v>7627579</v>
      </c>
      <c r="C21542" s="1" t="str">
        <f>HYPERLINK("http://stackoverflow.com/users/7627579", "LeviDing")</f>
        <v>LeviDing</v>
      </c>
      <c r="D21542" t="s">
        <v>457</v>
      </c>
      <c r="E21542">
        <v>1</v>
      </c>
    </row>
    <row r="21543" spans="1:5" x14ac:dyDescent="0.25">
      <c r="A21543">
        <v>21542</v>
      </c>
      <c r="B21543">
        <v>7627698</v>
      </c>
      <c r="C21543" s="1" t="str">
        <f>HYPERLINK("http://stackoverflow.com/users/7627698", "BlackChen")</f>
        <v>BlackChen</v>
      </c>
      <c r="D21543" t="s">
        <v>193</v>
      </c>
      <c r="E21543">
        <v>1</v>
      </c>
    </row>
    <row r="21544" spans="1:5" x14ac:dyDescent="0.25">
      <c r="A21544">
        <v>21543</v>
      </c>
      <c r="B21544">
        <v>7627723</v>
      </c>
      <c r="C21544" s="1" t="str">
        <f>HYPERLINK("http://stackoverflow.com/users/7627723", "Paul.M")</f>
        <v>Paul.M</v>
      </c>
      <c r="D21544" t="s">
        <v>4</v>
      </c>
      <c r="E21544">
        <v>1</v>
      </c>
    </row>
    <row r="21545" spans="1:5" x14ac:dyDescent="0.25">
      <c r="A21545">
        <v>21544</v>
      </c>
      <c r="B21545">
        <v>7628103</v>
      </c>
      <c r="C21545" s="1" t="str">
        <f>HYPERLINK("http://stackoverflow.com/users/7628103", "QiHao Fu")</f>
        <v>QiHao Fu</v>
      </c>
      <c r="D21545" t="s">
        <v>1138</v>
      </c>
      <c r="E21545">
        <v>1</v>
      </c>
    </row>
    <row r="21546" spans="1:5" x14ac:dyDescent="0.25">
      <c r="A21546">
        <v>21545</v>
      </c>
      <c r="B21546">
        <v>4107829</v>
      </c>
      <c r="C21546" s="1" t="str">
        <f>HYPERLINK("http://stackoverflow.com/users/4107829", "mat clone")</f>
        <v>mat clone</v>
      </c>
      <c r="D21546" t="s">
        <v>1139</v>
      </c>
      <c r="E21546">
        <v>1</v>
      </c>
    </row>
    <row r="21547" spans="1:5" x14ac:dyDescent="0.25">
      <c r="A21547">
        <v>21546</v>
      </c>
      <c r="B21547">
        <v>5878550</v>
      </c>
      <c r="C21547" s="1" t="str">
        <f>HYPERLINK("http://stackoverflow.com/users/5878550", "beck5293")</f>
        <v>beck5293</v>
      </c>
      <c r="D21547" t="s">
        <v>4</v>
      </c>
      <c r="E21547">
        <v>1</v>
      </c>
    </row>
    <row r="21548" spans="1:5" x14ac:dyDescent="0.25">
      <c r="A21548">
        <v>21547</v>
      </c>
      <c r="B21548">
        <v>9561400</v>
      </c>
      <c r="C21548" s="1" t="str">
        <f>HYPERLINK("http://stackoverflow.com/users/9561400", "苟博荣")</f>
        <v>苟博荣</v>
      </c>
      <c r="D21548" t="s">
        <v>108</v>
      </c>
      <c r="E21548">
        <v>1</v>
      </c>
    </row>
    <row r="21549" spans="1:5" x14ac:dyDescent="0.25">
      <c r="A21549">
        <v>21548</v>
      </c>
      <c r="B21549">
        <v>9561442</v>
      </c>
      <c r="C21549" s="1" t="str">
        <f>HYPERLINK("http://stackoverflow.com/users/9561442", "Le Zhang")</f>
        <v>Le Zhang</v>
      </c>
      <c r="D21549" t="s">
        <v>4</v>
      </c>
      <c r="E21549">
        <v>1</v>
      </c>
    </row>
    <row r="21550" spans="1:5" x14ac:dyDescent="0.25">
      <c r="A21550">
        <v>21549</v>
      </c>
      <c r="B21550">
        <v>11305137</v>
      </c>
      <c r="C21550" s="1" t="str">
        <f>HYPERLINK("http://stackoverflow.com/users/11305137", "Cerberus Dante")</f>
        <v>Cerberus Dante</v>
      </c>
      <c r="D21550" t="s">
        <v>16</v>
      </c>
      <c r="E21550">
        <v>1</v>
      </c>
    </row>
    <row r="21551" spans="1:5" x14ac:dyDescent="0.25">
      <c r="A21551">
        <v>21550</v>
      </c>
      <c r="B21551">
        <v>7589725</v>
      </c>
      <c r="C21551" s="1" t="str">
        <f>HYPERLINK("http://stackoverflow.com/users/7589725", "Norbert Nayman")</f>
        <v>Norbert Nayman</v>
      </c>
      <c r="D21551" t="s">
        <v>28</v>
      </c>
      <c r="E21551">
        <v>1</v>
      </c>
    </row>
    <row r="21552" spans="1:5" x14ac:dyDescent="0.25">
      <c r="A21552">
        <v>21551</v>
      </c>
      <c r="B21552">
        <v>2336067</v>
      </c>
      <c r="C21552" s="1" t="str">
        <f>HYPERLINK("http://stackoverflow.com/users/2336067", "Hui.zhang")</f>
        <v>Hui.zhang</v>
      </c>
      <c r="D21552" t="s">
        <v>5</v>
      </c>
      <c r="E21552">
        <v>1</v>
      </c>
    </row>
    <row r="21553" spans="1:5" x14ac:dyDescent="0.25">
      <c r="A21553">
        <v>21552</v>
      </c>
      <c r="B21553">
        <v>5842620</v>
      </c>
      <c r="C21553" s="1" t="str">
        <f>HYPERLINK("http://stackoverflow.com/users/5842620", "Penn Wang")</f>
        <v>Penn Wang</v>
      </c>
      <c r="D21553" t="s">
        <v>7</v>
      </c>
      <c r="E21553">
        <v>1</v>
      </c>
    </row>
    <row r="21554" spans="1:5" x14ac:dyDescent="0.25">
      <c r="A21554">
        <v>21553</v>
      </c>
      <c r="B21554">
        <v>9520820</v>
      </c>
      <c r="C21554" s="1" t="str">
        <f>HYPERLINK("http://stackoverflow.com/users/9520820", "Shen Liu")</f>
        <v>Shen Liu</v>
      </c>
      <c r="D21554" t="s">
        <v>5</v>
      </c>
      <c r="E21554">
        <v>1</v>
      </c>
    </row>
    <row r="21555" spans="1:5" x14ac:dyDescent="0.25">
      <c r="A21555">
        <v>21554</v>
      </c>
      <c r="B21555">
        <v>2341513</v>
      </c>
      <c r="C21555" s="1" t="str">
        <f>HYPERLINK("http://stackoverflow.com/users/2341513", "user2341513")</f>
        <v>user2341513</v>
      </c>
      <c r="D21555" t="s">
        <v>5</v>
      </c>
      <c r="E21555">
        <v>1</v>
      </c>
    </row>
    <row r="21556" spans="1:5" x14ac:dyDescent="0.25">
      <c r="A21556">
        <v>21555</v>
      </c>
      <c r="B21556">
        <v>2341822</v>
      </c>
      <c r="C21556" s="1" t="str">
        <f>HYPERLINK("http://stackoverflow.com/users/2341822", "ZLDNN")</f>
        <v>ZLDNN</v>
      </c>
      <c r="D21556" t="s">
        <v>5</v>
      </c>
      <c r="E21556">
        <v>1</v>
      </c>
    </row>
    <row r="21557" spans="1:5" x14ac:dyDescent="0.25">
      <c r="A21557">
        <v>21556</v>
      </c>
      <c r="B21557">
        <v>2341884</v>
      </c>
      <c r="C21557" s="1" t="str">
        <f>HYPERLINK("http://stackoverflow.com/users/2341884", "Bryant Hang")</f>
        <v>Bryant Hang</v>
      </c>
      <c r="D21557" t="s">
        <v>12</v>
      </c>
      <c r="E21557">
        <v>1</v>
      </c>
    </row>
    <row r="21558" spans="1:5" x14ac:dyDescent="0.25">
      <c r="A21558">
        <v>21557</v>
      </c>
      <c r="B21558">
        <v>5846827</v>
      </c>
      <c r="C21558" s="1" t="str">
        <f>HYPERLINK("http://stackoverflow.com/users/5846827", "York Yu")</f>
        <v>York Yu</v>
      </c>
      <c r="D21558" t="s">
        <v>7</v>
      </c>
      <c r="E21558">
        <v>1</v>
      </c>
    </row>
    <row r="21559" spans="1:5" x14ac:dyDescent="0.25">
      <c r="A21559">
        <v>21558</v>
      </c>
      <c r="B21559">
        <v>9528149</v>
      </c>
      <c r="C21559" s="1" t="str">
        <f>HYPERLINK("http://stackoverflow.com/users/9528149", "Ture Engineering")</f>
        <v>Ture Engineering</v>
      </c>
      <c r="D21559" t="s">
        <v>1140</v>
      </c>
      <c r="E21559">
        <v>1</v>
      </c>
    </row>
    <row r="21560" spans="1:5" x14ac:dyDescent="0.25">
      <c r="A21560">
        <v>21559</v>
      </c>
      <c r="B21560">
        <v>7599190</v>
      </c>
      <c r="C21560" s="1" t="str">
        <f>HYPERLINK("http://stackoverflow.com/users/7599190", "Freddie Wu")</f>
        <v>Freddie Wu</v>
      </c>
      <c r="D21560" t="s">
        <v>4</v>
      </c>
      <c r="E21560">
        <v>1</v>
      </c>
    </row>
    <row r="21561" spans="1:5" x14ac:dyDescent="0.25">
      <c r="A21561">
        <v>21560</v>
      </c>
      <c r="B21561">
        <v>4077675</v>
      </c>
      <c r="C21561" s="1" t="str">
        <f>HYPERLINK("http://stackoverflow.com/users/4077675", "tuxa")</f>
        <v>tuxa</v>
      </c>
      <c r="D21561" t="s">
        <v>5</v>
      </c>
      <c r="E21561">
        <v>1</v>
      </c>
    </row>
    <row r="21562" spans="1:5" x14ac:dyDescent="0.25">
      <c r="A21562">
        <v>21561</v>
      </c>
      <c r="B21562">
        <v>5849655</v>
      </c>
      <c r="C21562" s="1" t="str">
        <f>HYPERLINK("http://stackoverflow.com/users/5849655", "Chanting Jian")</f>
        <v>Chanting Jian</v>
      </c>
      <c r="D21562" t="s">
        <v>12</v>
      </c>
      <c r="E21562">
        <v>1</v>
      </c>
    </row>
    <row r="21563" spans="1:5" x14ac:dyDescent="0.25">
      <c r="A21563">
        <v>21562</v>
      </c>
      <c r="B21563">
        <v>5849756</v>
      </c>
      <c r="C21563" s="1" t="str">
        <f>HYPERLINK("http://stackoverflow.com/users/5849756", "toneyyang")</f>
        <v>toneyyang</v>
      </c>
      <c r="D21563" t="s">
        <v>28</v>
      </c>
      <c r="E21563">
        <v>1</v>
      </c>
    </row>
    <row r="21564" spans="1:5" x14ac:dyDescent="0.25">
      <c r="A21564">
        <v>21563</v>
      </c>
      <c r="B21564">
        <v>7603440</v>
      </c>
      <c r="C21564" s="1" t="str">
        <f>HYPERLINK("http://stackoverflow.com/users/7603440", "Joseph Trinh")</f>
        <v>Joseph Trinh</v>
      </c>
      <c r="D21564" t="s">
        <v>7</v>
      </c>
      <c r="E21564">
        <v>1</v>
      </c>
    </row>
    <row r="21565" spans="1:5" x14ac:dyDescent="0.25">
      <c r="A21565">
        <v>21564</v>
      </c>
      <c r="B21565">
        <v>7603512</v>
      </c>
      <c r="C21565" s="1" t="str">
        <f>HYPERLINK("http://stackoverflow.com/users/7603512", "Ding Wen Lauren")</f>
        <v>Ding Wen Lauren</v>
      </c>
      <c r="D21565" t="s">
        <v>25</v>
      </c>
      <c r="E21565">
        <v>1</v>
      </c>
    </row>
    <row r="21566" spans="1:5" x14ac:dyDescent="0.25">
      <c r="A21566">
        <v>21565</v>
      </c>
      <c r="B21566">
        <v>7603548</v>
      </c>
      <c r="C21566" s="1" t="str">
        <f>HYPERLINK("http://stackoverflow.com/users/7603548", "weirong zhou")</f>
        <v>weirong zhou</v>
      </c>
      <c r="D21566" t="s">
        <v>5</v>
      </c>
      <c r="E21566">
        <v>1</v>
      </c>
    </row>
    <row r="21567" spans="1:5" x14ac:dyDescent="0.25">
      <c r="A21567">
        <v>21566</v>
      </c>
      <c r="B21567">
        <v>9533358</v>
      </c>
      <c r="C21567" s="1" t="str">
        <f>HYPERLINK("http://stackoverflow.com/users/9533358", "sharon")</f>
        <v>sharon</v>
      </c>
      <c r="D21567" t="s">
        <v>193</v>
      </c>
      <c r="E21567">
        <v>1</v>
      </c>
    </row>
    <row r="21568" spans="1:5" x14ac:dyDescent="0.25">
      <c r="A21568">
        <v>21567</v>
      </c>
      <c r="B21568">
        <v>9533401</v>
      </c>
      <c r="C21568" s="1" t="str">
        <f>HYPERLINK("http://stackoverflow.com/users/9533401", "Steven liu")</f>
        <v>Steven liu</v>
      </c>
      <c r="D21568" t="s">
        <v>7</v>
      </c>
      <c r="E21568">
        <v>1</v>
      </c>
    </row>
    <row r="21569" spans="1:5" x14ac:dyDescent="0.25">
      <c r="A21569">
        <v>21568</v>
      </c>
      <c r="B21569">
        <v>9533455</v>
      </c>
      <c r="C21569" s="1" t="str">
        <f>HYPERLINK("http://stackoverflow.com/users/9533455", "hu hong")</f>
        <v>hu hong</v>
      </c>
      <c r="D21569" t="s">
        <v>7</v>
      </c>
      <c r="E21569">
        <v>1</v>
      </c>
    </row>
    <row r="21570" spans="1:5" x14ac:dyDescent="0.25">
      <c r="A21570">
        <v>21569</v>
      </c>
      <c r="B21570">
        <v>9533648</v>
      </c>
      <c r="C21570" s="1" t="str">
        <f>HYPERLINK("http://stackoverflow.com/users/9533648", "jon.xiong")</f>
        <v>jon.xiong</v>
      </c>
      <c r="D21570" t="s">
        <v>4</v>
      </c>
      <c r="E21570">
        <v>1</v>
      </c>
    </row>
    <row r="21571" spans="1:5" x14ac:dyDescent="0.25">
      <c r="A21571">
        <v>21570</v>
      </c>
      <c r="B21571">
        <v>7604125</v>
      </c>
      <c r="C21571" s="1" t="str">
        <f>HYPERLINK("http://stackoverflow.com/users/7604125", "uestcmao")</f>
        <v>uestcmao</v>
      </c>
      <c r="D21571" t="s">
        <v>5</v>
      </c>
      <c r="E21571">
        <v>1</v>
      </c>
    </row>
    <row r="21572" spans="1:5" x14ac:dyDescent="0.25">
      <c r="A21572">
        <v>21571</v>
      </c>
      <c r="B21572">
        <v>7604412</v>
      </c>
      <c r="C21572" s="1" t="str">
        <f>HYPERLINK("http://stackoverflow.com/users/7604412", "Jingyu Chen")</f>
        <v>Jingyu Chen</v>
      </c>
      <c r="D21572" t="s">
        <v>389</v>
      </c>
      <c r="E21572">
        <v>1</v>
      </c>
    </row>
    <row r="21573" spans="1:5" x14ac:dyDescent="0.25">
      <c r="A21573">
        <v>21572</v>
      </c>
      <c r="B21573">
        <v>9538192</v>
      </c>
      <c r="C21573" s="1" t="str">
        <f>HYPERLINK("http://stackoverflow.com/users/9538192", "ju__te")</f>
        <v>ju__te</v>
      </c>
      <c r="D21573" t="s">
        <v>1141</v>
      </c>
      <c r="E21573">
        <v>1</v>
      </c>
    </row>
    <row r="21574" spans="1:5" x14ac:dyDescent="0.25">
      <c r="A21574">
        <v>21573</v>
      </c>
      <c r="B21574">
        <v>9538321</v>
      </c>
      <c r="C21574" s="1" t="str">
        <f>HYPERLINK("http://stackoverflow.com/users/9538321", "Ida")</f>
        <v>Ida</v>
      </c>
      <c r="D21574" t="s">
        <v>4</v>
      </c>
      <c r="E21574">
        <v>1</v>
      </c>
    </row>
    <row r="21575" spans="1:5" x14ac:dyDescent="0.25">
      <c r="A21575">
        <v>21574</v>
      </c>
      <c r="B21575">
        <v>9538475</v>
      </c>
      <c r="C21575" s="1" t="str">
        <f>HYPERLINK("http://stackoverflow.com/users/9538475", "Smith Alex")</f>
        <v>Smith Alex</v>
      </c>
      <c r="D21575" t="s">
        <v>5</v>
      </c>
      <c r="E21575">
        <v>1</v>
      </c>
    </row>
    <row r="21576" spans="1:5" x14ac:dyDescent="0.25">
      <c r="A21576">
        <v>21575</v>
      </c>
      <c r="B21576">
        <v>5859421</v>
      </c>
      <c r="C21576" s="1" t="str">
        <f>HYPERLINK("http://stackoverflow.com/users/5859421", "xieyuheng")</f>
        <v>xieyuheng</v>
      </c>
      <c r="D21576" t="s">
        <v>25</v>
      </c>
      <c r="E21576">
        <v>1</v>
      </c>
    </row>
    <row r="21577" spans="1:5" x14ac:dyDescent="0.25">
      <c r="A21577">
        <v>21576</v>
      </c>
      <c r="B21577">
        <v>5833206</v>
      </c>
      <c r="C21577" s="1" t="str">
        <f>HYPERLINK("http://stackoverflow.com/users/5833206", "Jack Yuan")</f>
        <v>Jack Yuan</v>
      </c>
      <c r="D21577" t="s">
        <v>21</v>
      </c>
      <c r="E21577">
        <v>1</v>
      </c>
    </row>
    <row r="21578" spans="1:5" x14ac:dyDescent="0.25">
      <c r="A21578">
        <v>21577</v>
      </c>
      <c r="B21578">
        <v>9506761</v>
      </c>
      <c r="C21578" s="1" t="str">
        <f>HYPERLINK("http://stackoverflow.com/users/9506761", "P.Kenshin")</f>
        <v>P.Kenshin</v>
      </c>
      <c r="D21578" t="s">
        <v>12</v>
      </c>
      <c r="E21578">
        <v>1</v>
      </c>
    </row>
    <row r="21579" spans="1:5" x14ac:dyDescent="0.25">
      <c r="A21579">
        <v>21578</v>
      </c>
      <c r="B21579">
        <v>2364695</v>
      </c>
      <c r="C21579" s="1" t="str">
        <f>HYPERLINK("http://stackoverflow.com/users/2364695", "ee07b395")</f>
        <v>ee07b395</v>
      </c>
      <c r="D21579" t="s">
        <v>5</v>
      </c>
      <c r="E21579">
        <v>1</v>
      </c>
    </row>
    <row r="21580" spans="1:5" x14ac:dyDescent="0.25">
      <c r="A21580">
        <v>21579</v>
      </c>
      <c r="B21580">
        <v>5850156</v>
      </c>
      <c r="C21580" s="1" t="str">
        <f>HYPERLINK("http://stackoverflow.com/users/5850156", "Ricky Fung")</f>
        <v>Ricky Fung</v>
      </c>
      <c r="D21580" t="s">
        <v>5</v>
      </c>
      <c r="E21580">
        <v>1</v>
      </c>
    </row>
    <row r="21581" spans="1:5" x14ac:dyDescent="0.25">
      <c r="A21581">
        <v>21580</v>
      </c>
      <c r="B21581">
        <v>5850345</v>
      </c>
      <c r="C21581" s="1" t="str">
        <f>HYPERLINK("http://stackoverflow.com/users/5850345", "lguozhou")</f>
        <v>lguozhou</v>
      </c>
      <c r="D21581" t="s">
        <v>22</v>
      </c>
      <c r="E21581">
        <v>1</v>
      </c>
    </row>
    <row r="21582" spans="1:5" x14ac:dyDescent="0.25">
      <c r="A21582">
        <v>21581</v>
      </c>
      <c r="B21582">
        <v>7609115</v>
      </c>
      <c r="C21582" s="1" t="str">
        <f>HYPERLINK("http://stackoverflow.com/users/7609115", "hlsteelstructure")</f>
        <v>hlsteelstructure</v>
      </c>
      <c r="D21582" t="s">
        <v>33</v>
      </c>
      <c r="E21582">
        <v>1</v>
      </c>
    </row>
    <row r="21583" spans="1:5" x14ac:dyDescent="0.25">
      <c r="A21583">
        <v>21582</v>
      </c>
      <c r="B21583">
        <v>7609218</v>
      </c>
      <c r="C21583" s="1" t="str">
        <f>HYPERLINK("http://stackoverflow.com/users/7609218", "Keysen")</f>
        <v>Keysen</v>
      </c>
      <c r="D21583" t="s">
        <v>1142</v>
      </c>
      <c r="E21583">
        <v>1</v>
      </c>
    </row>
    <row r="21584" spans="1:5" x14ac:dyDescent="0.25">
      <c r="A21584">
        <v>21583</v>
      </c>
      <c r="B21584">
        <v>7609491</v>
      </c>
      <c r="C21584" s="1" t="str">
        <f>HYPERLINK("http://stackoverflow.com/users/7609491", "Zami")</f>
        <v>Zami</v>
      </c>
      <c r="D21584" t="s">
        <v>4</v>
      </c>
      <c r="E21584">
        <v>1</v>
      </c>
    </row>
    <row r="21585" spans="1:5" x14ac:dyDescent="0.25">
      <c r="A21585">
        <v>21584</v>
      </c>
      <c r="B21585">
        <v>7609555</v>
      </c>
      <c r="C21585" s="1" t="str">
        <f>HYPERLINK("http://stackoverflow.com/users/7609555", "leeli")</f>
        <v>leeli</v>
      </c>
      <c r="D21585" t="s">
        <v>28</v>
      </c>
      <c r="E21585">
        <v>1</v>
      </c>
    </row>
    <row r="21586" spans="1:5" x14ac:dyDescent="0.25">
      <c r="A21586">
        <v>21585</v>
      </c>
      <c r="B21586">
        <v>7609675</v>
      </c>
      <c r="C21586" s="1" t="str">
        <f>HYPERLINK("http://stackoverflow.com/users/7609675", "Chas")</f>
        <v>Chas</v>
      </c>
      <c r="D21586" t="s">
        <v>154</v>
      </c>
      <c r="E21586">
        <v>1</v>
      </c>
    </row>
    <row r="21587" spans="1:5" x14ac:dyDescent="0.25">
      <c r="A21587">
        <v>21586</v>
      </c>
      <c r="B21587">
        <v>7609706</v>
      </c>
      <c r="C21587" s="1" t="str">
        <f>HYPERLINK("http://stackoverflow.com/users/7609706", "fscaps")</f>
        <v>fscaps</v>
      </c>
      <c r="D21587" t="s">
        <v>7</v>
      </c>
      <c r="E21587">
        <v>1</v>
      </c>
    </row>
    <row r="21588" spans="1:5" x14ac:dyDescent="0.25">
      <c r="A21588">
        <v>21587</v>
      </c>
      <c r="B21588">
        <v>7609835</v>
      </c>
      <c r="C21588" s="1" t="str">
        <f>HYPERLINK("http://stackoverflow.com/users/7609835", "Yuxiang Rose")</f>
        <v>Yuxiang Rose</v>
      </c>
      <c r="D21588" t="s">
        <v>52</v>
      </c>
      <c r="E21588">
        <v>1</v>
      </c>
    </row>
    <row r="21589" spans="1:5" x14ac:dyDescent="0.25">
      <c r="A21589">
        <v>21588</v>
      </c>
      <c r="B21589">
        <v>9538559</v>
      </c>
      <c r="C21589" s="1" t="str">
        <f>HYPERLINK("http://stackoverflow.com/users/9538559", "xlinush")</f>
        <v>xlinush</v>
      </c>
      <c r="D21589" t="s">
        <v>4</v>
      </c>
      <c r="E21589">
        <v>1</v>
      </c>
    </row>
    <row r="21590" spans="1:5" x14ac:dyDescent="0.25">
      <c r="A21590">
        <v>21589</v>
      </c>
      <c r="B21590">
        <v>9539043</v>
      </c>
      <c r="C21590" s="1" t="str">
        <f>HYPERLINK("http://stackoverflow.com/users/9539043", "Shuo Wang")</f>
        <v>Shuo Wang</v>
      </c>
      <c r="D21590" t="s">
        <v>5</v>
      </c>
      <c r="E21590">
        <v>1</v>
      </c>
    </row>
    <row r="21591" spans="1:5" x14ac:dyDescent="0.25">
      <c r="A21591">
        <v>21590</v>
      </c>
      <c r="B21591">
        <v>2364610</v>
      </c>
      <c r="C21591" s="1" t="str">
        <f>HYPERLINK("http://stackoverflow.com/users/2364610", "Monica")</f>
        <v>Monica</v>
      </c>
      <c r="D21591" t="s">
        <v>4</v>
      </c>
      <c r="E21591">
        <v>1</v>
      </c>
    </row>
    <row r="21592" spans="1:5" x14ac:dyDescent="0.25">
      <c r="A21592">
        <v>21591</v>
      </c>
      <c r="B21592">
        <v>2309914</v>
      </c>
      <c r="C21592" s="1" t="str">
        <f>HYPERLINK("http://stackoverflow.com/users/2309914", "Zuling Kang")</f>
        <v>Zuling Kang</v>
      </c>
      <c r="D21592" t="s">
        <v>12</v>
      </c>
      <c r="E21592">
        <v>1</v>
      </c>
    </row>
    <row r="21593" spans="1:5" x14ac:dyDescent="0.25">
      <c r="A21593">
        <v>21592</v>
      </c>
      <c r="B21593">
        <v>5824676</v>
      </c>
      <c r="C21593" s="1" t="str">
        <f>HYPERLINK("http://stackoverflow.com/users/5824676", "Hazel")</f>
        <v>Hazel</v>
      </c>
      <c r="D21593" t="s">
        <v>5</v>
      </c>
      <c r="E21593">
        <v>1</v>
      </c>
    </row>
    <row r="21594" spans="1:5" x14ac:dyDescent="0.25">
      <c r="A21594">
        <v>21593</v>
      </c>
      <c r="B21594">
        <v>5824826</v>
      </c>
      <c r="C21594" s="1" t="str">
        <f>HYPERLINK("http://stackoverflow.com/users/5824826", "张毛雨")</f>
        <v>张毛雨</v>
      </c>
      <c r="D21594" t="s">
        <v>5</v>
      </c>
      <c r="E21594">
        <v>1</v>
      </c>
    </row>
    <row r="21595" spans="1:5" x14ac:dyDescent="0.25">
      <c r="A21595">
        <v>21594</v>
      </c>
      <c r="B21595">
        <v>5825001</v>
      </c>
      <c r="C21595" s="1" t="str">
        <f>HYPERLINK("http://stackoverflow.com/users/5825001", "iRonCheng")</f>
        <v>iRonCheng</v>
      </c>
      <c r="D21595" t="s">
        <v>7</v>
      </c>
      <c r="E21595">
        <v>1</v>
      </c>
    </row>
    <row r="21596" spans="1:5" x14ac:dyDescent="0.25">
      <c r="A21596">
        <v>21595</v>
      </c>
      <c r="B21596">
        <v>11291648</v>
      </c>
      <c r="C21596" s="1" t="str">
        <f>HYPERLINK("http://stackoverflow.com/users/11291648", "Alita Lovelace")</f>
        <v>Alita Lovelace</v>
      </c>
      <c r="D21596" t="s">
        <v>4</v>
      </c>
      <c r="E21596">
        <v>1</v>
      </c>
    </row>
    <row r="21597" spans="1:5" x14ac:dyDescent="0.25">
      <c r="A21597">
        <v>21596</v>
      </c>
      <c r="B21597">
        <v>2314106</v>
      </c>
      <c r="C21597" s="1" t="str">
        <f>HYPERLINK("http://stackoverflow.com/users/2314106", "markselby")</f>
        <v>markselby</v>
      </c>
      <c r="D21597" t="s">
        <v>4</v>
      </c>
      <c r="E21597">
        <v>1</v>
      </c>
    </row>
    <row r="21598" spans="1:5" x14ac:dyDescent="0.25">
      <c r="A21598">
        <v>21597</v>
      </c>
      <c r="B21598">
        <v>2314359</v>
      </c>
      <c r="C21598" s="1" t="str">
        <f>HYPERLINK("http://stackoverflow.com/users/2314359", "Ryan")</f>
        <v>Ryan</v>
      </c>
      <c r="D21598" t="s">
        <v>4</v>
      </c>
      <c r="E21598">
        <v>1</v>
      </c>
    </row>
    <row r="21599" spans="1:5" x14ac:dyDescent="0.25">
      <c r="A21599">
        <v>21598</v>
      </c>
      <c r="B21599">
        <v>7571593</v>
      </c>
      <c r="C21599" s="1" t="str">
        <f>HYPERLINK("http://stackoverflow.com/users/7571593", "Taz")</f>
        <v>Taz</v>
      </c>
      <c r="D21599" t="s">
        <v>5</v>
      </c>
      <c r="E21599">
        <v>1</v>
      </c>
    </row>
    <row r="21600" spans="1:5" x14ac:dyDescent="0.25">
      <c r="A21600">
        <v>21599</v>
      </c>
      <c r="B21600">
        <v>11287793</v>
      </c>
      <c r="C21600" s="1" t="str">
        <f>HYPERLINK("http://stackoverflow.com/users/11287793", "Won")</f>
        <v>Won</v>
      </c>
      <c r="D21600" t="s">
        <v>25</v>
      </c>
      <c r="E21600">
        <v>1</v>
      </c>
    </row>
    <row r="21601" spans="1:5" x14ac:dyDescent="0.25">
      <c r="A21601">
        <v>21600</v>
      </c>
      <c r="B21601">
        <v>11287872</v>
      </c>
      <c r="C21601" s="1" t="str">
        <f>HYPERLINK("http://stackoverflow.com/users/11287872", "rabbyzero")</f>
        <v>rabbyzero</v>
      </c>
      <c r="D21601" t="s">
        <v>4</v>
      </c>
      <c r="E21601">
        <v>1</v>
      </c>
    </row>
    <row r="21602" spans="1:5" x14ac:dyDescent="0.25">
      <c r="A21602">
        <v>21601</v>
      </c>
      <c r="B21602">
        <v>11287873</v>
      </c>
      <c r="C21602" s="1" t="str">
        <f>HYPERLINK("http://stackoverflow.com/users/11287873", "seanyx")</f>
        <v>seanyx</v>
      </c>
      <c r="D21602" t="s">
        <v>5</v>
      </c>
      <c r="E21602">
        <v>1</v>
      </c>
    </row>
    <row r="21603" spans="1:5" x14ac:dyDescent="0.25">
      <c r="A21603">
        <v>21602</v>
      </c>
      <c r="B21603">
        <v>11288005</v>
      </c>
      <c r="C21603" s="1" t="str">
        <f>HYPERLINK("http://stackoverflow.com/users/11288005", "SeleneFerro")</f>
        <v>SeleneFerro</v>
      </c>
      <c r="D21603" t="s">
        <v>4</v>
      </c>
      <c r="E21603">
        <v>1</v>
      </c>
    </row>
    <row r="21604" spans="1:5" x14ac:dyDescent="0.25">
      <c r="A21604">
        <v>21603</v>
      </c>
      <c r="B21604">
        <v>11288078</v>
      </c>
      <c r="C21604" s="1" t="str">
        <f>HYPERLINK("http://stackoverflow.com/users/11288078", "dami")</f>
        <v>dami</v>
      </c>
      <c r="D21604" t="s">
        <v>5</v>
      </c>
      <c r="E21604">
        <v>1</v>
      </c>
    </row>
    <row r="21605" spans="1:5" x14ac:dyDescent="0.25">
      <c r="A21605">
        <v>21604</v>
      </c>
      <c r="B21605">
        <v>9497182</v>
      </c>
      <c r="C21605" s="1" t="str">
        <f>HYPERLINK("http://stackoverflow.com/users/9497182", "JohnPatch")</f>
        <v>JohnPatch</v>
      </c>
      <c r="D21605" t="s">
        <v>74</v>
      </c>
      <c r="E21605">
        <v>1</v>
      </c>
    </row>
    <row r="21606" spans="1:5" x14ac:dyDescent="0.25">
      <c r="A21606">
        <v>21605</v>
      </c>
      <c r="B21606">
        <v>5824196</v>
      </c>
      <c r="C21606" s="1" t="str">
        <f>HYPERLINK("http://stackoverflow.com/users/5824196", "Beta Joe")</f>
        <v>Beta Joe</v>
      </c>
      <c r="D21606" t="s">
        <v>1057</v>
      </c>
      <c r="E21606">
        <v>1</v>
      </c>
    </row>
    <row r="21607" spans="1:5" x14ac:dyDescent="0.25">
      <c r="A21607">
        <v>21606</v>
      </c>
      <c r="B21607">
        <v>5824202</v>
      </c>
      <c r="C21607" s="1" t="str">
        <f>HYPERLINK("http://stackoverflow.com/users/5824202", "luzemin")</f>
        <v>luzemin</v>
      </c>
      <c r="D21607" t="s">
        <v>54</v>
      </c>
      <c r="E21607">
        <v>1</v>
      </c>
    </row>
    <row r="21608" spans="1:5" x14ac:dyDescent="0.25">
      <c r="A21608">
        <v>21607</v>
      </c>
      <c r="B21608">
        <v>9501820</v>
      </c>
      <c r="C21608" s="1" t="str">
        <f>HYPERLINK("http://stackoverflow.com/users/9501820", "Binyan Hu")</f>
        <v>Binyan Hu</v>
      </c>
      <c r="D21608" t="s">
        <v>55</v>
      </c>
      <c r="E21608">
        <v>1</v>
      </c>
    </row>
    <row r="21609" spans="1:5" x14ac:dyDescent="0.25">
      <c r="A21609">
        <v>21608</v>
      </c>
      <c r="B21609">
        <v>5828890</v>
      </c>
      <c r="C21609" s="1" t="str">
        <f>HYPERLINK("http://stackoverflow.com/users/5828890", "Rain")</f>
        <v>Rain</v>
      </c>
      <c r="D21609" t="s">
        <v>4</v>
      </c>
      <c r="E21609">
        <v>1</v>
      </c>
    </row>
    <row r="21610" spans="1:5" x14ac:dyDescent="0.25">
      <c r="A21610">
        <v>21609</v>
      </c>
      <c r="B21610">
        <v>5828917</v>
      </c>
      <c r="C21610" s="1" t="str">
        <f>HYPERLINK("http://stackoverflow.com/users/5828917", "Dawson Liu")</f>
        <v>Dawson Liu</v>
      </c>
      <c r="D21610" t="s">
        <v>4</v>
      </c>
      <c r="E21610">
        <v>1</v>
      </c>
    </row>
    <row r="21611" spans="1:5" x14ac:dyDescent="0.25">
      <c r="A21611">
        <v>21610</v>
      </c>
      <c r="B21611">
        <v>5829113</v>
      </c>
      <c r="C21611" s="1" t="str">
        <f>HYPERLINK("http://stackoverflow.com/users/5829113", "Evans")</f>
        <v>Evans</v>
      </c>
      <c r="D21611" t="s">
        <v>17</v>
      </c>
      <c r="E21611">
        <v>1</v>
      </c>
    </row>
    <row r="21612" spans="1:5" x14ac:dyDescent="0.25">
      <c r="A21612">
        <v>21611</v>
      </c>
      <c r="B21612">
        <v>5829126</v>
      </c>
      <c r="C21612" s="1" t="str">
        <f>HYPERLINK("http://stackoverflow.com/users/5829126", "Ninezero")</f>
        <v>Ninezero</v>
      </c>
      <c r="D21612" t="s">
        <v>25</v>
      </c>
      <c r="E21612">
        <v>1</v>
      </c>
    </row>
    <row r="21613" spans="1:5" x14ac:dyDescent="0.25">
      <c r="A21613">
        <v>21612</v>
      </c>
      <c r="B21613">
        <v>7579286</v>
      </c>
      <c r="C21613" s="1" t="str">
        <f>HYPERLINK("http://stackoverflow.com/users/7579286", "daijinmaster")</f>
        <v>daijinmaster</v>
      </c>
      <c r="D21613" t="s">
        <v>4</v>
      </c>
      <c r="E21613">
        <v>1</v>
      </c>
    </row>
    <row r="21614" spans="1:5" x14ac:dyDescent="0.25">
      <c r="A21614">
        <v>21613</v>
      </c>
      <c r="B21614">
        <v>7579358</v>
      </c>
      <c r="C21614" s="1" t="str">
        <f>HYPERLINK("http://stackoverflow.com/users/7579358", "Leon")</f>
        <v>Leon</v>
      </c>
      <c r="D21614" t="s">
        <v>4</v>
      </c>
      <c r="E21614">
        <v>1</v>
      </c>
    </row>
    <row r="21615" spans="1:5" x14ac:dyDescent="0.25">
      <c r="A21615">
        <v>21614</v>
      </c>
      <c r="B21615">
        <v>7579379</v>
      </c>
      <c r="C21615" s="1" t="str">
        <f>HYPERLINK("http://stackoverflow.com/users/7579379", "ITpeasant")</f>
        <v>ITpeasant</v>
      </c>
      <c r="D21615" t="s">
        <v>5</v>
      </c>
      <c r="E21615">
        <v>1</v>
      </c>
    </row>
    <row r="21616" spans="1:5" x14ac:dyDescent="0.25">
      <c r="A21616">
        <v>21615</v>
      </c>
      <c r="B21616">
        <v>7579393</v>
      </c>
      <c r="C21616" s="1" t="str">
        <f>HYPERLINK("http://stackoverflow.com/users/7579393", "aimuch")</f>
        <v>aimuch</v>
      </c>
      <c r="D21616" t="s">
        <v>4</v>
      </c>
      <c r="E21616">
        <v>1</v>
      </c>
    </row>
    <row r="21617" spans="1:5" x14ac:dyDescent="0.25">
      <c r="A21617">
        <v>21616</v>
      </c>
      <c r="B21617">
        <v>7579535</v>
      </c>
      <c r="C21617" s="1" t="str">
        <f>HYPERLINK("http://stackoverflow.com/users/7579535", "Aaron Doge")</f>
        <v>Aaron Doge</v>
      </c>
      <c r="D21617" t="s">
        <v>131</v>
      </c>
      <c r="E21617">
        <v>1</v>
      </c>
    </row>
    <row r="21618" spans="1:5" x14ac:dyDescent="0.25">
      <c r="A21618">
        <v>21617</v>
      </c>
      <c r="B21618">
        <v>4057815</v>
      </c>
      <c r="C21618" s="1" t="str">
        <f>HYPERLINK("http://stackoverflow.com/users/4057815", "sj_lxd")</f>
        <v>sj_lxd</v>
      </c>
      <c r="D21618" t="s">
        <v>4</v>
      </c>
      <c r="E21618">
        <v>1</v>
      </c>
    </row>
    <row r="21619" spans="1:5" x14ac:dyDescent="0.25">
      <c r="A21619">
        <v>21618</v>
      </c>
      <c r="B21619">
        <v>5832581</v>
      </c>
      <c r="C21619" s="1" t="str">
        <f>HYPERLINK("http://stackoverflow.com/users/5832581", "Ge Wang")</f>
        <v>Ge Wang</v>
      </c>
      <c r="D21619" t="s">
        <v>5</v>
      </c>
      <c r="E21619">
        <v>1</v>
      </c>
    </row>
    <row r="21620" spans="1:5" x14ac:dyDescent="0.25">
      <c r="A21620">
        <v>21619</v>
      </c>
      <c r="B21620">
        <v>2320493</v>
      </c>
      <c r="C21620" s="1" t="str">
        <f>HYPERLINK("http://stackoverflow.com/users/2320493", "odirus")</f>
        <v>odirus</v>
      </c>
      <c r="D21620" t="s">
        <v>22</v>
      </c>
      <c r="E21620">
        <v>1</v>
      </c>
    </row>
    <row r="21621" spans="1:5" x14ac:dyDescent="0.25">
      <c r="A21621">
        <v>21620</v>
      </c>
      <c r="B21621">
        <v>2290717</v>
      </c>
      <c r="C21621" s="1" t="str">
        <f>HYPERLINK("http://stackoverflow.com/users/2290717", "shshilmh")</f>
        <v>shshilmh</v>
      </c>
      <c r="D21621" t="s">
        <v>4</v>
      </c>
      <c r="E21621">
        <v>1</v>
      </c>
    </row>
    <row r="21622" spans="1:5" x14ac:dyDescent="0.25">
      <c r="A21622">
        <v>21621</v>
      </c>
      <c r="B21622">
        <v>11269561</v>
      </c>
      <c r="C21622" s="1" t="str">
        <f>HYPERLINK("http://stackoverflow.com/users/11269561", "DetectiveBox")</f>
        <v>DetectiveBox</v>
      </c>
      <c r="D21622" t="s">
        <v>5</v>
      </c>
      <c r="E21622">
        <v>1</v>
      </c>
    </row>
    <row r="21623" spans="1:5" x14ac:dyDescent="0.25">
      <c r="A21623">
        <v>21622</v>
      </c>
      <c r="B21623">
        <v>11269836</v>
      </c>
      <c r="C21623" s="1" t="str">
        <f>HYPERLINK("http://stackoverflow.com/users/11269836", "zhanglu")</f>
        <v>zhanglu</v>
      </c>
      <c r="D21623" t="s">
        <v>5</v>
      </c>
      <c r="E21623">
        <v>1</v>
      </c>
    </row>
    <row r="21624" spans="1:5" x14ac:dyDescent="0.25">
      <c r="A21624">
        <v>21623</v>
      </c>
      <c r="B21624">
        <v>5820596</v>
      </c>
      <c r="C21624" s="1" t="str">
        <f>HYPERLINK("http://stackoverflow.com/users/5820596", "Zachary")</f>
        <v>Zachary</v>
      </c>
      <c r="D21624" t="s">
        <v>5</v>
      </c>
      <c r="E21624">
        <v>1</v>
      </c>
    </row>
    <row r="21625" spans="1:5" x14ac:dyDescent="0.25">
      <c r="A21625">
        <v>21624</v>
      </c>
      <c r="B21625">
        <v>2309511</v>
      </c>
      <c r="C21625" s="1" t="str">
        <f>HYPERLINK("http://stackoverflow.com/users/2309511", "RavenLung")</f>
        <v>RavenLung</v>
      </c>
      <c r="D21625" t="s">
        <v>5</v>
      </c>
      <c r="E21625">
        <v>1</v>
      </c>
    </row>
    <row r="21626" spans="1:5" x14ac:dyDescent="0.25">
      <c r="A21626">
        <v>21625</v>
      </c>
      <c r="B21626">
        <v>2309763</v>
      </c>
      <c r="C21626" s="1" t="str">
        <f>HYPERLINK("http://stackoverflow.com/users/2309763", "ishenli")</f>
        <v>ishenli</v>
      </c>
      <c r="D21626" t="s">
        <v>12</v>
      </c>
      <c r="E21626">
        <v>1</v>
      </c>
    </row>
    <row r="21627" spans="1:5" x14ac:dyDescent="0.25">
      <c r="A21627">
        <v>21626</v>
      </c>
      <c r="B21627">
        <v>7564041</v>
      </c>
      <c r="C21627" s="1" t="str">
        <f>HYPERLINK("http://stackoverflow.com/users/7564041", "clbq")</f>
        <v>clbq</v>
      </c>
      <c r="D21627" t="s">
        <v>5</v>
      </c>
      <c r="E21627">
        <v>1</v>
      </c>
    </row>
    <row r="21628" spans="1:5" x14ac:dyDescent="0.25">
      <c r="A21628">
        <v>21627</v>
      </c>
      <c r="B21628">
        <v>9483816</v>
      </c>
      <c r="C21628" s="1" t="str">
        <f>HYPERLINK("http://stackoverflow.com/users/9483816", "peng liang")</f>
        <v>peng liang</v>
      </c>
      <c r="D21628" t="s">
        <v>16</v>
      </c>
      <c r="E21628">
        <v>1</v>
      </c>
    </row>
    <row r="21629" spans="1:5" x14ac:dyDescent="0.25">
      <c r="A21629">
        <v>21628</v>
      </c>
      <c r="B21629">
        <v>7567514</v>
      </c>
      <c r="C21629" s="1" t="str">
        <f>HYPERLINK("http://stackoverflow.com/users/7567514", "passing")</f>
        <v>passing</v>
      </c>
      <c r="D21629" t="s">
        <v>5</v>
      </c>
      <c r="E21629">
        <v>1</v>
      </c>
    </row>
    <row r="21630" spans="1:5" x14ac:dyDescent="0.25">
      <c r="A21630">
        <v>21629</v>
      </c>
      <c r="B21630">
        <v>4029075</v>
      </c>
      <c r="C21630" s="1" t="str">
        <f>HYPERLINK("http://stackoverflow.com/users/4029075", "devedbox")</f>
        <v>devedbox</v>
      </c>
      <c r="D21630" t="s">
        <v>22</v>
      </c>
      <c r="E21630">
        <v>1</v>
      </c>
    </row>
    <row r="21631" spans="1:5" x14ac:dyDescent="0.25">
      <c r="A21631">
        <v>21630</v>
      </c>
      <c r="B21631">
        <v>4029258</v>
      </c>
      <c r="C21631" s="1" t="str">
        <f>HYPERLINK("http://stackoverflow.com/users/4029258", "fclh")</f>
        <v>fclh</v>
      </c>
      <c r="D21631" t="s">
        <v>4</v>
      </c>
      <c r="E21631">
        <v>1</v>
      </c>
    </row>
    <row r="21632" spans="1:5" x14ac:dyDescent="0.25">
      <c r="A21632">
        <v>21631</v>
      </c>
      <c r="B21632">
        <v>4029292</v>
      </c>
      <c r="C21632" s="1" t="str">
        <f>HYPERLINK("http://stackoverflow.com/users/4029292", "hong song")</f>
        <v>hong song</v>
      </c>
      <c r="D21632" t="s">
        <v>17</v>
      </c>
      <c r="E21632">
        <v>1</v>
      </c>
    </row>
    <row r="21633" spans="1:5" x14ac:dyDescent="0.25">
      <c r="A21633">
        <v>21632</v>
      </c>
      <c r="B21633">
        <v>9475596</v>
      </c>
      <c r="C21633" s="1" t="str">
        <f>HYPERLINK("http://stackoverflow.com/users/9475596", "Mservant")</f>
        <v>Mservant</v>
      </c>
      <c r="D21633" t="s">
        <v>5</v>
      </c>
      <c r="E21633">
        <v>1</v>
      </c>
    </row>
    <row r="21634" spans="1:5" x14ac:dyDescent="0.25">
      <c r="A21634">
        <v>21633</v>
      </c>
      <c r="B21634">
        <v>7556219</v>
      </c>
      <c r="C21634" s="1" t="str">
        <f>HYPERLINK("http://stackoverflow.com/users/7556219", "lordhua")</f>
        <v>lordhua</v>
      </c>
      <c r="D21634" t="s">
        <v>1143</v>
      </c>
      <c r="E21634">
        <v>1</v>
      </c>
    </row>
    <row r="21635" spans="1:5" x14ac:dyDescent="0.25">
      <c r="A21635">
        <v>21634</v>
      </c>
      <c r="B21635">
        <v>7556319</v>
      </c>
      <c r="C21635" s="1" t="str">
        <f>HYPERLINK("http://stackoverflow.com/users/7556319", "M. Dai")</f>
        <v>M. Dai</v>
      </c>
      <c r="D21635" t="s">
        <v>131</v>
      </c>
      <c r="E21635">
        <v>1</v>
      </c>
    </row>
    <row r="21636" spans="1:5" x14ac:dyDescent="0.25">
      <c r="A21636">
        <v>21635</v>
      </c>
      <c r="B21636">
        <v>7556322</v>
      </c>
      <c r="C21636" s="1" t="str">
        <f>HYPERLINK("http://stackoverflow.com/users/7556322", "Chiho Sin")</f>
        <v>Chiho Sin</v>
      </c>
      <c r="D21636" t="s">
        <v>347</v>
      </c>
      <c r="E21636">
        <v>1</v>
      </c>
    </row>
    <row r="21637" spans="1:5" x14ac:dyDescent="0.25">
      <c r="A21637">
        <v>21636</v>
      </c>
      <c r="B21637">
        <v>7556563</v>
      </c>
      <c r="C21637" s="1" t="str">
        <f>HYPERLINK("http://stackoverflow.com/users/7556563", "dalang yu")</f>
        <v>dalang yu</v>
      </c>
      <c r="D21637" t="s">
        <v>4</v>
      </c>
      <c r="E21637">
        <v>1</v>
      </c>
    </row>
    <row r="21638" spans="1:5" x14ac:dyDescent="0.25">
      <c r="A21638">
        <v>21637</v>
      </c>
      <c r="B21638">
        <v>7556596</v>
      </c>
      <c r="C21638" s="1" t="str">
        <f>HYPERLINK("http://stackoverflow.com/users/7556596", "withlqs")</f>
        <v>withlqs</v>
      </c>
      <c r="D21638" t="s">
        <v>176</v>
      </c>
      <c r="E21638">
        <v>1</v>
      </c>
    </row>
    <row r="21639" spans="1:5" x14ac:dyDescent="0.25">
      <c r="A21639">
        <v>21638</v>
      </c>
      <c r="B21639">
        <v>7556662</v>
      </c>
      <c r="C21639" s="1" t="str">
        <f>HYPERLINK("http://stackoverflow.com/users/7556662", "BenWoo")</f>
        <v>BenWoo</v>
      </c>
      <c r="D21639" t="s">
        <v>4</v>
      </c>
      <c r="E21639">
        <v>1</v>
      </c>
    </row>
    <row r="21640" spans="1:5" x14ac:dyDescent="0.25">
      <c r="A21640">
        <v>21639</v>
      </c>
      <c r="B21640">
        <v>4033214</v>
      </c>
      <c r="C21640" s="1" t="str">
        <f>HYPERLINK("http://stackoverflow.com/users/4033214", "ProSite")</f>
        <v>ProSite</v>
      </c>
      <c r="D21640" t="s">
        <v>5</v>
      </c>
      <c r="E21640">
        <v>1</v>
      </c>
    </row>
    <row r="21641" spans="1:5" x14ac:dyDescent="0.25">
      <c r="A21641">
        <v>21640</v>
      </c>
      <c r="B21641">
        <v>9479556</v>
      </c>
      <c r="C21641" s="1" t="str">
        <f>HYPERLINK("http://stackoverflow.com/users/9479556", "WanderHuang")</f>
        <v>WanderHuang</v>
      </c>
      <c r="D21641" t="s">
        <v>7</v>
      </c>
      <c r="E21641">
        <v>1</v>
      </c>
    </row>
    <row r="21642" spans="1:5" x14ac:dyDescent="0.25">
      <c r="A21642">
        <v>21641</v>
      </c>
      <c r="B21642">
        <v>9479761</v>
      </c>
      <c r="C21642" s="1" t="str">
        <f>HYPERLINK("http://stackoverflow.com/users/9479761", "Ming Dao")</f>
        <v>Ming Dao</v>
      </c>
      <c r="D21642" t="s">
        <v>7</v>
      </c>
      <c r="E21642">
        <v>1</v>
      </c>
    </row>
    <row r="21643" spans="1:5" x14ac:dyDescent="0.25">
      <c r="A21643">
        <v>21642</v>
      </c>
      <c r="B21643">
        <v>9479996</v>
      </c>
      <c r="C21643" s="1" t="str">
        <f>HYPERLINK("http://stackoverflow.com/users/9479996", "xavier")</f>
        <v>xavier</v>
      </c>
      <c r="D21643" t="s">
        <v>4</v>
      </c>
      <c r="E21643">
        <v>1</v>
      </c>
    </row>
    <row r="21644" spans="1:5" x14ac:dyDescent="0.25">
      <c r="A21644">
        <v>21643</v>
      </c>
      <c r="B21644">
        <v>5809111</v>
      </c>
      <c r="C21644" s="1" t="str">
        <f>HYPERLINK("http://stackoverflow.com/users/5809111", "Fanhengyuan")</f>
        <v>Fanhengyuan</v>
      </c>
      <c r="D21644" t="s">
        <v>4</v>
      </c>
      <c r="E21644">
        <v>1</v>
      </c>
    </row>
    <row r="21645" spans="1:5" x14ac:dyDescent="0.25">
      <c r="A21645">
        <v>21644</v>
      </c>
      <c r="B21645">
        <v>5809133</v>
      </c>
      <c r="C21645" s="1" t="str">
        <f>HYPERLINK("http://stackoverflow.com/users/5809133", "王洪伟")</f>
        <v>王洪伟</v>
      </c>
      <c r="D21645" t="s">
        <v>5</v>
      </c>
      <c r="E21645">
        <v>1</v>
      </c>
    </row>
    <row r="21646" spans="1:5" x14ac:dyDescent="0.25">
      <c r="A21646">
        <v>21645</v>
      </c>
      <c r="B21646">
        <v>5809257</v>
      </c>
      <c r="C21646" s="1" t="str">
        <f>HYPERLINK("http://stackoverflow.com/users/5809257", "Kevin Yan")</f>
        <v>Kevin Yan</v>
      </c>
      <c r="D21646" t="s">
        <v>97</v>
      </c>
      <c r="E21646">
        <v>1</v>
      </c>
    </row>
    <row r="21647" spans="1:5" x14ac:dyDescent="0.25">
      <c r="A21647">
        <v>21646</v>
      </c>
      <c r="B21647">
        <v>5809501</v>
      </c>
      <c r="C21647" s="1" t="str">
        <f>HYPERLINK("http://stackoverflow.com/users/5809501", "LGang")</f>
        <v>LGang</v>
      </c>
      <c r="D21647" t="s">
        <v>5</v>
      </c>
      <c r="E21647">
        <v>1</v>
      </c>
    </row>
    <row r="21648" spans="1:5" x14ac:dyDescent="0.25">
      <c r="A21648">
        <v>21647</v>
      </c>
      <c r="B21648">
        <v>7560070</v>
      </c>
      <c r="C21648" s="1" t="str">
        <f>HYPERLINK("http://stackoverflow.com/users/7560070", "Atikur Rahman Sumon")</f>
        <v>Atikur Rahman Sumon</v>
      </c>
      <c r="D21648" t="s">
        <v>55</v>
      </c>
      <c r="E21648">
        <v>1</v>
      </c>
    </row>
    <row r="21649" spans="1:5" x14ac:dyDescent="0.25">
      <c r="A21649">
        <v>21648</v>
      </c>
      <c r="B21649">
        <v>5809576</v>
      </c>
      <c r="C21649" s="1" t="str">
        <f>HYPERLINK("http://stackoverflow.com/users/5809576", "olin")</f>
        <v>olin</v>
      </c>
      <c r="D21649" t="s">
        <v>1144</v>
      </c>
      <c r="E21649">
        <v>1</v>
      </c>
    </row>
    <row r="21650" spans="1:5" x14ac:dyDescent="0.25">
      <c r="A21650">
        <v>21649</v>
      </c>
      <c r="B21650">
        <v>9483620</v>
      </c>
      <c r="C21650" s="1" t="str">
        <f>HYPERLINK("http://stackoverflow.com/users/9483620", "Erjiang")</f>
        <v>Erjiang</v>
      </c>
      <c r="D21650" t="s">
        <v>5</v>
      </c>
      <c r="E21650">
        <v>1</v>
      </c>
    </row>
    <row r="21651" spans="1:5" x14ac:dyDescent="0.25">
      <c r="A21651">
        <v>21650</v>
      </c>
      <c r="B21651">
        <v>2298361</v>
      </c>
      <c r="C21651" s="1" t="str">
        <f>HYPERLINK("http://stackoverflow.com/users/2298361", "whatot")</f>
        <v>whatot</v>
      </c>
      <c r="D21651" t="s">
        <v>4</v>
      </c>
      <c r="E21651">
        <v>1</v>
      </c>
    </row>
    <row r="21652" spans="1:5" x14ac:dyDescent="0.25">
      <c r="A21652">
        <v>21651</v>
      </c>
      <c r="B21652">
        <v>2298431</v>
      </c>
      <c r="C21652" s="1" t="str">
        <f>HYPERLINK("http://stackoverflow.com/users/2298431", "Terry Niu")</f>
        <v>Terry Niu</v>
      </c>
      <c r="D21652" t="s">
        <v>5</v>
      </c>
      <c r="E21652">
        <v>1</v>
      </c>
    </row>
    <row r="21653" spans="1:5" x14ac:dyDescent="0.25">
      <c r="A21653">
        <v>21652</v>
      </c>
      <c r="B21653">
        <v>2299339</v>
      </c>
      <c r="C21653" s="1" t="str">
        <f>HYPERLINK("http://stackoverflow.com/users/2299339", "raffy2010")</f>
        <v>raffy2010</v>
      </c>
      <c r="D21653" t="s">
        <v>7</v>
      </c>
      <c r="E21653">
        <v>1</v>
      </c>
    </row>
    <row r="21654" spans="1:5" x14ac:dyDescent="0.25">
      <c r="A21654">
        <v>21653</v>
      </c>
      <c r="B21654">
        <v>7713717</v>
      </c>
      <c r="C21654" s="1" t="str">
        <f>HYPERLINK("http://stackoverflow.com/users/7713717", "Yzh")</f>
        <v>Yzh</v>
      </c>
      <c r="D21654" t="s">
        <v>131</v>
      </c>
      <c r="E21654">
        <v>1</v>
      </c>
    </row>
    <row r="21655" spans="1:5" x14ac:dyDescent="0.25">
      <c r="A21655">
        <v>21654</v>
      </c>
      <c r="B21655">
        <v>7714001</v>
      </c>
      <c r="C21655" s="1" t="str">
        <f>HYPERLINK("http://stackoverflow.com/users/7714001", "刘杰聪")</f>
        <v>刘杰聪</v>
      </c>
      <c r="D21655" t="s">
        <v>25</v>
      </c>
      <c r="E21655">
        <v>1</v>
      </c>
    </row>
    <row r="21656" spans="1:5" x14ac:dyDescent="0.25">
      <c r="A21656">
        <v>21655</v>
      </c>
      <c r="B21656">
        <v>6016226</v>
      </c>
      <c r="C21656" s="1" t="str">
        <f>HYPERLINK("http://stackoverflow.com/users/6016226", "Nagisun")</f>
        <v>Nagisun</v>
      </c>
      <c r="D21656" t="s">
        <v>5</v>
      </c>
      <c r="E21656">
        <v>1</v>
      </c>
    </row>
    <row r="21657" spans="1:5" x14ac:dyDescent="0.25">
      <c r="A21657">
        <v>21656</v>
      </c>
      <c r="B21657">
        <v>7755793</v>
      </c>
      <c r="C21657" s="1" t="str">
        <f>HYPERLINK("http://stackoverflow.com/users/7755793", "Hou Yu")</f>
        <v>Hou Yu</v>
      </c>
      <c r="D21657" t="s">
        <v>457</v>
      </c>
      <c r="E21657">
        <v>1</v>
      </c>
    </row>
    <row r="21658" spans="1:5" x14ac:dyDescent="0.25">
      <c r="A21658">
        <v>21657</v>
      </c>
      <c r="B21658">
        <v>7762995</v>
      </c>
      <c r="C21658" s="1" t="str">
        <f>HYPERLINK("http://stackoverflow.com/users/7762995", "ypc Fly")</f>
        <v>ypc Fly</v>
      </c>
      <c r="D21658" t="s">
        <v>28</v>
      </c>
      <c r="E21658">
        <v>1</v>
      </c>
    </row>
    <row r="21659" spans="1:5" x14ac:dyDescent="0.25">
      <c r="A21659">
        <v>21658</v>
      </c>
      <c r="B21659">
        <v>7741407</v>
      </c>
      <c r="C21659" s="1" t="str">
        <f>HYPERLINK("http://stackoverflow.com/users/7741407", "Sand")</f>
        <v>Sand</v>
      </c>
      <c r="D21659" t="s">
        <v>52</v>
      </c>
      <c r="E21659">
        <v>1</v>
      </c>
    </row>
    <row r="21660" spans="1:5" x14ac:dyDescent="0.25">
      <c r="A21660">
        <v>21659</v>
      </c>
      <c r="B21660">
        <v>6007296</v>
      </c>
      <c r="C21660" s="1" t="str">
        <f>HYPERLINK("http://stackoverflow.com/users/6007296", "PhoenixYXB")</f>
        <v>PhoenixYXB</v>
      </c>
      <c r="D21660" t="s">
        <v>5</v>
      </c>
      <c r="E21660">
        <v>1</v>
      </c>
    </row>
    <row r="21661" spans="1:5" x14ac:dyDescent="0.25">
      <c r="A21661">
        <v>21660</v>
      </c>
      <c r="B21661">
        <v>6007851</v>
      </c>
      <c r="C21661" s="1" t="str">
        <f>HYPERLINK("http://stackoverflow.com/users/6007851", "Wenwen Zhang")</f>
        <v>Wenwen Zhang</v>
      </c>
      <c r="D21661" t="s">
        <v>131</v>
      </c>
      <c r="E21661">
        <v>1</v>
      </c>
    </row>
    <row r="21662" spans="1:5" x14ac:dyDescent="0.25">
      <c r="A21662">
        <v>21661</v>
      </c>
      <c r="B21662">
        <v>6008336</v>
      </c>
      <c r="C21662" s="1" t="str">
        <f>HYPERLINK("http://stackoverflow.com/users/6008336", "Ming Wan")</f>
        <v>Ming Wan</v>
      </c>
      <c r="D21662" t="s">
        <v>28</v>
      </c>
      <c r="E21662">
        <v>1</v>
      </c>
    </row>
    <row r="21663" spans="1:5" x14ac:dyDescent="0.25">
      <c r="A21663">
        <v>21662</v>
      </c>
      <c r="B21663">
        <v>7748652</v>
      </c>
      <c r="C21663" s="1" t="str">
        <f>HYPERLINK("http://stackoverflow.com/users/7748652", "aber_song")</f>
        <v>aber_song</v>
      </c>
      <c r="D21663" t="s">
        <v>131</v>
      </c>
      <c r="E21663">
        <v>1</v>
      </c>
    </row>
    <row r="21664" spans="1:5" x14ac:dyDescent="0.25">
      <c r="A21664">
        <v>21663</v>
      </c>
      <c r="B21664">
        <v>7755060</v>
      </c>
      <c r="C21664" s="1" t="str">
        <f>HYPERLINK("http://stackoverflow.com/users/7755060", "qiang")</f>
        <v>qiang</v>
      </c>
      <c r="D21664" t="s">
        <v>17</v>
      </c>
      <c r="E21664">
        <v>1</v>
      </c>
    </row>
    <row r="21665" spans="1:5" x14ac:dyDescent="0.25">
      <c r="A21665">
        <v>21664</v>
      </c>
      <c r="B21665">
        <v>7755115</v>
      </c>
      <c r="C21665" s="1" t="str">
        <f>HYPERLINK("http://stackoverflow.com/users/7755115", "bravobest")</f>
        <v>bravobest</v>
      </c>
      <c r="D21665" t="s">
        <v>4</v>
      </c>
      <c r="E21665">
        <v>1</v>
      </c>
    </row>
    <row r="21666" spans="1:5" x14ac:dyDescent="0.25">
      <c r="A21666">
        <v>21665</v>
      </c>
      <c r="B21666">
        <v>7755180</v>
      </c>
      <c r="C21666" s="1" t="str">
        <f>HYPERLINK("http://stackoverflow.com/users/7755180", "Kent")</f>
        <v>Kent</v>
      </c>
      <c r="D21666" t="s">
        <v>15</v>
      </c>
      <c r="E21666">
        <v>1</v>
      </c>
    </row>
    <row r="21667" spans="1:5" x14ac:dyDescent="0.25">
      <c r="A21667">
        <v>21666</v>
      </c>
      <c r="B21667">
        <v>7755265</v>
      </c>
      <c r="C21667" s="1" t="str">
        <f>HYPERLINK("http://stackoverflow.com/users/7755265", "Esther ")</f>
        <v xml:space="preserve">Esther </v>
      </c>
      <c r="D21667" t="s">
        <v>4</v>
      </c>
      <c r="E21667">
        <v>1</v>
      </c>
    </row>
    <row r="21668" spans="1:5" x14ac:dyDescent="0.25">
      <c r="A21668">
        <v>21667</v>
      </c>
      <c r="B21668">
        <v>7755383</v>
      </c>
      <c r="C21668" s="1" t="str">
        <f>HYPERLINK("http://stackoverflow.com/users/7755383", "Jser.Hu")</f>
        <v>Jser.Hu</v>
      </c>
      <c r="D21668" t="s">
        <v>1145</v>
      </c>
      <c r="E21668">
        <v>1</v>
      </c>
    </row>
    <row r="21669" spans="1:5" x14ac:dyDescent="0.25">
      <c r="A21669">
        <v>21668</v>
      </c>
      <c r="B21669">
        <v>7755483</v>
      </c>
      <c r="C21669" s="1" t="str">
        <f>HYPERLINK("http://stackoverflow.com/users/7755483", "Sean Tu")</f>
        <v>Sean Tu</v>
      </c>
      <c r="D21669" t="s">
        <v>5</v>
      </c>
      <c r="E21669">
        <v>1</v>
      </c>
    </row>
    <row r="21670" spans="1:5" x14ac:dyDescent="0.25">
      <c r="A21670">
        <v>21669</v>
      </c>
      <c r="B21670">
        <v>4298461</v>
      </c>
      <c r="C21670" s="1" t="str">
        <f>HYPERLINK("http://stackoverflow.com/users/4298461", "China Mobile Expert")</f>
        <v>China Mobile Expert</v>
      </c>
      <c r="D21670" t="s">
        <v>90</v>
      </c>
      <c r="E21670">
        <v>1</v>
      </c>
    </row>
    <row r="21671" spans="1:5" x14ac:dyDescent="0.25">
      <c r="A21671">
        <v>21670</v>
      </c>
      <c r="B21671">
        <v>7790546</v>
      </c>
      <c r="C21671" s="1" t="str">
        <f>HYPERLINK("http://stackoverflow.com/users/7790546", "nanmumu")</f>
        <v>nanmumu</v>
      </c>
      <c r="D21671" t="s">
        <v>15</v>
      </c>
      <c r="E21671">
        <v>1</v>
      </c>
    </row>
    <row r="21672" spans="1:5" x14ac:dyDescent="0.25">
      <c r="A21672">
        <v>21671</v>
      </c>
      <c r="B21672">
        <v>7790585</v>
      </c>
      <c r="C21672" s="1" t="str">
        <f>HYPERLINK("http://stackoverflow.com/users/7790585", "Jian Wu")</f>
        <v>Jian Wu</v>
      </c>
      <c r="D21672" t="s">
        <v>5</v>
      </c>
      <c r="E21672">
        <v>1</v>
      </c>
    </row>
    <row r="21673" spans="1:5" x14ac:dyDescent="0.25">
      <c r="A21673">
        <v>21672</v>
      </c>
      <c r="B21673">
        <v>7790923</v>
      </c>
      <c r="C21673" s="1" t="str">
        <f>HYPERLINK("http://stackoverflow.com/users/7790923", "GuoHao")</f>
        <v>GuoHao</v>
      </c>
      <c r="D21673" t="s">
        <v>5</v>
      </c>
      <c r="E21673">
        <v>1</v>
      </c>
    </row>
    <row r="21674" spans="1:5" x14ac:dyDescent="0.25">
      <c r="A21674">
        <v>21673</v>
      </c>
      <c r="B21674">
        <v>4279731</v>
      </c>
      <c r="C21674" s="1" t="str">
        <f>HYPERLINK("http://stackoverflow.com/users/4279731", "Frankenstein")</f>
        <v>Frankenstein</v>
      </c>
      <c r="D21674" t="s">
        <v>4</v>
      </c>
      <c r="E21674">
        <v>1</v>
      </c>
    </row>
    <row r="21675" spans="1:5" x14ac:dyDescent="0.25">
      <c r="A21675">
        <v>21674</v>
      </c>
      <c r="B21675">
        <v>4296718</v>
      </c>
      <c r="C21675" s="1" t="str">
        <f>HYPERLINK("http://stackoverflow.com/users/4296718", "JANESTAR")</f>
        <v>JANESTAR</v>
      </c>
      <c r="D21675" t="s">
        <v>12</v>
      </c>
      <c r="E21675">
        <v>1</v>
      </c>
    </row>
    <row r="21676" spans="1:5" x14ac:dyDescent="0.25">
      <c r="A21676">
        <v>21675</v>
      </c>
      <c r="B21676">
        <v>7763124</v>
      </c>
      <c r="C21676" s="1" t="str">
        <f>HYPERLINK("http://stackoverflow.com/users/7763124", "Jackie Zhou")</f>
        <v>Jackie Zhou</v>
      </c>
      <c r="D21676" t="s">
        <v>4</v>
      </c>
      <c r="E21676">
        <v>1</v>
      </c>
    </row>
    <row r="21677" spans="1:5" x14ac:dyDescent="0.25">
      <c r="A21677">
        <v>21676</v>
      </c>
      <c r="B21677">
        <v>7769806</v>
      </c>
      <c r="C21677" s="1" t="str">
        <f>HYPERLINK("http://stackoverflow.com/users/7769806", "waner")</f>
        <v>waner</v>
      </c>
      <c r="D21677" t="s">
        <v>4</v>
      </c>
      <c r="E21677">
        <v>1</v>
      </c>
    </row>
    <row r="21678" spans="1:5" x14ac:dyDescent="0.25">
      <c r="A21678">
        <v>21677</v>
      </c>
      <c r="B21678">
        <v>7778511</v>
      </c>
      <c r="C21678" s="1" t="str">
        <f>HYPERLINK("http://stackoverflow.com/users/7778511", "Gongsheng Xu")</f>
        <v>Gongsheng Xu</v>
      </c>
      <c r="D21678" t="s">
        <v>215</v>
      </c>
      <c r="E21678">
        <v>1</v>
      </c>
    </row>
    <row r="21679" spans="1:5" x14ac:dyDescent="0.25">
      <c r="A21679">
        <v>21678</v>
      </c>
      <c r="B21679">
        <v>7778894</v>
      </c>
      <c r="C21679" s="1" t="str">
        <f>HYPERLINK("http://stackoverflow.com/users/7778894", "dirk yu")</f>
        <v>dirk yu</v>
      </c>
      <c r="D21679" t="s">
        <v>7</v>
      </c>
      <c r="E21679">
        <v>1</v>
      </c>
    </row>
    <row r="21680" spans="1:5" x14ac:dyDescent="0.25">
      <c r="A21680">
        <v>21679</v>
      </c>
      <c r="B21680">
        <v>7779862</v>
      </c>
      <c r="C21680" s="1" t="str">
        <f>HYPERLINK("http://stackoverflow.com/users/7779862", "MysticBoy")</f>
        <v>MysticBoy</v>
      </c>
      <c r="D21680" t="s">
        <v>87</v>
      </c>
      <c r="E21680">
        <v>1</v>
      </c>
    </row>
    <row r="21681" spans="1:5" x14ac:dyDescent="0.25">
      <c r="A21681">
        <v>21680</v>
      </c>
      <c r="B21681">
        <v>7789336</v>
      </c>
      <c r="C21681" s="1" t="str">
        <f>HYPERLINK("http://stackoverflow.com/users/7789336", "jacob.sun")</f>
        <v>jacob.sun</v>
      </c>
      <c r="D21681" t="s">
        <v>4</v>
      </c>
      <c r="E21681">
        <v>1</v>
      </c>
    </row>
    <row r="21682" spans="1:5" x14ac:dyDescent="0.25">
      <c r="A21682">
        <v>21681</v>
      </c>
      <c r="B21682">
        <v>7789605</v>
      </c>
      <c r="C21682" s="1" t="str">
        <f>HYPERLINK("http://stackoverflow.com/users/7789605", "liuz")</f>
        <v>liuz</v>
      </c>
      <c r="D21682" t="s">
        <v>118</v>
      </c>
      <c r="E21682">
        <v>1</v>
      </c>
    </row>
    <row r="21683" spans="1:5" x14ac:dyDescent="0.25">
      <c r="A21683">
        <v>21682</v>
      </c>
      <c r="B21683">
        <v>7789764</v>
      </c>
      <c r="C21683" s="1" t="str">
        <f>HYPERLINK("http://stackoverflow.com/users/7789764", "张珏铖")</f>
        <v>张珏铖</v>
      </c>
      <c r="D21683" t="s">
        <v>484</v>
      </c>
      <c r="E21683">
        <v>1</v>
      </c>
    </row>
    <row r="21684" spans="1:5" x14ac:dyDescent="0.25">
      <c r="A21684">
        <v>21683</v>
      </c>
      <c r="B21684">
        <v>7790292</v>
      </c>
      <c r="C21684" s="1" t="str">
        <f>HYPERLINK("http://stackoverflow.com/users/7790292", "FutaoSmile")</f>
        <v>FutaoSmile</v>
      </c>
      <c r="D21684" t="s">
        <v>4</v>
      </c>
      <c r="E21684">
        <v>1</v>
      </c>
    </row>
    <row r="21685" spans="1:5" x14ac:dyDescent="0.25">
      <c r="A21685">
        <v>21684</v>
      </c>
      <c r="B21685">
        <v>5960666</v>
      </c>
      <c r="C21685" s="1" t="str">
        <f>HYPERLINK("http://stackoverflow.com/users/5960666", "YOLO")</f>
        <v>YOLO</v>
      </c>
      <c r="D21685" t="s">
        <v>5</v>
      </c>
      <c r="E21685">
        <v>1</v>
      </c>
    </row>
    <row r="21686" spans="1:5" x14ac:dyDescent="0.25">
      <c r="A21686">
        <v>21685</v>
      </c>
      <c r="B21686">
        <v>5960707</v>
      </c>
      <c r="C21686" s="1" t="str">
        <f>HYPERLINK("http://stackoverflow.com/users/5960707", "kongchung")</f>
        <v>kongchung</v>
      </c>
      <c r="D21686" t="s">
        <v>57</v>
      </c>
      <c r="E21686">
        <v>1</v>
      </c>
    </row>
    <row r="21687" spans="1:5" x14ac:dyDescent="0.25">
      <c r="A21687">
        <v>21686</v>
      </c>
      <c r="B21687">
        <v>5960783</v>
      </c>
      <c r="C21687" s="1" t="str">
        <f>HYPERLINK("http://stackoverflow.com/users/5960783", "Hsiao-nan Cheung")</f>
        <v>Hsiao-nan Cheung</v>
      </c>
      <c r="D21687" t="s">
        <v>1146</v>
      </c>
      <c r="E21687">
        <v>1</v>
      </c>
    </row>
    <row r="21688" spans="1:5" x14ac:dyDescent="0.25">
      <c r="A21688">
        <v>21687</v>
      </c>
      <c r="B21688">
        <v>5960932</v>
      </c>
      <c r="C21688" s="1" t="str">
        <f>HYPERLINK("http://stackoverflow.com/users/5960932", "pengzhi pengzhi")</f>
        <v>pengzhi pengzhi</v>
      </c>
      <c r="D21688" t="s">
        <v>7</v>
      </c>
      <c r="E21688">
        <v>1</v>
      </c>
    </row>
    <row r="21689" spans="1:5" x14ac:dyDescent="0.25">
      <c r="A21689">
        <v>21688</v>
      </c>
      <c r="B21689">
        <v>5960990</v>
      </c>
      <c r="C21689" s="1" t="str">
        <f>HYPERLINK("http://stackoverflow.com/users/5960990", "Justin")</f>
        <v>Justin</v>
      </c>
      <c r="D21689" t="s">
        <v>5</v>
      </c>
      <c r="E21689">
        <v>1</v>
      </c>
    </row>
    <row r="21690" spans="1:5" x14ac:dyDescent="0.25">
      <c r="A21690">
        <v>21689</v>
      </c>
      <c r="B21690">
        <v>7713174</v>
      </c>
      <c r="C21690" s="1" t="str">
        <f>HYPERLINK("http://stackoverflow.com/users/7713174", "Bill Tsui")</f>
        <v>Bill Tsui</v>
      </c>
      <c r="D21690" t="s">
        <v>4</v>
      </c>
      <c r="E21690">
        <v>1</v>
      </c>
    </row>
    <row r="21691" spans="1:5" x14ac:dyDescent="0.25">
      <c r="A21691">
        <v>21690</v>
      </c>
      <c r="B21691">
        <v>5968348</v>
      </c>
      <c r="C21691" s="1" t="str">
        <f>HYPERLINK("http://stackoverflow.com/users/5968348", "Zhu Yi")</f>
        <v>Zhu Yi</v>
      </c>
      <c r="D21691" t="s">
        <v>42</v>
      </c>
      <c r="E21691">
        <v>1</v>
      </c>
    </row>
    <row r="21692" spans="1:5" x14ac:dyDescent="0.25">
      <c r="A21692">
        <v>21691</v>
      </c>
      <c r="B21692">
        <v>4210385</v>
      </c>
      <c r="C21692" s="1" t="str">
        <f>HYPERLINK("http://stackoverflow.com/users/4210385", "shadow")</f>
        <v>shadow</v>
      </c>
      <c r="D21692" t="s">
        <v>12</v>
      </c>
      <c r="E21692">
        <v>1</v>
      </c>
    </row>
    <row r="21693" spans="1:5" x14ac:dyDescent="0.25">
      <c r="A21693">
        <v>21692</v>
      </c>
      <c r="B21693">
        <v>4210837</v>
      </c>
      <c r="C21693" s="1" t="str">
        <f>HYPERLINK("http://stackoverflow.com/users/4210837", "Carter Pottery")</f>
        <v>Carter Pottery</v>
      </c>
      <c r="D21693" t="s">
        <v>12</v>
      </c>
      <c r="E21693">
        <v>1</v>
      </c>
    </row>
    <row r="21694" spans="1:5" x14ac:dyDescent="0.25">
      <c r="A21694">
        <v>21693</v>
      </c>
      <c r="B21694">
        <v>5989526</v>
      </c>
      <c r="C21694" s="1" t="str">
        <f>HYPERLINK("http://stackoverflow.com/users/5989526", "bbxyard")</f>
        <v>bbxyard</v>
      </c>
      <c r="D21694" t="s">
        <v>1147</v>
      </c>
      <c r="E21694">
        <v>1</v>
      </c>
    </row>
    <row r="21695" spans="1:5" x14ac:dyDescent="0.25">
      <c r="A21695">
        <v>21694</v>
      </c>
      <c r="B21695">
        <v>4219027</v>
      </c>
      <c r="C21695" s="1" t="str">
        <f>HYPERLINK("http://stackoverflow.com/users/4219027", "金思宇")</f>
        <v>金思宇</v>
      </c>
      <c r="D21695" t="s">
        <v>37</v>
      </c>
      <c r="E21695">
        <v>1</v>
      </c>
    </row>
    <row r="21696" spans="1:5" x14ac:dyDescent="0.25">
      <c r="A21696">
        <v>21695</v>
      </c>
      <c r="B21696">
        <v>7732004</v>
      </c>
      <c r="C21696" s="1" t="str">
        <f>HYPERLINK("http://stackoverflow.com/users/7732004", "Chengzhong SHEN")</f>
        <v>Chengzhong SHEN</v>
      </c>
      <c r="D21696" t="s">
        <v>4</v>
      </c>
      <c r="E21696">
        <v>1</v>
      </c>
    </row>
    <row r="21697" spans="1:5" x14ac:dyDescent="0.25">
      <c r="A21697">
        <v>21696</v>
      </c>
      <c r="B21697">
        <v>5990678</v>
      </c>
      <c r="C21697" s="1" t="str">
        <f>HYPERLINK("http://stackoverflow.com/users/5990678", "Superuser")</f>
        <v>Superuser</v>
      </c>
      <c r="D21697" t="s">
        <v>5</v>
      </c>
      <c r="E21697">
        <v>1</v>
      </c>
    </row>
    <row r="21698" spans="1:5" x14ac:dyDescent="0.25">
      <c r="A21698">
        <v>21697</v>
      </c>
      <c r="B21698">
        <v>5990700</v>
      </c>
      <c r="C21698" s="1" t="str">
        <f>HYPERLINK("http://stackoverflow.com/users/5990700", "Zhang Lei")</f>
        <v>Zhang Lei</v>
      </c>
      <c r="D21698" t="s">
        <v>1148</v>
      </c>
      <c r="E21698">
        <v>1</v>
      </c>
    </row>
    <row r="21699" spans="1:5" x14ac:dyDescent="0.25">
      <c r="A21699">
        <v>21698</v>
      </c>
      <c r="B21699">
        <v>7741076</v>
      </c>
      <c r="C21699" s="1" t="str">
        <f>HYPERLINK("http://stackoverflow.com/users/7741076", "Carlos Luke")</f>
        <v>Carlos Luke</v>
      </c>
      <c r="D21699" t="s">
        <v>28</v>
      </c>
      <c r="E21699">
        <v>1</v>
      </c>
    </row>
    <row r="21700" spans="1:5" x14ac:dyDescent="0.25">
      <c r="A21700">
        <v>21699</v>
      </c>
      <c r="B21700">
        <v>6000346</v>
      </c>
      <c r="C21700" s="1" t="str">
        <f>HYPERLINK("http://stackoverflow.com/users/6000346", "Jeff Weng")</f>
        <v>Jeff Weng</v>
      </c>
      <c r="D21700" t="s">
        <v>4</v>
      </c>
      <c r="E21700">
        <v>1</v>
      </c>
    </row>
    <row r="21701" spans="1:5" x14ac:dyDescent="0.25">
      <c r="A21701">
        <v>21700</v>
      </c>
      <c r="B21701">
        <v>5944827</v>
      </c>
      <c r="C21701" s="1" t="str">
        <f>HYPERLINK("http://stackoverflow.com/users/5944827", "zafar")</f>
        <v>zafar</v>
      </c>
      <c r="D21701" t="s">
        <v>55</v>
      </c>
      <c r="E21701">
        <v>1</v>
      </c>
    </row>
    <row r="21702" spans="1:5" x14ac:dyDescent="0.25">
      <c r="A21702">
        <v>21701</v>
      </c>
      <c r="B21702">
        <v>5938383</v>
      </c>
      <c r="C21702" s="1" t="str">
        <f>HYPERLINK("http://stackoverflow.com/users/5938383", "Shao Nan")</f>
        <v>Shao Nan</v>
      </c>
      <c r="D21702" t="s">
        <v>4</v>
      </c>
      <c r="E21702">
        <v>1</v>
      </c>
    </row>
    <row r="21703" spans="1:5" x14ac:dyDescent="0.25">
      <c r="A21703">
        <v>21702</v>
      </c>
      <c r="B21703">
        <v>7691367</v>
      </c>
      <c r="C21703" s="1" t="str">
        <f>HYPERLINK("http://stackoverflow.com/users/7691367", "youngman")</f>
        <v>youngman</v>
      </c>
      <c r="D21703" t="s">
        <v>27</v>
      </c>
      <c r="E21703">
        <v>1</v>
      </c>
    </row>
    <row r="21704" spans="1:5" x14ac:dyDescent="0.25">
      <c r="A21704">
        <v>21703</v>
      </c>
      <c r="B21704">
        <v>5945661</v>
      </c>
      <c r="C21704" s="1" t="str">
        <f>HYPERLINK("http://stackoverflow.com/users/5945661", "Yilin Chen")</f>
        <v>Yilin Chen</v>
      </c>
      <c r="D21704" t="s">
        <v>25</v>
      </c>
      <c r="E21704">
        <v>1</v>
      </c>
    </row>
    <row r="21705" spans="1:5" x14ac:dyDescent="0.25">
      <c r="A21705">
        <v>21704</v>
      </c>
      <c r="B21705">
        <v>7697541</v>
      </c>
      <c r="C21705" s="1" t="str">
        <f>HYPERLINK("http://stackoverflow.com/users/7697541", "manza")</f>
        <v>manza</v>
      </c>
      <c r="D21705" t="s">
        <v>184</v>
      </c>
      <c r="E21705">
        <v>1</v>
      </c>
    </row>
    <row r="21706" spans="1:5" x14ac:dyDescent="0.25">
      <c r="A21706">
        <v>21705</v>
      </c>
      <c r="B21706">
        <v>7697550</v>
      </c>
      <c r="C21706" s="1" t="str">
        <f>HYPERLINK("http://stackoverflow.com/users/7697550", "yiy")</f>
        <v>yiy</v>
      </c>
      <c r="D21706" t="s">
        <v>4</v>
      </c>
      <c r="E21706">
        <v>1</v>
      </c>
    </row>
    <row r="21707" spans="1:5" x14ac:dyDescent="0.25">
      <c r="A21707">
        <v>21706</v>
      </c>
      <c r="B21707">
        <v>7697767</v>
      </c>
      <c r="C21707" s="1" t="str">
        <f>HYPERLINK("http://stackoverflow.com/users/7697767", "Kelos")</f>
        <v>Kelos</v>
      </c>
      <c r="D21707" t="s">
        <v>4</v>
      </c>
      <c r="E21707">
        <v>1</v>
      </c>
    </row>
    <row r="21708" spans="1:5" x14ac:dyDescent="0.25">
      <c r="A21708">
        <v>21707</v>
      </c>
      <c r="B21708">
        <v>7697875</v>
      </c>
      <c r="C21708" s="1" t="str">
        <f>HYPERLINK("http://stackoverflow.com/users/7697875", "X.Hua")</f>
        <v>X.Hua</v>
      </c>
      <c r="D21708" t="s">
        <v>4</v>
      </c>
      <c r="E21708">
        <v>1</v>
      </c>
    </row>
    <row r="21709" spans="1:5" x14ac:dyDescent="0.25">
      <c r="A21709">
        <v>21708</v>
      </c>
      <c r="B21709">
        <v>7698237</v>
      </c>
      <c r="C21709" s="1" t="str">
        <f>HYPERLINK("http://stackoverflow.com/users/7698237", "Seongmin Kim")</f>
        <v>Seongmin Kim</v>
      </c>
      <c r="D21709" t="s">
        <v>215</v>
      </c>
      <c r="E21709">
        <v>1</v>
      </c>
    </row>
    <row r="21710" spans="1:5" x14ac:dyDescent="0.25">
      <c r="A21710">
        <v>21709</v>
      </c>
      <c r="B21710">
        <v>4185284</v>
      </c>
      <c r="C21710" s="1" t="str">
        <f>HYPERLINK("http://stackoverflow.com/users/4185284", "yb_wwww")</f>
        <v>yb_wwww</v>
      </c>
      <c r="D21710" t="s">
        <v>5</v>
      </c>
      <c r="E21710">
        <v>1</v>
      </c>
    </row>
    <row r="21711" spans="1:5" x14ac:dyDescent="0.25">
      <c r="A21711">
        <v>21710</v>
      </c>
      <c r="B21711">
        <v>5958933</v>
      </c>
      <c r="C21711" s="1" t="str">
        <f>HYPERLINK("http://stackoverflow.com/users/5958933", "Stefan Liu")</f>
        <v>Stefan Liu</v>
      </c>
      <c r="D21711" t="s">
        <v>5</v>
      </c>
      <c r="E21711">
        <v>1</v>
      </c>
    </row>
    <row r="21712" spans="1:5" x14ac:dyDescent="0.25">
      <c r="A21712">
        <v>21711</v>
      </c>
      <c r="B21712">
        <v>5959046</v>
      </c>
      <c r="C21712" s="1" t="str">
        <f>HYPERLINK("http://stackoverflow.com/users/5959046", "Sanzo.Black")</f>
        <v>Sanzo.Black</v>
      </c>
      <c r="D21712" t="s">
        <v>4</v>
      </c>
      <c r="E21712">
        <v>1</v>
      </c>
    </row>
    <row r="21713" spans="1:5" x14ac:dyDescent="0.25">
      <c r="A21713">
        <v>21712</v>
      </c>
      <c r="B21713">
        <v>7705708</v>
      </c>
      <c r="C21713" s="1" t="str">
        <f>HYPERLINK("http://stackoverflow.com/users/7705708", "Lee Tsang")</f>
        <v>Lee Tsang</v>
      </c>
      <c r="D21713" t="s">
        <v>1149</v>
      </c>
      <c r="E21713">
        <v>1</v>
      </c>
    </row>
    <row r="21714" spans="1:5" x14ac:dyDescent="0.25">
      <c r="A21714">
        <v>21713</v>
      </c>
      <c r="B21714">
        <v>7705967</v>
      </c>
      <c r="C21714" s="1" t="str">
        <f>HYPERLINK("http://stackoverflow.com/users/7705967", "Jerry Chen")</f>
        <v>Jerry Chen</v>
      </c>
      <c r="D21714" t="s">
        <v>11</v>
      </c>
      <c r="E21714">
        <v>1</v>
      </c>
    </row>
    <row r="21715" spans="1:5" x14ac:dyDescent="0.25">
      <c r="A21715">
        <v>21714</v>
      </c>
      <c r="B21715">
        <v>7706070</v>
      </c>
      <c r="C21715" s="1" t="str">
        <f>HYPERLINK("http://stackoverflow.com/users/7706070", "Wiminique")</f>
        <v>Wiminique</v>
      </c>
      <c r="D21715" t="s">
        <v>4</v>
      </c>
      <c r="E21715">
        <v>1</v>
      </c>
    </row>
    <row r="21716" spans="1:5" x14ac:dyDescent="0.25">
      <c r="A21716">
        <v>21715</v>
      </c>
      <c r="B21716">
        <v>5929028</v>
      </c>
      <c r="C21716" s="1" t="str">
        <f>HYPERLINK("http://stackoverflow.com/users/5929028", "Tianyu.Bai")</f>
        <v>Tianyu.Bai</v>
      </c>
      <c r="D21716" t="s">
        <v>16</v>
      </c>
      <c r="E21716">
        <v>1</v>
      </c>
    </row>
    <row r="21717" spans="1:5" x14ac:dyDescent="0.25">
      <c r="A21717">
        <v>21716</v>
      </c>
      <c r="B21717">
        <v>7675734</v>
      </c>
      <c r="C21717" s="1" t="str">
        <f>HYPERLINK("http://stackoverflow.com/users/7675734", "Valley Tang")</f>
        <v>Valley Tang</v>
      </c>
      <c r="D21717" t="s">
        <v>11</v>
      </c>
      <c r="E21717">
        <v>1</v>
      </c>
    </row>
    <row r="21718" spans="1:5" x14ac:dyDescent="0.25">
      <c r="A21718">
        <v>21717</v>
      </c>
      <c r="B21718">
        <v>7675787</v>
      </c>
      <c r="C21718" s="1" t="str">
        <f>HYPERLINK("http://stackoverflow.com/users/7675787", "huntingkevin")</f>
        <v>huntingkevin</v>
      </c>
      <c r="D21718" t="s">
        <v>4</v>
      </c>
      <c r="E21718">
        <v>1</v>
      </c>
    </row>
    <row r="21719" spans="1:5" x14ac:dyDescent="0.25">
      <c r="A21719">
        <v>21718</v>
      </c>
      <c r="B21719">
        <v>7675821</v>
      </c>
      <c r="C21719" s="1" t="str">
        <f>HYPERLINK("http://stackoverflow.com/users/7675821", "jimmy.He")</f>
        <v>jimmy.He</v>
      </c>
      <c r="D21719" t="s">
        <v>52</v>
      </c>
      <c r="E21719">
        <v>1</v>
      </c>
    </row>
    <row r="21720" spans="1:5" x14ac:dyDescent="0.25">
      <c r="A21720">
        <v>21719</v>
      </c>
      <c r="B21720">
        <v>7675910</v>
      </c>
      <c r="C21720" s="1" t="str">
        <f>HYPERLINK("http://stackoverflow.com/users/7675910", "cl w")</f>
        <v>cl w</v>
      </c>
      <c r="D21720" t="s">
        <v>131</v>
      </c>
      <c r="E21720">
        <v>1</v>
      </c>
    </row>
    <row r="21721" spans="1:5" x14ac:dyDescent="0.25">
      <c r="A21721">
        <v>21720</v>
      </c>
      <c r="B21721">
        <v>7675960</v>
      </c>
      <c r="C21721" s="1" t="str">
        <f>HYPERLINK("http://stackoverflow.com/users/7675960", "jason-mao")</f>
        <v>jason-mao</v>
      </c>
      <c r="D21721" t="s">
        <v>4</v>
      </c>
      <c r="E21721">
        <v>1</v>
      </c>
    </row>
    <row r="21722" spans="1:5" x14ac:dyDescent="0.25">
      <c r="A21722">
        <v>21721</v>
      </c>
      <c r="B21722">
        <v>7685137</v>
      </c>
      <c r="C21722" s="1" t="str">
        <f>HYPERLINK("http://stackoverflow.com/users/7685137", "Xin Lin")</f>
        <v>Xin Lin</v>
      </c>
      <c r="D21722" t="s">
        <v>5</v>
      </c>
      <c r="E21722">
        <v>1</v>
      </c>
    </row>
    <row r="21723" spans="1:5" x14ac:dyDescent="0.25">
      <c r="A21723">
        <v>21722</v>
      </c>
      <c r="B21723">
        <v>7685503</v>
      </c>
      <c r="C21723" s="1" t="str">
        <f>HYPERLINK("http://stackoverflow.com/users/7685503", "jerry")</f>
        <v>jerry</v>
      </c>
      <c r="D21723" t="s">
        <v>16</v>
      </c>
      <c r="E21723">
        <v>1</v>
      </c>
    </row>
    <row r="21724" spans="1:5" x14ac:dyDescent="0.25">
      <c r="A21724">
        <v>21723</v>
      </c>
      <c r="B21724">
        <v>4172204</v>
      </c>
      <c r="C21724" s="1" t="str">
        <f>HYPERLINK("http://stackoverflow.com/users/4172204", "greatcl")</f>
        <v>greatcl</v>
      </c>
      <c r="D21724" t="s">
        <v>4</v>
      </c>
      <c r="E21724">
        <v>1</v>
      </c>
    </row>
    <row r="21725" spans="1:5" x14ac:dyDescent="0.25">
      <c r="A21725">
        <v>21724</v>
      </c>
      <c r="B21725">
        <v>5939141</v>
      </c>
      <c r="C21725" s="1" t="str">
        <f>HYPERLINK("http://stackoverflow.com/users/5939141", "Profeel")</f>
        <v>Profeel</v>
      </c>
      <c r="D21725" t="s">
        <v>353</v>
      </c>
      <c r="E21725">
        <v>1</v>
      </c>
    </row>
    <row r="21726" spans="1:5" x14ac:dyDescent="0.25">
      <c r="A21726">
        <v>21725</v>
      </c>
      <c r="B21726">
        <v>5944565</v>
      </c>
      <c r="C21726" s="1" t="str">
        <f>HYPERLINK("http://stackoverflow.com/users/5944565", "Para.Ryon")</f>
        <v>Para.Ryon</v>
      </c>
      <c r="D21726" t="s">
        <v>5</v>
      </c>
      <c r="E21726">
        <v>1</v>
      </c>
    </row>
    <row r="21727" spans="1:5" x14ac:dyDescent="0.25">
      <c r="A21727">
        <v>21726</v>
      </c>
      <c r="B21727">
        <v>7675701</v>
      </c>
      <c r="C21727" s="1" t="str">
        <f>HYPERLINK("http://stackoverflow.com/users/7675701", "Jay Lu")</f>
        <v>Jay Lu</v>
      </c>
      <c r="D21727" t="s">
        <v>4</v>
      </c>
      <c r="E21727">
        <v>1</v>
      </c>
    </row>
    <row r="21728" spans="1:5" x14ac:dyDescent="0.25">
      <c r="A21728">
        <v>21727</v>
      </c>
      <c r="B21728">
        <v>4160998</v>
      </c>
      <c r="C21728" s="1" t="str">
        <f>HYPERLINK("http://stackoverflow.com/users/4160998", "codist")</f>
        <v>codist</v>
      </c>
      <c r="D21728" t="s">
        <v>5</v>
      </c>
      <c r="E21728">
        <v>1</v>
      </c>
    </row>
    <row r="21729" spans="1:5" x14ac:dyDescent="0.25">
      <c r="A21729">
        <v>21728</v>
      </c>
      <c r="B21729">
        <v>5928463</v>
      </c>
      <c r="C21729" s="1" t="str">
        <f>HYPERLINK("http://stackoverflow.com/users/5928463", "Xu.BobNee")</f>
        <v>Xu.BobNee</v>
      </c>
      <c r="D21729" t="s">
        <v>5</v>
      </c>
      <c r="E21729">
        <v>1</v>
      </c>
    </row>
    <row r="21730" spans="1:5" x14ac:dyDescent="0.25">
      <c r="A21730">
        <v>21729</v>
      </c>
      <c r="B21730">
        <v>4161752</v>
      </c>
      <c r="C21730" s="1" t="str">
        <f>HYPERLINK("http://stackoverflow.com/users/4161752", "Shawn Zhang")</f>
        <v>Shawn Zhang</v>
      </c>
      <c r="D21730" t="s">
        <v>17</v>
      </c>
      <c r="E21730">
        <v>1</v>
      </c>
    </row>
    <row r="21731" spans="1:5" x14ac:dyDescent="0.25">
      <c r="A21731">
        <v>21730</v>
      </c>
      <c r="B21731">
        <v>5928439</v>
      </c>
      <c r="C21731" s="1" t="str">
        <f>HYPERLINK("http://stackoverflow.com/users/5928439", "Tian.Zuo")</f>
        <v>Tian.Zuo</v>
      </c>
      <c r="D21731" t="s">
        <v>16</v>
      </c>
      <c r="E21731">
        <v>1</v>
      </c>
    </row>
    <row r="21732" spans="1:5" x14ac:dyDescent="0.25">
      <c r="A21732">
        <v>21731</v>
      </c>
      <c r="B21732">
        <v>4133770</v>
      </c>
      <c r="C21732" s="1" t="str">
        <f>HYPERLINK("http://stackoverflow.com/users/4133770", "尤戌尘")</f>
        <v>尤戌尘</v>
      </c>
      <c r="D21732" t="s">
        <v>5</v>
      </c>
      <c r="E21732">
        <v>1</v>
      </c>
    </row>
    <row r="21733" spans="1:5" x14ac:dyDescent="0.25">
      <c r="A21733">
        <v>21732</v>
      </c>
      <c r="B21733">
        <v>9590549</v>
      </c>
      <c r="C21733" s="1" t="str">
        <f>HYPERLINK("http://stackoverflow.com/users/9590549", "Benjamin Li")</f>
        <v>Benjamin Li</v>
      </c>
      <c r="D21733" t="s">
        <v>25</v>
      </c>
      <c r="E21733">
        <v>1</v>
      </c>
    </row>
    <row r="21734" spans="1:5" x14ac:dyDescent="0.25">
      <c r="A21734">
        <v>21733</v>
      </c>
      <c r="B21734">
        <v>9590707</v>
      </c>
      <c r="C21734" s="1" t="str">
        <f>HYPERLINK("http://stackoverflow.com/users/9590707", "Nbrql")</f>
        <v>Nbrql</v>
      </c>
      <c r="D21734" t="s">
        <v>5</v>
      </c>
      <c r="E21734">
        <v>1</v>
      </c>
    </row>
    <row r="21735" spans="1:5" x14ac:dyDescent="0.25">
      <c r="A21735">
        <v>21734</v>
      </c>
      <c r="B21735">
        <v>5909025</v>
      </c>
      <c r="C21735" s="1" t="str">
        <f>HYPERLINK("http://stackoverflow.com/users/5909025", "Chai")</f>
        <v>Chai</v>
      </c>
      <c r="D21735" t="s">
        <v>12</v>
      </c>
      <c r="E21735">
        <v>1</v>
      </c>
    </row>
    <row r="21736" spans="1:5" x14ac:dyDescent="0.25">
      <c r="A21736">
        <v>21735</v>
      </c>
      <c r="B21736">
        <v>9596238</v>
      </c>
      <c r="C21736" s="1" t="str">
        <f>HYPERLINK("http://stackoverflow.com/users/9596238", "WuLyn")</f>
        <v>WuLyn</v>
      </c>
      <c r="D21736" t="s">
        <v>146</v>
      </c>
      <c r="E21736">
        <v>1</v>
      </c>
    </row>
    <row r="21737" spans="1:5" x14ac:dyDescent="0.25">
      <c r="A21737">
        <v>21736</v>
      </c>
      <c r="B21737">
        <v>7656359</v>
      </c>
      <c r="C21737" s="1" t="str">
        <f>HYPERLINK("http://stackoverflow.com/users/7656359", "shelter")</f>
        <v>shelter</v>
      </c>
      <c r="D21737" t="s">
        <v>7</v>
      </c>
      <c r="E21737">
        <v>1</v>
      </c>
    </row>
    <row r="21738" spans="1:5" x14ac:dyDescent="0.25">
      <c r="A21738">
        <v>21737</v>
      </c>
      <c r="B21738">
        <v>7656714</v>
      </c>
      <c r="C21738" s="1" t="str">
        <f>HYPERLINK("http://stackoverflow.com/users/7656714", "Benjamin Lombard")</f>
        <v>Benjamin Lombard</v>
      </c>
      <c r="D21738" t="s">
        <v>25</v>
      </c>
      <c r="E21738">
        <v>1</v>
      </c>
    </row>
    <row r="21739" spans="1:5" x14ac:dyDescent="0.25">
      <c r="A21739">
        <v>21738</v>
      </c>
      <c r="B21739">
        <v>4143817</v>
      </c>
      <c r="C21739" s="1" t="str">
        <f>HYPERLINK("http://stackoverflow.com/users/4143817", "9Ke")</f>
        <v>9Ke</v>
      </c>
      <c r="D21739" t="s">
        <v>12</v>
      </c>
      <c r="E21739">
        <v>1</v>
      </c>
    </row>
    <row r="21740" spans="1:5" x14ac:dyDescent="0.25">
      <c r="A21740">
        <v>21739</v>
      </c>
      <c r="B21740">
        <v>9600584</v>
      </c>
      <c r="C21740" s="1" t="str">
        <f>HYPERLINK("http://stackoverflow.com/users/9600584", "Judy")</f>
        <v>Judy</v>
      </c>
      <c r="D21740" t="s">
        <v>4</v>
      </c>
      <c r="E21740">
        <v>1</v>
      </c>
    </row>
    <row r="21741" spans="1:5" x14ac:dyDescent="0.25">
      <c r="A21741">
        <v>21740</v>
      </c>
      <c r="B21741">
        <v>7661106</v>
      </c>
      <c r="C21741" s="1" t="str">
        <f>HYPERLINK("http://stackoverflow.com/users/7661106", "Lau Harry")</f>
        <v>Lau Harry</v>
      </c>
      <c r="D21741" t="s">
        <v>28</v>
      </c>
      <c r="E21741">
        <v>1</v>
      </c>
    </row>
    <row r="21742" spans="1:5" x14ac:dyDescent="0.25">
      <c r="A21742">
        <v>21741</v>
      </c>
      <c r="B21742">
        <v>7661159</v>
      </c>
      <c r="C21742" s="1" t="str">
        <f>HYPERLINK("http://stackoverflow.com/users/7661159", "Ethan")</f>
        <v>Ethan</v>
      </c>
      <c r="D21742" t="s">
        <v>25</v>
      </c>
      <c r="E21742">
        <v>1</v>
      </c>
    </row>
    <row r="21743" spans="1:5" x14ac:dyDescent="0.25">
      <c r="A21743">
        <v>21742</v>
      </c>
      <c r="B21743">
        <v>4143933</v>
      </c>
      <c r="C21743" s="1" t="str">
        <f>HYPERLINK("http://stackoverflow.com/users/4143933", "alan deng")</f>
        <v>alan deng</v>
      </c>
      <c r="D21743" t="s">
        <v>5</v>
      </c>
      <c r="E21743">
        <v>1</v>
      </c>
    </row>
    <row r="21744" spans="1:5" x14ac:dyDescent="0.25">
      <c r="A21744">
        <v>21743</v>
      </c>
      <c r="B21744">
        <v>2411668</v>
      </c>
      <c r="C21744" s="1" t="str">
        <f>HYPERLINK("http://stackoverflow.com/users/2411668", "qz.wang")</f>
        <v>qz.wang</v>
      </c>
      <c r="D21744" t="s">
        <v>4</v>
      </c>
      <c r="E21744">
        <v>1</v>
      </c>
    </row>
    <row r="21745" spans="1:5" x14ac:dyDescent="0.25">
      <c r="A21745">
        <v>21744</v>
      </c>
      <c r="B21745">
        <v>9589949</v>
      </c>
      <c r="C21745" s="1" t="str">
        <f>HYPERLINK("http://stackoverflow.com/users/9589949", "rapheal guo")</f>
        <v>rapheal guo</v>
      </c>
      <c r="D21745" t="s">
        <v>47</v>
      </c>
      <c r="E21745">
        <v>1</v>
      </c>
    </row>
    <row r="21746" spans="1:5" x14ac:dyDescent="0.25">
      <c r="A21746">
        <v>21745</v>
      </c>
      <c r="B21746">
        <v>7651465</v>
      </c>
      <c r="C21746" s="1" t="str">
        <f>HYPERLINK("http://stackoverflow.com/users/7651465", "吴金晶")</f>
        <v>吴金晶</v>
      </c>
      <c r="D21746" t="s">
        <v>43</v>
      </c>
      <c r="E21746">
        <v>1</v>
      </c>
    </row>
    <row r="21747" spans="1:5" x14ac:dyDescent="0.25">
      <c r="A21747">
        <v>21746</v>
      </c>
      <c r="B21747">
        <v>7651697</v>
      </c>
      <c r="C21747" s="1" t="str">
        <f>HYPERLINK("http://stackoverflow.com/users/7651697", "Loka")</f>
        <v>Loka</v>
      </c>
      <c r="D21747" t="s">
        <v>4</v>
      </c>
      <c r="E21747">
        <v>1</v>
      </c>
    </row>
    <row r="21748" spans="1:5" x14ac:dyDescent="0.25">
      <c r="A21748">
        <v>21747</v>
      </c>
      <c r="B21748">
        <v>7651734</v>
      </c>
      <c r="C21748" s="1" t="str">
        <f>HYPERLINK("http://stackoverflow.com/users/7651734", "Pengyun Zhang")</f>
        <v>Pengyun Zhang</v>
      </c>
      <c r="D21748" t="s">
        <v>79</v>
      </c>
      <c r="E21748">
        <v>1</v>
      </c>
    </row>
    <row r="21749" spans="1:5" x14ac:dyDescent="0.25">
      <c r="A21749">
        <v>21748</v>
      </c>
      <c r="B21749">
        <v>7644709</v>
      </c>
      <c r="C21749" s="1" t="str">
        <f>HYPERLINK("http://stackoverflow.com/users/7644709", "Fulin")</f>
        <v>Fulin</v>
      </c>
      <c r="D21749" t="s">
        <v>5</v>
      </c>
      <c r="E21749">
        <v>1</v>
      </c>
    </row>
    <row r="21750" spans="1:5" x14ac:dyDescent="0.25">
      <c r="A21750">
        <v>21749</v>
      </c>
      <c r="B21750">
        <v>7644715</v>
      </c>
      <c r="C21750" s="1" t="str">
        <f>HYPERLINK("http://stackoverflow.com/users/7644715", "cloud wang")</f>
        <v>cloud wang</v>
      </c>
      <c r="D21750" t="s">
        <v>4</v>
      </c>
      <c r="E21750">
        <v>1</v>
      </c>
    </row>
    <row r="21751" spans="1:5" x14ac:dyDescent="0.25">
      <c r="A21751">
        <v>21750</v>
      </c>
      <c r="B21751">
        <v>7644954</v>
      </c>
      <c r="C21751" s="1" t="str">
        <f>HYPERLINK("http://stackoverflow.com/users/7644954", "Y.Li")</f>
        <v>Y.Li</v>
      </c>
      <c r="D21751" t="s">
        <v>7</v>
      </c>
      <c r="E21751">
        <v>1</v>
      </c>
    </row>
    <row r="21752" spans="1:5" x14ac:dyDescent="0.25">
      <c r="A21752">
        <v>21751</v>
      </c>
      <c r="B21752">
        <v>7644961</v>
      </c>
      <c r="C21752" s="1" t="str">
        <f>HYPERLINK("http://stackoverflow.com/users/7644961", "Lambo Young")</f>
        <v>Lambo Young</v>
      </c>
      <c r="D21752" t="s">
        <v>25</v>
      </c>
      <c r="E21752">
        <v>1</v>
      </c>
    </row>
    <row r="21753" spans="1:5" x14ac:dyDescent="0.25">
      <c r="A21753">
        <v>21752</v>
      </c>
      <c r="B21753">
        <v>7645003</v>
      </c>
      <c r="C21753" s="1" t="str">
        <f>HYPERLINK("http://stackoverflow.com/users/7645003", "wuke")</f>
        <v>wuke</v>
      </c>
      <c r="D21753" t="s">
        <v>131</v>
      </c>
      <c r="E21753">
        <v>1</v>
      </c>
    </row>
    <row r="21754" spans="1:5" x14ac:dyDescent="0.25">
      <c r="A21754">
        <v>21753</v>
      </c>
      <c r="B21754">
        <v>9582000</v>
      </c>
      <c r="C21754" s="1" t="str">
        <f>HYPERLINK("http://stackoverflow.com/users/9582000", "Promisery")</f>
        <v>Promisery</v>
      </c>
      <c r="D21754" t="s">
        <v>176</v>
      </c>
      <c r="E21754">
        <v>1</v>
      </c>
    </row>
    <row r="21755" spans="1:5" x14ac:dyDescent="0.25">
      <c r="A21755">
        <v>21754</v>
      </c>
      <c r="B21755">
        <v>7647250</v>
      </c>
      <c r="C21755" s="1" t="str">
        <f>HYPERLINK("http://stackoverflow.com/users/7647250", "fellix")</f>
        <v>fellix</v>
      </c>
      <c r="D21755" t="s">
        <v>4</v>
      </c>
      <c r="E21755">
        <v>1</v>
      </c>
    </row>
    <row r="21756" spans="1:5" x14ac:dyDescent="0.25">
      <c r="A21756">
        <v>21755</v>
      </c>
      <c r="B21756">
        <v>4128645</v>
      </c>
      <c r="C21756" s="1" t="str">
        <f>HYPERLINK("http://stackoverflow.com/users/4128645", "matteo")</f>
        <v>matteo</v>
      </c>
      <c r="D21756" t="s">
        <v>4</v>
      </c>
      <c r="E21756">
        <v>1</v>
      </c>
    </row>
    <row r="21757" spans="1:5" x14ac:dyDescent="0.25">
      <c r="A21757">
        <v>21756</v>
      </c>
      <c r="B21757">
        <v>2401733</v>
      </c>
      <c r="C21757" s="1" t="str">
        <f>HYPERLINK("http://stackoverflow.com/users/2401733", "liao siwei")</f>
        <v>liao siwei</v>
      </c>
      <c r="D21757" t="s">
        <v>5</v>
      </c>
      <c r="E21757">
        <v>1</v>
      </c>
    </row>
    <row r="21758" spans="1:5" x14ac:dyDescent="0.25">
      <c r="A21758">
        <v>21757</v>
      </c>
      <c r="B21758">
        <v>2402005</v>
      </c>
      <c r="C21758" s="1" t="str">
        <f>HYPERLINK("http://stackoverflow.com/users/2402005", "hezhigang")</f>
        <v>hezhigang</v>
      </c>
      <c r="D21758" t="s">
        <v>5</v>
      </c>
      <c r="E21758">
        <v>1</v>
      </c>
    </row>
    <row r="21759" spans="1:5" x14ac:dyDescent="0.25">
      <c r="A21759">
        <v>21758</v>
      </c>
      <c r="B21759">
        <v>7639818</v>
      </c>
      <c r="C21759" s="1" t="str">
        <f>HYPERLINK("http://stackoverflow.com/users/7639818", "Dave Zhao")</f>
        <v>Dave Zhao</v>
      </c>
      <c r="D21759" t="s">
        <v>43</v>
      </c>
      <c r="E21759">
        <v>1</v>
      </c>
    </row>
    <row r="21760" spans="1:5" x14ac:dyDescent="0.25">
      <c r="A21760">
        <v>21759</v>
      </c>
      <c r="B21760">
        <v>7644638</v>
      </c>
      <c r="C21760" s="1" t="str">
        <f>HYPERLINK("http://stackoverflow.com/users/7644638", "RicLee")</f>
        <v>RicLee</v>
      </c>
      <c r="D21760" t="s">
        <v>1150</v>
      </c>
      <c r="E21760">
        <v>1</v>
      </c>
    </row>
    <row r="21761" spans="1:5" x14ac:dyDescent="0.25">
      <c r="A21761">
        <v>21760</v>
      </c>
      <c r="B21761">
        <v>7644647</v>
      </c>
      <c r="C21761" s="1" t="str">
        <f>HYPERLINK("http://stackoverflow.com/users/7644647", "Hydrist")</f>
        <v>Hydrist</v>
      </c>
      <c r="D21761" t="s">
        <v>5</v>
      </c>
      <c r="E21761">
        <v>1</v>
      </c>
    </row>
    <row r="21762" spans="1:5" x14ac:dyDescent="0.25">
      <c r="A21762">
        <v>21761</v>
      </c>
      <c r="B21762">
        <v>9575874</v>
      </c>
      <c r="C21762" s="1" t="str">
        <f>HYPERLINK("http://stackoverflow.com/users/9575874", "Allen Jane")</f>
        <v>Allen Jane</v>
      </c>
      <c r="D21762" t="s">
        <v>5</v>
      </c>
      <c r="E21762">
        <v>1</v>
      </c>
    </row>
    <row r="21763" spans="1:5" x14ac:dyDescent="0.25">
      <c r="A21763">
        <v>21762</v>
      </c>
      <c r="B21763">
        <v>2400456</v>
      </c>
      <c r="C21763" s="1" t="str">
        <f>HYPERLINK("http://stackoverflow.com/users/2400456", "sffytian")</f>
        <v>sffytian</v>
      </c>
      <c r="D21763" t="s">
        <v>4</v>
      </c>
      <c r="E21763">
        <v>1</v>
      </c>
    </row>
    <row r="21764" spans="1:5" x14ac:dyDescent="0.25">
      <c r="A21764">
        <v>21763</v>
      </c>
      <c r="B21764">
        <v>2400532</v>
      </c>
      <c r="C21764" s="1" t="str">
        <f>HYPERLINK("http://stackoverflow.com/users/2400532", "Jack Qiu")</f>
        <v>Jack Qiu</v>
      </c>
      <c r="D21764" t="s">
        <v>17</v>
      </c>
      <c r="E21764">
        <v>1</v>
      </c>
    </row>
    <row r="21765" spans="1:5" x14ac:dyDescent="0.25">
      <c r="A21765">
        <v>21764</v>
      </c>
      <c r="B21765">
        <v>2400763</v>
      </c>
      <c r="C21765" s="1" t="str">
        <f>HYPERLINK("http://stackoverflow.com/users/2400763", "cathy")</f>
        <v>cathy</v>
      </c>
      <c r="D21765" t="s">
        <v>5</v>
      </c>
      <c r="E21765">
        <v>1</v>
      </c>
    </row>
    <row r="21766" spans="1:5" x14ac:dyDescent="0.25">
      <c r="A21766">
        <v>21765</v>
      </c>
      <c r="B21766">
        <v>2400867</v>
      </c>
      <c r="C21766" s="1" t="str">
        <f>HYPERLINK("http://stackoverflow.com/users/2400867", "Vale Tu")</f>
        <v>Vale Tu</v>
      </c>
      <c r="D21766" t="s">
        <v>17</v>
      </c>
      <c r="E21766">
        <v>1</v>
      </c>
    </row>
    <row r="21767" spans="1:5" x14ac:dyDescent="0.25">
      <c r="A21767">
        <v>21766</v>
      </c>
      <c r="B21767">
        <v>2401010</v>
      </c>
      <c r="C21767" s="1" t="str">
        <f>HYPERLINK("http://stackoverflow.com/users/2401010", "john_xl")</f>
        <v>john_xl</v>
      </c>
      <c r="D21767" t="s">
        <v>4</v>
      </c>
      <c r="E21767">
        <v>1</v>
      </c>
    </row>
    <row r="21768" spans="1:5" x14ac:dyDescent="0.25">
      <c r="A21768">
        <v>21767</v>
      </c>
      <c r="B21768">
        <v>2401476</v>
      </c>
      <c r="C21768" s="1" t="str">
        <f>HYPERLINK("http://stackoverflow.com/users/2401476", "andyzhao")</f>
        <v>andyzhao</v>
      </c>
      <c r="D21768" t="s">
        <v>17</v>
      </c>
      <c r="E21768">
        <v>1</v>
      </c>
    </row>
    <row r="21769" spans="1:5" x14ac:dyDescent="0.25">
      <c r="A21769">
        <v>21768</v>
      </c>
      <c r="B21769">
        <v>2401532</v>
      </c>
      <c r="C21769" s="1" t="str">
        <f>HYPERLINK("http://stackoverflow.com/users/2401532", "mks khalid")</f>
        <v>mks khalid</v>
      </c>
      <c r="D21769" t="s">
        <v>1151</v>
      </c>
      <c r="E21769">
        <v>1</v>
      </c>
    </row>
    <row r="21770" spans="1:5" x14ac:dyDescent="0.25">
      <c r="A21770">
        <v>21769</v>
      </c>
      <c r="B21770">
        <v>5882733</v>
      </c>
      <c r="C21770" s="1" t="str">
        <f>HYPERLINK("http://stackoverflow.com/users/5882733", "NickCao")</f>
        <v>NickCao</v>
      </c>
      <c r="D21770" t="s">
        <v>4</v>
      </c>
      <c r="E21770">
        <v>1</v>
      </c>
    </row>
    <row r="21771" spans="1:5" x14ac:dyDescent="0.25">
      <c r="A21771">
        <v>21770</v>
      </c>
      <c r="B21771">
        <v>9567014</v>
      </c>
      <c r="C21771" s="1" t="str">
        <f>HYPERLINK("http://stackoverflow.com/users/9567014", "高忠鸿")</f>
        <v>高忠鸿</v>
      </c>
      <c r="D21771" t="s">
        <v>5</v>
      </c>
      <c r="E21771">
        <v>1</v>
      </c>
    </row>
    <row r="21772" spans="1:5" x14ac:dyDescent="0.25">
      <c r="A21772">
        <v>21771</v>
      </c>
      <c r="B21772">
        <v>9567028</v>
      </c>
      <c r="C21772" s="1" t="str">
        <f>HYPERLINK("http://stackoverflow.com/users/9567028", "Brian Chan")</f>
        <v>Brian Chan</v>
      </c>
      <c r="D21772" t="s">
        <v>47</v>
      </c>
      <c r="E21772">
        <v>1</v>
      </c>
    </row>
    <row r="21773" spans="1:5" x14ac:dyDescent="0.25">
      <c r="A21773">
        <v>21772</v>
      </c>
      <c r="B21773">
        <v>9570329</v>
      </c>
      <c r="C21773" s="1" t="str">
        <f>HYPERLINK("http://stackoverflow.com/users/9570329", "John Smith")</f>
        <v>John Smith</v>
      </c>
      <c r="D21773" t="s">
        <v>4</v>
      </c>
      <c r="E21773">
        <v>1</v>
      </c>
    </row>
    <row r="21774" spans="1:5" x14ac:dyDescent="0.25">
      <c r="A21774">
        <v>21773</v>
      </c>
      <c r="B21774">
        <v>5886119</v>
      </c>
      <c r="C21774" s="1" t="str">
        <f>HYPERLINK("http://stackoverflow.com/users/5886119", "flyingbird")</f>
        <v>flyingbird</v>
      </c>
      <c r="D21774" t="s">
        <v>581</v>
      </c>
      <c r="E21774">
        <v>1</v>
      </c>
    </row>
    <row r="21775" spans="1:5" x14ac:dyDescent="0.25">
      <c r="A21775">
        <v>21774</v>
      </c>
      <c r="B21775">
        <v>5886307</v>
      </c>
      <c r="C21775" s="1" t="str">
        <f>HYPERLINK("http://stackoverflow.com/users/5886307", "Bill_Ji")</f>
        <v>Bill_Ji</v>
      </c>
      <c r="D21775" t="s">
        <v>4</v>
      </c>
      <c r="E21775">
        <v>1</v>
      </c>
    </row>
    <row r="21776" spans="1:5" x14ac:dyDescent="0.25">
      <c r="A21776">
        <v>21775</v>
      </c>
      <c r="B21776">
        <v>5886348</v>
      </c>
      <c r="C21776" s="1" t="str">
        <f>HYPERLINK("http://stackoverflow.com/users/5886348", "Alex Wu")</f>
        <v>Alex Wu</v>
      </c>
      <c r="D21776" t="s">
        <v>4</v>
      </c>
      <c r="E21776">
        <v>1</v>
      </c>
    </row>
    <row r="21777" spans="1:5" x14ac:dyDescent="0.25">
      <c r="A21777">
        <v>21776</v>
      </c>
      <c r="B21777">
        <v>5886481</v>
      </c>
      <c r="C21777" s="1" t="str">
        <f>HYPERLINK("http://stackoverflow.com/users/5886481", "lovywinsy")</f>
        <v>lovywinsy</v>
      </c>
      <c r="D21777" t="s">
        <v>4</v>
      </c>
      <c r="E21777">
        <v>1</v>
      </c>
    </row>
    <row r="21778" spans="1:5" x14ac:dyDescent="0.25">
      <c r="A21778">
        <v>21777</v>
      </c>
      <c r="B21778">
        <v>9456842</v>
      </c>
      <c r="C21778" s="1" t="str">
        <f>HYPERLINK("http://stackoverflow.com/users/9456842", "Deanly")</f>
        <v>Deanly</v>
      </c>
      <c r="D21778" t="s">
        <v>52</v>
      </c>
      <c r="E21778">
        <v>1</v>
      </c>
    </row>
    <row r="21779" spans="1:5" x14ac:dyDescent="0.25">
      <c r="A21779">
        <v>21778</v>
      </c>
      <c r="B21779">
        <v>7544402</v>
      </c>
      <c r="C21779" s="1" t="str">
        <f>HYPERLINK("http://stackoverflow.com/users/7544402", "ByiProX")</f>
        <v>ByiProX</v>
      </c>
      <c r="D21779" t="s">
        <v>5</v>
      </c>
      <c r="E21779">
        <v>1</v>
      </c>
    </row>
    <row r="21780" spans="1:5" x14ac:dyDescent="0.25">
      <c r="A21780">
        <v>21779</v>
      </c>
      <c r="B21780">
        <v>7544622</v>
      </c>
      <c r="C21780" s="1" t="str">
        <f>HYPERLINK("http://stackoverflow.com/users/7544622", "xiaobing li")</f>
        <v>xiaobing li</v>
      </c>
      <c r="D21780" t="s">
        <v>5</v>
      </c>
      <c r="E21780">
        <v>1</v>
      </c>
    </row>
    <row r="21781" spans="1:5" x14ac:dyDescent="0.25">
      <c r="A21781">
        <v>21780</v>
      </c>
      <c r="B21781">
        <v>4017841</v>
      </c>
      <c r="C21781" s="1" t="str">
        <f>HYPERLINK("http://stackoverflow.com/users/4017841", "Mengqi Pei")</f>
        <v>Mengqi Pei</v>
      </c>
      <c r="D21781" t="s">
        <v>4</v>
      </c>
      <c r="E21781">
        <v>1</v>
      </c>
    </row>
    <row r="21782" spans="1:5" x14ac:dyDescent="0.25">
      <c r="A21782">
        <v>21781</v>
      </c>
      <c r="B21782">
        <v>5797766</v>
      </c>
      <c r="C21782" s="1" t="str">
        <f>HYPERLINK("http://stackoverflow.com/users/5797766", "wuyuanwei")</f>
        <v>wuyuanwei</v>
      </c>
      <c r="D21782" t="s">
        <v>5</v>
      </c>
      <c r="E21782">
        <v>1</v>
      </c>
    </row>
    <row r="21783" spans="1:5" x14ac:dyDescent="0.25">
      <c r="A21783">
        <v>21782</v>
      </c>
      <c r="B21783">
        <v>9466675</v>
      </c>
      <c r="C21783" s="1" t="str">
        <f>HYPERLINK("http://stackoverflow.com/users/9466675", "zh w")</f>
        <v>zh w</v>
      </c>
      <c r="D21783" t="s">
        <v>25</v>
      </c>
      <c r="E21783">
        <v>1</v>
      </c>
    </row>
    <row r="21784" spans="1:5" x14ac:dyDescent="0.25">
      <c r="A21784">
        <v>21783</v>
      </c>
      <c r="B21784">
        <v>11264685</v>
      </c>
      <c r="C21784" s="1" t="str">
        <f>HYPERLINK("http://stackoverflow.com/users/11264685", "user11264685")</f>
        <v>user11264685</v>
      </c>
      <c r="D21784" t="s">
        <v>5</v>
      </c>
      <c r="E21784">
        <v>1</v>
      </c>
    </row>
    <row r="21785" spans="1:5" x14ac:dyDescent="0.25">
      <c r="A21785">
        <v>21784</v>
      </c>
      <c r="B21785">
        <v>9471398</v>
      </c>
      <c r="C21785" s="1" t="str">
        <f>HYPERLINK("http://stackoverflow.com/users/9471398", "clegane sandor")</f>
        <v>clegane sandor</v>
      </c>
      <c r="D21785" t="s">
        <v>675</v>
      </c>
      <c r="E21785">
        <v>1</v>
      </c>
    </row>
    <row r="21786" spans="1:5" x14ac:dyDescent="0.25">
      <c r="A21786">
        <v>21785</v>
      </c>
      <c r="B21786">
        <v>9471443</v>
      </c>
      <c r="C21786" s="1" t="str">
        <f>HYPERLINK("http://stackoverflow.com/users/9471443", "Brown_LiuZan")</f>
        <v>Brown_LiuZan</v>
      </c>
      <c r="D21786" t="s">
        <v>5</v>
      </c>
      <c r="E21786">
        <v>1</v>
      </c>
    </row>
    <row r="21787" spans="1:5" x14ac:dyDescent="0.25">
      <c r="A21787">
        <v>21786</v>
      </c>
      <c r="B21787">
        <v>11250762</v>
      </c>
      <c r="C21787" s="1" t="str">
        <f>HYPERLINK("http://stackoverflow.com/users/11250762", "Mark Song")</f>
        <v>Mark Song</v>
      </c>
      <c r="D21787" t="s">
        <v>5</v>
      </c>
      <c r="E21787">
        <v>1</v>
      </c>
    </row>
    <row r="21788" spans="1:5" x14ac:dyDescent="0.25">
      <c r="A21788">
        <v>21787</v>
      </c>
      <c r="B21788">
        <v>7540494</v>
      </c>
      <c r="C21788" s="1" t="str">
        <f>HYPERLINK("http://stackoverflow.com/users/7540494", "meisterwhu")</f>
        <v>meisterwhu</v>
      </c>
      <c r="D21788" t="s">
        <v>16</v>
      </c>
      <c r="E21788">
        <v>1</v>
      </c>
    </row>
    <row r="21789" spans="1:5" x14ac:dyDescent="0.25">
      <c r="A21789">
        <v>21788</v>
      </c>
      <c r="B21789">
        <v>5783144</v>
      </c>
      <c r="C21789" s="1" t="str">
        <f>HYPERLINK("http://stackoverflow.com/users/5783144", "alvis.qin")</f>
        <v>alvis.qin</v>
      </c>
      <c r="D21789" t="s">
        <v>21</v>
      </c>
      <c r="E21789">
        <v>1</v>
      </c>
    </row>
    <row r="21790" spans="1:5" x14ac:dyDescent="0.25">
      <c r="A21790">
        <v>21789</v>
      </c>
      <c r="B21790">
        <v>4002354</v>
      </c>
      <c r="C21790" s="1" t="str">
        <f>HYPERLINK("http://stackoverflow.com/users/4002354", "kimyan")</f>
        <v>kimyan</v>
      </c>
      <c r="D21790" t="s">
        <v>21</v>
      </c>
      <c r="E21790">
        <v>1</v>
      </c>
    </row>
    <row r="21791" spans="1:5" x14ac:dyDescent="0.25">
      <c r="A21791">
        <v>21790</v>
      </c>
      <c r="B21791">
        <v>4002456</v>
      </c>
      <c r="C21791" s="1" t="str">
        <f>HYPERLINK("http://stackoverflow.com/users/4002456", "wjiayi70")</f>
        <v>wjiayi70</v>
      </c>
      <c r="D21791" t="s">
        <v>4</v>
      </c>
      <c r="E21791">
        <v>1</v>
      </c>
    </row>
    <row r="21792" spans="1:5" x14ac:dyDescent="0.25">
      <c r="A21792">
        <v>21791</v>
      </c>
      <c r="B21792">
        <v>5783344</v>
      </c>
      <c r="C21792" s="1" t="str">
        <f>HYPERLINK("http://stackoverflow.com/users/5783344", "LinZaisheng")</f>
        <v>LinZaisheng</v>
      </c>
      <c r="D21792" t="s">
        <v>5</v>
      </c>
      <c r="E21792">
        <v>1</v>
      </c>
    </row>
    <row r="21793" spans="1:5" x14ac:dyDescent="0.25">
      <c r="A21793">
        <v>21792</v>
      </c>
      <c r="B21793">
        <v>7534126</v>
      </c>
      <c r="C21793" s="1" t="str">
        <f>HYPERLINK("http://stackoverflow.com/users/7534126", "CXVurtne")</f>
        <v>CXVurtne</v>
      </c>
      <c r="D21793" t="s">
        <v>7</v>
      </c>
      <c r="E21793">
        <v>1</v>
      </c>
    </row>
    <row r="21794" spans="1:5" x14ac:dyDescent="0.25">
      <c r="A21794">
        <v>21793</v>
      </c>
      <c r="B21794">
        <v>7534438</v>
      </c>
      <c r="C21794" s="1" t="str">
        <f>HYPERLINK("http://stackoverflow.com/users/7534438", "Du Peng")</f>
        <v>Du Peng</v>
      </c>
      <c r="D21794" t="s">
        <v>19</v>
      </c>
      <c r="E21794">
        <v>1</v>
      </c>
    </row>
    <row r="21795" spans="1:5" x14ac:dyDescent="0.25">
      <c r="A21795">
        <v>21794</v>
      </c>
      <c r="B21795">
        <v>9449028</v>
      </c>
      <c r="C21795" s="1" t="str">
        <f>HYPERLINK("http://stackoverflow.com/users/9449028", "LegendPotato")</f>
        <v>LegendPotato</v>
      </c>
      <c r="D21795" t="s">
        <v>5</v>
      </c>
      <c r="E21795">
        <v>1</v>
      </c>
    </row>
    <row r="21796" spans="1:5" x14ac:dyDescent="0.25">
      <c r="A21796">
        <v>21795</v>
      </c>
      <c r="B21796">
        <v>9449058</v>
      </c>
      <c r="C21796" s="1" t="str">
        <f>HYPERLINK("http://stackoverflow.com/users/9449058", "Jane Z")</f>
        <v>Jane Z</v>
      </c>
      <c r="D21796" t="s">
        <v>25</v>
      </c>
      <c r="E21796">
        <v>1</v>
      </c>
    </row>
    <row r="21797" spans="1:5" x14ac:dyDescent="0.25">
      <c r="A21797">
        <v>21796</v>
      </c>
      <c r="B21797">
        <v>9449106</v>
      </c>
      <c r="C21797" s="1" t="str">
        <f>HYPERLINK("http://stackoverflow.com/users/9449106", "yyamber")</f>
        <v>yyamber</v>
      </c>
      <c r="D21797" t="s">
        <v>1152</v>
      </c>
      <c r="E21797">
        <v>1</v>
      </c>
    </row>
    <row r="21798" spans="1:5" x14ac:dyDescent="0.25">
      <c r="A21798">
        <v>21797</v>
      </c>
      <c r="B21798">
        <v>9449135</v>
      </c>
      <c r="C21798" s="1" t="str">
        <f>HYPERLINK("http://stackoverflow.com/users/9449135", "Robin Chen")</f>
        <v>Robin Chen</v>
      </c>
      <c r="D21798" t="s">
        <v>4</v>
      </c>
      <c r="E21798">
        <v>1</v>
      </c>
    </row>
    <row r="21799" spans="1:5" x14ac:dyDescent="0.25">
      <c r="A21799">
        <v>21798</v>
      </c>
      <c r="B21799">
        <v>11246366</v>
      </c>
      <c r="C21799" s="1" t="str">
        <f>HYPERLINK("http://stackoverflow.com/users/11246366", "xiong son")</f>
        <v>xiong son</v>
      </c>
      <c r="D21799" t="s">
        <v>320</v>
      </c>
      <c r="E21799">
        <v>1</v>
      </c>
    </row>
    <row r="21800" spans="1:5" x14ac:dyDescent="0.25">
      <c r="A21800">
        <v>21799</v>
      </c>
      <c r="B21800">
        <v>11246775</v>
      </c>
      <c r="C21800" s="1" t="str">
        <f>HYPERLINK("http://stackoverflow.com/users/11246775", "Ultimate_knight")</f>
        <v>Ultimate_knight</v>
      </c>
      <c r="D21800" t="s">
        <v>52</v>
      </c>
      <c r="E21800">
        <v>1</v>
      </c>
    </row>
    <row r="21801" spans="1:5" x14ac:dyDescent="0.25">
      <c r="A21801">
        <v>21800</v>
      </c>
      <c r="B21801">
        <v>7519316</v>
      </c>
      <c r="C21801" s="1" t="str">
        <f>HYPERLINK("http://stackoverflow.com/users/7519316", "王王昊")</f>
        <v>王王昊</v>
      </c>
      <c r="D21801" t="s">
        <v>5</v>
      </c>
      <c r="E21801">
        <v>1</v>
      </c>
    </row>
    <row r="21802" spans="1:5" x14ac:dyDescent="0.25">
      <c r="A21802">
        <v>21801</v>
      </c>
      <c r="B21802">
        <v>3992136</v>
      </c>
      <c r="C21802" s="1" t="str">
        <f>HYPERLINK("http://stackoverflow.com/users/3992136", "Michael")</f>
        <v>Michael</v>
      </c>
      <c r="D21802" t="s">
        <v>4</v>
      </c>
      <c r="E21802">
        <v>1</v>
      </c>
    </row>
    <row r="21803" spans="1:5" x14ac:dyDescent="0.25">
      <c r="A21803">
        <v>21802</v>
      </c>
      <c r="B21803">
        <v>5771608</v>
      </c>
      <c r="C21803" s="1" t="str">
        <f>HYPERLINK("http://stackoverflow.com/users/5771608", "octopusthu")</f>
        <v>octopusthu</v>
      </c>
      <c r="D21803" t="s">
        <v>176</v>
      </c>
      <c r="E21803">
        <v>1</v>
      </c>
    </row>
    <row r="21804" spans="1:5" x14ac:dyDescent="0.25">
      <c r="A21804">
        <v>21803</v>
      </c>
      <c r="B21804">
        <v>5771624</v>
      </c>
      <c r="C21804" s="1" t="str">
        <f>HYPERLINK("http://stackoverflow.com/users/5771624", "Dai Cang")</f>
        <v>Dai Cang</v>
      </c>
      <c r="D21804" t="s">
        <v>5</v>
      </c>
      <c r="E21804">
        <v>1</v>
      </c>
    </row>
    <row r="21805" spans="1:5" x14ac:dyDescent="0.25">
      <c r="A21805">
        <v>21804</v>
      </c>
      <c r="B21805">
        <v>5771649</v>
      </c>
      <c r="C21805" s="1" t="str">
        <f>HYPERLINK("http://stackoverflow.com/users/5771649", "xiaxiaoao")</f>
        <v>xiaxiaoao</v>
      </c>
      <c r="D21805" t="s">
        <v>5</v>
      </c>
      <c r="E21805">
        <v>1</v>
      </c>
    </row>
    <row r="21806" spans="1:5" x14ac:dyDescent="0.25">
      <c r="A21806">
        <v>21805</v>
      </c>
      <c r="B21806">
        <v>5771707</v>
      </c>
      <c r="C21806" s="1" t="str">
        <f>HYPERLINK("http://stackoverflow.com/users/5771707", "csranger")</f>
        <v>csranger</v>
      </c>
      <c r="D21806" t="s">
        <v>4</v>
      </c>
      <c r="E21806">
        <v>1</v>
      </c>
    </row>
    <row r="21807" spans="1:5" x14ac:dyDescent="0.25">
      <c r="A21807">
        <v>21806</v>
      </c>
      <c r="B21807">
        <v>5771746</v>
      </c>
      <c r="C21807" s="1" t="str">
        <f>HYPERLINK("http://stackoverflow.com/users/5771746", "张毓庆")</f>
        <v>张毓庆</v>
      </c>
      <c r="D21807" t="s">
        <v>5</v>
      </c>
      <c r="E21807">
        <v>1</v>
      </c>
    </row>
    <row r="21808" spans="1:5" x14ac:dyDescent="0.25">
      <c r="A21808">
        <v>21807</v>
      </c>
      <c r="B21808">
        <v>3994875</v>
      </c>
      <c r="C21808" s="1" t="str">
        <f>HYPERLINK("http://stackoverflow.com/users/3994875", "xlee")</f>
        <v>xlee</v>
      </c>
      <c r="D21808" t="s">
        <v>17</v>
      </c>
      <c r="E21808">
        <v>1</v>
      </c>
    </row>
    <row r="21809" spans="1:5" x14ac:dyDescent="0.25">
      <c r="A21809">
        <v>21808</v>
      </c>
      <c r="B21809">
        <v>3981139</v>
      </c>
      <c r="C21809" s="1" t="str">
        <f>HYPERLINK("http://stackoverflow.com/users/3981139", "Xianglong Wu")</f>
        <v>Xianglong Wu</v>
      </c>
      <c r="D21809" t="s">
        <v>5</v>
      </c>
      <c r="E21809">
        <v>1</v>
      </c>
    </row>
    <row r="21810" spans="1:5" x14ac:dyDescent="0.25">
      <c r="A21810">
        <v>21809</v>
      </c>
      <c r="B21810">
        <v>9422716</v>
      </c>
      <c r="C21810" s="1" t="str">
        <f>HYPERLINK("http://stackoverflow.com/users/9422716", "lwang")</f>
        <v>lwang</v>
      </c>
      <c r="D21810" t="s">
        <v>4</v>
      </c>
      <c r="E21810">
        <v>1</v>
      </c>
    </row>
    <row r="21811" spans="1:5" x14ac:dyDescent="0.25">
      <c r="A21811">
        <v>21810</v>
      </c>
      <c r="B21811">
        <v>9422896</v>
      </c>
      <c r="C21811" s="1" t="str">
        <f>HYPERLINK("http://stackoverflow.com/users/9422896", "HQ L")</f>
        <v>HQ L</v>
      </c>
      <c r="D21811" t="s">
        <v>4</v>
      </c>
      <c r="E21811">
        <v>1</v>
      </c>
    </row>
    <row r="21812" spans="1:5" x14ac:dyDescent="0.25">
      <c r="A21812">
        <v>21811</v>
      </c>
      <c r="B21812">
        <v>11226438</v>
      </c>
      <c r="C21812" s="1" t="str">
        <f>HYPERLINK("http://stackoverflow.com/users/11226438", "Symeon Chen")</f>
        <v>Symeon Chen</v>
      </c>
      <c r="D21812" t="s">
        <v>4</v>
      </c>
      <c r="E21812">
        <v>1</v>
      </c>
    </row>
    <row r="21813" spans="1:5" x14ac:dyDescent="0.25">
      <c r="A21813">
        <v>21812</v>
      </c>
      <c r="B21813">
        <v>9432566</v>
      </c>
      <c r="C21813" s="1" t="str">
        <f>HYPERLINK("http://stackoverflow.com/users/9432566", "luoyu")</f>
        <v>luoyu</v>
      </c>
      <c r="D21813" t="s">
        <v>29</v>
      </c>
      <c r="E21813">
        <v>1</v>
      </c>
    </row>
    <row r="21814" spans="1:5" x14ac:dyDescent="0.25">
      <c r="A21814">
        <v>21813</v>
      </c>
      <c r="B21814">
        <v>9432614</v>
      </c>
      <c r="C21814" s="1" t="str">
        <f>HYPERLINK("http://stackoverflow.com/users/9432614", "patrick.dai")</f>
        <v>patrick.dai</v>
      </c>
      <c r="D21814" t="s">
        <v>4</v>
      </c>
      <c r="E21814">
        <v>1</v>
      </c>
    </row>
    <row r="21815" spans="1:5" x14ac:dyDescent="0.25">
      <c r="A21815">
        <v>21814</v>
      </c>
      <c r="B21815">
        <v>9432892</v>
      </c>
      <c r="C21815" s="1" t="str">
        <f>HYPERLINK("http://stackoverflow.com/users/9432892", "Galen.Pan")</f>
        <v>Galen.Pan</v>
      </c>
      <c r="D21815" t="s">
        <v>131</v>
      </c>
      <c r="E21815">
        <v>1</v>
      </c>
    </row>
    <row r="21816" spans="1:5" x14ac:dyDescent="0.25">
      <c r="A21816">
        <v>21815</v>
      </c>
      <c r="B21816">
        <v>9432926</v>
      </c>
      <c r="C21816" s="1" t="str">
        <f>HYPERLINK("http://stackoverflow.com/users/9432926", "飞翔的企鹅")</f>
        <v>飞翔的企鹅</v>
      </c>
      <c r="D21816" t="s">
        <v>5</v>
      </c>
      <c r="E21816">
        <v>1</v>
      </c>
    </row>
    <row r="21817" spans="1:5" x14ac:dyDescent="0.25">
      <c r="A21817">
        <v>21816</v>
      </c>
      <c r="B21817">
        <v>9432975</v>
      </c>
      <c r="C21817" s="1" t="str">
        <f>HYPERLINK("http://stackoverflow.com/users/9432975", "Zhongyuan Zhang")</f>
        <v>Zhongyuan Zhang</v>
      </c>
      <c r="D21817" t="s">
        <v>16</v>
      </c>
      <c r="E21817">
        <v>1</v>
      </c>
    </row>
    <row r="21818" spans="1:5" x14ac:dyDescent="0.25">
      <c r="A21818">
        <v>21817</v>
      </c>
      <c r="B21818">
        <v>3997645</v>
      </c>
      <c r="C21818" s="1" t="str">
        <f>HYPERLINK("http://stackoverflow.com/users/3997645", "NoName")</f>
        <v>NoName</v>
      </c>
      <c r="D21818" t="s">
        <v>5</v>
      </c>
      <c r="E21818">
        <v>1</v>
      </c>
    </row>
    <row r="21819" spans="1:5" x14ac:dyDescent="0.25">
      <c r="A21819">
        <v>21818</v>
      </c>
      <c r="B21819">
        <v>3997664</v>
      </c>
      <c r="C21819" s="1" t="str">
        <f>HYPERLINK("http://stackoverflow.com/users/3997664", "Zhang Ming Zhe")</f>
        <v>Zhang Ming Zhe</v>
      </c>
      <c r="D21819" t="s">
        <v>1153</v>
      </c>
      <c r="E21819">
        <v>1</v>
      </c>
    </row>
    <row r="21820" spans="1:5" x14ac:dyDescent="0.25">
      <c r="A21820">
        <v>21819</v>
      </c>
      <c r="B21820">
        <v>2251729</v>
      </c>
      <c r="C21820" s="1" t="str">
        <f>HYPERLINK("http://stackoverflow.com/users/2251729", "Polo")</f>
        <v>Polo</v>
      </c>
      <c r="D21820" t="s">
        <v>17</v>
      </c>
      <c r="E21820">
        <v>1</v>
      </c>
    </row>
    <row r="21821" spans="1:5" x14ac:dyDescent="0.25">
      <c r="A21821">
        <v>21820</v>
      </c>
      <c r="B21821">
        <v>2253896</v>
      </c>
      <c r="C21821" s="1" t="str">
        <f>HYPERLINK("http://stackoverflow.com/users/2253896", "ma6174")</f>
        <v>ma6174</v>
      </c>
      <c r="D21821" t="s">
        <v>277</v>
      </c>
      <c r="E21821">
        <v>1</v>
      </c>
    </row>
    <row r="21822" spans="1:5" x14ac:dyDescent="0.25">
      <c r="A21822">
        <v>21821</v>
      </c>
      <c r="B21822">
        <v>2253919</v>
      </c>
      <c r="C21822" s="1" t="str">
        <f>HYPERLINK("http://stackoverflow.com/users/2253919", "xutongtong")</f>
        <v>xutongtong</v>
      </c>
      <c r="D21822" t="s">
        <v>17</v>
      </c>
      <c r="E21822">
        <v>1</v>
      </c>
    </row>
    <row r="21823" spans="1:5" x14ac:dyDescent="0.25">
      <c r="A21823">
        <v>21822</v>
      </c>
      <c r="B21823">
        <v>2254190</v>
      </c>
      <c r="C21823" s="1" t="str">
        <f>HYPERLINK("http://stackoverflow.com/users/2254190", "Fang JiaWei")</f>
        <v>Fang JiaWei</v>
      </c>
      <c r="D21823" t="s">
        <v>21</v>
      </c>
      <c r="E21823">
        <v>1</v>
      </c>
    </row>
    <row r="21824" spans="1:5" x14ac:dyDescent="0.25">
      <c r="A21824">
        <v>21823</v>
      </c>
      <c r="B21824">
        <v>2254214</v>
      </c>
      <c r="C21824" s="1" t="str">
        <f>HYPERLINK("http://stackoverflow.com/users/2254214", "jser.me")</f>
        <v>jser.me</v>
      </c>
      <c r="D21824" t="s">
        <v>5</v>
      </c>
      <c r="E21824">
        <v>1</v>
      </c>
    </row>
    <row r="21825" spans="1:5" x14ac:dyDescent="0.25">
      <c r="A21825">
        <v>21824</v>
      </c>
      <c r="B21825">
        <v>2254278</v>
      </c>
      <c r="C21825" s="1" t="str">
        <f>HYPERLINK("http://stackoverflow.com/users/2254278", "doublepeng")</f>
        <v>doublepeng</v>
      </c>
      <c r="D21825" t="s">
        <v>8</v>
      </c>
      <c r="E21825">
        <v>1</v>
      </c>
    </row>
    <row r="21826" spans="1:5" x14ac:dyDescent="0.25">
      <c r="A21826">
        <v>21825</v>
      </c>
      <c r="B21826">
        <v>5779564</v>
      </c>
      <c r="C21826" s="1" t="str">
        <f>HYPERLINK("http://stackoverflow.com/users/5779564", "Kumar")</f>
        <v>Kumar</v>
      </c>
      <c r="D21826" t="s">
        <v>16</v>
      </c>
      <c r="E21826">
        <v>1</v>
      </c>
    </row>
    <row r="21827" spans="1:5" x14ac:dyDescent="0.25">
      <c r="A21827">
        <v>21826</v>
      </c>
      <c r="B21827">
        <v>2254518</v>
      </c>
      <c r="C21827" s="1" t="str">
        <f>HYPERLINK("http://stackoverflow.com/users/2254518", "Brook")</f>
        <v>Brook</v>
      </c>
      <c r="D21827" t="s">
        <v>5</v>
      </c>
      <c r="E21827">
        <v>1</v>
      </c>
    </row>
    <row r="21828" spans="1:5" x14ac:dyDescent="0.25">
      <c r="A21828">
        <v>21827</v>
      </c>
      <c r="B21828">
        <v>2254693</v>
      </c>
      <c r="C21828" s="1" t="str">
        <f>HYPERLINK("http://stackoverflow.com/users/2254693", "Ethan")</f>
        <v>Ethan</v>
      </c>
      <c r="D21828" t="s">
        <v>5</v>
      </c>
      <c r="E21828">
        <v>1</v>
      </c>
    </row>
    <row r="21829" spans="1:5" x14ac:dyDescent="0.25">
      <c r="A21829">
        <v>21828</v>
      </c>
      <c r="B21829">
        <v>9444464</v>
      </c>
      <c r="C21829" s="1" t="str">
        <f>HYPERLINK("http://stackoverflow.com/users/9444464", "Ryze H")</f>
        <v>Ryze H</v>
      </c>
      <c r="D21829" t="s">
        <v>57</v>
      </c>
      <c r="E21829">
        <v>1</v>
      </c>
    </row>
    <row r="21830" spans="1:5" x14ac:dyDescent="0.25">
      <c r="A21830">
        <v>21829</v>
      </c>
      <c r="B21830">
        <v>9444555</v>
      </c>
      <c r="C21830" s="1" t="str">
        <f>HYPERLINK("http://stackoverflow.com/users/9444555", "Aaron Zhang")</f>
        <v>Aaron Zhang</v>
      </c>
      <c r="D21830" t="s">
        <v>4</v>
      </c>
      <c r="E21830">
        <v>1</v>
      </c>
    </row>
    <row r="21831" spans="1:5" x14ac:dyDescent="0.25">
      <c r="A21831">
        <v>21830</v>
      </c>
      <c r="B21831">
        <v>9444894</v>
      </c>
      <c r="C21831" s="1" t="str">
        <f>HYPERLINK("http://stackoverflow.com/users/9444894", "August Zhang")</f>
        <v>August Zhang</v>
      </c>
      <c r="D21831" t="s">
        <v>5</v>
      </c>
      <c r="E21831">
        <v>1</v>
      </c>
    </row>
    <row r="21832" spans="1:5" x14ac:dyDescent="0.25">
      <c r="A21832">
        <v>21831</v>
      </c>
      <c r="B21832">
        <v>7485403</v>
      </c>
      <c r="C21832" s="1" t="str">
        <f>HYPERLINK("http://stackoverflow.com/users/7485403", "Uncle_Cat")</f>
        <v>Uncle_Cat</v>
      </c>
      <c r="D21832" t="s">
        <v>4</v>
      </c>
      <c r="E21832">
        <v>1</v>
      </c>
    </row>
    <row r="21833" spans="1:5" x14ac:dyDescent="0.25">
      <c r="A21833">
        <v>21832</v>
      </c>
      <c r="B21833">
        <v>9393892</v>
      </c>
      <c r="C21833" s="1" t="str">
        <f>HYPERLINK("http://stackoverflow.com/users/9393892", "P.Angus")</f>
        <v>P.Angus</v>
      </c>
      <c r="D21833" t="s">
        <v>25</v>
      </c>
      <c r="E21833">
        <v>1</v>
      </c>
    </row>
    <row r="21834" spans="1:5" x14ac:dyDescent="0.25">
      <c r="A21834">
        <v>21833</v>
      </c>
      <c r="B21834">
        <v>11188364</v>
      </c>
      <c r="C21834" s="1" t="str">
        <f>HYPERLINK("http://stackoverflow.com/users/11188364", "jinyuan")</f>
        <v>jinyuan</v>
      </c>
      <c r="D21834" t="s">
        <v>55</v>
      </c>
      <c r="E21834">
        <v>1</v>
      </c>
    </row>
    <row r="21835" spans="1:5" x14ac:dyDescent="0.25">
      <c r="A21835">
        <v>21834</v>
      </c>
      <c r="B21835">
        <v>3957273</v>
      </c>
      <c r="C21835" s="1" t="str">
        <f>HYPERLINK("http://stackoverflow.com/users/3957273", "epsilonyuan")</f>
        <v>epsilonyuan</v>
      </c>
      <c r="D21835" t="s">
        <v>37</v>
      </c>
      <c r="E21835">
        <v>1</v>
      </c>
    </row>
    <row r="21836" spans="1:5" x14ac:dyDescent="0.25">
      <c r="A21836">
        <v>21835</v>
      </c>
      <c r="B21836">
        <v>5736516</v>
      </c>
      <c r="C21836" s="1" t="str">
        <f>HYPERLINK("http://stackoverflow.com/users/5736516", "Chittle Skuny")</f>
        <v>Chittle Skuny</v>
      </c>
      <c r="D21836" t="s">
        <v>37</v>
      </c>
      <c r="E21836">
        <v>1</v>
      </c>
    </row>
    <row r="21837" spans="1:5" x14ac:dyDescent="0.25">
      <c r="A21837">
        <v>21836</v>
      </c>
      <c r="B21837">
        <v>11192219</v>
      </c>
      <c r="C21837" s="1" t="str">
        <f>HYPERLINK("http://stackoverflow.com/users/11192219", "Mihile Ye")</f>
        <v>Mihile Ye</v>
      </c>
      <c r="D21837" t="s">
        <v>108</v>
      </c>
      <c r="E21837">
        <v>1</v>
      </c>
    </row>
    <row r="21838" spans="1:5" x14ac:dyDescent="0.25">
      <c r="A21838">
        <v>21837</v>
      </c>
      <c r="B21838">
        <v>9411074</v>
      </c>
      <c r="C21838" s="1" t="str">
        <f>HYPERLINK("http://stackoverflow.com/users/9411074", "郑伟明")</f>
        <v>郑伟明</v>
      </c>
      <c r="D21838" t="s">
        <v>25</v>
      </c>
      <c r="E21838">
        <v>1</v>
      </c>
    </row>
    <row r="21839" spans="1:5" x14ac:dyDescent="0.25">
      <c r="A21839">
        <v>21838</v>
      </c>
      <c r="B21839">
        <v>9411118</v>
      </c>
      <c r="C21839" s="1" t="str">
        <f>HYPERLINK("http://stackoverflow.com/users/9411118", "y.zhang")</f>
        <v>y.zhang</v>
      </c>
      <c r="D21839" t="s">
        <v>1154</v>
      </c>
      <c r="E21839">
        <v>1</v>
      </c>
    </row>
    <row r="21840" spans="1:5" x14ac:dyDescent="0.25">
      <c r="A21840">
        <v>21839</v>
      </c>
      <c r="B21840">
        <v>9411248</v>
      </c>
      <c r="C21840" s="1" t="str">
        <f>HYPERLINK("http://stackoverflow.com/users/9411248", "杨焕填")</f>
        <v>杨焕填</v>
      </c>
      <c r="D21840" t="s">
        <v>25</v>
      </c>
      <c r="E21840">
        <v>1</v>
      </c>
    </row>
    <row r="21841" spans="1:5" x14ac:dyDescent="0.25">
      <c r="A21841">
        <v>21840</v>
      </c>
      <c r="B21841">
        <v>7500775</v>
      </c>
      <c r="C21841" s="1" t="str">
        <f>HYPERLINK("http://stackoverflow.com/users/7500775", "DJBird")</f>
        <v>DJBird</v>
      </c>
      <c r="D21841" t="s">
        <v>25</v>
      </c>
      <c r="E21841">
        <v>1</v>
      </c>
    </row>
    <row r="21842" spans="1:5" x14ac:dyDescent="0.25">
      <c r="A21842">
        <v>21841</v>
      </c>
      <c r="B21842">
        <v>2223791</v>
      </c>
      <c r="C21842" s="1" t="str">
        <f>HYPERLINK("http://stackoverflow.com/users/2223791", "curmind")</f>
        <v>curmind</v>
      </c>
      <c r="D21842" t="s">
        <v>43</v>
      </c>
      <c r="E21842">
        <v>1</v>
      </c>
    </row>
    <row r="21843" spans="1:5" x14ac:dyDescent="0.25">
      <c r="A21843">
        <v>21842</v>
      </c>
      <c r="B21843">
        <v>2223899</v>
      </c>
      <c r="C21843" s="1" t="str">
        <f>HYPERLINK("http://stackoverflow.com/users/2223899", "simapple")</f>
        <v>simapple</v>
      </c>
      <c r="D21843" t="s">
        <v>410</v>
      </c>
      <c r="E21843">
        <v>1</v>
      </c>
    </row>
    <row r="21844" spans="1:5" x14ac:dyDescent="0.25">
      <c r="A21844">
        <v>21843</v>
      </c>
      <c r="B21844">
        <v>2223909</v>
      </c>
      <c r="C21844" s="1" t="str">
        <f>HYPERLINK("http://stackoverflow.com/users/2223909", "Leon Wan")</f>
        <v>Leon Wan</v>
      </c>
      <c r="D21844" t="s">
        <v>5</v>
      </c>
      <c r="E21844">
        <v>1</v>
      </c>
    </row>
    <row r="21845" spans="1:5" x14ac:dyDescent="0.25">
      <c r="A21845">
        <v>21844</v>
      </c>
      <c r="B21845">
        <v>2224464</v>
      </c>
      <c r="C21845" s="1" t="str">
        <f>HYPERLINK("http://stackoverflow.com/users/2224464", "zhe")</f>
        <v>zhe</v>
      </c>
      <c r="D21845" t="s">
        <v>1155</v>
      </c>
      <c r="E21845">
        <v>1</v>
      </c>
    </row>
    <row r="21846" spans="1:5" x14ac:dyDescent="0.25">
      <c r="A21846">
        <v>21845</v>
      </c>
      <c r="B21846">
        <v>2224935</v>
      </c>
      <c r="C21846" s="1" t="str">
        <f>HYPERLINK("http://stackoverflow.com/users/2224935", "NomadThanatos")</f>
        <v>NomadThanatos</v>
      </c>
      <c r="D21846" t="s">
        <v>8</v>
      </c>
      <c r="E21846">
        <v>1</v>
      </c>
    </row>
    <row r="21847" spans="1:5" x14ac:dyDescent="0.25">
      <c r="A21847">
        <v>21846</v>
      </c>
      <c r="B21847">
        <v>9418991</v>
      </c>
      <c r="C21847" s="1" t="str">
        <f>HYPERLINK("http://stackoverflow.com/users/9418991", "Shiao Qu")</f>
        <v>Shiao Qu</v>
      </c>
      <c r="D21847" t="s">
        <v>5</v>
      </c>
      <c r="E21847">
        <v>1</v>
      </c>
    </row>
    <row r="21848" spans="1:5" x14ac:dyDescent="0.25">
      <c r="A21848">
        <v>21847</v>
      </c>
      <c r="B21848">
        <v>9419151</v>
      </c>
      <c r="C21848" s="1" t="str">
        <f>HYPERLINK("http://stackoverflow.com/users/9419151", "yangshanlin")</f>
        <v>yangshanlin</v>
      </c>
      <c r="D21848" t="s">
        <v>4</v>
      </c>
      <c r="E21848">
        <v>1</v>
      </c>
    </row>
    <row r="21849" spans="1:5" x14ac:dyDescent="0.25">
      <c r="A21849">
        <v>21848</v>
      </c>
      <c r="B21849">
        <v>5755667</v>
      </c>
      <c r="C21849" s="1" t="str">
        <f>HYPERLINK("http://stackoverflow.com/users/5755667", "lembert.liu")</f>
        <v>lembert.liu</v>
      </c>
      <c r="D21849" t="s">
        <v>5</v>
      </c>
      <c r="E21849">
        <v>1</v>
      </c>
    </row>
    <row r="21850" spans="1:5" x14ac:dyDescent="0.25">
      <c r="A21850">
        <v>21849</v>
      </c>
      <c r="B21850">
        <v>5755828</v>
      </c>
      <c r="C21850" s="1" t="str">
        <f>HYPERLINK("http://stackoverflow.com/users/5755828", "jimmy leon")</f>
        <v>jimmy leon</v>
      </c>
      <c r="D21850" t="s">
        <v>16</v>
      </c>
      <c r="E21850">
        <v>1</v>
      </c>
    </row>
    <row r="21851" spans="1:5" x14ac:dyDescent="0.25">
      <c r="A21851">
        <v>21850</v>
      </c>
      <c r="B21851">
        <v>5756017</v>
      </c>
      <c r="C21851" s="1" t="str">
        <f>HYPERLINK("http://stackoverflow.com/users/5756017", "Denzeen")</f>
        <v>Denzeen</v>
      </c>
      <c r="D21851" t="s">
        <v>4</v>
      </c>
      <c r="E21851">
        <v>1</v>
      </c>
    </row>
    <row r="21852" spans="1:5" x14ac:dyDescent="0.25">
      <c r="A21852">
        <v>21851</v>
      </c>
      <c r="B21852">
        <v>5756057</v>
      </c>
      <c r="C21852" s="1" t="str">
        <f>HYPERLINK("http://stackoverflow.com/users/5756057", "longxue1991")</f>
        <v>longxue1991</v>
      </c>
      <c r="D21852" t="s">
        <v>17</v>
      </c>
      <c r="E21852">
        <v>1</v>
      </c>
    </row>
    <row r="21853" spans="1:5" x14ac:dyDescent="0.25">
      <c r="A21853">
        <v>21852</v>
      </c>
      <c r="B21853">
        <v>5748017</v>
      </c>
      <c r="C21853" s="1" t="str">
        <f>HYPERLINK("http://stackoverflow.com/users/5748017", "zhythm")</f>
        <v>zhythm</v>
      </c>
      <c r="D21853" t="s">
        <v>5</v>
      </c>
      <c r="E21853">
        <v>1</v>
      </c>
    </row>
    <row r="21854" spans="1:5" x14ac:dyDescent="0.25">
      <c r="A21854">
        <v>21853</v>
      </c>
      <c r="B21854">
        <v>5748144</v>
      </c>
      <c r="C21854" s="1" t="str">
        <f>HYPERLINK("http://stackoverflow.com/users/5748144", "Martins")</f>
        <v>Martins</v>
      </c>
      <c r="D21854" t="s">
        <v>52</v>
      </c>
      <c r="E21854">
        <v>1</v>
      </c>
    </row>
    <row r="21855" spans="1:5" x14ac:dyDescent="0.25">
      <c r="A21855">
        <v>21854</v>
      </c>
      <c r="B21855">
        <v>5751658</v>
      </c>
      <c r="C21855" s="1" t="str">
        <f>HYPERLINK("http://stackoverflow.com/users/5751658", "dendichen")</f>
        <v>dendichen</v>
      </c>
      <c r="D21855" t="s">
        <v>4</v>
      </c>
      <c r="E21855">
        <v>1</v>
      </c>
    </row>
    <row r="21856" spans="1:5" x14ac:dyDescent="0.25">
      <c r="A21856">
        <v>21855</v>
      </c>
      <c r="B21856">
        <v>9426890</v>
      </c>
      <c r="C21856" s="1" t="str">
        <f>HYPERLINK("http://stackoverflow.com/users/9426890", "senna Tylor")</f>
        <v>senna Tylor</v>
      </c>
      <c r="D21856" t="s">
        <v>52</v>
      </c>
      <c r="E21856">
        <v>1</v>
      </c>
    </row>
    <row r="21857" spans="1:5" x14ac:dyDescent="0.25">
      <c r="A21857">
        <v>21856</v>
      </c>
      <c r="B21857">
        <v>2236172</v>
      </c>
      <c r="C21857" s="1" t="str">
        <f>HYPERLINK("http://stackoverflow.com/users/2236172", "Chris Tsang")</f>
        <v>Chris Tsang</v>
      </c>
      <c r="D21857" t="s">
        <v>5</v>
      </c>
      <c r="E21857">
        <v>1</v>
      </c>
    </row>
    <row r="21858" spans="1:5" x14ac:dyDescent="0.25">
      <c r="A21858">
        <v>21857</v>
      </c>
      <c r="B21858">
        <v>2236556</v>
      </c>
      <c r="C21858" s="1" t="str">
        <f>HYPERLINK("http://stackoverflow.com/users/2236556", "ridiculousfamous")</f>
        <v>ridiculousfamous</v>
      </c>
      <c r="D21858" t="s">
        <v>17</v>
      </c>
      <c r="E21858">
        <v>1</v>
      </c>
    </row>
    <row r="21859" spans="1:5" x14ac:dyDescent="0.25">
      <c r="A21859">
        <v>21858</v>
      </c>
      <c r="B21859">
        <v>2236867</v>
      </c>
      <c r="C21859" s="1" t="str">
        <f>HYPERLINK("http://stackoverflow.com/users/2236867", "cekiw")</f>
        <v>cekiw</v>
      </c>
      <c r="D21859" t="s">
        <v>5</v>
      </c>
      <c r="E21859">
        <v>1</v>
      </c>
    </row>
    <row r="21860" spans="1:5" x14ac:dyDescent="0.25">
      <c r="A21860">
        <v>21859</v>
      </c>
      <c r="B21860">
        <v>7514018</v>
      </c>
      <c r="C21860" s="1" t="str">
        <f>HYPERLINK("http://stackoverflow.com/users/7514018", "Jerry")</f>
        <v>Jerry</v>
      </c>
      <c r="D21860" t="s">
        <v>4</v>
      </c>
      <c r="E21860">
        <v>1</v>
      </c>
    </row>
    <row r="21861" spans="1:5" x14ac:dyDescent="0.25">
      <c r="A21861">
        <v>21860</v>
      </c>
      <c r="B21861">
        <v>7514295</v>
      </c>
      <c r="C21861" s="1" t="str">
        <f>HYPERLINK("http://stackoverflow.com/users/7514295", "beaven wang")</f>
        <v>beaven wang</v>
      </c>
      <c r="D21861" t="s">
        <v>28</v>
      </c>
      <c r="E21861">
        <v>1</v>
      </c>
    </row>
    <row r="21862" spans="1:5" x14ac:dyDescent="0.25">
      <c r="A21862">
        <v>21861</v>
      </c>
      <c r="B21862">
        <v>7514420</v>
      </c>
      <c r="C21862" s="1" t="str">
        <f>HYPERLINK("http://stackoverflow.com/users/7514420", "Chang Henry")</f>
        <v>Chang Henry</v>
      </c>
      <c r="D21862" t="s">
        <v>202</v>
      </c>
      <c r="E21862">
        <v>1</v>
      </c>
    </row>
    <row r="21863" spans="1:5" x14ac:dyDescent="0.25">
      <c r="A21863">
        <v>21862</v>
      </c>
      <c r="B21863">
        <v>7514436</v>
      </c>
      <c r="C21863" s="1" t="str">
        <f>HYPERLINK("http://stackoverflow.com/users/7514436", "Liu")</f>
        <v>Liu</v>
      </c>
      <c r="D21863" t="s">
        <v>1156</v>
      </c>
      <c r="E21863">
        <v>1</v>
      </c>
    </row>
    <row r="21864" spans="1:5" x14ac:dyDescent="0.25">
      <c r="A21864">
        <v>21863</v>
      </c>
      <c r="B21864">
        <v>3987199</v>
      </c>
      <c r="C21864" s="1" t="str">
        <f>HYPERLINK("http://stackoverflow.com/users/3987199", "SillyBilly")</f>
        <v>SillyBilly</v>
      </c>
      <c r="D21864" t="s">
        <v>4</v>
      </c>
      <c r="E21864">
        <v>1</v>
      </c>
    </row>
    <row r="21865" spans="1:5" x14ac:dyDescent="0.25">
      <c r="A21865">
        <v>21864</v>
      </c>
      <c r="B21865">
        <v>9426995</v>
      </c>
      <c r="C21865" s="1" t="str">
        <f>HYPERLINK("http://stackoverflow.com/users/9426995", "Davidyz")</f>
        <v>Davidyz</v>
      </c>
      <c r="D21865" t="s">
        <v>16</v>
      </c>
      <c r="E21865">
        <v>1</v>
      </c>
    </row>
    <row r="21866" spans="1:5" x14ac:dyDescent="0.25">
      <c r="A21866">
        <v>21865</v>
      </c>
      <c r="B21866">
        <v>9427030</v>
      </c>
      <c r="C21866" s="1" t="str">
        <f>HYPERLINK("http://stackoverflow.com/users/9427030", "rongts")</f>
        <v>rongts</v>
      </c>
      <c r="D21866" t="s">
        <v>25</v>
      </c>
      <c r="E21866">
        <v>1</v>
      </c>
    </row>
    <row r="21867" spans="1:5" x14ac:dyDescent="0.25">
      <c r="A21867">
        <v>21866</v>
      </c>
      <c r="B21867">
        <v>9427111</v>
      </c>
      <c r="C21867" s="1" t="str">
        <f>HYPERLINK("http://stackoverflow.com/users/9427111", "koo叔")</f>
        <v>koo叔</v>
      </c>
      <c r="D21867" t="s">
        <v>5</v>
      </c>
      <c r="E21867">
        <v>1</v>
      </c>
    </row>
    <row r="21868" spans="1:5" x14ac:dyDescent="0.25">
      <c r="A21868">
        <v>21867</v>
      </c>
      <c r="B21868">
        <v>9427180</v>
      </c>
      <c r="C21868" s="1" t="str">
        <f>HYPERLINK("http://stackoverflow.com/users/9427180", "Pedro")</f>
        <v>Pedro</v>
      </c>
      <c r="D21868" t="s">
        <v>7</v>
      </c>
      <c r="E21868">
        <v>1</v>
      </c>
    </row>
    <row r="21869" spans="1:5" x14ac:dyDescent="0.25">
      <c r="A21869">
        <v>21868</v>
      </c>
      <c r="B21869">
        <v>9427220</v>
      </c>
      <c r="C21869" s="1" t="str">
        <f>HYPERLINK("http://stackoverflow.com/users/9427220", "Li Li")</f>
        <v>Li Li</v>
      </c>
      <c r="D21869" t="s">
        <v>4</v>
      </c>
      <c r="E21869">
        <v>1</v>
      </c>
    </row>
    <row r="21870" spans="1:5" x14ac:dyDescent="0.25">
      <c r="A21870">
        <v>21869</v>
      </c>
      <c r="B21870">
        <v>5743559</v>
      </c>
      <c r="C21870" s="1" t="str">
        <f>HYPERLINK("http://stackoverflow.com/users/5743559", "He_Zhiyu")</f>
        <v>He_Zhiyu</v>
      </c>
      <c r="D21870" t="s">
        <v>21</v>
      </c>
      <c r="E21870">
        <v>1</v>
      </c>
    </row>
    <row r="21871" spans="1:5" x14ac:dyDescent="0.25">
      <c r="A21871">
        <v>21870</v>
      </c>
      <c r="B21871">
        <v>11200557</v>
      </c>
      <c r="C21871" s="1" t="str">
        <f>HYPERLINK("http://stackoverflow.com/users/11200557", "Bing.zhang")</f>
        <v>Bing.zhang</v>
      </c>
      <c r="D21871" t="s">
        <v>55</v>
      </c>
      <c r="E21871">
        <v>1</v>
      </c>
    </row>
    <row r="21872" spans="1:5" x14ac:dyDescent="0.25">
      <c r="A21872">
        <v>21871</v>
      </c>
      <c r="B21872">
        <v>11200629</v>
      </c>
      <c r="C21872" s="1" t="str">
        <f>HYPERLINK("http://stackoverflow.com/users/11200629", "pudge.wj")</f>
        <v>pudge.wj</v>
      </c>
      <c r="D21872" t="s">
        <v>12</v>
      </c>
      <c r="E21872">
        <v>1</v>
      </c>
    </row>
    <row r="21873" spans="1:5" x14ac:dyDescent="0.25">
      <c r="A21873">
        <v>21872</v>
      </c>
      <c r="B21873">
        <v>11200693</v>
      </c>
      <c r="C21873" s="1" t="str">
        <f>HYPERLINK("http://stackoverflow.com/users/11200693", "Yanpeng Zhang")</f>
        <v>Yanpeng Zhang</v>
      </c>
      <c r="D21873" t="s">
        <v>7</v>
      </c>
      <c r="E21873">
        <v>1</v>
      </c>
    </row>
    <row r="21874" spans="1:5" x14ac:dyDescent="0.25">
      <c r="A21874">
        <v>21873</v>
      </c>
      <c r="B21874">
        <v>11200698</v>
      </c>
      <c r="C21874" s="1" t="str">
        <f>HYPERLINK("http://stackoverflow.com/users/11200698", "Nguaerh")</f>
        <v>Nguaerh</v>
      </c>
      <c r="D21874" t="s">
        <v>5</v>
      </c>
      <c r="E21874">
        <v>1</v>
      </c>
    </row>
    <row r="21875" spans="1:5" x14ac:dyDescent="0.25">
      <c r="A21875">
        <v>21874</v>
      </c>
      <c r="B21875">
        <v>11200931</v>
      </c>
      <c r="C21875" s="1" t="str">
        <f>HYPERLINK("http://stackoverflow.com/users/11200931", "Leah.mcg")</f>
        <v>Leah.mcg</v>
      </c>
      <c r="D21875" t="s">
        <v>270</v>
      </c>
      <c r="E21875">
        <v>1</v>
      </c>
    </row>
    <row r="21876" spans="1:5" x14ac:dyDescent="0.25">
      <c r="A21876">
        <v>21875</v>
      </c>
      <c r="B21876">
        <v>2211979</v>
      </c>
      <c r="C21876" s="1" t="str">
        <f>HYPERLINK("http://stackoverflow.com/users/2211979", "Allan-J")</f>
        <v>Allan-J</v>
      </c>
      <c r="D21876" t="s">
        <v>4</v>
      </c>
      <c r="E21876">
        <v>1</v>
      </c>
    </row>
    <row r="21877" spans="1:5" x14ac:dyDescent="0.25">
      <c r="A21877">
        <v>21876</v>
      </c>
      <c r="B21877">
        <v>7482467</v>
      </c>
      <c r="C21877" s="1" t="str">
        <f>HYPERLINK("http://stackoverflow.com/users/7482467", "kyson lok")</f>
        <v>kyson lok</v>
      </c>
      <c r="D21877" t="s">
        <v>7</v>
      </c>
      <c r="E21877">
        <v>1</v>
      </c>
    </row>
    <row r="21878" spans="1:5" x14ac:dyDescent="0.25">
      <c r="A21878">
        <v>21877</v>
      </c>
      <c r="B21878">
        <v>2185180</v>
      </c>
      <c r="C21878" s="1" t="str">
        <f>HYPERLINK("http://stackoverflow.com/users/2185180", "Z.Mofei")</f>
        <v>Z.Mofei</v>
      </c>
      <c r="D21878" t="s">
        <v>4</v>
      </c>
      <c r="E21878">
        <v>1</v>
      </c>
    </row>
    <row r="21879" spans="1:5" x14ac:dyDescent="0.25">
      <c r="A21879">
        <v>21878</v>
      </c>
      <c r="B21879">
        <v>2195054</v>
      </c>
      <c r="C21879" s="1" t="str">
        <f>HYPERLINK("http://stackoverflow.com/users/2195054", "Feng Shan")</f>
        <v>Feng Shan</v>
      </c>
      <c r="D21879" t="s">
        <v>55</v>
      </c>
      <c r="E21879">
        <v>1</v>
      </c>
    </row>
    <row r="21880" spans="1:5" x14ac:dyDescent="0.25">
      <c r="A21880">
        <v>21879</v>
      </c>
      <c r="B21880">
        <v>11182720</v>
      </c>
      <c r="C21880" s="1" t="str">
        <f>HYPERLINK("http://stackoverflow.com/users/11182720", "haelbito")</f>
        <v>haelbito</v>
      </c>
      <c r="D21880" t="s">
        <v>4</v>
      </c>
      <c r="E21880">
        <v>1</v>
      </c>
    </row>
    <row r="21881" spans="1:5" x14ac:dyDescent="0.25">
      <c r="A21881">
        <v>21880</v>
      </c>
      <c r="B21881">
        <v>9389103</v>
      </c>
      <c r="C21881" s="1" t="str">
        <f>HYPERLINK("http://stackoverflow.com/users/9389103", "胡邑诚")</f>
        <v>胡邑诚</v>
      </c>
      <c r="D21881" t="s">
        <v>4</v>
      </c>
      <c r="E21881">
        <v>1</v>
      </c>
    </row>
    <row r="21882" spans="1:5" x14ac:dyDescent="0.25">
      <c r="A21882">
        <v>21881</v>
      </c>
      <c r="B21882">
        <v>2189653</v>
      </c>
      <c r="C21882" s="1" t="str">
        <f>HYPERLINK("http://stackoverflow.com/users/2189653", "S.K.")</f>
        <v>S.K.</v>
      </c>
      <c r="D21882" t="s">
        <v>8</v>
      </c>
      <c r="E21882">
        <v>1</v>
      </c>
    </row>
    <row r="21883" spans="1:5" x14ac:dyDescent="0.25">
      <c r="A21883">
        <v>21882</v>
      </c>
      <c r="B21883">
        <v>9383880</v>
      </c>
      <c r="C21883" s="1" t="str">
        <f>HYPERLINK("http://stackoverflow.com/users/9383880", "Chris")</f>
        <v>Chris</v>
      </c>
      <c r="D21883" t="s">
        <v>4</v>
      </c>
      <c r="E21883">
        <v>1</v>
      </c>
    </row>
    <row r="21884" spans="1:5" x14ac:dyDescent="0.25">
      <c r="A21884">
        <v>21883</v>
      </c>
      <c r="B21884">
        <v>3946780</v>
      </c>
      <c r="C21884" s="1" t="str">
        <f>HYPERLINK("http://stackoverflow.com/users/3946780", "Vincent Fan")</f>
        <v>Vincent Fan</v>
      </c>
      <c r="D21884" t="s">
        <v>28</v>
      </c>
      <c r="E21884">
        <v>1</v>
      </c>
    </row>
    <row r="21885" spans="1:5" x14ac:dyDescent="0.25">
      <c r="A21885">
        <v>21884</v>
      </c>
      <c r="B21885">
        <v>2179234</v>
      </c>
      <c r="C21885" s="1" t="str">
        <f>HYPERLINK("http://stackoverflow.com/users/2179234", "cossete")</f>
        <v>cossete</v>
      </c>
      <c r="D21885" t="s">
        <v>5</v>
      </c>
      <c r="E21885">
        <v>1</v>
      </c>
    </row>
    <row r="21886" spans="1:5" x14ac:dyDescent="0.25">
      <c r="A21886">
        <v>21885</v>
      </c>
      <c r="B21886">
        <v>11167782</v>
      </c>
      <c r="C21886" s="1" t="str">
        <f>HYPERLINK("http://stackoverflow.com/users/11167782", "CaP Coder")</f>
        <v>CaP Coder</v>
      </c>
      <c r="D21886" t="s">
        <v>1157</v>
      </c>
      <c r="E21886">
        <v>1</v>
      </c>
    </row>
    <row r="21887" spans="1:5" x14ac:dyDescent="0.25">
      <c r="A21887">
        <v>21886</v>
      </c>
      <c r="B21887">
        <v>5717200</v>
      </c>
      <c r="C21887" s="1" t="str">
        <f>HYPERLINK("http://stackoverflow.com/users/5717200", "Le Ye")</f>
        <v>Le Ye</v>
      </c>
      <c r="D21887" t="s">
        <v>169</v>
      </c>
      <c r="E21887">
        <v>1</v>
      </c>
    </row>
    <row r="21888" spans="1:5" x14ac:dyDescent="0.25">
      <c r="A21888">
        <v>21887</v>
      </c>
      <c r="B21888">
        <v>11171440</v>
      </c>
      <c r="C21888" s="1" t="str">
        <f>HYPERLINK("http://stackoverflow.com/users/11171440", "neu_hust")</f>
        <v>neu_hust</v>
      </c>
      <c r="D21888" t="s">
        <v>86</v>
      </c>
      <c r="E21888">
        <v>1</v>
      </c>
    </row>
    <row r="21889" spans="1:5" x14ac:dyDescent="0.25">
      <c r="A21889">
        <v>21888</v>
      </c>
      <c r="B21889">
        <v>9379766</v>
      </c>
      <c r="C21889" s="1" t="str">
        <f>HYPERLINK("http://stackoverflow.com/users/9379766", "Jens Weidner")</f>
        <v>Jens Weidner</v>
      </c>
      <c r="D21889" t="s">
        <v>4</v>
      </c>
      <c r="E21889">
        <v>1</v>
      </c>
    </row>
    <row r="21890" spans="1:5" x14ac:dyDescent="0.25">
      <c r="A21890">
        <v>21889</v>
      </c>
      <c r="B21890">
        <v>2185385</v>
      </c>
      <c r="C21890" s="1" t="str">
        <f>HYPERLINK("http://stackoverflow.com/users/2185385", "Acg")</f>
        <v>Acg</v>
      </c>
      <c r="D21890" t="s">
        <v>846</v>
      </c>
      <c r="E21890">
        <v>1</v>
      </c>
    </row>
    <row r="21891" spans="1:5" x14ac:dyDescent="0.25">
      <c r="A21891">
        <v>21890</v>
      </c>
      <c r="B21891">
        <v>2185545</v>
      </c>
      <c r="C21891" s="1" t="str">
        <f>HYPERLINK("http://stackoverflow.com/users/2185545", "chengchao")</f>
        <v>chengchao</v>
      </c>
      <c r="D21891" t="s">
        <v>5</v>
      </c>
      <c r="E21891">
        <v>1</v>
      </c>
    </row>
    <row r="21892" spans="1:5" x14ac:dyDescent="0.25">
      <c r="A21892">
        <v>21891</v>
      </c>
      <c r="B21892">
        <v>2185549</v>
      </c>
      <c r="C21892" s="1" t="str">
        <f>HYPERLINK("http://stackoverflow.com/users/2185549", "Concern")</f>
        <v>Concern</v>
      </c>
      <c r="D21892" t="s">
        <v>21</v>
      </c>
      <c r="E21892">
        <v>1</v>
      </c>
    </row>
    <row r="21893" spans="1:5" x14ac:dyDescent="0.25">
      <c r="A21893">
        <v>21892</v>
      </c>
      <c r="B21893">
        <v>5721239</v>
      </c>
      <c r="C21893" s="1" t="str">
        <f>HYPERLINK("http://stackoverflow.com/users/5721239", "Wei.Cao")</f>
        <v>Wei.Cao</v>
      </c>
      <c r="D21893" t="s">
        <v>4</v>
      </c>
      <c r="E21893">
        <v>1</v>
      </c>
    </row>
    <row r="21894" spans="1:5" x14ac:dyDescent="0.25">
      <c r="A21894">
        <v>21893</v>
      </c>
      <c r="B21894">
        <v>2189026</v>
      </c>
      <c r="C21894" s="1" t="str">
        <f>HYPERLINK("http://stackoverflow.com/users/2189026", "lester liu")</f>
        <v>lester liu</v>
      </c>
      <c r="D21894" t="s">
        <v>4</v>
      </c>
      <c r="E21894">
        <v>1</v>
      </c>
    </row>
    <row r="21895" spans="1:5" x14ac:dyDescent="0.25">
      <c r="A21895">
        <v>21894</v>
      </c>
      <c r="B21895">
        <v>2189124</v>
      </c>
      <c r="C21895" s="1" t="str">
        <f>HYPERLINK("http://stackoverflow.com/users/2189124", "Shuguang")</f>
        <v>Shuguang</v>
      </c>
      <c r="D21895" t="s">
        <v>5</v>
      </c>
      <c r="E21895">
        <v>1</v>
      </c>
    </row>
    <row r="21896" spans="1:5" x14ac:dyDescent="0.25">
      <c r="A21896">
        <v>21895</v>
      </c>
      <c r="B21896">
        <v>2189234</v>
      </c>
      <c r="C21896" s="1" t="str">
        <f>HYPERLINK("http://stackoverflow.com/users/2189234", "thrbowl")</f>
        <v>thrbowl</v>
      </c>
      <c r="D21896" t="s">
        <v>5</v>
      </c>
      <c r="E21896">
        <v>1</v>
      </c>
    </row>
    <row r="21897" spans="1:5" x14ac:dyDescent="0.25">
      <c r="A21897">
        <v>21896</v>
      </c>
      <c r="B21897">
        <v>2155326</v>
      </c>
      <c r="C21897" s="1" t="str">
        <f>HYPERLINK("http://stackoverflow.com/users/2155326", "song940")</f>
        <v>song940</v>
      </c>
      <c r="D21897" t="s">
        <v>5</v>
      </c>
      <c r="E21897">
        <v>1</v>
      </c>
    </row>
    <row r="21898" spans="1:5" x14ac:dyDescent="0.25">
      <c r="A21898">
        <v>21897</v>
      </c>
      <c r="B21898">
        <v>2155568</v>
      </c>
      <c r="C21898" s="1" t="str">
        <f>HYPERLINK("http://stackoverflow.com/users/2155568", "Daryl Liu")</f>
        <v>Daryl Liu</v>
      </c>
      <c r="D21898" t="s">
        <v>1158</v>
      </c>
      <c r="E21898">
        <v>1</v>
      </c>
    </row>
    <row r="21899" spans="1:5" x14ac:dyDescent="0.25">
      <c r="A21899">
        <v>21898</v>
      </c>
      <c r="B21899">
        <v>2155931</v>
      </c>
      <c r="C21899" s="1" t="str">
        <f>HYPERLINK("http://stackoverflow.com/users/2155931", "zhanghb")</f>
        <v>zhanghb</v>
      </c>
      <c r="D21899" t="s">
        <v>12</v>
      </c>
      <c r="E21899">
        <v>1</v>
      </c>
    </row>
    <row r="21900" spans="1:5" x14ac:dyDescent="0.25">
      <c r="A21900">
        <v>21899</v>
      </c>
      <c r="B21900">
        <v>7455381</v>
      </c>
      <c r="C21900" s="1" t="str">
        <f>HYPERLINK("http://stackoverflow.com/users/7455381", "Hulkee")</f>
        <v>Hulkee</v>
      </c>
      <c r="D21900" t="s">
        <v>131</v>
      </c>
      <c r="E21900">
        <v>1</v>
      </c>
    </row>
    <row r="21901" spans="1:5" x14ac:dyDescent="0.25">
      <c r="A21901">
        <v>21900</v>
      </c>
      <c r="B21901">
        <v>2156052</v>
      </c>
      <c r="C21901" s="1" t="str">
        <f>HYPERLINK("http://stackoverflow.com/users/2156052", "quanbinn")</f>
        <v>quanbinn</v>
      </c>
      <c r="D21901" t="s">
        <v>5</v>
      </c>
      <c r="E21901">
        <v>1</v>
      </c>
    </row>
    <row r="21902" spans="1:5" x14ac:dyDescent="0.25">
      <c r="A21902">
        <v>21901</v>
      </c>
      <c r="B21902">
        <v>2156283</v>
      </c>
      <c r="C21902" s="1" t="str">
        <f>HYPERLINK("http://stackoverflow.com/users/2156283", "TooBug")</f>
        <v>TooBug</v>
      </c>
      <c r="D21902" t="s">
        <v>17</v>
      </c>
      <c r="E21902">
        <v>1</v>
      </c>
    </row>
    <row r="21903" spans="1:5" x14ac:dyDescent="0.25">
      <c r="A21903">
        <v>21902</v>
      </c>
      <c r="B21903">
        <v>5697355</v>
      </c>
      <c r="C21903" s="1" t="str">
        <f>HYPERLINK("http://stackoverflow.com/users/5697355", "leo")</f>
        <v>leo</v>
      </c>
      <c r="D21903" t="s">
        <v>79</v>
      </c>
      <c r="E21903">
        <v>1</v>
      </c>
    </row>
    <row r="21904" spans="1:5" x14ac:dyDescent="0.25">
      <c r="A21904">
        <v>21903</v>
      </c>
      <c r="B21904">
        <v>9352814</v>
      </c>
      <c r="C21904" s="1" t="str">
        <f>HYPERLINK("http://stackoverflow.com/users/9352814", "adam chen")</f>
        <v>adam chen</v>
      </c>
      <c r="D21904" t="s">
        <v>25</v>
      </c>
      <c r="E21904">
        <v>1</v>
      </c>
    </row>
    <row r="21905" spans="1:5" x14ac:dyDescent="0.25">
      <c r="A21905">
        <v>21904</v>
      </c>
      <c r="B21905">
        <v>9352835</v>
      </c>
      <c r="C21905" s="1" t="str">
        <f>HYPERLINK("http://stackoverflow.com/users/9352835", "Zhao Yin")</f>
        <v>Zhao Yin</v>
      </c>
      <c r="D21905" t="s">
        <v>74</v>
      </c>
      <c r="E21905">
        <v>1</v>
      </c>
    </row>
    <row r="21906" spans="1:5" x14ac:dyDescent="0.25">
      <c r="A21906">
        <v>21905</v>
      </c>
      <c r="B21906">
        <v>5701204</v>
      </c>
      <c r="C21906" s="1" t="str">
        <f>HYPERLINK("http://stackoverflow.com/users/5701204", "Shi Huang")</f>
        <v>Shi Huang</v>
      </c>
      <c r="D21906" t="s">
        <v>6</v>
      </c>
      <c r="E21906">
        <v>1</v>
      </c>
    </row>
    <row r="21907" spans="1:5" x14ac:dyDescent="0.25">
      <c r="A21907">
        <v>21906</v>
      </c>
      <c r="B21907">
        <v>11148963</v>
      </c>
      <c r="C21907" s="1" t="str">
        <f>HYPERLINK("http://stackoverflow.com/users/11148963", "Alwyn Tso")</f>
        <v>Alwyn Tso</v>
      </c>
      <c r="D21907" t="s">
        <v>5</v>
      </c>
      <c r="E21907">
        <v>1</v>
      </c>
    </row>
    <row r="21908" spans="1:5" x14ac:dyDescent="0.25">
      <c r="A21908">
        <v>21907</v>
      </c>
      <c r="B21908">
        <v>5709440</v>
      </c>
      <c r="C21908" s="1" t="str">
        <f>HYPERLINK("http://stackoverflow.com/users/5709440", "kevin-wangzefeng")</f>
        <v>kevin-wangzefeng</v>
      </c>
      <c r="D21908" t="s">
        <v>12</v>
      </c>
      <c r="E21908">
        <v>1</v>
      </c>
    </row>
    <row r="21909" spans="1:5" x14ac:dyDescent="0.25">
      <c r="A21909">
        <v>21908</v>
      </c>
      <c r="B21909">
        <v>3932620</v>
      </c>
      <c r="C21909" s="1" t="str">
        <f>HYPERLINK("http://stackoverflow.com/users/3932620", "Eachann")</f>
        <v>Eachann</v>
      </c>
      <c r="D21909" t="s">
        <v>5</v>
      </c>
      <c r="E21909">
        <v>1</v>
      </c>
    </row>
    <row r="21910" spans="1:5" x14ac:dyDescent="0.25">
      <c r="A21910">
        <v>21909</v>
      </c>
      <c r="B21910">
        <v>7466405</v>
      </c>
      <c r="C21910" s="1" t="str">
        <f>HYPERLINK("http://stackoverflow.com/users/7466405", "Kim Jong-un")</f>
        <v>Kim Jong-un</v>
      </c>
      <c r="D21910" t="s">
        <v>1159</v>
      </c>
      <c r="E21910">
        <v>1</v>
      </c>
    </row>
    <row r="21911" spans="1:5" x14ac:dyDescent="0.25">
      <c r="A21911">
        <v>21910</v>
      </c>
      <c r="B21911">
        <v>9370524</v>
      </c>
      <c r="C21911" s="1" t="str">
        <f>HYPERLINK("http://stackoverflow.com/users/9370524", "Yaou Li")</f>
        <v>Yaou Li</v>
      </c>
      <c r="D21911" t="s">
        <v>5</v>
      </c>
      <c r="E21911">
        <v>1</v>
      </c>
    </row>
    <row r="21912" spans="1:5" x14ac:dyDescent="0.25">
      <c r="A21912">
        <v>21911</v>
      </c>
      <c r="B21912">
        <v>9370714</v>
      </c>
      <c r="C21912" s="1" t="str">
        <f>HYPERLINK("http://stackoverflow.com/users/9370714", "Marcel S.")</f>
        <v>Marcel S.</v>
      </c>
      <c r="D21912" t="s">
        <v>320</v>
      </c>
      <c r="E21912">
        <v>1</v>
      </c>
    </row>
    <row r="21913" spans="1:5" x14ac:dyDescent="0.25">
      <c r="A21913">
        <v>21912</v>
      </c>
      <c r="B21913">
        <v>9370721</v>
      </c>
      <c r="C21913" s="1" t="str">
        <f>HYPERLINK("http://stackoverflow.com/users/9370721", "Ankush Thakur")</f>
        <v>Ankush Thakur</v>
      </c>
      <c r="D21913" t="s">
        <v>4</v>
      </c>
      <c r="E21913">
        <v>1</v>
      </c>
    </row>
    <row r="21914" spans="1:5" x14ac:dyDescent="0.25">
      <c r="A21914">
        <v>21913</v>
      </c>
      <c r="B21914">
        <v>11162238</v>
      </c>
      <c r="C21914" s="1" t="str">
        <f>HYPERLINK("http://stackoverflow.com/users/11162238", "Dou Mingxiao")</f>
        <v>Dou Mingxiao</v>
      </c>
      <c r="D21914" t="s">
        <v>4</v>
      </c>
      <c r="E21914">
        <v>1</v>
      </c>
    </row>
    <row r="21915" spans="1:5" x14ac:dyDescent="0.25">
      <c r="A21915">
        <v>21914</v>
      </c>
      <c r="B21915">
        <v>11162732</v>
      </c>
      <c r="C21915" s="1" t="str">
        <f>HYPERLINK("http://stackoverflow.com/users/11162732", "Chen Cui")</f>
        <v>Chen Cui</v>
      </c>
      <c r="D21915" t="s">
        <v>79</v>
      </c>
      <c r="E21915">
        <v>1</v>
      </c>
    </row>
    <row r="21916" spans="1:5" x14ac:dyDescent="0.25">
      <c r="A21916">
        <v>21915</v>
      </c>
      <c r="B21916">
        <v>3938377</v>
      </c>
      <c r="C21916" s="1" t="str">
        <f>HYPERLINK("http://stackoverflow.com/users/3938377", "muyao")</f>
        <v>muyao</v>
      </c>
      <c r="D21916" t="s">
        <v>5</v>
      </c>
      <c r="E21916">
        <v>1</v>
      </c>
    </row>
    <row r="21917" spans="1:5" x14ac:dyDescent="0.25">
      <c r="A21917">
        <v>21916</v>
      </c>
      <c r="B21917">
        <v>3929614</v>
      </c>
      <c r="C21917" s="1" t="str">
        <f>HYPERLINK("http://stackoverflow.com/users/3929614", "mcalug20")</f>
        <v>mcalug20</v>
      </c>
      <c r="D21917" t="s">
        <v>28</v>
      </c>
      <c r="E21917">
        <v>1</v>
      </c>
    </row>
    <row r="21918" spans="1:5" x14ac:dyDescent="0.25">
      <c r="A21918">
        <v>21917</v>
      </c>
      <c r="B21918">
        <v>5709377</v>
      </c>
      <c r="C21918" s="1" t="str">
        <f>HYPERLINK("http://stackoverflow.com/users/5709377", "Hector He")</f>
        <v>Hector He</v>
      </c>
      <c r="D21918" t="s">
        <v>25</v>
      </c>
      <c r="E21918">
        <v>1</v>
      </c>
    </row>
    <row r="21919" spans="1:5" x14ac:dyDescent="0.25">
      <c r="A21919">
        <v>21918</v>
      </c>
      <c r="B21919">
        <v>2164583</v>
      </c>
      <c r="C21919" s="1" t="str">
        <f>HYPERLINK("http://stackoverflow.com/users/2164583", "Jim")</f>
        <v>Jim</v>
      </c>
      <c r="D21919" t="s">
        <v>5</v>
      </c>
      <c r="E21919">
        <v>1</v>
      </c>
    </row>
    <row r="21920" spans="1:5" x14ac:dyDescent="0.25">
      <c r="A21920">
        <v>21919</v>
      </c>
      <c r="B21920">
        <v>2165540</v>
      </c>
      <c r="C21920" s="1" t="str">
        <f>HYPERLINK("http://stackoverflow.com/users/2165540", "jietian20091231")</f>
        <v>jietian20091231</v>
      </c>
      <c r="D21920" t="s">
        <v>5</v>
      </c>
      <c r="E21920">
        <v>1</v>
      </c>
    </row>
    <row r="21921" spans="1:5" x14ac:dyDescent="0.25">
      <c r="A21921">
        <v>21920</v>
      </c>
      <c r="B21921">
        <v>5705152</v>
      </c>
      <c r="C21921" s="1" t="str">
        <f>HYPERLINK("http://stackoverflow.com/users/5705152", "Bern3rsH")</f>
        <v>Bern3rsH</v>
      </c>
      <c r="D21921" t="s">
        <v>130</v>
      </c>
      <c r="E21921">
        <v>1</v>
      </c>
    </row>
    <row r="21922" spans="1:5" x14ac:dyDescent="0.25">
      <c r="A21922">
        <v>21921</v>
      </c>
      <c r="B21922">
        <v>2142444</v>
      </c>
      <c r="C21922" s="1" t="str">
        <f>HYPERLINK("http://stackoverflow.com/users/2142444", "miaroecn")</f>
        <v>miaroecn</v>
      </c>
      <c r="D21922" t="s">
        <v>5</v>
      </c>
      <c r="E21922">
        <v>1</v>
      </c>
    </row>
    <row r="21923" spans="1:5" x14ac:dyDescent="0.25">
      <c r="A21923">
        <v>21922</v>
      </c>
      <c r="B21923">
        <v>9342077</v>
      </c>
      <c r="C21923" s="1" t="str">
        <f>HYPERLINK("http://stackoverflow.com/users/9342077", "Devendra Yadav")</f>
        <v>Devendra Yadav</v>
      </c>
      <c r="D21923" t="s">
        <v>62</v>
      </c>
      <c r="E21923">
        <v>1</v>
      </c>
    </row>
    <row r="21924" spans="1:5" x14ac:dyDescent="0.25">
      <c r="A21924">
        <v>21923</v>
      </c>
      <c r="B21924">
        <v>2142807</v>
      </c>
      <c r="C21924" s="1" t="str">
        <f>HYPERLINK("http://stackoverflow.com/users/2142807", "perse")</f>
        <v>perse</v>
      </c>
      <c r="D21924" t="s">
        <v>7</v>
      </c>
      <c r="E21924">
        <v>1</v>
      </c>
    </row>
    <row r="21925" spans="1:5" x14ac:dyDescent="0.25">
      <c r="A21925">
        <v>21924</v>
      </c>
      <c r="B21925">
        <v>2143280</v>
      </c>
      <c r="C21925" s="1" t="str">
        <f>HYPERLINK("http://stackoverflow.com/users/2143280", "impacter")</f>
        <v>impacter</v>
      </c>
      <c r="D21925" t="s">
        <v>4</v>
      </c>
      <c r="E21925">
        <v>1</v>
      </c>
    </row>
    <row r="21926" spans="1:5" x14ac:dyDescent="0.25">
      <c r="A21926">
        <v>21925</v>
      </c>
      <c r="B21926">
        <v>2143445</v>
      </c>
      <c r="C21926" s="1" t="str">
        <f>HYPERLINK("http://stackoverflow.com/users/2143445", "Galen")</f>
        <v>Galen</v>
      </c>
      <c r="D21926" t="s">
        <v>5</v>
      </c>
      <c r="E21926">
        <v>1</v>
      </c>
    </row>
    <row r="21927" spans="1:5" x14ac:dyDescent="0.25">
      <c r="A21927">
        <v>21926</v>
      </c>
      <c r="B21927">
        <v>2143597</v>
      </c>
      <c r="C21927" s="1" t="str">
        <f>HYPERLINK("http://stackoverflow.com/users/2143597", "Michael")</f>
        <v>Michael</v>
      </c>
      <c r="D21927" t="s">
        <v>4</v>
      </c>
      <c r="E21927">
        <v>1</v>
      </c>
    </row>
    <row r="21928" spans="1:5" x14ac:dyDescent="0.25">
      <c r="A21928">
        <v>21927</v>
      </c>
      <c r="B21928">
        <v>2143628</v>
      </c>
      <c r="C21928" s="1" t="str">
        <f>HYPERLINK("http://stackoverflow.com/users/2143628", "AmoyAI")</f>
        <v>AmoyAI</v>
      </c>
      <c r="D21928" t="s">
        <v>5</v>
      </c>
      <c r="E21928">
        <v>1</v>
      </c>
    </row>
    <row r="21929" spans="1:5" x14ac:dyDescent="0.25">
      <c r="A21929">
        <v>21928</v>
      </c>
      <c r="B21929">
        <v>5688928</v>
      </c>
      <c r="C21929" s="1" t="str">
        <f>HYPERLINK("http://stackoverflow.com/users/5688928", "janeliuwz")</f>
        <v>janeliuwz</v>
      </c>
      <c r="D21929" t="s">
        <v>5</v>
      </c>
      <c r="E21929">
        <v>1</v>
      </c>
    </row>
    <row r="21930" spans="1:5" x14ac:dyDescent="0.25">
      <c r="A21930">
        <v>21929</v>
      </c>
      <c r="B21930">
        <v>5688991</v>
      </c>
      <c r="C21930" s="1" t="str">
        <f>HYPERLINK("http://stackoverflow.com/users/5688991", "John.Lee")</f>
        <v>John.Lee</v>
      </c>
      <c r="D21930" t="s">
        <v>5</v>
      </c>
      <c r="E21930">
        <v>1</v>
      </c>
    </row>
    <row r="21931" spans="1:5" x14ac:dyDescent="0.25">
      <c r="A21931">
        <v>21930</v>
      </c>
      <c r="B21931">
        <v>5689080</v>
      </c>
      <c r="C21931" s="1" t="str">
        <f>HYPERLINK("http://stackoverflow.com/users/5689080", "frank.FUWU")</f>
        <v>frank.FUWU</v>
      </c>
      <c r="D21931" t="s">
        <v>4</v>
      </c>
      <c r="E21931">
        <v>1</v>
      </c>
    </row>
    <row r="21932" spans="1:5" x14ac:dyDescent="0.25">
      <c r="A21932">
        <v>21931</v>
      </c>
      <c r="B21932">
        <v>9345922</v>
      </c>
      <c r="C21932" s="1" t="str">
        <f>HYPERLINK("http://stackoverflow.com/users/9345922", "Mia Fan")</f>
        <v>Mia Fan</v>
      </c>
      <c r="D21932" t="s">
        <v>28</v>
      </c>
      <c r="E21932">
        <v>1</v>
      </c>
    </row>
    <row r="21933" spans="1:5" x14ac:dyDescent="0.25">
      <c r="A21933">
        <v>21932</v>
      </c>
      <c r="B21933">
        <v>9345931</v>
      </c>
      <c r="C21933" s="1" t="str">
        <f>HYPERLINK("http://stackoverflow.com/users/9345931", "CodingFanlt")</f>
        <v>CodingFanlt</v>
      </c>
      <c r="D21933" t="s">
        <v>184</v>
      </c>
      <c r="E21933">
        <v>1</v>
      </c>
    </row>
    <row r="21934" spans="1:5" x14ac:dyDescent="0.25">
      <c r="A21934">
        <v>21933</v>
      </c>
      <c r="B21934">
        <v>11138734</v>
      </c>
      <c r="C21934" s="1" t="str">
        <f>HYPERLINK("http://stackoverflow.com/users/11138734", "tang")</f>
        <v>tang</v>
      </c>
      <c r="D21934" t="s">
        <v>83</v>
      </c>
      <c r="E21934">
        <v>1</v>
      </c>
    </row>
    <row r="21935" spans="1:5" x14ac:dyDescent="0.25">
      <c r="A21935">
        <v>21934</v>
      </c>
      <c r="B21935">
        <v>2150735</v>
      </c>
      <c r="C21935" s="1" t="str">
        <f>HYPERLINK("http://stackoverflow.com/users/2150735", "zhouliqiang")</f>
        <v>zhouliqiang</v>
      </c>
      <c r="D21935" t="s">
        <v>5</v>
      </c>
      <c r="E21935">
        <v>1</v>
      </c>
    </row>
    <row r="21936" spans="1:5" x14ac:dyDescent="0.25">
      <c r="A21936">
        <v>21935</v>
      </c>
      <c r="B21936">
        <v>2150794</v>
      </c>
      <c r="C21936" s="1" t="str">
        <f>HYPERLINK("http://stackoverflow.com/users/2150794", "ZhangHongquan")</f>
        <v>ZhangHongquan</v>
      </c>
      <c r="D21936" t="s">
        <v>4</v>
      </c>
      <c r="E21936">
        <v>1</v>
      </c>
    </row>
    <row r="21937" spans="1:5" x14ac:dyDescent="0.25">
      <c r="A21937">
        <v>21936</v>
      </c>
      <c r="B21937">
        <v>2150912</v>
      </c>
      <c r="C21937" s="1" t="str">
        <f>HYPERLINK("http://stackoverflow.com/users/2150912", "月氏君王")</f>
        <v>月氏君王</v>
      </c>
      <c r="D21937" t="s">
        <v>5</v>
      </c>
      <c r="E21937">
        <v>1</v>
      </c>
    </row>
    <row r="21938" spans="1:5" x14ac:dyDescent="0.25">
      <c r="A21938">
        <v>21937</v>
      </c>
      <c r="B21938">
        <v>11140740</v>
      </c>
      <c r="C21938" s="1" t="str">
        <f>HYPERLINK("http://stackoverflow.com/users/11140740", "feng zhang")</f>
        <v>feng zhang</v>
      </c>
      <c r="D21938" t="s">
        <v>97</v>
      </c>
      <c r="E21938">
        <v>1</v>
      </c>
    </row>
    <row r="21939" spans="1:5" x14ac:dyDescent="0.25">
      <c r="A21939">
        <v>21938</v>
      </c>
      <c r="B21939">
        <v>5693795</v>
      </c>
      <c r="C21939" s="1" t="str">
        <f>HYPERLINK("http://stackoverflow.com/users/5693795", "Qilong Zhang")</f>
        <v>Qilong Zhang</v>
      </c>
      <c r="D21939" t="s">
        <v>5</v>
      </c>
      <c r="E21939">
        <v>1</v>
      </c>
    </row>
    <row r="21940" spans="1:5" x14ac:dyDescent="0.25">
      <c r="A21940">
        <v>21939</v>
      </c>
      <c r="B21940">
        <v>5693843</v>
      </c>
      <c r="C21940" s="1" t="str">
        <f>HYPERLINK("http://stackoverflow.com/users/5693843", "Al Young")</f>
        <v>Al Young</v>
      </c>
      <c r="D21940" t="s">
        <v>4</v>
      </c>
      <c r="E21940">
        <v>1</v>
      </c>
    </row>
    <row r="21941" spans="1:5" x14ac:dyDescent="0.25">
      <c r="A21941">
        <v>21940</v>
      </c>
      <c r="B21941">
        <v>5694148</v>
      </c>
      <c r="C21941" s="1" t="str">
        <f>HYPERLINK("http://stackoverflow.com/users/5694148", "LokiSharp")</f>
        <v>LokiSharp</v>
      </c>
      <c r="D21941" t="s">
        <v>4</v>
      </c>
      <c r="E21941">
        <v>1</v>
      </c>
    </row>
    <row r="21942" spans="1:5" x14ac:dyDescent="0.25">
      <c r="A21942">
        <v>21941</v>
      </c>
      <c r="B21942">
        <v>3912753</v>
      </c>
      <c r="C21942" s="1" t="str">
        <f>HYPERLINK("http://stackoverflow.com/users/3912753", "elisonwell")</f>
        <v>elisonwell</v>
      </c>
      <c r="D21942" t="s">
        <v>4</v>
      </c>
      <c r="E21942">
        <v>1</v>
      </c>
    </row>
    <row r="21943" spans="1:5" x14ac:dyDescent="0.25">
      <c r="A21943">
        <v>21942</v>
      </c>
      <c r="B21943">
        <v>9348364</v>
      </c>
      <c r="C21943" s="1" t="str">
        <f>HYPERLINK("http://stackoverflow.com/users/9348364", "Yifei")</f>
        <v>Yifei</v>
      </c>
      <c r="D21943" t="s">
        <v>4</v>
      </c>
      <c r="E21943">
        <v>1</v>
      </c>
    </row>
    <row r="21944" spans="1:5" x14ac:dyDescent="0.25">
      <c r="A21944">
        <v>21943</v>
      </c>
      <c r="B21944">
        <v>9348569</v>
      </c>
      <c r="C21944" s="1" t="str">
        <f>HYPERLINK("http://stackoverflow.com/users/9348569", "Everglow111")</f>
        <v>Everglow111</v>
      </c>
      <c r="D21944" t="s">
        <v>131</v>
      </c>
      <c r="E21944">
        <v>1</v>
      </c>
    </row>
    <row r="21945" spans="1:5" x14ac:dyDescent="0.25">
      <c r="A21945">
        <v>21944</v>
      </c>
      <c r="B21945">
        <v>9348693</v>
      </c>
      <c r="C21945" s="1" t="str">
        <f>HYPERLINK("http://stackoverflow.com/users/9348693", "Zim Kalinowski")</f>
        <v>Zim Kalinowski</v>
      </c>
      <c r="D21945" t="s">
        <v>4</v>
      </c>
      <c r="E21945">
        <v>1</v>
      </c>
    </row>
    <row r="21946" spans="1:5" x14ac:dyDescent="0.25">
      <c r="A21946">
        <v>21945</v>
      </c>
      <c r="B21946">
        <v>9348740</v>
      </c>
      <c r="C21946" s="1" t="str">
        <f>HYPERLINK("http://stackoverflow.com/users/9348740", "chenhao.ye")</f>
        <v>chenhao.ye</v>
      </c>
      <c r="D21946" t="s">
        <v>16</v>
      </c>
      <c r="E21946">
        <v>1</v>
      </c>
    </row>
    <row r="21947" spans="1:5" x14ac:dyDescent="0.25">
      <c r="A21947">
        <v>21946</v>
      </c>
      <c r="B21947">
        <v>2105948</v>
      </c>
      <c r="C21947" s="1" t="str">
        <f>HYPERLINK("http://stackoverflow.com/users/2105948", "Zhicheng Wang")</f>
        <v>Zhicheng Wang</v>
      </c>
      <c r="D21947" t="s">
        <v>12</v>
      </c>
      <c r="E21947">
        <v>1</v>
      </c>
    </row>
    <row r="21948" spans="1:5" x14ac:dyDescent="0.25">
      <c r="A21948">
        <v>21947</v>
      </c>
      <c r="B21948">
        <v>2106010</v>
      </c>
      <c r="C21948" s="1" t="str">
        <f>HYPERLINK("http://stackoverflow.com/users/2106010", "John Dietrick")</f>
        <v>John Dietrick</v>
      </c>
      <c r="D21948" t="s">
        <v>5</v>
      </c>
      <c r="E21948">
        <v>1</v>
      </c>
    </row>
    <row r="21949" spans="1:5" x14ac:dyDescent="0.25">
      <c r="A21949">
        <v>21948</v>
      </c>
      <c r="B21949">
        <v>2095920</v>
      </c>
      <c r="C21949" s="1" t="str">
        <f>HYPERLINK("http://stackoverflow.com/users/2095920", "dreamlu")</f>
        <v>dreamlu</v>
      </c>
      <c r="D21949" t="s">
        <v>5</v>
      </c>
      <c r="E21949">
        <v>1</v>
      </c>
    </row>
    <row r="21950" spans="1:5" x14ac:dyDescent="0.25">
      <c r="A21950">
        <v>21949</v>
      </c>
      <c r="B21950">
        <v>2104378</v>
      </c>
      <c r="C21950" s="1" t="str">
        <f>HYPERLINK("http://stackoverflow.com/users/2104378", "njues")</f>
        <v>njues</v>
      </c>
      <c r="D21950" t="s">
        <v>37</v>
      </c>
      <c r="E21950">
        <v>1</v>
      </c>
    </row>
    <row r="21951" spans="1:5" x14ac:dyDescent="0.25">
      <c r="A21951">
        <v>21950</v>
      </c>
      <c r="B21951">
        <v>2105824</v>
      </c>
      <c r="C21951" s="1" t="str">
        <f>HYPERLINK("http://stackoverflow.com/users/2105824", "user2105824")</f>
        <v>user2105824</v>
      </c>
      <c r="D21951" t="s">
        <v>22</v>
      </c>
      <c r="E21951">
        <v>1</v>
      </c>
    </row>
    <row r="21952" spans="1:5" x14ac:dyDescent="0.25">
      <c r="A21952">
        <v>21951</v>
      </c>
      <c r="B21952">
        <v>2110578</v>
      </c>
      <c r="C21952" s="1" t="str">
        <f>HYPERLINK("http://stackoverflow.com/users/2110578", "so_naive")</f>
        <v>so_naive</v>
      </c>
      <c r="D21952" t="s">
        <v>5</v>
      </c>
      <c r="E21952">
        <v>1</v>
      </c>
    </row>
    <row r="21953" spans="1:5" x14ac:dyDescent="0.25">
      <c r="A21953">
        <v>21952</v>
      </c>
      <c r="B21953">
        <v>5662219</v>
      </c>
      <c r="C21953" s="1" t="str">
        <f>HYPERLINK("http://stackoverflow.com/users/5662219", "Leo Chen")</f>
        <v>Leo Chen</v>
      </c>
      <c r="D21953" t="s">
        <v>22</v>
      </c>
      <c r="E21953">
        <v>1</v>
      </c>
    </row>
    <row r="21954" spans="1:5" x14ac:dyDescent="0.25">
      <c r="A21954">
        <v>21953</v>
      </c>
      <c r="B21954">
        <v>5662427</v>
      </c>
      <c r="C21954" s="1" t="str">
        <f>HYPERLINK("http://stackoverflow.com/users/5662427", "Dony Qu")</f>
        <v>Dony Qu</v>
      </c>
      <c r="D21954" t="s">
        <v>28</v>
      </c>
      <c r="E21954">
        <v>1</v>
      </c>
    </row>
    <row r="21955" spans="1:5" x14ac:dyDescent="0.25">
      <c r="A21955">
        <v>21954</v>
      </c>
      <c r="B21955">
        <v>5662690</v>
      </c>
      <c r="C21955" s="1" t="str">
        <f>HYPERLINK("http://stackoverflow.com/users/5662690", "J. Zhou")</f>
        <v>J. Zhou</v>
      </c>
      <c r="D21955" t="s">
        <v>5</v>
      </c>
      <c r="E21955">
        <v>1</v>
      </c>
    </row>
    <row r="21956" spans="1:5" x14ac:dyDescent="0.25">
      <c r="A21956">
        <v>21955</v>
      </c>
      <c r="B21956">
        <v>5662758</v>
      </c>
      <c r="C21956" s="1" t="str">
        <f>HYPERLINK("http://stackoverflow.com/users/5662758", "lawson_y")</f>
        <v>lawson_y</v>
      </c>
      <c r="D21956" t="s">
        <v>21</v>
      </c>
      <c r="E21956">
        <v>1</v>
      </c>
    </row>
    <row r="21957" spans="1:5" x14ac:dyDescent="0.25">
      <c r="A21957">
        <v>21956</v>
      </c>
      <c r="B21957">
        <v>5662759</v>
      </c>
      <c r="C21957" s="1" t="str">
        <f>HYPERLINK("http://stackoverflow.com/users/5662759", "Tao Li")</f>
        <v>Tao Li</v>
      </c>
      <c r="D21957" t="s">
        <v>5</v>
      </c>
      <c r="E21957">
        <v>1</v>
      </c>
    </row>
    <row r="21958" spans="1:5" x14ac:dyDescent="0.25">
      <c r="A21958">
        <v>21957</v>
      </c>
      <c r="B21958">
        <v>9315645</v>
      </c>
      <c r="C21958" s="1" t="str">
        <f>HYPERLINK("http://stackoverflow.com/users/9315645", "Wind")</f>
        <v>Wind</v>
      </c>
      <c r="D21958" t="s">
        <v>17</v>
      </c>
      <c r="E21958">
        <v>1</v>
      </c>
    </row>
    <row r="21959" spans="1:5" x14ac:dyDescent="0.25">
      <c r="A21959">
        <v>21958</v>
      </c>
      <c r="B21959">
        <v>9315747</v>
      </c>
      <c r="C21959" s="1" t="str">
        <f>HYPERLINK("http://stackoverflow.com/users/9315747", "csNoob")</f>
        <v>csNoob</v>
      </c>
      <c r="D21959" t="s">
        <v>7</v>
      </c>
      <c r="E21959">
        <v>1</v>
      </c>
    </row>
    <row r="21960" spans="1:5" x14ac:dyDescent="0.25">
      <c r="A21960">
        <v>21959</v>
      </c>
      <c r="B21960">
        <v>9315893</v>
      </c>
      <c r="C21960" s="1" t="str">
        <f>HYPERLINK("http://stackoverflow.com/users/9315893", "czp")</f>
        <v>czp</v>
      </c>
      <c r="D21960" t="s">
        <v>16</v>
      </c>
      <c r="E21960">
        <v>1</v>
      </c>
    </row>
    <row r="21961" spans="1:5" x14ac:dyDescent="0.25">
      <c r="A21961">
        <v>21960</v>
      </c>
      <c r="B21961">
        <v>7421078</v>
      </c>
      <c r="C21961" s="1" t="str">
        <f>HYPERLINK("http://stackoverflow.com/users/7421078", "Jason Yu")</f>
        <v>Jason Yu</v>
      </c>
      <c r="D21961" t="s">
        <v>176</v>
      </c>
      <c r="E21961">
        <v>1</v>
      </c>
    </row>
    <row r="21962" spans="1:5" x14ac:dyDescent="0.25">
      <c r="A21962">
        <v>21961</v>
      </c>
      <c r="B21962">
        <v>2118948</v>
      </c>
      <c r="C21962" s="1" t="str">
        <f>HYPERLINK("http://stackoverflow.com/users/2118948", "Vindog")</f>
        <v>Vindog</v>
      </c>
      <c r="D21962" t="s">
        <v>5</v>
      </c>
      <c r="E21962">
        <v>1</v>
      </c>
    </row>
    <row r="21963" spans="1:5" x14ac:dyDescent="0.25">
      <c r="A21963">
        <v>21962</v>
      </c>
      <c r="B21963">
        <v>7423933</v>
      </c>
      <c r="C21963" s="1" t="str">
        <f>HYPERLINK("http://stackoverflow.com/users/7423933", "Alien")</f>
        <v>Alien</v>
      </c>
      <c r="D21963" t="s">
        <v>19</v>
      </c>
      <c r="E21963">
        <v>1</v>
      </c>
    </row>
    <row r="21964" spans="1:5" x14ac:dyDescent="0.25">
      <c r="A21964">
        <v>21963</v>
      </c>
      <c r="B21964">
        <v>7424078</v>
      </c>
      <c r="C21964" s="1" t="str">
        <f>HYPERLINK("http://stackoverflow.com/users/7424078", "user7424078")</f>
        <v>user7424078</v>
      </c>
      <c r="D21964" t="s">
        <v>4</v>
      </c>
      <c r="E21964">
        <v>1</v>
      </c>
    </row>
    <row r="21965" spans="1:5" x14ac:dyDescent="0.25">
      <c r="A21965">
        <v>21964</v>
      </c>
      <c r="B21965">
        <v>9311635</v>
      </c>
      <c r="C21965" s="1" t="str">
        <f>HYPERLINK("http://stackoverflow.com/users/9311635", "Robin Neupane")</f>
        <v>Robin Neupane</v>
      </c>
      <c r="D21965" t="s">
        <v>5</v>
      </c>
      <c r="E21965">
        <v>1</v>
      </c>
    </row>
    <row r="21966" spans="1:5" x14ac:dyDescent="0.25">
      <c r="A21966">
        <v>21965</v>
      </c>
      <c r="B21966">
        <v>7417440</v>
      </c>
      <c r="C21966" s="1" t="str">
        <f>HYPERLINK("http://stackoverflow.com/users/7417440", "Derek G. Chen")</f>
        <v>Derek G. Chen</v>
      </c>
      <c r="D21966" t="s">
        <v>7</v>
      </c>
      <c r="E21966">
        <v>1</v>
      </c>
    </row>
    <row r="21967" spans="1:5" x14ac:dyDescent="0.25">
      <c r="A21967">
        <v>21966</v>
      </c>
      <c r="B21967">
        <v>3878805</v>
      </c>
      <c r="C21967" s="1" t="str">
        <f>HYPERLINK("http://stackoverflow.com/users/3878805", "James Xu")</f>
        <v>James Xu</v>
      </c>
      <c r="D21967" t="s">
        <v>21</v>
      </c>
      <c r="E21967">
        <v>1</v>
      </c>
    </row>
    <row r="21968" spans="1:5" x14ac:dyDescent="0.25">
      <c r="A21968">
        <v>21967</v>
      </c>
      <c r="B21968">
        <v>9320285</v>
      </c>
      <c r="C21968" s="1" t="str">
        <f>HYPERLINK("http://stackoverflow.com/users/9320285", "poeswitches")</f>
        <v>poeswitches</v>
      </c>
      <c r="D21968" t="s">
        <v>1160</v>
      </c>
      <c r="E21968">
        <v>1</v>
      </c>
    </row>
    <row r="21969" spans="1:5" x14ac:dyDescent="0.25">
      <c r="A21969">
        <v>21968</v>
      </c>
      <c r="B21969">
        <v>9320414</v>
      </c>
      <c r="C21969" s="1" t="str">
        <f>HYPERLINK("http://stackoverflow.com/users/9320414", "Xiaoying Zhang")</f>
        <v>Xiaoying Zhang</v>
      </c>
      <c r="D21969" t="s">
        <v>4</v>
      </c>
      <c r="E21969">
        <v>1</v>
      </c>
    </row>
    <row r="21970" spans="1:5" x14ac:dyDescent="0.25">
      <c r="A21970">
        <v>21969</v>
      </c>
      <c r="B21970">
        <v>9320517</v>
      </c>
      <c r="C21970" s="1" t="str">
        <f>HYPERLINK("http://stackoverflow.com/users/9320517", "nblinhua")</f>
        <v>nblinhua</v>
      </c>
      <c r="D21970" t="s">
        <v>11</v>
      </c>
      <c r="E21970">
        <v>1</v>
      </c>
    </row>
    <row r="21971" spans="1:5" x14ac:dyDescent="0.25">
      <c r="A21971">
        <v>21970</v>
      </c>
      <c r="B21971">
        <v>9320563</v>
      </c>
      <c r="C21971" s="1" t="str">
        <f>HYPERLINK("http://stackoverflow.com/users/9320563", "zppwork")</f>
        <v>zppwork</v>
      </c>
      <c r="D21971" t="s">
        <v>5</v>
      </c>
      <c r="E21971">
        <v>1</v>
      </c>
    </row>
    <row r="21972" spans="1:5" x14ac:dyDescent="0.25">
      <c r="A21972">
        <v>21971</v>
      </c>
      <c r="B21972">
        <v>5669544</v>
      </c>
      <c r="C21972" s="1" t="str">
        <f>HYPERLINK("http://stackoverflow.com/users/5669544", "wenbo cao")</f>
        <v>wenbo cao</v>
      </c>
      <c r="D21972" t="s">
        <v>5</v>
      </c>
      <c r="E21972">
        <v>1</v>
      </c>
    </row>
    <row r="21973" spans="1:5" x14ac:dyDescent="0.25">
      <c r="A21973">
        <v>21972</v>
      </c>
      <c r="B21973">
        <v>11116924</v>
      </c>
      <c r="C21973" s="1" t="str">
        <f>HYPERLINK("http://stackoverflow.com/users/11116924", "Der1128")</f>
        <v>Der1128</v>
      </c>
      <c r="D21973" t="s">
        <v>16</v>
      </c>
      <c r="E21973">
        <v>1</v>
      </c>
    </row>
    <row r="21974" spans="1:5" x14ac:dyDescent="0.25">
      <c r="A21974">
        <v>21973</v>
      </c>
      <c r="B21974">
        <v>11117000</v>
      </c>
      <c r="C21974" s="1" t="str">
        <f>HYPERLINK("http://stackoverflow.com/users/11117000", "Jint.GUo")</f>
        <v>Jint.GUo</v>
      </c>
      <c r="D21974" t="s">
        <v>4</v>
      </c>
      <c r="E21974">
        <v>1</v>
      </c>
    </row>
    <row r="21975" spans="1:5" x14ac:dyDescent="0.25">
      <c r="A21975">
        <v>21974</v>
      </c>
      <c r="B21975">
        <v>7438910</v>
      </c>
      <c r="C21975" s="1" t="str">
        <f>HYPERLINK("http://stackoverflow.com/users/7438910", "SimpsonLee")</f>
        <v>SimpsonLee</v>
      </c>
      <c r="D21975" t="s">
        <v>1161</v>
      </c>
      <c r="E21975">
        <v>1</v>
      </c>
    </row>
    <row r="21976" spans="1:5" x14ac:dyDescent="0.25">
      <c r="A21976">
        <v>21975</v>
      </c>
      <c r="B21976">
        <v>9337233</v>
      </c>
      <c r="C21976" s="1" t="str">
        <f>HYPERLINK("http://stackoverflow.com/users/9337233", "Ted Zhang")</f>
        <v>Ted Zhang</v>
      </c>
      <c r="D21976" t="s">
        <v>5</v>
      </c>
      <c r="E21976">
        <v>1</v>
      </c>
    </row>
    <row r="21977" spans="1:5" x14ac:dyDescent="0.25">
      <c r="A21977">
        <v>21976</v>
      </c>
      <c r="B21977">
        <v>11134022</v>
      </c>
      <c r="C21977" s="1" t="str">
        <f>HYPERLINK("http://stackoverflow.com/users/11134022", "tony.zjie")</f>
        <v>tony.zjie</v>
      </c>
      <c r="D21977" t="s">
        <v>1162</v>
      </c>
      <c r="E21977">
        <v>1</v>
      </c>
    </row>
    <row r="21978" spans="1:5" x14ac:dyDescent="0.25">
      <c r="A21978">
        <v>21977</v>
      </c>
      <c r="B21978">
        <v>11134280</v>
      </c>
      <c r="C21978" s="1" t="str">
        <f>HYPERLINK("http://stackoverflow.com/users/11134280", "Xu GAO")</f>
        <v>Xu GAO</v>
      </c>
      <c r="D21978" t="s">
        <v>5</v>
      </c>
      <c r="E21978">
        <v>1</v>
      </c>
    </row>
    <row r="21979" spans="1:5" x14ac:dyDescent="0.25">
      <c r="A21979">
        <v>21978</v>
      </c>
      <c r="B21979">
        <v>11134351</v>
      </c>
      <c r="C21979" s="1" t="str">
        <f>HYPERLINK("http://stackoverflow.com/users/11134351", "lu jianxin")</f>
        <v>lu jianxin</v>
      </c>
      <c r="D21979" t="s">
        <v>12</v>
      </c>
      <c r="E21979">
        <v>1</v>
      </c>
    </row>
    <row r="21980" spans="1:5" x14ac:dyDescent="0.25">
      <c r="A21980">
        <v>21979</v>
      </c>
      <c r="B21980">
        <v>11134360</v>
      </c>
      <c r="C21980" s="1" t="str">
        <f>HYPERLINK("http://stackoverflow.com/users/11134360", "shuai xu")</f>
        <v>shuai xu</v>
      </c>
      <c r="D21980" t="s">
        <v>4</v>
      </c>
      <c r="E21980">
        <v>1</v>
      </c>
    </row>
    <row r="21981" spans="1:5" x14ac:dyDescent="0.25">
      <c r="A21981">
        <v>21980</v>
      </c>
      <c r="B21981">
        <v>2142215</v>
      </c>
      <c r="C21981" s="1" t="str">
        <f>HYPERLINK("http://stackoverflow.com/users/2142215", "Ruifly")</f>
        <v>Ruifly</v>
      </c>
      <c r="D21981" t="s">
        <v>63</v>
      </c>
      <c r="E21981">
        <v>1</v>
      </c>
    </row>
    <row r="21982" spans="1:5" x14ac:dyDescent="0.25">
      <c r="A21982">
        <v>21981</v>
      </c>
      <c r="B21982">
        <v>2142243</v>
      </c>
      <c r="C21982" s="1" t="str">
        <f>HYPERLINK("http://stackoverflow.com/users/2142243", "Tom")</f>
        <v>Tom</v>
      </c>
      <c r="D21982" t="s">
        <v>37</v>
      </c>
      <c r="E21982">
        <v>1</v>
      </c>
    </row>
    <row r="21983" spans="1:5" x14ac:dyDescent="0.25">
      <c r="A21983">
        <v>21982</v>
      </c>
      <c r="B21983">
        <v>5685036</v>
      </c>
      <c r="C21983" s="1" t="str">
        <f>HYPERLINK("http://stackoverflow.com/users/5685036", "trickysky")</f>
        <v>trickysky</v>
      </c>
      <c r="D21983" t="s">
        <v>5</v>
      </c>
      <c r="E21983">
        <v>1</v>
      </c>
    </row>
    <row r="21984" spans="1:5" x14ac:dyDescent="0.25">
      <c r="A21984">
        <v>21983</v>
      </c>
      <c r="B21984">
        <v>5685049</v>
      </c>
      <c r="C21984" s="1" t="str">
        <f>HYPERLINK("http://stackoverflow.com/users/5685049", "xiuhong")</f>
        <v>xiuhong</v>
      </c>
      <c r="D21984" t="s">
        <v>16</v>
      </c>
      <c r="E21984">
        <v>1</v>
      </c>
    </row>
    <row r="21985" spans="1:5" x14ac:dyDescent="0.25">
      <c r="A21985">
        <v>21984</v>
      </c>
      <c r="B21985">
        <v>5685183</v>
      </c>
      <c r="C21985" s="1" t="str">
        <f>HYPERLINK("http://stackoverflow.com/users/5685183", "Simon Zhang")</f>
        <v>Simon Zhang</v>
      </c>
      <c r="D21985" t="s">
        <v>5</v>
      </c>
      <c r="E21985">
        <v>1</v>
      </c>
    </row>
    <row r="21986" spans="1:5" x14ac:dyDescent="0.25">
      <c r="A21986">
        <v>21985</v>
      </c>
      <c r="B21986">
        <v>11129917</v>
      </c>
      <c r="C21986" s="1" t="str">
        <f>HYPERLINK("http://stackoverflow.com/users/11129917", "Shishi Xie")</f>
        <v>Shishi Xie</v>
      </c>
      <c r="D21986" t="s">
        <v>16</v>
      </c>
      <c r="E21986">
        <v>1</v>
      </c>
    </row>
    <row r="21987" spans="1:5" x14ac:dyDescent="0.25">
      <c r="A21987">
        <v>21986</v>
      </c>
      <c r="B21987">
        <v>9328646</v>
      </c>
      <c r="C21987" s="1" t="str">
        <f>HYPERLINK("http://stackoverflow.com/users/9328646", "Batawar")</f>
        <v>Batawar</v>
      </c>
      <c r="D21987" t="s">
        <v>15</v>
      </c>
      <c r="E21987">
        <v>1</v>
      </c>
    </row>
    <row r="21988" spans="1:5" x14ac:dyDescent="0.25">
      <c r="A21988">
        <v>21987</v>
      </c>
      <c r="B21988">
        <v>5680866</v>
      </c>
      <c r="C21988" s="1" t="str">
        <f>HYPERLINK("http://stackoverflow.com/users/5680866", "Anki Yang")</f>
        <v>Anki Yang</v>
      </c>
      <c r="D21988" t="s">
        <v>25</v>
      </c>
      <c r="E21988">
        <v>1</v>
      </c>
    </row>
    <row r="21989" spans="1:5" x14ac:dyDescent="0.25">
      <c r="A21989">
        <v>21988</v>
      </c>
      <c r="B21989">
        <v>5681076</v>
      </c>
      <c r="C21989" s="1" t="str">
        <f>HYPERLINK("http://stackoverflow.com/users/5681076", "Jason Xue")</f>
        <v>Jason Xue</v>
      </c>
      <c r="D21989" t="s">
        <v>4</v>
      </c>
      <c r="E21989">
        <v>1</v>
      </c>
    </row>
    <row r="21990" spans="1:5" x14ac:dyDescent="0.25">
      <c r="A21990">
        <v>21989</v>
      </c>
      <c r="B21990">
        <v>5681080</v>
      </c>
      <c r="C21990" s="1" t="str">
        <f>HYPERLINK("http://stackoverflow.com/users/5681080", "Dandy613")</f>
        <v>Dandy613</v>
      </c>
      <c r="D21990" t="s">
        <v>31</v>
      </c>
      <c r="E21990">
        <v>1</v>
      </c>
    </row>
    <row r="21991" spans="1:5" x14ac:dyDescent="0.25">
      <c r="A21991">
        <v>21990</v>
      </c>
      <c r="B21991">
        <v>3889835</v>
      </c>
      <c r="C21991" s="1" t="str">
        <f>HYPERLINK("http://stackoverflow.com/users/3889835", "user3889835")</f>
        <v>user3889835</v>
      </c>
      <c r="D21991" t="s">
        <v>5</v>
      </c>
      <c r="E21991">
        <v>1</v>
      </c>
    </row>
    <row r="21992" spans="1:5" x14ac:dyDescent="0.25">
      <c r="A21992">
        <v>21991</v>
      </c>
      <c r="B21992">
        <v>3890351</v>
      </c>
      <c r="C21992" s="1" t="str">
        <f>HYPERLINK("http://stackoverflow.com/users/3890351", "Bill Lau")</f>
        <v>Bill Lau</v>
      </c>
      <c r="D21992" t="s">
        <v>1163</v>
      </c>
      <c r="E21992">
        <v>1</v>
      </c>
    </row>
    <row r="21993" spans="1:5" x14ac:dyDescent="0.25">
      <c r="A21993">
        <v>21992</v>
      </c>
      <c r="B21993">
        <v>3890398</v>
      </c>
      <c r="C21993" s="1" t="str">
        <f>HYPERLINK("http://stackoverflow.com/users/3890398", "Mercury")</f>
        <v>Mercury</v>
      </c>
      <c r="D21993" t="s">
        <v>37</v>
      </c>
      <c r="E21993">
        <v>1</v>
      </c>
    </row>
    <row r="21994" spans="1:5" x14ac:dyDescent="0.25">
      <c r="A21994">
        <v>21993</v>
      </c>
      <c r="B21994">
        <v>5677061</v>
      </c>
      <c r="C21994" s="1" t="str">
        <f>HYPERLINK("http://stackoverflow.com/users/5677061", "wuyuexin")</f>
        <v>wuyuexin</v>
      </c>
      <c r="D21994" t="s">
        <v>4</v>
      </c>
      <c r="E21994">
        <v>1</v>
      </c>
    </row>
    <row r="21995" spans="1:5" x14ac:dyDescent="0.25">
      <c r="A21995">
        <v>21994</v>
      </c>
      <c r="B21995">
        <v>7430560</v>
      </c>
      <c r="C21995" s="1" t="str">
        <f>HYPERLINK("http://stackoverflow.com/users/7430560", "Y.C Ivan")</f>
        <v>Y.C Ivan</v>
      </c>
      <c r="D21995" t="s">
        <v>7</v>
      </c>
      <c r="E21995">
        <v>1</v>
      </c>
    </row>
    <row r="21996" spans="1:5" x14ac:dyDescent="0.25">
      <c r="A21996">
        <v>21995</v>
      </c>
      <c r="B21996">
        <v>7430950</v>
      </c>
      <c r="C21996" s="1" t="str">
        <f>HYPERLINK("http://stackoverflow.com/users/7430950", "Xing Feng")</f>
        <v>Xing Feng</v>
      </c>
      <c r="D21996" t="s">
        <v>79</v>
      </c>
      <c r="E21996">
        <v>1</v>
      </c>
    </row>
    <row r="21997" spans="1:5" x14ac:dyDescent="0.25">
      <c r="A21997">
        <v>21996</v>
      </c>
      <c r="B21997">
        <v>2133882</v>
      </c>
      <c r="C21997" s="1" t="str">
        <f>HYPERLINK("http://stackoverflow.com/users/2133882", "Qing")</f>
        <v>Qing</v>
      </c>
      <c r="D21997" t="s">
        <v>5</v>
      </c>
      <c r="E21997">
        <v>1</v>
      </c>
    </row>
    <row r="21998" spans="1:5" x14ac:dyDescent="0.25">
      <c r="A21998">
        <v>21997</v>
      </c>
      <c r="B21998">
        <v>2134018</v>
      </c>
      <c r="C21998" s="1" t="str">
        <f>HYPERLINK("http://stackoverflow.com/users/2134018", "Cold Sping")</f>
        <v>Cold Sping</v>
      </c>
      <c r="D21998" t="s">
        <v>5</v>
      </c>
      <c r="E21998">
        <v>1</v>
      </c>
    </row>
    <row r="21999" spans="1:5" x14ac:dyDescent="0.25">
      <c r="A21999">
        <v>21998</v>
      </c>
      <c r="B21999">
        <v>2134382</v>
      </c>
      <c r="C21999" s="1" t="str">
        <f>HYPERLINK("http://stackoverflow.com/users/2134382", "Lisa")</f>
        <v>Lisa</v>
      </c>
      <c r="D21999" t="s">
        <v>21</v>
      </c>
      <c r="E21999">
        <v>1</v>
      </c>
    </row>
    <row r="22000" spans="1:5" x14ac:dyDescent="0.25">
      <c r="A22000">
        <v>21999</v>
      </c>
      <c r="B22000">
        <v>9336852</v>
      </c>
      <c r="C22000" s="1" t="str">
        <f>HYPERLINK("http://stackoverflow.com/users/9336852", "solarlight")</f>
        <v>solarlight</v>
      </c>
      <c r="D22000" t="s">
        <v>1164</v>
      </c>
      <c r="E22000">
        <v>1</v>
      </c>
    </row>
    <row r="22001" spans="1:5" x14ac:dyDescent="0.25">
      <c r="A22001">
        <v>22000</v>
      </c>
      <c r="B22001">
        <v>9336900</v>
      </c>
      <c r="C22001" s="1" t="str">
        <f>HYPERLINK("http://stackoverflow.com/users/9336900", "胡赵宇")</f>
        <v>胡赵宇</v>
      </c>
      <c r="D22001" t="s">
        <v>692</v>
      </c>
      <c r="E22001">
        <v>1</v>
      </c>
    </row>
    <row r="22002" spans="1:5" x14ac:dyDescent="0.25">
      <c r="A22002">
        <v>22001</v>
      </c>
      <c r="B22002">
        <v>9337033</v>
      </c>
      <c r="C22002" s="1" t="str">
        <f>HYPERLINK("http://stackoverflow.com/users/9337033", "pendantlights")</f>
        <v>pendantlights</v>
      </c>
      <c r="D22002" t="s">
        <v>1165</v>
      </c>
      <c r="E2200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QueryResults - China Region -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Yang, Bruce</cp:lastModifiedBy>
  <dcterms:created xsi:type="dcterms:W3CDTF">2019-04-12T02:43:53Z</dcterms:created>
  <dcterms:modified xsi:type="dcterms:W3CDTF">2019-04-12T02:46:35Z</dcterms:modified>
</cp:coreProperties>
</file>