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mino\OneDrive\Desktop\Yandex\"/>
    </mc:Choice>
  </mc:AlternateContent>
  <xr:revisionPtr revIDLastSave="0" documentId="13_ncr:1_{5F4B30AC-A1C7-40BE-B544-10EA08DA7AB2}" xr6:coauthVersionLast="47" xr6:coauthVersionMax="47" xr10:uidLastSave="{00000000-0000-0000-0000-000000000000}"/>
  <bookViews>
    <workbookView xWindow="-105" yWindow="0" windowWidth="14610" windowHeight="15585" xr2:uid="{49A9FF73-463E-0C40-8E2A-444D63EAF0F8}"/>
  </bookViews>
  <sheets>
    <sheet name="Tasks" sheetId="4" r:id="rId1"/>
    <sheet name="Delliveries" sheetId="1" r:id="rId2"/>
    <sheet name="Tariff" sheetId="3" r:id="rId3"/>
    <sheet name="Обработанные данные" sheetId="5" r:id="rId4"/>
    <sheet name="Сводная таблица" sheetId="8" r:id="rId5"/>
  </sheets>
  <definedNames>
    <definedName name="_xlnm._FilterDatabase" localSheetId="1" hidden="1">Delliveries!$A$1:$D$1</definedName>
    <definedName name="_xlnm._FilterDatabase" localSheetId="3" hidden="1">'Обработанные данные'!$A$1:$J$1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8" l="1"/>
  <c r="G63" i="8" s="1"/>
  <c r="G61" i="8"/>
  <c r="G60" i="8"/>
  <c r="F63" i="8"/>
  <c r="E63" i="8"/>
  <c r="D63" i="8"/>
  <c r="C63" i="8"/>
  <c r="B63" i="8"/>
  <c r="H62" i="8"/>
  <c r="H61" i="8"/>
  <c r="H60" i="8"/>
  <c r="G55" i="8"/>
  <c r="G54" i="8"/>
  <c r="G53" i="8"/>
  <c r="F56" i="8"/>
  <c r="E56" i="8"/>
  <c r="D56" i="8"/>
  <c r="C56" i="8"/>
  <c r="B56" i="8"/>
  <c r="H55" i="8"/>
  <c r="H54" i="8"/>
  <c r="H53" i="8"/>
  <c r="G48" i="8"/>
  <c r="G47" i="8"/>
  <c r="G46" i="8"/>
  <c r="G33" i="8"/>
  <c r="G32" i="8"/>
  <c r="G31" i="8"/>
  <c r="G40" i="8"/>
  <c r="G39" i="8"/>
  <c r="G38" i="8"/>
  <c r="F34" i="8"/>
  <c r="H34" i="8" s="1"/>
  <c r="E34" i="8"/>
  <c r="D34" i="8"/>
  <c r="C34" i="8"/>
  <c r="B34" i="8"/>
  <c r="H33" i="8"/>
  <c r="H32" i="8"/>
  <c r="H31" i="8"/>
  <c r="F49" i="8"/>
  <c r="E49" i="8"/>
  <c r="D49" i="8"/>
  <c r="C49" i="8"/>
  <c r="B49" i="8"/>
  <c r="H48" i="8"/>
  <c r="H47" i="8"/>
  <c r="H46" i="8"/>
  <c r="F41" i="8"/>
  <c r="H41" i="8" s="1"/>
  <c r="E41" i="8"/>
  <c r="D41" i="8"/>
  <c r="C41" i="8"/>
  <c r="B41" i="8"/>
  <c r="H40" i="8"/>
  <c r="H39" i="8"/>
  <c r="H38" i="8"/>
  <c r="F26" i="8"/>
  <c r="E26" i="8"/>
  <c r="D26" i="8"/>
  <c r="C26" i="8"/>
  <c r="B26" i="8"/>
  <c r="F19" i="8"/>
  <c r="E19" i="8"/>
  <c r="D19" i="8"/>
  <c r="C19" i="8"/>
  <c r="B19" i="8"/>
  <c r="G25" i="8"/>
  <c r="G24" i="8"/>
  <c r="G26" i="8" s="1"/>
  <c r="G23" i="8"/>
  <c r="G18" i="8"/>
  <c r="G17" i="8"/>
  <c r="G16" i="8"/>
  <c r="G19" i="8" s="1"/>
  <c r="H25" i="8"/>
  <c r="H24" i="8"/>
  <c r="H23" i="8"/>
  <c r="H18" i="8"/>
  <c r="H17" i="8"/>
  <c r="H16" i="8"/>
  <c r="F71" i="5"/>
  <c r="F39" i="5"/>
  <c r="F54" i="5"/>
  <c r="F145" i="5"/>
  <c r="F116" i="5"/>
  <c r="F101" i="5"/>
  <c r="F117" i="5"/>
  <c r="F191" i="5"/>
  <c r="F102" i="5"/>
  <c r="F164" i="5"/>
  <c r="F130" i="5"/>
  <c r="F131" i="5"/>
  <c r="F165" i="5"/>
  <c r="F2" i="5"/>
  <c r="F20" i="5"/>
  <c r="F21" i="5"/>
  <c r="F55" i="5"/>
  <c r="F56" i="5"/>
  <c r="F146" i="5"/>
  <c r="F166" i="5"/>
  <c r="F40" i="5"/>
  <c r="F22" i="5"/>
  <c r="F84" i="5"/>
  <c r="F118" i="5"/>
  <c r="F147" i="5"/>
  <c r="F148" i="5"/>
  <c r="F192" i="5"/>
  <c r="F132" i="5"/>
  <c r="F119" i="5"/>
  <c r="F149" i="5"/>
  <c r="F41" i="5"/>
  <c r="F133" i="5"/>
  <c r="F150" i="5"/>
  <c r="F103" i="5"/>
  <c r="F151" i="5"/>
  <c r="F3" i="5"/>
  <c r="F85" i="5"/>
  <c r="F72" i="5"/>
  <c r="F104" i="5"/>
  <c r="F167" i="5"/>
  <c r="F168" i="5"/>
  <c r="F152" i="5"/>
  <c r="F193" i="5"/>
  <c r="F57" i="5"/>
  <c r="F105" i="5"/>
  <c r="F106" i="5"/>
  <c r="F107" i="5"/>
  <c r="F108" i="5"/>
  <c r="F134" i="5"/>
  <c r="F120" i="5"/>
  <c r="F153" i="5"/>
  <c r="F194" i="5"/>
  <c r="F175" i="5"/>
  <c r="F176" i="5"/>
  <c r="F177" i="5"/>
  <c r="F195" i="5"/>
  <c r="F73" i="5"/>
  <c r="F154" i="5"/>
  <c r="F155" i="5"/>
  <c r="F23" i="5"/>
  <c r="F58" i="5"/>
  <c r="F135" i="5"/>
  <c r="F42" i="5"/>
  <c r="F86" i="5"/>
  <c r="F8" i="5"/>
  <c r="F87" i="5"/>
  <c r="F88" i="5"/>
  <c r="F43" i="5"/>
  <c r="F9" i="5"/>
  <c r="F24" i="5"/>
  <c r="F178" i="5"/>
  <c r="F169" i="5"/>
  <c r="F179" i="5"/>
  <c r="F136" i="5"/>
  <c r="F180" i="5"/>
  <c r="F181" i="5"/>
  <c r="F182" i="5"/>
  <c r="F137" i="5"/>
  <c r="F138" i="5"/>
  <c r="F121" i="5"/>
  <c r="F122" i="5"/>
  <c r="F170" i="5"/>
  <c r="F156" i="5"/>
  <c r="F59" i="5"/>
  <c r="F89" i="5"/>
  <c r="F74" i="5"/>
  <c r="F60" i="5"/>
  <c r="F10" i="5"/>
  <c r="F25" i="5"/>
  <c r="F123" i="5"/>
  <c r="F171" i="5"/>
  <c r="F139" i="5"/>
  <c r="F124" i="5"/>
  <c r="F157" i="5"/>
  <c r="F109" i="5"/>
  <c r="F183" i="5"/>
  <c r="F11" i="5"/>
  <c r="F26" i="5"/>
  <c r="F90" i="5"/>
  <c r="F44" i="5"/>
  <c r="F61" i="5"/>
  <c r="F62" i="5"/>
  <c r="F12" i="5"/>
  <c r="F27" i="5"/>
  <c r="F184" i="5"/>
  <c r="F196" i="5"/>
  <c r="F185" i="5"/>
  <c r="F140" i="5"/>
  <c r="F158" i="5"/>
  <c r="F91" i="5"/>
  <c r="F45" i="5"/>
  <c r="F63" i="5"/>
  <c r="F13" i="5"/>
  <c r="F75" i="5"/>
  <c r="F64" i="5"/>
  <c r="F28" i="5"/>
  <c r="F46" i="5"/>
  <c r="F110" i="5"/>
  <c r="F111" i="5"/>
  <c r="F159" i="5"/>
  <c r="F125" i="5"/>
  <c r="F186" i="5"/>
  <c r="F172" i="5"/>
  <c r="F126" i="5"/>
  <c r="F112" i="5"/>
  <c r="F197" i="5"/>
  <c r="F4" i="5"/>
  <c r="F92" i="5"/>
  <c r="F5" i="5"/>
  <c r="F65" i="5"/>
  <c r="F93" i="5"/>
  <c r="F94" i="5"/>
  <c r="F29" i="5"/>
  <c r="F14" i="5"/>
  <c r="F47" i="5"/>
  <c r="F30" i="5"/>
  <c r="F173" i="5"/>
  <c r="F187" i="5"/>
  <c r="F141" i="5"/>
  <c r="F160" i="5"/>
  <c r="F113" i="5"/>
  <c r="F114" i="5"/>
  <c r="F48" i="5"/>
  <c r="F15" i="5"/>
  <c r="F161" i="5"/>
  <c r="F127" i="5"/>
  <c r="F66" i="5"/>
  <c r="F31" i="5"/>
  <c r="F188" i="5"/>
  <c r="F162" i="5"/>
  <c r="F189" i="5"/>
  <c r="F142" i="5"/>
  <c r="F190" i="5"/>
  <c r="F76" i="5"/>
  <c r="F95" i="5"/>
  <c r="F77" i="5"/>
  <c r="F32" i="5"/>
  <c r="F198" i="5"/>
  <c r="F78" i="5"/>
  <c r="F49" i="5"/>
  <c r="F33" i="5"/>
  <c r="F16" i="5"/>
  <c r="F199" i="5"/>
  <c r="F96" i="5"/>
  <c r="F17" i="5"/>
  <c r="F97" i="5"/>
  <c r="F79" i="5"/>
  <c r="F18" i="5"/>
  <c r="F98" i="5"/>
  <c r="F80" i="5"/>
  <c r="F50" i="5"/>
  <c r="F81" i="5"/>
  <c r="F82" i="5"/>
  <c r="F200" i="5"/>
  <c r="F128" i="5"/>
  <c r="F129" i="5"/>
  <c r="F6" i="5"/>
  <c r="F34" i="5"/>
  <c r="F35" i="5"/>
  <c r="F67" i="5"/>
  <c r="F68" i="5"/>
  <c r="F163" i="5"/>
  <c r="F174" i="5"/>
  <c r="F83" i="5"/>
  <c r="F51" i="5"/>
  <c r="F36" i="5"/>
  <c r="F52" i="5"/>
  <c r="F69" i="5"/>
  <c r="F99" i="5"/>
  <c r="F37" i="5"/>
  <c r="F143" i="5"/>
  <c r="F19" i="5"/>
  <c r="F7" i="5"/>
  <c r="F115" i="5"/>
  <c r="F53" i="5"/>
  <c r="F38" i="5"/>
  <c r="F144" i="5"/>
  <c r="F100" i="5"/>
  <c r="F70" i="5"/>
  <c r="B71" i="5"/>
  <c r="J71" i="5" s="1"/>
  <c r="B39" i="5"/>
  <c r="J39" i="5" s="1"/>
  <c r="B54" i="5"/>
  <c r="J54" i="5" s="1"/>
  <c r="B145" i="5"/>
  <c r="J145" i="5" s="1"/>
  <c r="B116" i="5"/>
  <c r="J116" i="5" s="1"/>
  <c r="B101" i="5"/>
  <c r="J101" i="5" s="1"/>
  <c r="B117" i="5"/>
  <c r="J117" i="5" s="1"/>
  <c r="B191" i="5"/>
  <c r="J191" i="5" s="1"/>
  <c r="B102" i="5"/>
  <c r="J102" i="5" s="1"/>
  <c r="B164" i="5"/>
  <c r="J164" i="5" s="1"/>
  <c r="B130" i="5"/>
  <c r="J130" i="5" s="1"/>
  <c r="B131" i="5"/>
  <c r="J131" i="5" s="1"/>
  <c r="B165" i="5"/>
  <c r="J165" i="5" s="1"/>
  <c r="B2" i="5"/>
  <c r="J2" i="5" s="1"/>
  <c r="B20" i="5"/>
  <c r="J20" i="5" s="1"/>
  <c r="B21" i="5"/>
  <c r="J21" i="5" s="1"/>
  <c r="B55" i="5"/>
  <c r="J55" i="5" s="1"/>
  <c r="B56" i="5"/>
  <c r="J56" i="5" s="1"/>
  <c r="B146" i="5"/>
  <c r="J146" i="5" s="1"/>
  <c r="B166" i="5"/>
  <c r="J166" i="5" s="1"/>
  <c r="B40" i="5"/>
  <c r="J40" i="5" s="1"/>
  <c r="B22" i="5"/>
  <c r="J22" i="5" s="1"/>
  <c r="B84" i="5"/>
  <c r="J84" i="5" s="1"/>
  <c r="B118" i="5"/>
  <c r="J118" i="5" s="1"/>
  <c r="B147" i="5"/>
  <c r="J147" i="5" s="1"/>
  <c r="B148" i="5"/>
  <c r="J148" i="5" s="1"/>
  <c r="B192" i="5"/>
  <c r="J192" i="5" s="1"/>
  <c r="B132" i="5"/>
  <c r="J132" i="5" s="1"/>
  <c r="B119" i="5"/>
  <c r="J119" i="5" s="1"/>
  <c r="B149" i="5"/>
  <c r="J149" i="5" s="1"/>
  <c r="B41" i="5"/>
  <c r="J41" i="5" s="1"/>
  <c r="B133" i="5"/>
  <c r="J133" i="5" s="1"/>
  <c r="B150" i="5"/>
  <c r="J150" i="5" s="1"/>
  <c r="B103" i="5"/>
  <c r="J103" i="5" s="1"/>
  <c r="B151" i="5"/>
  <c r="J151" i="5" s="1"/>
  <c r="B3" i="5"/>
  <c r="J3" i="5" s="1"/>
  <c r="B85" i="5"/>
  <c r="J85" i="5" s="1"/>
  <c r="B72" i="5"/>
  <c r="J72" i="5" s="1"/>
  <c r="B104" i="5"/>
  <c r="J104" i="5" s="1"/>
  <c r="B167" i="5"/>
  <c r="J167" i="5" s="1"/>
  <c r="B168" i="5"/>
  <c r="J168" i="5" s="1"/>
  <c r="B152" i="5"/>
  <c r="J152" i="5" s="1"/>
  <c r="B193" i="5"/>
  <c r="J193" i="5" s="1"/>
  <c r="B57" i="5"/>
  <c r="J57" i="5" s="1"/>
  <c r="B105" i="5"/>
  <c r="J105" i="5" s="1"/>
  <c r="B106" i="5"/>
  <c r="J106" i="5" s="1"/>
  <c r="B107" i="5"/>
  <c r="J107" i="5" s="1"/>
  <c r="B108" i="5"/>
  <c r="J108" i="5" s="1"/>
  <c r="B134" i="5"/>
  <c r="J134" i="5" s="1"/>
  <c r="B120" i="5"/>
  <c r="J120" i="5" s="1"/>
  <c r="B153" i="5"/>
  <c r="J153" i="5" s="1"/>
  <c r="B194" i="5"/>
  <c r="J194" i="5" s="1"/>
  <c r="B175" i="5"/>
  <c r="J175" i="5" s="1"/>
  <c r="B176" i="5"/>
  <c r="J176" i="5" s="1"/>
  <c r="B177" i="5"/>
  <c r="J177" i="5" s="1"/>
  <c r="B195" i="5"/>
  <c r="J195" i="5" s="1"/>
  <c r="B73" i="5"/>
  <c r="J73" i="5" s="1"/>
  <c r="B154" i="5"/>
  <c r="J154" i="5" s="1"/>
  <c r="B155" i="5"/>
  <c r="J155" i="5" s="1"/>
  <c r="B23" i="5"/>
  <c r="J23" i="5" s="1"/>
  <c r="B58" i="5"/>
  <c r="J58" i="5" s="1"/>
  <c r="B135" i="5"/>
  <c r="J135" i="5" s="1"/>
  <c r="B42" i="5"/>
  <c r="J42" i="5" s="1"/>
  <c r="B86" i="5"/>
  <c r="J86" i="5" s="1"/>
  <c r="B8" i="5"/>
  <c r="J8" i="5" s="1"/>
  <c r="B87" i="5"/>
  <c r="J87" i="5" s="1"/>
  <c r="B88" i="5"/>
  <c r="J88" i="5" s="1"/>
  <c r="B43" i="5"/>
  <c r="J43" i="5" s="1"/>
  <c r="B9" i="5"/>
  <c r="J9" i="5" s="1"/>
  <c r="B24" i="5"/>
  <c r="J24" i="5" s="1"/>
  <c r="B178" i="5"/>
  <c r="J178" i="5" s="1"/>
  <c r="B169" i="5"/>
  <c r="J169" i="5" s="1"/>
  <c r="B179" i="5"/>
  <c r="J179" i="5" s="1"/>
  <c r="B136" i="5"/>
  <c r="J136" i="5" s="1"/>
  <c r="B180" i="5"/>
  <c r="J180" i="5" s="1"/>
  <c r="B181" i="5"/>
  <c r="J181" i="5" s="1"/>
  <c r="B182" i="5"/>
  <c r="J182" i="5" s="1"/>
  <c r="B137" i="5"/>
  <c r="J137" i="5" s="1"/>
  <c r="B138" i="5"/>
  <c r="J138" i="5" s="1"/>
  <c r="B121" i="5"/>
  <c r="J121" i="5" s="1"/>
  <c r="B122" i="5"/>
  <c r="J122" i="5" s="1"/>
  <c r="B170" i="5"/>
  <c r="J170" i="5" s="1"/>
  <c r="B156" i="5"/>
  <c r="J156" i="5" s="1"/>
  <c r="B59" i="5"/>
  <c r="J59" i="5" s="1"/>
  <c r="B89" i="5"/>
  <c r="J89" i="5" s="1"/>
  <c r="B74" i="5"/>
  <c r="J74" i="5" s="1"/>
  <c r="B60" i="5"/>
  <c r="J60" i="5" s="1"/>
  <c r="B10" i="5"/>
  <c r="J10" i="5" s="1"/>
  <c r="B25" i="5"/>
  <c r="J25" i="5" s="1"/>
  <c r="B123" i="5"/>
  <c r="J123" i="5" s="1"/>
  <c r="B171" i="5"/>
  <c r="J171" i="5" s="1"/>
  <c r="B139" i="5"/>
  <c r="J139" i="5" s="1"/>
  <c r="B124" i="5"/>
  <c r="J124" i="5" s="1"/>
  <c r="B157" i="5"/>
  <c r="J157" i="5" s="1"/>
  <c r="B109" i="5"/>
  <c r="J109" i="5" s="1"/>
  <c r="B183" i="5"/>
  <c r="J183" i="5" s="1"/>
  <c r="B11" i="5"/>
  <c r="J11" i="5" s="1"/>
  <c r="B26" i="5"/>
  <c r="J26" i="5" s="1"/>
  <c r="B90" i="5"/>
  <c r="J90" i="5" s="1"/>
  <c r="B44" i="5"/>
  <c r="J44" i="5" s="1"/>
  <c r="B61" i="5"/>
  <c r="J61" i="5" s="1"/>
  <c r="B62" i="5"/>
  <c r="J62" i="5" s="1"/>
  <c r="B12" i="5"/>
  <c r="J12" i="5" s="1"/>
  <c r="B27" i="5"/>
  <c r="J27" i="5" s="1"/>
  <c r="B184" i="5"/>
  <c r="J184" i="5" s="1"/>
  <c r="B196" i="5"/>
  <c r="J196" i="5" s="1"/>
  <c r="B185" i="5"/>
  <c r="J185" i="5" s="1"/>
  <c r="B140" i="5"/>
  <c r="J140" i="5" s="1"/>
  <c r="B158" i="5"/>
  <c r="J158" i="5" s="1"/>
  <c r="B91" i="5"/>
  <c r="J91" i="5" s="1"/>
  <c r="B45" i="5"/>
  <c r="J45" i="5" s="1"/>
  <c r="B63" i="5"/>
  <c r="J63" i="5" s="1"/>
  <c r="B13" i="5"/>
  <c r="J13" i="5" s="1"/>
  <c r="B75" i="5"/>
  <c r="J75" i="5" s="1"/>
  <c r="B64" i="5"/>
  <c r="J64" i="5" s="1"/>
  <c r="B28" i="5"/>
  <c r="J28" i="5" s="1"/>
  <c r="B46" i="5"/>
  <c r="J46" i="5" s="1"/>
  <c r="B110" i="5"/>
  <c r="J110" i="5" s="1"/>
  <c r="B111" i="5"/>
  <c r="J111" i="5" s="1"/>
  <c r="B159" i="5"/>
  <c r="J159" i="5" s="1"/>
  <c r="B125" i="5"/>
  <c r="J125" i="5" s="1"/>
  <c r="B186" i="5"/>
  <c r="J186" i="5" s="1"/>
  <c r="B172" i="5"/>
  <c r="J172" i="5" s="1"/>
  <c r="B126" i="5"/>
  <c r="J126" i="5" s="1"/>
  <c r="B112" i="5"/>
  <c r="J112" i="5" s="1"/>
  <c r="B197" i="5"/>
  <c r="J197" i="5" s="1"/>
  <c r="B4" i="5"/>
  <c r="J4" i="5" s="1"/>
  <c r="B92" i="5"/>
  <c r="J92" i="5" s="1"/>
  <c r="B5" i="5"/>
  <c r="J5" i="5" s="1"/>
  <c r="B65" i="5"/>
  <c r="J65" i="5" s="1"/>
  <c r="B93" i="5"/>
  <c r="J93" i="5" s="1"/>
  <c r="B94" i="5"/>
  <c r="J94" i="5" s="1"/>
  <c r="B29" i="5"/>
  <c r="J29" i="5" s="1"/>
  <c r="B14" i="5"/>
  <c r="J14" i="5" s="1"/>
  <c r="B47" i="5"/>
  <c r="J47" i="5" s="1"/>
  <c r="B30" i="5"/>
  <c r="J30" i="5" s="1"/>
  <c r="B173" i="5"/>
  <c r="J173" i="5" s="1"/>
  <c r="B187" i="5"/>
  <c r="J187" i="5" s="1"/>
  <c r="B141" i="5"/>
  <c r="J141" i="5" s="1"/>
  <c r="B160" i="5"/>
  <c r="J160" i="5" s="1"/>
  <c r="B113" i="5"/>
  <c r="J113" i="5" s="1"/>
  <c r="B114" i="5"/>
  <c r="J114" i="5" s="1"/>
  <c r="B48" i="5"/>
  <c r="J48" i="5" s="1"/>
  <c r="B15" i="5"/>
  <c r="J15" i="5" s="1"/>
  <c r="B161" i="5"/>
  <c r="J161" i="5" s="1"/>
  <c r="B127" i="5"/>
  <c r="J127" i="5" s="1"/>
  <c r="B66" i="5"/>
  <c r="J66" i="5" s="1"/>
  <c r="B31" i="5"/>
  <c r="J31" i="5" s="1"/>
  <c r="B188" i="5"/>
  <c r="J188" i="5" s="1"/>
  <c r="B162" i="5"/>
  <c r="J162" i="5" s="1"/>
  <c r="B189" i="5"/>
  <c r="J189" i="5" s="1"/>
  <c r="B142" i="5"/>
  <c r="J142" i="5" s="1"/>
  <c r="B190" i="5"/>
  <c r="J190" i="5" s="1"/>
  <c r="B76" i="5"/>
  <c r="J76" i="5" s="1"/>
  <c r="B95" i="5"/>
  <c r="J95" i="5" s="1"/>
  <c r="B77" i="5"/>
  <c r="J77" i="5" s="1"/>
  <c r="B32" i="5"/>
  <c r="J32" i="5" s="1"/>
  <c r="B198" i="5"/>
  <c r="J198" i="5" s="1"/>
  <c r="B78" i="5"/>
  <c r="J78" i="5" s="1"/>
  <c r="B49" i="5"/>
  <c r="J49" i="5" s="1"/>
  <c r="B33" i="5"/>
  <c r="J33" i="5" s="1"/>
  <c r="B16" i="5"/>
  <c r="J16" i="5" s="1"/>
  <c r="B199" i="5"/>
  <c r="J199" i="5" s="1"/>
  <c r="B96" i="5"/>
  <c r="J96" i="5" s="1"/>
  <c r="B17" i="5"/>
  <c r="J17" i="5" s="1"/>
  <c r="B97" i="5"/>
  <c r="J97" i="5" s="1"/>
  <c r="B79" i="5"/>
  <c r="J79" i="5" s="1"/>
  <c r="B18" i="5"/>
  <c r="J18" i="5" s="1"/>
  <c r="B98" i="5"/>
  <c r="J98" i="5" s="1"/>
  <c r="B80" i="5"/>
  <c r="J80" i="5" s="1"/>
  <c r="B50" i="5"/>
  <c r="J50" i="5" s="1"/>
  <c r="B81" i="5"/>
  <c r="J81" i="5" s="1"/>
  <c r="B82" i="5"/>
  <c r="J82" i="5" s="1"/>
  <c r="B200" i="5"/>
  <c r="J200" i="5" s="1"/>
  <c r="B128" i="5"/>
  <c r="J128" i="5" s="1"/>
  <c r="B129" i="5"/>
  <c r="J129" i="5" s="1"/>
  <c r="B6" i="5"/>
  <c r="J6" i="5" s="1"/>
  <c r="B34" i="5"/>
  <c r="J34" i="5" s="1"/>
  <c r="B35" i="5"/>
  <c r="J35" i="5" s="1"/>
  <c r="B67" i="5"/>
  <c r="J67" i="5" s="1"/>
  <c r="B68" i="5"/>
  <c r="J68" i="5" s="1"/>
  <c r="B163" i="5"/>
  <c r="J163" i="5" s="1"/>
  <c r="B174" i="5"/>
  <c r="J174" i="5" s="1"/>
  <c r="B83" i="5"/>
  <c r="J83" i="5" s="1"/>
  <c r="B51" i="5"/>
  <c r="J51" i="5" s="1"/>
  <c r="B36" i="5"/>
  <c r="J36" i="5" s="1"/>
  <c r="B52" i="5"/>
  <c r="J52" i="5" s="1"/>
  <c r="B69" i="5"/>
  <c r="J69" i="5" s="1"/>
  <c r="B99" i="5"/>
  <c r="J99" i="5" s="1"/>
  <c r="B37" i="5"/>
  <c r="J37" i="5" s="1"/>
  <c r="B143" i="5"/>
  <c r="J143" i="5" s="1"/>
  <c r="B19" i="5"/>
  <c r="J19" i="5" s="1"/>
  <c r="B7" i="5"/>
  <c r="J7" i="5" s="1"/>
  <c r="B115" i="5"/>
  <c r="J115" i="5" s="1"/>
  <c r="B53" i="5"/>
  <c r="J53" i="5" s="1"/>
  <c r="B38" i="5"/>
  <c r="J38" i="5" s="1"/>
  <c r="B144" i="5"/>
  <c r="J144" i="5" s="1"/>
  <c r="B100" i="5"/>
  <c r="J100" i="5" s="1"/>
  <c r="B70" i="5"/>
  <c r="J70" i="5" s="1"/>
  <c r="A71" i="5"/>
  <c r="A39" i="5"/>
  <c r="A54" i="5"/>
  <c r="A145" i="5"/>
  <c r="A116" i="5"/>
  <c r="A101" i="5"/>
  <c r="A117" i="5"/>
  <c r="A191" i="5"/>
  <c r="A102" i="5"/>
  <c r="A164" i="5"/>
  <c r="A130" i="5"/>
  <c r="A131" i="5"/>
  <c r="A165" i="5"/>
  <c r="A2" i="5"/>
  <c r="A20" i="5"/>
  <c r="A21" i="5"/>
  <c r="A55" i="5"/>
  <c r="A56" i="5"/>
  <c r="A146" i="5"/>
  <c r="A166" i="5"/>
  <c r="A40" i="5"/>
  <c r="A22" i="5"/>
  <c r="A84" i="5"/>
  <c r="A118" i="5"/>
  <c r="A147" i="5"/>
  <c r="A148" i="5"/>
  <c r="A192" i="5"/>
  <c r="A132" i="5"/>
  <c r="A119" i="5"/>
  <c r="A149" i="5"/>
  <c r="A41" i="5"/>
  <c r="A133" i="5"/>
  <c r="A150" i="5"/>
  <c r="A103" i="5"/>
  <c r="A151" i="5"/>
  <c r="A3" i="5"/>
  <c r="A85" i="5"/>
  <c r="A72" i="5"/>
  <c r="A104" i="5"/>
  <c r="A167" i="5"/>
  <c r="A168" i="5"/>
  <c r="A152" i="5"/>
  <c r="A193" i="5"/>
  <c r="A57" i="5"/>
  <c r="A105" i="5"/>
  <c r="A106" i="5"/>
  <c r="A107" i="5"/>
  <c r="A108" i="5"/>
  <c r="A134" i="5"/>
  <c r="A120" i="5"/>
  <c r="A153" i="5"/>
  <c r="A194" i="5"/>
  <c r="A175" i="5"/>
  <c r="A176" i="5"/>
  <c r="A177" i="5"/>
  <c r="A195" i="5"/>
  <c r="A73" i="5"/>
  <c r="A154" i="5"/>
  <c r="A155" i="5"/>
  <c r="A23" i="5"/>
  <c r="A58" i="5"/>
  <c r="A135" i="5"/>
  <c r="A42" i="5"/>
  <c r="A86" i="5"/>
  <c r="A8" i="5"/>
  <c r="A87" i="5"/>
  <c r="A88" i="5"/>
  <c r="A43" i="5"/>
  <c r="A9" i="5"/>
  <c r="A24" i="5"/>
  <c r="A178" i="5"/>
  <c r="A169" i="5"/>
  <c r="A179" i="5"/>
  <c r="A136" i="5"/>
  <c r="A180" i="5"/>
  <c r="A181" i="5"/>
  <c r="A182" i="5"/>
  <c r="A137" i="5"/>
  <c r="A138" i="5"/>
  <c r="A121" i="5"/>
  <c r="A122" i="5"/>
  <c r="A170" i="5"/>
  <c r="A156" i="5"/>
  <c r="A59" i="5"/>
  <c r="A89" i="5"/>
  <c r="A74" i="5"/>
  <c r="A60" i="5"/>
  <c r="A10" i="5"/>
  <c r="A25" i="5"/>
  <c r="A123" i="5"/>
  <c r="A171" i="5"/>
  <c r="A139" i="5"/>
  <c r="A124" i="5"/>
  <c r="A157" i="5"/>
  <c r="A109" i="5"/>
  <c r="A183" i="5"/>
  <c r="A11" i="5"/>
  <c r="A26" i="5"/>
  <c r="A90" i="5"/>
  <c r="A44" i="5"/>
  <c r="A61" i="5"/>
  <c r="A62" i="5"/>
  <c r="A12" i="5"/>
  <c r="A27" i="5"/>
  <c r="A184" i="5"/>
  <c r="A196" i="5"/>
  <c r="A185" i="5"/>
  <c r="A140" i="5"/>
  <c r="A158" i="5"/>
  <c r="A91" i="5"/>
  <c r="A45" i="5"/>
  <c r="A63" i="5"/>
  <c r="A13" i="5"/>
  <c r="A75" i="5"/>
  <c r="A64" i="5"/>
  <c r="A28" i="5"/>
  <c r="A46" i="5"/>
  <c r="A110" i="5"/>
  <c r="A111" i="5"/>
  <c r="A159" i="5"/>
  <c r="A125" i="5"/>
  <c r="A186" i="5"/>
  <c r="A172" i="5"/>
  <c r="A126" i="5"/>
  <c r="A112" i="5"/>
  <c r="A197" i="5"/>
  <c r="A4" i="5"/>
  <c r="A92" i="5"/>
  <c r="A5" i="5"/>
  <c r="A65" i="5"/>
  <c r="A93" i="5"/>
  <c r="A94" i="5"/>
  <c r="A29" i="5"/>
  <c r="A14" i="5"/>
  <c r="A47" i="5"/>
  <c r="A30" i="5"/>
  <c r="A173" i="5"/>
  <c r="A187" i="5"/>
  <c r="A141" i="5"/>
  <c r="A160" i="5"/>
  <c r="A113" i="5"/>
  <c r="A114" i="5"/>
  <c r="A48" i="5"/>
  <c r="A15" i="5"/>
  <c r="A161" i="5"/>
  <c r="A127" i="5"/>
  <c r="A66" i="5"/>
  <c r="A31" i="5"/>
  <c r="A188" i="5"/>
  <c r="A162" i="5"/>
  <c r="A189" i="5"/>
  <c r="A142" i="5"/>
  <c r="A190" i="5"/>
  <c r="A76" i="5"/>
  <c r="A95" i="5"/>
  <c r="A77" i="5"/>
  <c r="A32" i="5"/>
  <c r="A198" i="5"/>
  <c r="A78" i="5"/>
  <c r="A49" i="5"/>
  <c r="A33" i="5"/>
  <c r="A16" i="5"/>
  <c r="A199" i="5"/>
  <c r="A96" i="5"/>
  <c r="A17" i="5"/>
  <c r="A97" i="5"/>
  <c r="A79" i="5"/>
  <c r="A18" i="5"/>
  <c r="A98" i="5"/>
  <c r="A80" i="5"/>
  <c r="A50" i="5"/>
  <c r="A81" i="5"/>
  <c r="A82" i="5"/>
  <c r="A200" i="5"/>
  <c r="A128" i="5"/>
  <c r="A129" i="5"/>
  <c r="A6" i="5"/>
  <c r="A34" i="5"/>
  <c r="A35" i="5"/>
  <c r="A67" i="5"/>
  <c r="A68" i="5"/>
  <c r="A163" i="5"/>
  <c r="A174" i="5"/>
  <c r="A83" i="5"/>
  <c r="A51" i="5"/>
  <c r="A36" i="5"/>
  <c r="A52" i="5"/>
  <c r="A69" i="5"/>
  <c r="A99" i="5"/>
  <c r="A37" i="5"/>
  <c r="A143" i="5"/>
  <c r="A19" i="5"/>
  <c r="A7" i="5"/>
  <c r="A115" i="5"/>
  <c r="A53" i="5"/>
  <c r="A38" i="5"/>
  <c r="A144" i="5"/>
  <c r="A100" i="5"/>
  <c r="A70" i="5"/>
  <c r="D71" i="5"/>
  <c r="D39" i="5"/>
  <c r="D54" i="5"/>
  <c r="D145" i="5"/>
  <c r="D116" i="5"/>
  <c r="D101" i="5"/>
  <c r="D117" i="5"/>
  <c r="D191" i="5"/>
  <c r="D102" i="5"/>
  <c r="D164" i="5"/>
  <c r="D130" i="5"/>
  <c r="D131" i="5"/>
  <c r="D165" i="5"/>
  <c r="D2" i="5"/>
  <c r="D20" i="5"/>
  <c r="D21" i="5"/>
  <c r="D55" i="5"/>
  <c r="D56" i="5"/>
  <c r="D146" i="5"/>
  <c r="D166" i="5"/>
  <c r="D40" i="5"/>
  <c r="D22" i="5"/>
  <c r="D84" i="5"/>
  <c r="D118" i="5"/>
  <c r="D147" i="5"/>
  <c r="D148" i="5"/>
  <c r="D192" i="5"/>
  <c r="D132" i="5"/>
  <c r="D119" i="5"/>
  <c r="D149" i="5"/>
  <c r="D41" i="5"/>
  <c r="D133" i="5"/>
  <c r="D150" i="5"/>
  <c r="D103" i="5"/>
  <c r="D151" i="5"/>
  <c r="D3" i="5"/>
  <c r="D201" i="5" s="1"/>
  <c r="D85" i="5"/>
  <c r="D72" i="5"/>
  <c r="D104" i="5"/>
  <c r="D167" i="5"/>
  <c r="D168" i="5"/>
  <c r="D152" i="5"/>
  <c r="D193" i="5"/>
  <c r="D57" i="5"/>
  <c r="D105" i="5"/>
  <c r="D106" i="5"/>
  <c r="D107" i="5"/>
  <c r="D108" i="5"/>
  <c r="D134" i="5"/>
  <c r="D120" i="5"/>
  <c r="D153" i="5"/>
  <c r="D194" i="5"/>
  <c r="D175" i="5"/>
  <c r="D176" i="5"/>
  <c r="D177" i="5"/>
  <c r="D195" i="5"/>
  <c r="D73" i="5"/>
  <c r="D154" i="5"/>
  <c r="D155" i="5"/>
  <c r="D23" i="5"/>
  <c r="D58" i="5"/>
  <c r="D135" i="5"/>
  <c r="D42" i="5"/>
  <c r="D86" i="5"/>
  <c r="D8" i="5"/>
  <c r="D87" i="5"/>
  <c r="D88" i="5"/>
  <c r="D43" i="5"/>
  <c r="D9" i="5"/>
  <c r="D24" i="5"/>
  <c r="D178" i="5"/>
  <c r="D169" i="5"/>
  <c r="D179" i="5"/>
  <c r="D136" i="5"/>
  <c r="D180" i="5"/>
  <c r="D181" i="5"/>
  <c r="D182" i="5"/>
  <c r="D137" i="5"/>
  <c r="D138" i="5"/>
  <c r="D121" i="5"/>
  <c r="D122" i="5"/>
  <c r="D170" i="5"/>
  <c r="D156" i="5"/>
  <c r="D59" i="5"/>
  <c r="D89" i="5"/>
  <c r="D74" i="5"/>
  <c r="D60" i="5"/>
  <c r="D10" i="5"/>
  <c r="D25" i="5"/>
  <c r="D123" i="5"/>
  <c r="D171" i="5"/>
  <c r="D139" i="5"/>
  <c r="D124" i="5"/>
  <c r="D157" i="5"/>
  <c r="D109" i="5"/>
  <c r="D183" i="5"/>
  <c r="D11" i="5"/>
  <c r="D26" i="5"/>
  <c r="D90" i="5"/>
  <c r="D44" i="5"/>
  <c r="D61" i="5"/>
  <c r="D62" i="5"/>
  <c r="D12" i="5"/>
  <c r="D27" i="5"/>
  <c r="D184" i="5"/>
  <c r="D196" i="5"/>
  <c r="D185" i="5"/>
  <c r="D140" i="5"/>
  <c r="D158" i="5"/>
  <c r="D91" i="5"/>
  <c r="D45" i="5"/>
  <c r="D63" i="5"/>
  <c r="D13" i="5"/>
  <c r="D75" i="5"/>
  <c r="D64" i="5"/>
  <c r="D28" i="5"/>
  <c r="D46" i="5"/>
  <c r="D110" i="5"/>
  <c r="D111" i="5"/>
  <c r="D159" i="5"/>
  <c r="D125" i="5"/>
  <c r="D186" i="5"/>
  <c r="D172" i="5"/>
  <c r="D126" i="5"/>
  <c r="D112" i="5"/>
  <c r="D197" i="5"/>
  <c r="D4" i="5"/>
  <c r="D92" i="5"/>
  <c r="D5" i="5"/>
  <c r="D65" i="5"/>
  <c r="D93" i="5"/>
  <c r="D94" i="5"/>
  <c r="D29" i="5"/>
  <c r="D14" i="5"/>
  <c r="D47" i="5"/>
  <c r="D30" i="5"/>
  <c r="D173" i="5"/>
  <c r="D187" i="5"/>
  <c r="D141" i="5"/>
  <c r="D160" i="5"/>
  <c r="D113" i="5"/>
  <c r="D114" i="5"/>
  <c r="D48" i="5"/>
  <c r="D15" i="5"/>
  <c r="D161" i="5"/>
  <c r="D127" i="5"/>
  <c r="D66" i="5"/>
  <c r="D31" i="5"/>
  <c r="D188" i="5"/>
  <c r="D162" i="5"/>
  <c r="D189" i="5"/>
  <c r="D142" i="5"/>
  <c r="D190" i="5"/>
  <c r="D76" i="5"/>
  <c r="D95" i="5"/>
  <c r="D77" i="5"/>
  <c r="D32" i="5"/>
  <c r="D198" i="5"/>
  <c r="D78" i="5"/>
  <c r="D49" i="5"/>
  <c r="D33" i="5"/>
  <c r="D16" i="5"/>
  <c r="D199" i="5"/>
  <c r="D96" i="5"/>
  <c r="D17" i="5"/>
  <c r="D97" i="5"/>
  <c r="D79" i="5"/>
  <c r="D18" i="5"/>
  <c r="D98" i="5"/>
  <c r="D80" i="5"/>
  <c r="D50" i="5"/>
  <c r="D81" i="5"/>
  <c r="D82" i="5"/>
  <c r="D200" i="5"/>
  <c r="D128" i="5"/>
  <c r="D129" i="5"/>
  <c r="D6" i="5"/>
  <c r="D34" i="5"/>
  <c r="D35" i="5"/>
  <c r="D67" i="5"/>
  <c r="D68" i="5"/>
  <c r="D163" i="5"/>
  <c r="D174" i="5"/>
  <c r="D83" i="5"/>
  <c r="D51" i="5"/>
  <c r="D36" i="5"/>
  <c r="D52" i="5"/>
  <c r="D69" i="5"/>
  <c r="D99" i="5"/>
  <c r="D37" i="5"/>
  <c r="D143" i="5"/>
  <c r="D19" i="5"/>
  <c r="D7" i="5"/>
  <c r="D115" i="5"/>
  <c r="D53" i="5"/>
  <c r="D38" i="5"/>
  <c r="D144" i="5"/>
  <c r="D100" i="5"/>
  <c r="D70" i="5"/>
  <c r="C71" i="5"/>
  <c r="C39" i="5"/>
  <c r="C54" i="5"/>
  <c r="C145" i="5"/>
  <c r="C116" i="5"/>
  <c r="C101" i="5"/>
  <c r="C117" i="5"/>
  <c r="C191" i="5"/>
  <c r="C102" i="5"/>
  <c r="C164" i="5"/>
  <c r="C130" i="5"/>
  <c r="C131" i="5"/>
  <c r="C165" i="5"/>
  <c r="C2" i="5"/>
  <c r="C20" i="5"/>
  <c r="C21" i="5"/>
  <c r="C55" i="5"/>
  <c r="C56" i="5"/>
  <c r="C146" i="5"/>
  <c r="C166" i="5"/>
  <c r="C40" i="5"/>
  <c r="C22" i="5"/>
  <c r="C84" i="5"/>
  <c r="C118" i="5"/>
  <c r="C147" i="5"/>
  <c r="C148" i="5"/>
  <c r="C192" i="5"/>
  <c r="C132" i="5"/>
  <c r="C119" i="5"/>
  <c r="C149" i="5"/>
  <c r="C41" i="5"/>
  <c r="C133" i="5"/>
  <c r="C150" i="5"/>
  <c r="C103" i="5"/>
  <c r="C151" i="5"/>
  <c r="C3" i="5"/>
  <c r="C85" i="5"/>
  <c r="C72" i="5"/>
  <c r="C104" i="5"/>
  <c r="C167" i="5"/>
  <c r="C168" i="5"/>
  <c r="C152" i="5"/>
  <c r="C193" i="5"/>
  <c r="C57" i="5"/>
  <c r="C105" i="5"/>
  <c r="C106" i="5"/>
  <c r="C107" i="5"/>
  <c r="C108" i="5"/>
  <c r="C134" i="5"/>
  <c r="C120" i="5"/>
  <c r="C153" i="5"/>
  <c r="C194" i="5"/>
  <c r="C175" i="5"/>
  <c r="C176" i="5"/>
  <c r="C177" i="5"/>
  <c r="C195" i="5"/>
  <c r="C73" i="5"/>
  <c r="C154" i="5"/>
  <c r="C155" i="5"/>
  <c r="C23" i="5"/>
  <c r="C58" i="5"/>
  <c r="C135" i="5"/>
  <c r="C42" i="5"/>
  <c r="C86" i="5"/>
  <c r="C8" i="5"/>
  <c r="C87" i="5"/>
  <c r="C88" i="5"/>
  <c r="C43" i="5"/>
  <c r="C9" i="5"/>
  <c r="C24" i="5"/>
  <c r="C178" i="5"/>
  <c r="C169" i="5"/>
  <c r="C179" i="5"/>
  <c r="C136" i="5"/>
  <c r="C180" i="5"/>
  <c r="C181" i="5"/>
  <c r="C182" i="5"/>
  <c r="C137" i="5"/>
  <c r="C138" i="5"/>
  <c r="C121" i="5"/>
  <c r="C122" i="5"/>
  <c r="C170" i="5"/>
  <c r="C156" i="5"/>
  <c r="C59" i="5"/>
  <c r="C89" i="5"/>
  <c r="C74" i="5"/>
  <c r="C60" i="5"/>
  <c r="C10" i="5"/>
  <c r="C25" i="5"/>
  <c r="C123" i="5"/>
  <c r="C171" i="5"/>
  <c r="C139" i="5"/>
  <c r="C124" i="5"/>
  <c r="C157" i="5"/>
  <c r="C109" i="5"/>
  <c r="C183" i="5"/>
  <c r="C11" i="5"/>
  <c r="C26" i="5"/>
  <c r="C90" i="5"/>
  <c r="C44" i="5"/>
  <c r="C61" i="5"/>
  <c r="C62" i="5"/>
  <c r="C12" i="5"/>
  <c r="C27" i="5"/>
  <c r="C184" i="5"/>
  <c r="C196" i="5"/>
  <c r="C185" i="5"/>
  <c r="C140" i="5"/>
  <c r="C158" i="5"/>
  <c r="C91" i="5"/>
  <c r="C45" i="5"/>
  <c r="C63" i="5"/>
  <c r="C13" i="5"/>
  <c r="C75" i="5"/>
  <c r="C64" i="5"/>
  <c r="C28" i="5"/>
  <c r="C46" i="5"/>
  <c r="C110" i="5"/>
  <c r="C111" i="5"/>
  <c r="C159" i="5"/>
  <c r="C125" i="5"/>
  <c r="C186" i="5"/>
  <c r="C172" i="5"/>
  <c r="C126" i="5"/>
  <c r="C112" i="5"/>
  <c r="C197" i="5"/>
  <c r="C4" i="5"/>
  <c r="C92" i="5"/>
  <c r="C5" i="5"/>
  <c r="C65" i="5"/>
  <c r="C93" i="5"/>
  <c r="C94" i="5"/>
  <c r="C29" i="5"/>
  <c r="C14" i="5"/>
  <c r="C47" i="5"/>
  <c r="C30" i="5"/>
  <c r="C173" i="5"/>
  <c r="C187" i="5"/>
  <c r="C141" i="5"/>
  <c r="C160" i="5"/>
  <c r="C113" i="5"/>
  <c r="C114" i="5"/>
  <c r="C48" i="5"/>
  <c r="C15" i="5"/>
  <c r="C161" i="5"/>
  <c r="C127" i="5"/>
  <c r="C66" i="5"/>
  <c r="C31" i="5"/>
  <c r="C188" i="5"/>
  <c r="C162" i="5"/>
  <c r="C189" i="5"/>
  <c r="C142" i="5"/>
  <c r="C190" i="5"/>
  <c r="C76" i="5"/>
  <c r="C95" i="5"/>
  <c r="C77" i="5"/>
  <c r="C32" i="5"/>
  <c r="C198" i="5"/>
  <c r="C78" i="5"/>
  <c r="C49" i="5"/>
  <c r="C33" i="5"/>
  <c r="C16" i="5"/>
  <c r="C199" i="5"/>
  <c r="C96" i="5"/>
  <c r="C17" i="5"/>
  <c r="C97" i="5"/>
  <c r="C79" i="5"/>
  <c r="C18" i="5"/>
  <c r="C98" i="5"/>
  <c r="C80" i="5"/>
  <c r="C50" i="5"/>
  <c r="C81" i="5"/>
  <c r="C82" i="5"/>
  <c r="C200" i="5"/>
  <c r="C128" i="5"/>
  <c r="C129" i="5"/>
  <c r="C6" i="5"/>
  <c r="C34" i="5"/>
  <c r="C35" i="5"/>
  <c r="C67" i="5"/>
  <c r="C68" i="5"/>
  <c r="C163" i="5"/>
  <c r="C174" i="5"/>
  <c r="C83" i="5"/>
  <c r="C51" i="5"/>
  <c r="C36" i="5"/>
  <c r="C52" i="5"/>
  <c r="C69" i="5"/>
  <c r="C99" i="5"/>
  <c r="C37" i="5"/>
  <c r="C143" i="5"/>
  <c r="C19" i="5"/>
  <c r="C7" i="5"/>
  <c r="C115" i="5"/>
  <c r="C53" i="5"/>
  <c r="C38" i="5"/>
  <c r="C144" i="5"/>
  <c r="C100" i="5"/>
  <c r="C70" i="5"/>
  <c r="D202" i="5"/>
  <c r="E202" i="5" s="1"/>
  <c r="G202" i="5" s="1"/>
  <c r="C202" i="5"/>
  <c r="B202" i="5"/>
  <c r="A202" i="5"/>
  <c r="H19" i="8" l="1"/>
  <c r="H26" i="8"/>
  <c r="E143" i="5"/>
  <c r="E174" i="5"/>
  <c r="E50" i="5"/>
  <c r="E199" i="5"/>
  <c r="H199" i="5" s="1"/>
  <c r="E189" i="5"/>
  <c r="E66" i="5"/>
  <c r="E141" i="5"/>
  <c r="E47" i="5"/>
  <c r="E172" i="5"/>
  <c r="E111" i="5"/>
  <c r="E64" i="5"/>
  <c r="E45" i="5"/>
  <c r="E185" i="5"/>
  <c r="E12" i="5"/>
  <c r="E90" i="5"/>
  <c r="E109" i="5"/>
  <c r="E171" i="5"/>
  <c r="E60" i="5"/>
  <c r="E156" i="5"/>
  <c r="E138" i="5"/>
  <c r="E180" i="5"/>
  <c r="E178" i="5"/>
  <c r="E88" i="5"/>
  <c r="E42" i="5"/>
  <c r="E155" i="5"/>
  <c r="E177" i="5"/>
  <c r="E153" i="5"/>
  <c r="E107" i="5"/>
  <c r="E193" i="5"/>
  <c r="E104" i="5"/>
  <c r="E151" i="5"/>
  <c r="E41" i="5"/>
  <c r="E192" i="5"/>
  <c r="E84" i="5"/>
  <c r="E146" i="5"/>
  <c r="E20" i="5"/>
  <c r="E130" i="5"/>
  <c r="E117" i="5"/>
  <c r="E54" i="5"/>
  <c r="E53" i="5"/>
  <c r="H53" i="5" s="1"/>
  <c r="E35" i="5"/>
  <c r="E78" i="5"/>
  <c r="E4" i="5"/>
  <c r="E70" i="5"/>
  <c r="H70" i="5" s="1"/>
  <c r="E52" i="5"/>
  <c r="E128" i="5"/>
  <c r="E79" i="5"/>
  <c r="E95" i="5"/>
  <c r="E48" i="5"/>
  <c r="E93" i="5"/>
  <c r="E161" i="5"/>
  <c r="E115" i="5"/>
  <c r="H115" i="5" s="1"/>
  <c r="E36" i="5"/>
  <c r="E200" i="5"/>
  <c r="E97" i="5"/>
  <c r="E198" i="5"/>
  <c r="E127" i="5"/>
  <c r="E187" i="5"/>
  <c r="E14" i="5"/>
  <c r="E197" i="5"/>
  <c r="E110" i="5"/>
  <c r="E91" i="5"/>
  <c r="E62" i="5"/>
  <c r="E157" i="5"/>
  <c r="E74" i="5"/>
  <c r="E137" i="5"/>
  <c r="E136" i="5"/>
  <c r="E87" i="5"/>
  <c r="H87" i="5" s="1"/>
  <c r="E154" i="5"/>
  <c r="E120" i="5"/>
  <c r="E152" i="5"/>
  <c r="E149" i="5"/>
  <c r="E22" i="5"/>
  <c r="E2" i="5"/>
  <c r="E101" i="5"/>
  <c r="E100" i="5"/>
  <c r="E37" i="5"/>
  <c r="E163" i="5"/>
  <c r="E34" i="5"/>
  <c r="E80" i="5"/>
  <c r="E16" i="5"/>
  <c r="E76" i="5"/>
  <c r="E162" i="5"/>
  <c r="E114" i="5"/>
  <c r="E65" i="5"/>
  <c r="E186" i="5"/>
  <c r="E75" i="5"/>
  <c r="E196" i="5"/>
  <c r="H196" i="5" s="1"/>
  <c r="E26" i="5"/>
  <c r="E123" i="5"/>
  <c r="E170" i="5"/>
  <c r="E24" i="5"/>
  <c r="E135" i="5"/>
  <c r="E176" i="5"/>
  <c r="E106" i="5"/>
  <c r="E72" i="5"/>
  <c r="E103" i="5"/>
  <c r="E148" i="5"/>
  <c r="E56" i="5"/>
  <c r="E164" i="5"/>
  <c r="E39" i="5"/>
  <c r="E144" i="5"/>
  <c r="E7" i="5"/>
  <c r="E99" i="5"/>
  <c r="E51" i="5"/>
  <c r="E68" i="5"/>
  <c r="E6" i="5"/>
  <c r="E82" i="5"/>
  <c r="E98" i="5"/>
  <c r="E17" i="5"/>
  <c r="E33" i="5"/>
  <c r="E32" i="5"/>
  <c r="E190" i="5"/>
  <c r="E188" i="5"/>
  <c r="E113" i="5"/>
  <c r="E173" i="5"/>
  <c r="E29" i="5"/>
  <c r="E5" i="5"/>
  <c r="E112" i="5"/>
  <c r="E125" i="5"/>
  <c r="E46" i="5"/>
  <c r="E13" i="5"/>
  <c r="E158" i="5"/>
  <c r="E184" i="5"/>
  <c r="E61" i="5"/>
  <c r="E11" i="5"/>
  <c r="E124" i="5"/>
  <c r="E25" i="5"/>
  <c r="E89" i="5"/>
  <c r="E122" i="5"/>
  <c r="E182" i="5"/>
  <c r="E179" i="5"/>
  <c r="E9" i="5"/>
  <c r="E8" i="5"/>
  <c r="E58" i="5"/>
  <c r="E73" i="5"/>
  <c r="E175" i="5"/>
  <c r="E134" i="5"/>
  <c r="E105" i="5"/>
  <c r="E168" i="5"/>
  <c r="E85" i="5"/>
  <c r="E150" i="5"/>
  <c r="E119" i="5"/>
  <c r="E147" i="5"/>
  <c r="E40" i="5"/>
  <c r="E55" i="5"/>
  <c r="E165" i="5"/>
  <c r="E102" i="5"/>
  <c r="E116" i="5"/>
  <c r="E71" i="5"/>
  <c r="E38" i="5"/>
  <c r="E19" i="5"/>
  <c r="E69" i="5"/>
  <c r="E83" i="5"/>
  <c r="E67" i="5"/>
  <c r="E129" i="5"/>
  <c r="H129" i="5" s="1"/>
  <c r="E81" i="5"/>
  <c r="E18" i="5"/>
  <c r="E96" i="5"/>
  <c r="E49" i="5"/>
  <c r="E77" i="5"/>
  <c r="E142" i="5"/>
  <c r="E31" i="5"/>
  <c r="E15" i="5"/>
  <c r="H15" i="5" s="1"/>
  <c r="E160" i="5"/>
  <c r="E30" i="5"/>
  <c r="E94" i="5"/>
  <c r="E92" i="5"/>
  <c r="H92" i="5" s="1"/>
  <c r="E126" i="5"/>
  <c r="E159" i="5"/>
  <c r="E28" i="5"/>
  <c r="E63" i="5"/>
  <c r="H63" i="5" s="1"/>
  <c r="E140" i="5"/>
  <c r="E27" i="5"/>
  <c r="E44" i="5"/>
  <c r="E183" i="5"/>
  <c r="H183" i="5" s="1"/>
  <c r="E139" i="5"/>
  <c r="E10" i="5"/>
  <c r="E59" i="5"/>
  <c r="E121" i="5"/>
  <c r="E181" i="5"/>
  <c r="E169" i="5"/>
  <c r="E43" i="5"/>
  <c r="E86" i="5"/>
  <c r="H86" i="5" s="1"/>
  <c r="E23" i="5"/>
  <c r="E195" i="5"/>
  <c r="E194" i="5"/>
  <c r="E108" i="5"/>
  <c r="H108" i="5" s="1"/>
  <c r="E57" i="5"/>
  <c r="E167" i="5"/>
  <c r="E3" i="5"/>
  <c r="E133" i="5"/>
  <c r="H133" i="5" s="1"/>
  <c r="E132" i="5"/>
  <c r="E118" i="5"/>
  <c r="E166" i="5"/>
  <c r="E21" i="5"/>
  <c r="H21" i="5" s="1"/>
  <c r="E131" i="5"/>
  <c r="E191" i="5"/>
  <c r="E145" i="5"/>
  <c r="C201" i="5"/>
  <c r="G70" i="5"/>
  <c r="G53" i="5"/>
  <c r="G143" i="5"/>
  <c r="G52" i="5"/>
  <c r="G174" i="5"/>
  <c r="G35" i="5"/>
  <c r="G128" i="5"/>
  <c r="G50" i="5"/>
  <c r="G79" i="5"/>
  <c r="G199" i="5"/>
  <c r="G78" i="5"/>
  <c r="G95" i="5"/>
  <c r="G189" i="5"/>
  <c r="G66" i="5"/>
  <c r="G48" i="5"/>
  <c r="G100" i="5"/>
  <c r="H100" i="5" s="1"/>
  <c r="G115" i="5"/>
  <c r="G37" i="5"/>
  <c r="G36" i="5"/>
  <c r="H36" i="5" s="1"/>
  <c r="G163" i="5"/>
  <c r="G34" i="5"/>
  <c r="G200" i="5"/>
  <c r="G80" i="5"/>
  <c r="G97" i="5"/>
  <c r="G16" i="5"/>
  <c r="G198" i="5"/>
  <c r="G76" i="5"/>
  <c r="H76" i="5" s="1"/>
  <c r="G162" i="5"/>
  <c r="G127" i="5"/>
  <c r="G114" i="5"/>
  <c r="G187" i="5"/>
  <c r="G14" i="5"/>
  <c r="G65" i="5"/>
  <c r="G197" i="5"/>
  <c r="G186" i="5"/>
  <c r="G110" i="5"/>
  <c r="H110" i="5" s="1"/>
  <c r="G75" i="5"/>
  <c r="G91" i="5"/>
  <c r="G196" i="5"/>
  <c r="G62" i="5"/>
  <c r="G26" i="5"/>
  <c r="G157" i="5"/>
  <c r="G123" i="5"/>
  <c r="H123" i="5" s="1"/>
  <c r="G74" i="5"/>
  <c r="H74" i="5" s="1"/>
  <c r="G170" i="5"/>
  <c r="G137" i="5"/>
  <c r="H137" i="5" s="1"/>
  <c r="G136" i="5"/>
  <c r="G24" i="5"/>
  <c r="H24" i="5" s="1"/>
  <c r="G87" i="5"/>
  <c r="G135" i="5"/>
  <c r="G154" i="5"/>
  <c r="H154" i="5" s="1"/>
  <c r="G176" i="5"/>
  <c r="G120" i="5"/>
  <c r="G106" i="5"/>
  <c r="G152" i="5"/>
  <c r="G72" i="5"/>
  <c r="H72" i="5" s="1"/>
  <c r="G103" i="5"/>
  <c r="G149" i="5"/>
  <c r="G148" i="5"/>
  <c r="H148" i="5" s="1"/>
  <c r="G22" i="5"/>
  <c r="H22" i="5" s="1"/>
  <c r="G56" i="5"/>
  <c r="G2" i="5"/>
  <c r="G164" i="5"/>
  <c r="G101" i="5"/>
  <c r="G39" i="5"/>
  <c r="G144" i="5"/>
  <c r="G7" i="5"/>
  <c r="G99" i="5"/>
  <c r="H99" i="5" s="1"/>
  <c r="G51" i="5"/>
  <c r="G68" i="5"/>
  <c r="G6" i="5"/>
  <c r="G82" i="5"/>
  <c r="H82" i="5" s="1"/>
  <c r="G98" i="5"/>
  <c r="H98" i="5" s="1"/>
  <c r="G17" i="5"/>
  <c r="G33" i="5"/>
  <c r="G32" i="5"/>
  <c r="H32" i="5" s="1"/>
  <c r="G190" i="5"/>
  <c r="G188" i="5"/>
  <c r="G161" i="5"/>
  <c r="H161" i="5" s="1"/>
  <c r="G38" i="5"/>
  <c r="G19" i="5"/>
  <c r="G69" i="5"/>
  <c r="G83" i="5"/>
  <c r="G67" i="5"/>
  <c r="G129" i="5"/>
  <c r="G81" i="5"/>
  <c r="H81" i="5" s="1"/>
  <c r="G18" i="5"/>
  <c r="H18" i="5" s="1"/>
  <c r="G96" i="5"/>
  <c r="G49" i="5"/>
  <c r="G77" i="5"/>
  <c r="H77" i="5" s="1"/>
  <c r="G142" i="5"/>
  <c r="G31" i="5"/>
  <c r="G15" i="5"/>
  <c r="G160" i="5"/>
  <c r="G30" i="5"/>
  <c r="G94" i="5"/>
  <c r="G92" i="5"/>
  <c r="G126" i="5"/>
  <c r="G113" i="5"/>
  <c r="G173" i="5"/>
  <c r="H173" i="5" s="1"/>
  <c r="G29" i="5"/>
  <c r="H29" i="5" s="1"/>
  <c r="G5" i="5"/>
  <c r="H5" i="5" s="1"/>
  <c r="G112" i="5"/>
  <c r="G125" i="5"/>
  <c r="H125" i="5" s="1"/>
  <c r="G46" i="5"/>
  <c r="G13" i="5"/>
  <c r="H13" i="5" s="1"/>
  <c r="G158" i="5"/>
  <c r="G184" i="5"/>
  <c r="H184" i="5" s="1"/>
  <c r="G61" i="5"/>
  <c r="H61" i="5" s="1"/>
  <c r="G11" i="5"/>
  <c r="H11" i="5" s="1"/>
  <c r="G124" i="5"/>
  <c r="G25" i="5"/>
  <c r="H25" i="5" s="1"/>
  <c r="G89" i="5"/>
  <c r="H89" i="5" s="1"/>
  <c r="G122" i="5"/>
  <c r="H122" i="5" s="1"/>
  <c r="G182" i="5"/>
  <c r="G179" i="5"/>
  <c r="H179" i="5" s="1"/>
  <c r="G9" i="5"/>
  <c r="G8" i="5"/>
  <c r="H8" i="5" s="1"/>
  <c r="G58" i="5"/>
  <c r="G73" i="5"/>
  <c r="H73" i="5" s="1"/>
  <c r="G175" i="5"/>
  <c r="H175" i="5" s="1"/>
  <c r="G134" i="5"/>
  <c r="H134" i="5" s="1"/>
  <c r="G105" i="5"/>
  <c r="G168" i="5"/>
  <c r="H168" i="5" s="1"/>
  <c r="G85" i="5"/>
  <c r="G150" i="5"/>
  <c r="H150" i="5" s="1"/>
  <c r="G119" i="5"/>
  <c r="G147" i="5"/>
  <c r="H147" i="5" s="1"/>
  <c r="G40" i="5"/>
  <c r="G55" i="5"/>
  <c r="H55" i="5" s="1"/>
  <c r="G165" i="5"/>
  <c r="G102" i="5"/>
  <c r="H102" i="5" s="1"/>
  <c r="G116" i="5"/>
  <c r="H116" i="5" s="1"/>
  <c r="G71" i="5"/>
  <c r="H71" i="5" s="1"/>
  <c r="G159" i="5"/>
  <c r="G28" i="5"/>
  <c r="G63" i="5"/>
  <c r="G140" i="5"/>
  <c r="H140" i="5" s="1"/>
  <c r="G27" i="5"/>
  <c r="H27" i="5" s="1"/>
  <c r="G44" i="5"/>
  <c r="G183" i="5"/>
  <c r="G139" i="5"/>
  <c r="H139" i="5" s="1"/>
  <c r="G10" i="5"/>
  <c r="G59" i="5"/>
  <c r="G121" i="5"/>
  <c r="G181" i="5"/>
  <c r="G169" i="5"/>
  <c r="G43" i="5"/>
  <c r="G86" i="5"/>
  <c r="G23" i="5"/>
  <c r="G195" i="5"/>
  <c r="G194" i="5"/>
  <c r="G108" i="5"/>
  <c r="G57" i="5"/>
  <c r="H57" i="5" s="1"/>
  <c r="G167" i="5"/>
  <c r="H167" i="5" s="1"/>
  <c r="G3" i="5"/>
  <c r="G133" i="5"/>
  <c r="G132" i="5"/>
  <c r="G118" i="5"/>
  <c r="G166" i="5"/>
  <c r="G21" i="5"/>
  <c r="G131" i="5"/>
  <c r="G191" i="5"/>
  <c r="G145" i="5"/>
  <c r="G141" i="5"/>
  <c r="G47" i="5"/>
  <c r="G93" i="5"/>
  <c r="H93" i="5" s="1"/>
  <c r="G4" i="5"/>
  <c r="H4" i="5" s="1"/>
  <c r="G172" i="5"/>
  <c r="G111" i="5"/>
  <c r="H111" i="5" s="1"/>
  <c r="G64" i="5"/>
  <c r="G45" i="5"/>
  <c r="H45" i="5" s="1"/>
  <c r="G185" i="5"/>
  <c r="H185" i="5" s="1"/>
  <c r="G12" i="5"/>
  <c r="H12" i="5" s="1"/>
  <c r="G90" i="5"/>
  <c r="H90" i="5" s="1"/>
  <c r="G109" i="5"/>
  <c r="H109" i="5" s="1"/>
  <c r="G171" i="5"/>
  <c r="G60" i="5"/>
  <c r="H60" i="5" s="1"/>
  <c r="G156" i="5"/>
  <c r="G138" i="5"/>
  <c r="H138" i="5" s="1"/>
  <c r="G180" i="5"/>
  <c r="H180" i="5" s="1"/>
  <c r="G178" i="5"/>
  <c r="H178" i="5" s="1"/>
  <c r="G88" i="5"/>
  <c r="H88" i="5" s="1"/>
  <c r="G42" i="5"/>
  <c r="H42" i="5" s="1"/>
  <c r="G155" i="5"/>
  <c r="H155" i="5" s="1"/>
  <c r="G177" i="5"/>
  <c r="H177" i="5" s="1"/>
  <c r="G153" i="5"/>
  <c r="G107" i="5"/>
  <c r="H107" i="5" s="1"/>
  <c r="G193" i="5"/>
  <c r="G104" i="5"/>
  <c r="H104" i="5" s="1"/>
  <c r="G151" i="5"/>
  <c r="H151" i="5" s="1"/>
  <c r="G41" i="5"/>
  <c r="H41" i="5" s="1"/>
  <c r="G192" i="5"/>
  <c r="H192" i="5" s="1"/>
  <c r="G84" i="5"/>
  <c r="H84" i="5" s="1"/>
  <c r="G146" i="5"/>
  <c r="G20" i="5"/>
  <c r="H20" i="5" s="1"/>
  <c r="G130" i="5"/>
  <c r="G117" i="5"/>
  <c r="H117" i="5" s="1"/>
  <c r="G54" i="5"/>
  <c r="H54" i="5" s="1"/>
  <c r="H63" i="8"/>
  <c r="G56" i="8"/>
  <c r="H56" i="8"/>
  <c r="G49" i="8"/>
  <c r="G34" i="8"/>
  <c r="H49" i="8"/>
  <c r="G41" i="8"/>
  <c r="F202" i="5"/>
  <c r="H202" i="5" s="1"/>
  <c r="H51" i="5"/>
  <c r="H68" i="5"/>
  <c r="H17" i="5"/>
  <c r="H33" i="5"/>
  <c r="H190" i="5"/>
  <c r="H113" i="5"/>
  <c r="H46" i="5"/>
  <c r="H158" i="5"/>
  <c r="H182" i="5"/>
  <c r="H9" i="5"/>
  <c r="H105" i="5"/>
  <c r="H85" i="5"/>
  <c r="H40" i="5"/>
  <c r="H165" i="5"/>
  <c r="H19" i="5"/>
  <c r="H69" i="5"/>
  <c r="H83" i="5"/>
  <c r="H49" i="5"/>
  <c r="H160" i="5"/>
  <c r="H126" i="5"/>
  <c r="H159" i="5"/>
  <c r="H121" i="5"/>
  <c r="H181" i="5"/>
  <c r="H23" i="5"/>
  <c r="H195" i="5"/>
  <c r="H131" i="5"/>
  <c r="H143" i="5"/>
  <c r="H52" i="5"/>
  <c r="H174" i="5"/>
  <c r="H35" i="5"/>
  <c r="H128" i="5"/>
  <c r="H50" i="5"/>
  <c r="H79" i="5"/>
  <c r="H78" i="5"/>
  <c r="H95" i="5"/>
  <c r="H189" i="5"/>
  <c r="H66" i="5"/>
  <c r="H48" i="5"/>
  <c r="H141" i="5"/>
  <c r="H172" i="5"/>
  <c r="H64" i="5"/>
  <c r="H171" i="5"/>
  <c r="H156" i="5"/>
  <c r="H153" i="5"/>
  <c r="H193" i="5"/>
  <c r="H146" i="5"/>
  <c r="H130" i="5"/>
  <c r="H37" i="5"/>
  <c r="H200" i="5"/>
  <c r="H80" i="5"/>
  <c r="H16" i="5"/>
  <c r="H127" i="5"/>
  <c r="H65" i="5"/>
  <c r="H197" i="5"/>
  <c r="H91" i="5"/>
  <c r="H26" i="5"/>
  <c r="H170" i="5"/>
  <c r="H135" i="5"/>
  <c r="H152" i="5"/>
  <c r="H103" i="5"/>
  <c r="H56" i="5"/>
  <c r="H39" i="5"/>
  <c r="E201" i="5" l="1"/>
  <c r="H164" i="5"/>
  <c r="H119" i="5"/>
  <c r="H58" i="5"/>
  <c r="H124" i="5"/>
  <c r="H112" i="5"/>
  <c r="H6" i="5"/>
  <c r="H7" i="5"/>
  <c r="H106" i="5"/>
  <c r="H75" i="5"/>
  <c r="H34" i="5"/>
  <c r="H136" i="5"/>
  <c r="H47" i="5"/>
  <c r="H132" i="5"/>
  <c r="H149" i="5"/>
  <c r="H157" i="5"/>
  <c r="H114" i="5"/>
  <c r="H198" i="5"/>
  <c r="H191" i="5"/>
  <c r="H118" i="5"/>
  <c r="H169" i="5"/>
  <c r="H10" i="5"/>
  <c r="H30" i="5"/>
  <c r="H142" i="5"/>
  <c r="H188" i="5"/>
  <c r="H144" i="5"/>
  <c r="H186" i="5"/>
  <c r="H2" i="5"/>
  <c r="H120" i="5"/>
  <c r="H187" i="5"/>
  <c r="H145" i="5"/>
  <c r="H166" i="5"/>
  <c r="H3" i="5"/>
  <c r="H194" i="5"/>
  <c r="H43" i="5"/>
  <c r="H59" i="5"/>
  <c r="H44" i="5"/>
  <c r="H28" i="5"/>
  <c r="H94" i="5"/>
  <c r="H31" i="5"/>
  <c r="H96" i="5"/>
  <c r="H67" i="5"/>
  <c r="H38" i="5"/>
  <c r="H101" i="5"/>
  <c r="H176" i="5"/>
  <c r="H62" i="5"/>
  <c r="H14" i="5"/>
  <c r="H162" i="5"/>
  <c r="H97" i="5"/>
  <c r="H163" i="5"/>
  <c r="J202" i="5"/>
  <c r="G201" i="5"/>
  <c r="H201" i="5" l="1"/>
  <c r="I201" i="5" s="1"/>
</calcChain>
</file>

<file path=xl/sharedStrings.xml><?xml version="1.0" encoding="utf-8"?>
<sst xmlns="http://schemas.openxmlformats.org/spreadsheetml/2006/main" count="335" uniqueCount="42">
  <si>
    <t>Client</t>
  </si>
  <si>
    <t>Distance</t>
  </si>
  <si>
    <t>Number of parcels</t>
  </si>
  <si>
    <t>Week</t>
  </si>
  <si>
    <t>А</t>
  </si>
  <si>
    <t>Б</t>
  </si>
  <si>
    <t>С</t>
  </si>
  <si>
    <t>1. Посчитать выручку, издержки, прибыль, take rate (прибыль/выручку) за недели 13.03 и 20.03</t>
  </si>
  <si>
    <t>Courier price per km</t>
  </si>
  <si>
    <t>Задание</t>
  </si>
  <si>
    <t>Лист Deliveries</t>
  </si>
  <si>
    <t>Информация о кол-во посылок и расстояниях по клиентно</t>
  </si>
  <si>
    <t>Лист Tariffs</t>
  </si>
  <si>
    <t>Информация о курьерских и клиентских тарифах</t>
  </si>
  <si>
    <t>Tariffs per parcel</t>
  </si>
  <si>
    <t>2. Как take rate изменился на прошлой неделе? Назовите 1-2 основных причины</t>
  </si>
  <si>
    <t>3. Предложите пожалуйста несколько вариантов иннициатив, включающие изменение курьерских тарифов и/или изменение клиентских тарифов, которые позволят вернуться на изначальный уровень take rate </t>
  </si>
  <si>
    <t>4. Распишите какие шаги могут сопутствовать иннициативам из п.3, какие могут быть трудности/блокеры внедрения иннициатив?</t>
  </si>
  <si>
    <t>Данные</t>
  </si>
  <si>
    <t>Выручка</t>
  </si>
  <si>
    <t>Издержки</t>
  </si>
  <si>
    <t>Прибыль</t>
  </si>
  <si>
    <t>Take rate</t>
  </si>
  <si>
    <t>Номер недели</t>
  </si>
  <si>
    <t>Total</t>
  </si>
  <si>
    <t>(All)</t>
  </si>
  <si>
    <t>Row Labels</t>
  </si>
  <si>
    <t>Grand Total</t>
  </si>
  <si>
    <t>Sum of Прибыль</t>
  </si>
  <si>
    <t>Sum of Выручка</t>
  </si>
  <si>
    <t>Sum of Издержки</t>
  </si>
  <si>
    <t>Sum of Distance</t>
  </si>
  <si>
    <t>Sum of Number of parcels</t>
  </si>
  <si>
    <t>Доля выручки</t>
  </si>
  <si>
    <t>Сценарий 1 - увеличение тарифа для клиента А до 6</t>
  </si>
  <si>
    <t>Сценарий 2 - уменьшение издержек за счёт уменьшения цены курьера за км до 1.1</t>
  </si>
  <si>
    <t>Сценарий 3 - уменьшение цены курьера за км до 1.15, увеличение цены для клиента А до 5.5</t>
  </si>
  <si>
    <t>Сценарий 4 - Увеличение цены курьера за км до 1.3, увеличение цены каждого клиента на 1.</t>
  </si>
  <si>
    <t>Count of Distance2</t>
  </si>
  <si>
    <t>Неделя 12</t>
  </si>
  <si>
    <t>Неделя 13</t>
  </si>
  <si>
    <t>Весь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</si>
</sst>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2" fillId="0" borderId="0" xfId="0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/>
    <xf numFmtId="10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'Сводная таблица'!$A$16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таблица'!$B$14:$F$15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таблица'!$B$16:$F$16</c:f>
              <c:numCache>
                <c:formatCode>0.00</c:formatCode>
                <c:ptCount val="5"/>
                <c:pt idx="0">
                  <c:v>187.48001802253447</c:v>
                </c:pt>
                <c:pt idx="1">
                  <c:v>76</c:v>
                </c:pt>
                <c:pt idx="2">
                  <c:v>380</c:v>
                </c:pt>
                <c:pt idx="3">
                  <c:v>224.97602162704135</c:v>
                </c:pt>
                <c:pt idx="4">
                  <c:v>155.02397837295862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E31-A00E-6244DA069D20}"/>
            </c:ext>
          </c:extLst>
        </c:ser>
        <c:ser>
          <c:idx val="1"/>
          <c:order val="1"/>
          <c:tx>
            <c:strRef>
              <c:f>'Сводная таблица'!$A$17</c:f>
              <c:strCache>
                <c:ptCount val="1"/>
                <c:pt idx="0">
                  <c:v>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таблица'!$B$14:$F$15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таблица'!$B$17:$F$17</c:f>
              <c:numCache>
                <c:formatCode>0.00</c:formatCode>
                <c:ptCount val="5"/>
                <c:pt idx="0">
                  <c:v>428.80066872964511</c:v>
                </c:pt>
                <c:pt idx="1">
                  <c:v>152</c:v>
                </c:pt>
                <c:pt idx="2">
                  <c:v>912</c:v>
                </c:pt>
                <c:pt idx="3">
                  <c:v>514.56080247557406</c:v>
                </c:pt>
                <c:pt idx="4">
                  <c:v>397.43919752442599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4-4E31-A00E-6244DA069D20}"/>
            </c:ext>
          </c:extLst>
        </c:ser>
        <c:ser>
          <c:idx val="2"/>
          <c:order val="2"/>
          <c:tx>
            <c:strRef>
              <c:f>'Сводная таблица'!$A$18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таблица'!$B$14:$F$15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таблица'!$B$18:$F$18</c:f>
              <c:numCache>
                <c:formatCode>0.00</c:formatCode>
                <c:ptCount val="5"/>
                <c:pt idx="0">
                  <c:v>413.15789355205362</c:v>
                </c:pt>
                <c:pt idx="1">
                  <c:v>147</c:v>
                </c:pt>
                <c:pt idx="2">
                  <c:v>1176</c:v>
                </c:pt>
                <c:pt idx="3">
                  <c:v>495.78947226246464</c:v>
                </c:pt>
                <c:pt idx="4">
                  <c:v>680.21052773753547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4-4E31-A00E-6244DA06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4411760"/>
        <c:axId val="1214416080"/>
      </c:barChart>
      <c:catAx>
        <c:axId val="121441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16080"/>
        <c:crosses val="autoZero"/>
        <c:auto val="1"/>
        <c:lblAlgn val="ctr"/>
        <c:lblOffset val="100"/>
        <c:noMultiLvlLbl val="0"/>
      </c:catAx>
      <c:valAx>
        <c:axId val="1214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'Сводная таблица'!$A$23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таблица'!$B$21:$F$22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таблица'!$B$23:$F$23</c:f>
              <c:numCache>
                <c:formatCode>0.00</c:formatCode>
                <c:ptCount val="5"/>
                <c:pt idx="0">
                  <c:v>636.34102836763395</c:v>
                </c:pt>
                <c:pt idx="1">
                  <c:v>191</c:v>
                </c:pt>
                <c:pt idx="2">
                  <c:v>955</c:v>
                </c:pt>
                <c:pt idx="3">
                  <c:v>763.60923404116068</c:v>
                </c:pt>
                <c:pt idx="4">
                  <c:v>191.39076595883921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75-B912-C354FA67C275}"/>
            </c:ext>
          </c:extLst>
        </c:ser>
        <c:ser>
          <c:idx val="1"/>
          <c:order val="1"/>
          <c:tx>
            <c:strRef>
              <c:f>'Сводная таблица'!$A$24</c:f>
              <c:strCache>
                <c:ptCount val="1"/>
                <c:pt idx="0">
                  <c:v>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таблица'!$B$21:$F$22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таблица'!$B$24:$F$24</c:f>
              <c:numCache>
                <c:formatCode>0.00</c:formatCode>
                <c:ptCount val="5"/>
                <c:pt idx="0">
                  <c:v>437.46458912035661</c:v>
                </c:pt>
                <c:pt idx="1">
                  <c:v>161</c:v>
                </c:pt>
                <c:pt idx="2">
                  <c:v>966</c:v>
                </c:pt>
                <c:pt idx="3">
                  <c:v>524.95750694442779</c:v>
                </c:pt>
                <c:pt idx="4">
                  <c:v>441.04249305557209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75-B912-C354FA67C275}"/>
            </c:ext>
          </c:extLst>
        </c:ser>
        <c:ser>
          <c:idx val="2"/>
          <c:order val="2"/>
          <c:tx>
            <c:strRef>
              <c:f>'Сводная таблица'!$A$25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таблица'!$B$21:$F$22</c:f>
              <c:strCache>
                <c:ptCount val="5"/>
                <c:pt idx="0">
                  <c:v>Sum of Distance</c:v>
                </c:pt>
                <c:pt idx="1">
                  <c:v>Sum of Number of parcels</c:v>
                </c:pt>
                <c:pt idx="2">
                  <c:v>Sum of Выручка</c:v>
                </c:pt>
                <c:pt idx="3">
                  <c:v>Sum of Издержки</c:v>
                </c:pt>
                <c:pt idx="4">
                  <c:v>Sum of Прибыль</c:v>
                </c:pt>
              </c:strCache>
            </c:strRef>
          </c:cat>
          <c:val>
            <c:numRef>
              <c:f>'Сводная таблица'!$B$25:$F$25</c:f>
              <c:numCache>
                <c:formatCode>0.00</c:formatCode>
                <c:ptCount val="5"/>
                <c:pt idx="0">
                  <c:v>98.785313160206698</c:v>
                </c:pt>
                <c:pt idx="1">
                  <c:v>41</c:v>
                </c:pt>
                <c:pt idx="2">
                  <c:v>328</c:v>
                </c:pt>
                <c:pt idx="3">
                  <c:v>118.54237579224804</c:v>
                </c:pt>
                <c:pt idx="4">
                  <c:v>209.45762420775193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75-B912-C354FA67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4408880"/>
        <c:axId val="1214414160"/>
      </c:barChart>
      <c:catAx>
        <c:axId val="121440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14160"/>
        <c:crosses val="autoZero"/>
        <c:auto val="1"/>
        <c:lblAlgn val="ctr"/>
        <c:lblOffset val="100"/>
        <c:noMultiLvlLbl val="0"/>
      </c:catAx>
      <c:valAx>
        <c:axId val="12144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17</xdr:col>
      <xdr:colOff>0</xdr:colOff>
      <xdr:row>34</xdr:row>
      <xdr:rowOff>4481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18F13-C484-1A47-5EE3-18334E10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7845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9ECA1-AAA8-C71C-C61D-F4624FFF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мир Иминов" refreshedDate="45076.824022916669" createdVersion="8" refreshedVersion="8" minRefreshableVersion="3" recordCount="199" xr:uid="{0DC8D905-3687-45EB-A874-0213B4329A98}">
  <cacheSource type="worksheet">
    <worksheetSource name="Table1"/>
  </cacheSource>
  <cacheFields count="10">
    <cacheField name="Client" numFmtId="0">
      <sharedItems count="3">
        <s v="А"/>
        <s v="Б"/>
        <s v="С"/>
      </sharedItems>
    </cacheField>
    <cacheField name="Week" numFmtId="14">
      <sharedItems containsSemiMixedTypes="0" containsNonDate="0" containsDate="1" containsString="0" minDate="2023-03-13T00:00:00" maxDate="2023-03-27T00:00:00" count="14">
        <d v="2023-03-16T00:00:00"/>
        <d v="2023-03-13T00:00:00"/>
        <d v="2023-03-15T00:00:00"/>
        <d v="2023-03-19T00:00:00"/>
        <d v="2023-03-17T00:00:00"/>
        <d v="2023-03-18T00:00:00"/>
        <d v="2023-03-14T00:00:00"/>
        <d v="2023-03-23T00:00:00"/>
        <d v="2023-03-26T00:00:00"/>
        <d v="2023-03-22T00:00:00"/>
        <d v="2023-03-21T00:00:00"/>
        <d v="2023-03-20T00:00:00"/>
        <d v="2023-03-25T00:00:00"/>
        <d v="2023-03-24T00:00:00"/>
      </sharedItems>
    </cacheField>
    <cacheField name="Distance" numFmtId="2">
      <sharedItems containsSemiMixedTypes="0" containsString="0" containsNumber="1" minValue="5.3849890069395112E-2" maxValue="29.793031010863945"/>
    </cacheField>
    <cacheField name="Number of parcels" numFmtId="0">
      <sharedItems containsSemiMixedTypes="0" containsString="0" containsNumber="1" containsInteger="1" minValue="1" maxValue="10"/>
    </cacheField>
    <cacheField name="Выручка" numFmtId="0">
      <sharedItems containsSemiMixedTypes="0" containsString="0" containsNumber="1" containsInteger="1" minValue="5" maxValue="72"/>
    </cacheField>
    <cacheField name="Courier price per km" numFmtId="0">
      <sharedItems containsSemiMixedTypes="0" containsString="0" containsNumber="1" minValue="1.2" maxValue="1.2"/>
    </cacheField>
    <cacheField name="Издержки" numFmtId="2">
      <sharedItems containsSemiMixedTypes="0" containsString="0" containsNumber="1" minValue="6.4619868083274135E-2" maxValue="35.75163721303673"/>
    </cacheField>
    <cacheField name="Прибыль" numFmtId="2">
      <sharedItems containsSemiMixedTypes="0" containsString="0" containsNumber="1" minValue="-3.6182212980704485" maxValue="52.661560920375138"/>
    </cacheField>
    <cacheField name="Take rate" numFmtId="0">
      <sharedItems containsNonDate="0" containsString="0" containsBlank="1"/>
    </cacheField>
    <cacheField name="Номер недели" numFmtId="0">
      <sharedItems containsSemiMixedTypes="0" containsString="0" containsNumber="1" containsInteger="1" minValue="12" maxValue="13" count="2"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n v="10.017111884576135"/>
    <n v="3"/>
    <n v="15"/>
    <n v="1.2"/>
    <n v="12.020534261491362"/>
    <n v="2.9794657385086385"/>
    <m/>
    <x v="0"/>
  </r>
  <r>
    <x v="0"/>
    <x v="1"/>
    <n v="4.2014918368162597"/>
    <n v="2"/>
    <n v="10"/>
    <n v="1.2"/>
    <n v="5.0417902041795113"/>
    <n v="4.9582097958204887"/>
    <m/>
    <x v="0"/>
  </r>
  <r>
    <x v="0"/>
    <x v="1"/>
    <n v="16.400595573017124"/>
    <n v="5"/>
    <n v="25"/>
    <n v="1.2"/>
    <n v="19.680714687620547"/>
    <n v="5.3192853123794528"/>
    <m/>
    <x v="0"/>
  </r>
  <r>
    <x v="0"/>
    <x v="2"/>
    <n v="6.2834810994938834"/>
    <n v="3"/>
    <n v="15"/>
    <n v="1.2"/>
    <n v="7.5401773193926598"/>
    <n v="7.4598226806073402"/>
    <m/>
    <x v="0"/>
  </r>
  <r>
    <x v="0"/>
    <x v="2"/>
    <n v="3.3894242984271994"/>
    <n v="2"/>
    <n v="10"/>
    <n v="1.2"/>
    <n v="4.0673091581126393"/>
    <n v="5.9326908418873607"/>
    <m/>
    <x v="0"/>
  </r>
  <r>
    <x v="0"/>
    <x v="3"/>
    <n v="17.016627711798893"/>
    <n v="5"/>
    <n v="25"/>
    <n v="1.2"/>
    <n v="20.419953254158671"/>
    <n v="4.5800467458413294"/>
    <m/>
    <x v="0"/>
  </r>
  <r>
    <x v="0"/>
    <x v="2"/>
    <n v="19.47772112806787"/>
    <n v="10"/>
    <n v="50"/>
    <n v="1.2"/>
    <n v="23.373265353681443"/>
    <n v="26.626734646318557"/>
    <m/>
    <x v="0"/>
  </r>
  <r>
    <x v="0"/>
    <x v="4"/>
    <n v="16.332418093901083"/>
    <n v="6"/>
    <n v="30"/>
    <n v="1.2"/>
    <n v="19.5989017126813"/>
    <n v="10.4010982873187"/>
    <m/>
    <x v="0"/>
  </r>
  <r>
    <x v="0"/>
    <x v="5"/>
    <n v="13.355342540009001"/>
    <n v="5"/>
    <n v="25"/>
    <n v="1.2"/>
    <n v="16.0264110480108"/>
    <n v="8.9735889519891998"/>
    <m/>
    <x v="0"/>
  </r>
  <r>
    <x v="0"/>
    <x v="2"/>
    <n v="7.7441507034849018"/>
    <n v="2"/>
    <n v="10"/>
    <n v="1.2"/>
    <n v="9.2929808441818817"/>
    <n v="0.70701915581811825"/>
    <m/>
    <x v="0"/>
  </r>
  <r>
    <x v="0"/>
    <x v="4"/>
    <n v="9.6427513837564973"/>
    <n v="2"/>
    <n v="10"/>
    <n v="1.2"/>
    <n v="11.571301660507796"/>
    <n v="-1.5713016605077961"/>
    <m/>
    <x v="0"/>
  </r>
  <r>
    <x v="0"/>
    <x v="4"/>
    <n v="18.843724836286345"/>
    <n v="10"/>
    <n v="50"/>
    <n v="1.2"/>
    <n v="22.612469803543615"/>
    <n v="27.387530196456385"/>
    <m/>
    <x v="0"/>
  </r>
  <r>
    <x v="0"/>
    <x v="4"/>
    <n v="6.6372323616755535"/>
    <n v="2"/>
    <n v="10"/>
    <n v="1.2"/>
    <n v="7.9646788340106642"/>
    <n v="2.0353211659893358"/>
    <m/>
    <x v="0"/>
  </r>
  <r>
    <x v="0"/>
    <x v="5"/>
    <n v="0.83176422360608848"/>
    <n v="1"/>
    <n v="5"/>
    <n v="1.2"/>
    <n v="0.99811706832730618"/>
    <n v="4.0018829316726938"/>
    <m/>
    <x v="0"/>
  </r>
  <r>
    <x v="0"/>
    <x v="0"/>
    <n v="3.0666583850624285"/>
    <n v="1"/>
    <n v="5"/>
    <n v="1.2"/>
    <n v="3.6799900620749142"/>
    <n v="1.3200099379250858"/>
    <m/>
    <x v="0"/>
  </r>
  <r>
    <x v="0"/>
    <x v="5"/>
    <n v="16.642830135390373"/>
    <n v="9"/>
    <n v="45"/>
    <n v="1.2"/>
    <n v="19.971396162468448"/>
    <n v="25.028603837531552"/>
    <m/>
    <x v="0"/>
  </r>
  <r>
    <x v="0"/>
    <x v="4"/>
    <n v="3.0099844846859614"/>
    <n v="1"/>
    <n v="5"/>
    <n v="1.2"/>
    <n v="3.6119813816231536"/>
    <n v="1.3880186183768464"/>
    <m/>
    <x v="0"/>
  </r>
  <r>
    <x v="0"/>
    <x v="0"/>
    <n v="6.4111274407611525"/>
    <n v="4"/>
    <n v="20"/>
    <n v="1.2"/>
    <n v="7.6933529289133826"/>
    <n v="12.306647071086617"/>
    <m/>
    <x v="0"/>
  </r>
  <r>
    <x v="0"/>
    <x v="3"/>
    <n v="8.1755799017177004"/>
    <n v="3"/>
    <n v="15"/>
    <n v="1.2"/>
    <n v="9.8106958820612409"/>
    <n v="5.1893041179387591"/>
    <m/>
    <x v="0"/>
  </r>
  <r>
    <x v="1"/>
    <x v="3"/>
    <n v="15.627962888933844"/>
    <n v="4"/>
    <n v="24"/>
    <n v="1.2"/>
    <n v="18.753555466720613"/>
    <n v="5.2464445332793872"/>
    <m/>
    <x v="0"/>
  </r>
  <r>
    <x v="1"/>
    <x v="6"/>
    <n v="7.4434787031997152"/>
    <n v="3"/>
    <n v="18"/>
    <n v="1.2"/>
    <n v="8.9321744438396582"/>
    <n v="9.0678255561603418"/>
    <m/>
    <x v="0"/>
  </r>
  <r>
    <x v="1"/>
    <x v="4"/>
    <n v="2.8728926968904123"/>
    <n v="2"/>
    <n v="12"/>
    <n v="1.2"/>
    <n v="3.4474712362684947"/>
    <n v="8.5525287637315053"/>
    <m/>
    <x v="0"/>
  </r>
  <r>
    <x v="1"/>
    <x v="1"/>
    <n v="12.638196126817981"/>
    <n v="5"/>
    <n v="30"/>
    <n v="1.2"/>
    <n v="15.165835352181576"/>
    <n v="14.834164647818424"/>
    <m/>
    <x v="0"/>
  </r>
  <r>
    <x v="1"/>
    <x v="0"/>
    <n v="9.1249213037691881"/>
    <n v="4"/>
    <n v="24"/>
    <n v="1.2"/>
    <n v="10.949905564523025"/>
    <n v="13.050094435476975"/>
    <m/>
    <x v="0"/>
  </r>
  <r>
    <x v="1"/>
    <x v="3"/>
    <n v="9.5416618497968599"/>
    <n v="5"/>
    <n v="30"/>
    <n v="1.2"/>
    <n v="11.449994219756231"/>
    <n v="18.550005780243769"/>
    <m/>
    <x v="0"/>
  </r>
  <r>
    <x v="1"/>
    <x v="3"/>
    <n v="5.0361493993679085"/>
    <n v="2"/>
    <n v="12"/>
    <n v="1.2"/>
    <n v="6.0433792792414902"/>
    <n v="5.9566207207585098"/>
    <m/>
    <x v="0"/>
  </r>
  <r>
    <x v="1"/>
    <x v="0"/>
    <n v="2.5890294338822284"/>
    <n v="1"/>
    <n v="6"/>
    <n v="1.2"/>
    <n v="3.1068353206586741"/>
    <n v="2.8931646793413259"/>
    <m/>
    <x v="0"/>
  </r>
  <r>
    <x v="1"/>
    <x v="1"/>
    <n v="19.181412702449379"/>
    <n v="5"/>
    <n v="30"/>
    <n v="1.2"/>
    <n v="23.017695242939254"/>
    <n v="6.9823047570607457"/>
    <m/>
    <x v="0"/>
  </r>
  <r>
    <x v="1"/>
    <x v="4"/>
    <n v="13.18446103369592"/>
    <n v="7"/>
    <n v="42"/>
    <n v="1.2"/>
    <n v="15.821353240435103"/>
    <n v="26.178646759564899"/>
    <m/>
    <x v="0"/>
  </r>
  <r>
    <x v="1"/>
    <x v="3"/>
    <n v="0.88845700174610798"/>
    <n v="1"/>
    <n v="6"/>
    <n v="1.2"/>
    <n v="1.0661484020953296"/>
    <n v="4.9338515979046704"/>
    <m/>
    <x v="0"/>
  </r>
  <r>
    <x v="1"/>
    <x v="2"/>
    <n v="5.8968485879308297"/>
    <n v="3"/>
    <n v="18"/>
    <n v="1.2"/>
    <n v="7.0762183055169956"/>
    <n v="10.923781694483004"/>
    <m/>
    <x v="0"/>
  </r>
  <r>
    <x v="1"/>
    <x v="4"/>
    <n v="19.983710348644287"/>
    <n v="5"/>
    <n v="30"/>
    <n v="1.2"/>
    <n v="23.980452418373144"/>
    <n v="6.0195475816268562"/>
    <m/>
    <x v="0"/>
  </r>
  <r>
    <x v="1"/>
    <x v="4"/>
    <n v="19.93565849930398"/>
    <n v="4"/>
    <n v="24"/>
    <n v="1.2"/>
    <n v="23.922790199164776"/>
    <n v="7.7209800835223774E-2"/>
    <m/>
    <x v="0"/>
  </r>
  <r>
    <x v="1"/>
    <x v="0"/>
    <n v="10.755325702206573"/>
    <n v="6"/>
    <n v="36"/>
    <n v="1.2"/>
    <n v="12.906390842647887"/>
    <n v="23.093609157352113"/>
    <m/>
    <x v="0"/>
  </r>
  <r>
    <x v="1"/>
    <x v="6"/>
    <n v="1.2352076543445967"/>
    <n v="1"/>
    <n v="6"/>
    <n v="1.2"/>
    <n v="1.482249185213516"/>
    <n v="4.517750814786484"/>
    <m/>
    <x v="0"/>
  </r>
  <r>
    <x v="1"/>
    <x v="6"/>
    <n v="11.919848307269906"/>
    <n v="6"/>
    <n v="36"/>
    <n v="1.2"/>
    <n v="14.303817968723886"/>
    <n v="21.696182031276116"/>
    <m/>
    <x v="0"/>
  </r>
  <r>
    <x v="1"/>
    <x v="5"/>
    <n v="7.4368938994801308"/>
    <n v="2"/>
    <n v="12"/>
    <n v="1.2"/>
    <n v="8.9242726793761573"/>
    <n v="3.0757273206238427"/>
    <m/>
    <x v="0"/>
  </r>
  <r>
    <x v="1"/>
    <x v="3"/>
    <n v="16.102087448890007"/>
    <n v="5"/>
    <n v="30"/>
    <n v="1.2"/>
    <n v="19.322504938668008"/>
    <n v="10.677495061331992"/>
    <m/>
    <x v="0"/>
  </r>
  <r>
    <x v="1"/>
    <x v="3"/>
    <n v="19.229593165473865"/>
    <n v="5"/>
    <n v="30"/>
    <n v="1.2"/>
    <n v="23.075511798568638"/>
    <n v="6.9244882014313625"/>
    <m/>
    <x v="0"/>
  </r>
  <r>
    <x v="1"/>
    <x v="3"/>
    <n v="8.7520614314716028"/>
    <n v="3"/>
    <n v="18"/>
    <n v="1.2"/>
    <n v="10.502473717765923"/>
    <n v="7.4975262822340767"/>
    <m/>
    <x v="0"/>
  </r>
  <r>
    <x v="1"/>
    <x v="6"/>
    <n v="16.525967241075136"/>
    <n v="4"/>
    <n v="24"/>
    <n v="1.2"/>
    <n v="19.831160689290162"/>
    <n v="4.1688393107098385"/>
    <m/>
    <x v="0"/>
  </r>
  <r>
    <x v="1"/>
    <x v="5"/>
    <n v="14.179518897818795"/>
    <n v="4"/>
    <n v="24"/>
    <n v="1.2"/>
    <n v="17.015422677382553"/>
    <n v="6.9845773226174472"/>
    <m/>
    <x v="0"/>
  </r>
  <r>
    <x v="1"/>
    <x v="3"/>
    <n v="1.5468261233017078"/>
    <n v="1"/>
    <n v="6"/>
    <n v="1.2"/>
    <n v="1.8561913479620493"/>
    <n v="4.1438086520379507"/>
    <m/>
    <x v="0"/>
  </r>
  <r>
    <x v="1"/>
    <x v="3"/>
    <n v="2.1865040509110778"/>
    <n v="1"/>
    <n v="6"/>
    <n v="1.2"/>
    <n v="2.6238048610932934"/>
    <n v="3.3761951389067066"/>
    <m/>
    <x v="0"/>
  </r>
  <r>
    <x v="1"/>
    <x v="2"/>
    <n v="17.26056844169058"/>
    <n v="5"/>
    <n v="30"/>
    <n v="1.2"/>
    <n v="20.712682130028696"/>
    <n v="9.2873178699713037"/>
    <m/>
    <x v="0"/>
  </r>
  <r>
    <x v="1"/>
    <x v="2"/>
    <n v="13.885091408400855"/>
    <n v="7"/>
    <n v="42"/>
    <n v="1.2"/>
    <n v="16.662109690081024"/>
    <n v="25.337890309918976"/>
    <m/>
    <x v="0"/>
  </r>
  <r>
    <x v="1"/>
    <x v="0"/>
    <n v="10.895048345102914"/>
    <n v="3"/>
    <n v="18"/>
    <n v="1.2"/>
    <n v="13.074058014123496"/>
    <n v="4.9259419858765039"/>
    <m/>
    <x v="0"/>
  </r>
  <r>
    <x v="1"/>
    <x v="6"/>
    <n v="12.783186050117552"/>
    <n v="5"/>
    <n v="30"/>
    <n v="1.2"/>
    <n v="15.339823260141062"/>
    <n v="14.660176739858938"/>
    <m/>
    <x v="0"/>
  </r>
  <r>
    <x v="1"/>
    <x v="4"/>
    <n v="9.1114261857412586"/>
    <n v="4"/>
    <n v="24"/>
    <n v="1.2"/>
    <n v="10.933711422889511"/>
    <n v="13.066288577110489"/>
    <m/>
    <x v="0"/>
  </r>
  <r>
    <x v="1"/>
    <x v="4"/>
    <n v="8.1820607074814351"/>
    <n v="3"/>
    <n v="18"/>
    <n v="1.2"/>
    <n v="9.8184728489777218"/>
    <n v="8.1815271510222782"/>
    <m/>
    <x v="0"/>
  </r>
  <r>
    <x v="1"/>
    <x v="0"/>
    <n v="1.4198185559092025"/>
    <n v="1"/>
    <n v="6"/>
    <n v="1.2"/>
    <n v="1.703782267091043"/>
    <n v="4.296217732908957"/>
    <m/>
    <x v="0"/>
  </r>
  <r>
    <x v="1"/>
    <x v="4"/>
    <n v="4.0683093240203601"/>
    <n v="3"/>
    <n v="18"/>
    <n v="1.2"/>
    <n v="4.8819711888244317"/>
    <n v="13.118028811175568"/>
    <m/>
    <x v="0"/>
  </r>
  <r>
    <x v="1"/>
    <x v="2"/>
    <n v="18.203783511423751"/>
    <n v="4"/>
    <n v="24"/>
    <n v="1.2"/>
    <n v="21.844540213708502"/>
    <n v="2.1554597862914981"/>
    <m/>
    <x v="0"/>
  </r>
  <r>
    <x v="1"/>
    <x v="6"/>
    <n v="2.9992934195496823"/>
    <n v="1"/>
    <n v="6"/>
    <n v="1.2"/>
    <n v="3.5991521034596188"/>
    <n v="2.4008478965403812"/>
    <m/>
    <x v="0"/>
  </r>
  <r>
    <x v="1"/>
    <x v="6"/>
    <n v="9.010962752005474"/>
    <n v="3"/>
    <n v="18"/>
    <n v="1.2"/>
    <n v="10.813155302406569"/>
    <n v="7.1868446975934308"/>
    <m/>
    <x v="0"/>
  </r>
  <r>
    <x v="1"/>
    <x v="2"/>
    <n v="6.3377737253419975"/>
    <n v="3"/>
    <n v="18"/>
    <n v="1.2"/>
    <n v="7.6053284704103969"/>
    <n v="10.394671529589603"/>
    <m/>
    <x v="0"/>
  </r>
  <r>
    <x v="1"/>
    <x v="4"/>
    <n v="5.7926446689944333"/>
    <n v="2"/>
    <n v="12"/>
    <n v="1.2"/>
    <n v="6.95117360279332"/>
    <n v="5.04882639720668"/>
    <m/>
    <x v="0"/>
  </r>
  <r>
    <x v="1"/>
    <x v="0"/>
    <n v="19.62385974801693"/>
    <n v="5"/>
    <n v="30"/>
    <n v="1.2"/>
    <n v="23.548631697620316"/>
    <n v="6.4513683023796844"/>
    <m/>
    <x v="0"/>
  </r>
  <r>
    <x v="1"/>
    <x v="6"/>
    <n v="4.9399996343679327"/>
    <n v="2"/>
    <n v="12"/>
    <n v="1.2"/>
    <n v="5.9279995612415188"/>
    <n v="6.0720004387584812"/>
    <m/>
    <x v="0"/>
  </r>
  <r>
    <x v="1"/>
    <x v="2"/>
    <n v="0.23978501591510604"/>
    <n v="1"/>
    <n v="6"/>
    <n v="1.2"/>
    <n v="0.28774201909812724"/>
    <n v="5.7122579809018728"/>
    <m/>
    <x v="0"/>
  </r>
  <r>
    <x v="1"/>
    <x v="2"/>
    <n v="8.1815870010417928"/>
    <n v="5"/>
    <n v="30"/>
    <n v="1.2"/>
    <n v="9.8179044012501517"/>
    <n v="20.182095598749846"/>
    <m/>
    <x v="0"/>
  </r>
  <r>
    <x v="1"/>
    <x v="0"/>
    <n v="14.578950739481339"/>
    <n v="4"/>
    <n v="24"/>
    <n v="1.2"/>
    <n v="17.494740887377606"/>
    <n v="6.5052591126223938"/>
    <m/>
    <x v="0"/>
  </r>
  <r>
    <x v="1"/>
    <x v="2"/>
    <n v="7.4718449963704074"/>
    <n v="2"/>
    <n v="12"/>
    <n v="1.2"/>
    <n v="8.9662139956444893"/>
    <n v="3.0337860043555107"/>
    <m/>
    <x v="0"/>
  </r>
  <r>
    <x v="2"/>
    <x v="3"/>
    <n v="11.317611083992832"/>
    <n v="3"/>
    <n v="24"/>
    <n v="1.2"/>
    <n v="13.581133300791398"/>
    <n v="10.418866699208602"/>
    <m/>
    <x v="0"/>
  </r>
  <r>
    <x v="2"/>
    <x v="5"/>
    <n v="16.320083457234759"/>
    <n v="5"/>
    <n v="40"/>
    <n v="1.2"/>
    <n v="19.58410014868171"/>
    <n v="20.41589985131829"/>
    <m/>
    <x v="0"/>
  </r>
  <r>
    <x v="2"/>
    <x v="3"/>
    <n v="15.66731671923826"/>
    <n v="6"/>
    <n v="48"/>
    <n v="1.2"/>
    <n v="18.800780063085909"/>
    <n v="29.199219936914091"/>
    <m/>
    <x v="0"/>
  </r>
  <r>
    <x v="2"/>
    <x v="5"/>
    <n v="4.5498872608076528"/>
    <n v="2"/>
    <n v="16"/>
    <n v="1.2"/>
    <n v="5.4598647129691829"/>
    <n v="10.540135287030818"/>
    <m/>
    <x v="0"/>
  </r>
  <r>
    <x v="2"/>
    <x v="6"/>
    <n v="18.657925368272444"/>
    <n v="7"/>
    <n v="56"/>
    <n v="1.2"/>
    <n v="22.389510441926934"/>
    <n v="33.61048955807307"/>
    <m/>
    <x v="0"/>
  </r>
  <r>
    <x v="2"/>
    <x v="0"/>
    <n v="3.6574132895151812"/>
    <n v="2"/>
    <n v="16"/>
    <n v="1.2"/>
    <n v="4.3888959474182174"/>
    <n v="11.611104052581783"/>
    <m/>
    <x v="0"/>
  </r>
  <r>
    <x v="2"/>
    <x v="0"/>
    <n v="14.441525395032821"/>
    <n v="8"/>
    <n v="64"/>
    <n v="1.2"/>
    <n v="17.329830474039383"/>
    <n v="46.670169525960617"/>
    <m/>
    <x v="0"/>
  </r>
  <r>
    <x v="2"/>
    <x v="2"/>
    <n v="11.403815150407308"/>
    <n v="6"/>
    <n v="48"/>
    <n v="1.2"/>
    <n v="13.684578180488769"/>
    <n v="34.315421819511229"/>
    <m/>
    <x v="0"/>
  </r>
  <r>
    <x v="2"/>
    <x v="2"/>
    <n v="14.352619816675743"/>
    <n v="8"/>
    <n v="64"/>
    <n v="1.2"/>
    <n v="17.22314378001089"/>
    <n v="46.776856219989114"/>
    <m/>
    <x v="0"/>
  </r>
  <r>
    <x v="2"/>
    <x v="1"/>
    <n v="19.238303825531062"/>
    <n v="4"/>
    <n v="32"/>
    <n v="1.2"/>
    <n v="23.085964590637275"/>
    <n v="8.9140354093627252"/>
    <m/>
    <x v="0"/>
  </r>
  <r>
    <x v="2"/>
    <x v="2"/>
    <n v="6.1162233036959401"/>
    <n v="2"/>
    <n v="16"/>
    <n v="1.2"/>
    <n v="7.3394679644351282"/>
    <n v="8.6605320355648718"/>
    <m/>
    <x v="0"/>
  </r>
  <r>
    <x v="2"/>
    <x v="6"/>
    <n v="11.68563345094684"/>
    <n v="3"/>
    <n v="24"/>
    <n v="1.2"/>
    <n v="14.022760141136208"/>
    <n v="9.9772398588637916"/>
    <m/>
    <x v="0"/>
  </r>
  <r>
    <x v="2"/>
    <x v="5"/>
    <n v="1.2063702297957302"/>
    <n v="1"/>
    <n v="8"/>
    <n v="1.2"/>
    <n v="1.4476442757548762"/>
    <n v="6.5523557242451238"/>
    <m/>
    <x v="0"/>
  </r>
  <r>
    <x v="2"/>
    <x v="3"/>
    <n v="16.138433541172784"/>
    <n v="9"/>
    <n v="72"/>
    <n v="1.2"/>
    <n v="19.366120249407341"/>
    <n v="52.633879750592655"/>
    <m/>
    <x v="0"/>
  </r>
  <r>
    <x v="2"/>
    <x v="3"/>
    <n v="11.893292911058161"/>
    <n v="3"/>
    <n v="24"/>
    <n v="1.2"/>
    <n v="14.271951493269793"/>
    <n v="9.7280485067302074"/>
    <m/>
    <x v="0"/>
  </r>
  <r>
    <x v="2"/>
    <x v="2"/>
    <n v="13.518013293407138"/>
    <n v="4"/>
    <n v="32"/>
    <n v="1.2"/>
    <n v="16.221615952088566"/>
    <n v="15.778384047911434"/>
    <m/>
    <x v="0"/>
  </r>
  <r>
    <x v="2"/>
    <x v="5"/>
    <n v="7.8001903872427043"/>
    <n v="3"/>
    <n v="24"/>
    <n v="1.2"/>
    <n v="9.3602284646912448"/>
    <n v="14.639771535308755"/>
    <m/>
    <x v="0"/>
  </r>
  <r>
    <x v="2"/>
    <x v="0"/>
    <n v="16.147241905131786"/>
    <n v="5"/>
    <n v="40"/>
    <n v="1.2"/>
    <n v="19.376690286158141"/>
    <n v="20.623309713841859"/>
    <m/>
    <x v="0"/>
  </r>
  <r>
    <x v="2"/>
    <x v="3"/>
    <n v="2.8396034556908112"/>
    <n v="1"/>
    <n v="8"/>
    <n v="1.2"/>
    <n v="3.4075241468289734"/>
    <n v="4.5924758531710266"/>
    <m/>
    <x v="0"/>
  </r>
  <r>
    <x v="2"/>
    <x v="2"/>
    <n v="19.719255747634147"/>
    <n v="5"/>
    <n v="40"/>
    <n v="1.2"/>
    <n v="23.663106897160976"/>
    <n v="16.336893102839024"/>
    <m/>
    <x v="0"/>
  </r>
  <r>
    <x v="2"/>
    <x v="2"/>
    <n v="15.7582270800057"/>
    <n v="4"/>
    <n v="32"/>
    <n v="1.2"/>
    <n v="18.909872496006837"/>
    <n v="13.090127503993163"/>
    <m/>
    <x v="0"/>
  </r>
  <r>
    <x v="2"/>
    <x v="1"/>
    <n v="19.125658814260646"/>
    <n v="7"/>
    <n v="56"/>
    <n v="1.2"/>
    <n v="22.950790577112773"/>
    <n v="33.04920942288723"/>
    <m/>
    <x v="0"/>
  </r>
  <r>
    <x v="2"/>
    <x v="6"/>
    <n v="8.2629240681629028"/>
    <n v="3"/>
    <n v="24"/>
    <n v="1.2"/>
    <n v="9.9155088817954837"/>
    <n v="14.084491118204516"/>
    <m/>
    <x v="0"/>
  </r>
  <r>
    <x v="2"/>
    <x v="4"/>
    <n v="14.879426457280855"/>
    <n v="4"/>
    <n v="32"/>
    <n v="1.2"/>
    <n v="17.855311748737027"/>
    <n v="14.144688251262973"/>
    <m/>
    <x v="0"/>
  </r>
  <r>
    <x v="2"/>
    <x v="3"/>
    <n v="8.5740615499385591"/>
    <n v="3"/>
    <n v="24"/>
    <n v="1.2"/>
    <n v="10.288873859926271"/>
    <n v="13.711126140073729"/>
    <m/>
    <x v="0"/>
  </r>
  <r>
    <x v="2"/>
    <x v="4"/>
    <n v="16.11536589968739"/>
    <n v="9"/>
    <n v="72"/>
    <n v="1.2"/>
    <n v="19.338439079624866"/>
    <n v="52.661560920375138"/>
    <m/>
    <x v="0"/>
  </r>
  <r>
    <x v="2"/>
    <x v="5"/>
    <n v="11.491580136558529"/>
    <n v="3"/>
    <n v="24"/>
    <n v="1.2"/>
    <n v="13.789896163870234"/>
    <n v="10.210103836129766"/>
    <m/>
    <x v="0"/>
  </r>
  <r>
    <x v="2"/>
    <x v="0"/>
    <n v="10.146979894739069"/>
    <n v="3"/>
    <n v="24"/>
    <n v="1.2"/>
    <n v="12.176375873686881"/>
    <n v="11.823624126313119"/>
    <m/>
    <x v="0"/>
  </r>
  <r>
    <x v="2"/>
    <x v="5"/>
    <n v="10.485551366150629"/>
    <n v="3"/>
    <n v="24"/>
    <n v="1.2"/>
    <n v="12.582661639380754"/>
    <n v="11.417338360619246"/>
    <m/>
    <x v="0"/>
  </r>
  <r>
    <x v="2"/>
    <x v="6"/>
    <n v="3.3423934972474512"/>
    <n v="2"/>
    <n v="16"/>
    <n v="1.2"/>
    <n v="4.0108721966969414"/>
    <n v="11.989127803303059"/>
    <m/>
    <x v="0"/>
  </r>
  <r>
    <x v="2"/>
    <x v="5"/>
    <n v="1.6618673546223195"/>
    <n v="1"/>
    <n v="8"/>
    <n v="1.2"/>
    <n v="1.9942408255467834"/>
    <n v="6.0057591744532166"/>
    <m/>
    <x v="0"/>
  </r>
  <r>
    <x v="2"/>
    <x v="5"/>
    <n v="8.9272240194216828"/>
    <n v="3"/>
    <n v="24"/>
    <n v="1.2"/>
    <n v="10.71266882330602"/>
    <n v="13.28733117669398"/>
    <m/>
    <x v="0"/>
  </r>
  <r>
    <x v="2"/>
    <x v="2"/>
    <n v="3.1847691532445843"/>
    <n v="1"/>
    <n v="8"/>
    <n v="1.2"/>
    <n v="3.8217229838935012"/>
    <n v="4.1782770161064988"/>
    <m/>
    <x v="0"/>
  </r>
  <r>
    <x v="2"/>
    <x v="0"/>
    <n v="16.790090454595997"/>
    <n v="5"/>
    <n v="40"/>
    <n v="1.2"/>
    <n v="20.148108545515196"/>
    <n v="19.851891454484804"/>
    <m/>
    <x v="0"/>
  </r>
  <r>
    <x v="2"/>
    <x v="4"/>
    <n v="17.93832625183207"/>
    <n v="4"/>
    <n v="32"/>
    <n v="1.2"/>
    <n v="21.525991502198483"/>
    <n v="10.474008497801517"/>
    <m/>
    <x v="0"/>
  </r>
  <r>
    <x v="2"/>
    <x v="4"/>
    <n v="9.8026879618212881"/>
    <n v="5"/>
    <n v="40"/>
    <n v="1.2"/>
    <n v="11.763225554185546"/>
    <n v="28.236774445814454"/>
    <m/>
    <x v="0"/>
  </r>
  <r>
    <x v="0"/>
    <x v="7"/>
    <n v="4.0917468177530179"/>
    <n v="1"/>
    <n v="5"/>
    <n v="1.2"/>
    <n v="4.9100961813036212"/>
    <n v="8.9903818696378757E-2"/>
    <m/>
    <x v="1"/>
  </r>
  <r>
    <x v="0"/>
    <x v="8"/>
    <n v="28.060224768525035"/>
    <n v="8"/>
    <n v="40"/>
    <n v="1.2"/>
    <n v="33.672269722230041"/>
    <n v="6.3277302777699589"/>
    <m/>
    <x v="1"/>
  </r>
  <r>
    <x v="0"/>
    <x v="9"/>
    <n v="16.350785486855372"/>
    <n v="4"/>
    <n v="20"/>
    <n v="1.2"/>
    <n v="19.620942584226444"/>
    <n v="0.37905741577355556"/>
    <m/>
    <x v="1"/>
  </r>
  <r>
    <x v="0"/>
    <x v="10"/>
    <n v="1.0439021913421054"/>
    <n v="1"/>
    <n v="5"/>
    <n v="1.2"/>
    <n v="1.2526826296105265"/>
    <n v="3.7473173703894735"/>
    <m/>
    <x v="1"/>
  </r>
  <r>
    <x v="0"/>
    <x v="11"/>
    <n v="24.467985056954483"/>
    <n v="7"/>
    <n v="35"/>
    <n v="1.2"/>
    <n v="29.361582068345378"/>
    <n v="5.6384179316546224"/>
    <m/>
    <x v="1"/>
  </r>
  <r>
    <x v="0"/>
    <x v="11"/>
    <n v="27.897831390325074"/>
    <n v="6"/>
    <n v="30"/>
    <n v="1.2"/>
    <n v="33.47739766839009"/>
    <n v="-3.4773976683900898"/>
    <m/>
    <x v="1"/>
  </r>
  <r>
    <x v="0"/>
    <x v="11"/>
    <n v="2.4127430707931175"/>
    <n v="1"/>
    <n v="5"/>
    <n v="1.2"/>
    <n v="2.8952916849517409"/>
    <n v="2.1047083150482591"/>
    <m/>
    <x v="1"/>
  </r>
  <r>
    <x v="0"/>
    <x v="11"/>
    <n v="14.028063246803807"/>
    <n v="5"/>
    <n v="25"/>
    <n v="1.2"/>
    <n v="16.833675896164568"/>
    <n v="8.1663241038354322"/>
    <m/>
    <x v="1"/>
  </r>
  <r>
    <x v="0"/>
    <x v="10"/>
    <n v="3.5299482481573694"/>
    <n v="1"/>
    <n v="5"/>
    <n v="1.2"/>
    <n v="4.2359378977888431"/>
    <n v="0.76406210221115689"/>
    <m/>
    <x v="1"/>
  </r>
  <r>
    <x v="0"/>
    <x v="7"/>
    <n v="19.681851081725373"/>
    <n v="4"/>
    <n v="20"/>
    <n v="1.2"/>
    <n v="23.618221298070448"/>
    <n v="-3.6182212980704485"/>
    <m/>
    <x v="1"/>
  </r>
  <r>
    <x v="0"/>
    <x v="10"/>
    <n v="10.346843791769839"/>
    <n v="3"/>
    <n v="15"/>
    <n v="1.2"/>
    <n v="12.416212550123806"/>
    <n v="2.5837874498761941"/>
    <m/>
    <x v="1"/>
  </r>
  <r>
    <x v="0"/>
    <x v="8"/>
    <n v="1.6727632483099164"/>
    <n v="1"/>
    <n v="5"/>
    <n v="1.2"/>
    <n v="2.0073158979718997"/>
    <n v="2.9926841020281003"/>
    <m/>
    <x v="1"/>
  </r>
  <r>
    <x v="0"/>
    <x v="11"/>
    <n v="9.559175462131817"/>
    <n v="4"/>
    <n v="20"/>
    <n v="1.2"/>
    <n v="11.47101055455818"/>
    <n v="8.5289894454418196"/>
    <m/>
    <x v="1"/>
  </r>
  <r>
    <x v="0"/>
    <x v="12"/>
    <n v="29.627406353538682"/>
    <n v="8"/>
    <n v="40"/>
    <n v="1.2"/>
    <n v="35.552887624246416"/>
    <n v="4.4471123757535835"/>
    <m/>
    <x v="1"/>
  </r>
  <r>
    <x v="0"/>
    <x v="12"/>
    <n v="29.793031010863945"/>
    <n v="8"/>
    <n v="40"/>
    <n v="1.2"/>
    <n v="35.75163721303673"/>
    <n v="4.2483627869632699"/>
    <m/>
    <x v="1"/>
  </r>
  <r>
    <x v="0"/>
    <x v="7"/>
    <n v="5.4549218935815924"/>
    <n v="2"/>
    <n v="10"/>
    <n v="1.2"/>
    <n v="6.5459062722979109"/>
    <n v="3.4540937277020891"/>
    <m/>
    <x v="1"/>
  </r>
  <r>
    <x v="0"/>
    <x v="7"/>
    <n v="6.4727667613784865"/>
    <n v="3"/>
    <n v="15"/>
    <n v="1.2"/>
    <n v="7.7673201136541836"/>
    <n v="7.2326798863458164"/>
    <m/>
    <x v="1"/>
  </r>
  <r>
    <x v="0"/>
    <x v="11"/>
    <n v="22.945586128722276"/>
    <n v="6"/>
    <n v="30"/>
    <n v="1.2"/>
    <n v="27.534703354466732"/>
    <n v="2.4652966455332681"/>
    <m/>
    <x v="1"/>
  </r>
  <r>
    <x v="0"/>
    <x v="9"/>
    <n v="28.677089312435093"/>
    <n v="10"/>
    <n v="50"/>
    <n v="1.2"/>
    <n v="34.412507174922112"/>
    <n v="15.587492825077888"/>
    <m/>
    <x v="1"/>
  </r>
  <r>
    <x v="0"/>
    <x v="13"/>
    <n v="17.497459170800301"/>
    <n v="5"/>
    <n v="25"/>
    <n v="1.2"/>
    <n v="20.996951004960362"/>
    <n v="4.003048995039638"/>
    <m/>
    <x v="1"/>
  </r>
  <r>
    <x v="0"/>
    <x v="11"/>
    <n v="26.925756601927986"/>
    <n v="7"/>
    <n v="35"/>
    <n v="1.2"/>
    <n v="32.310907922313582"/>
    <n v="2.6890920776864178"/>
    <m/>
    <x v="1"/>
  </r>
  <r>
    <x v="0"/>
    <x v="7"/>
    <n v="13.20610278047663"/>
    <n v="3"/>
    <n v="15"/>
    <n v="1.2"/>
    <n v="15.847323336571955"/>
    <n v="-0.84732333657195547"/>
    <m/>
    <x v="1"/>
  </r>
  <r>
    <x v="0"/>
    <x v="11"/>
    <n v="5.3849890069395112E-2"/>
    <n v="1"/>
    <n v="5"/>
    <n v="1.2"/>
    <n v="6.4619868083274135E-2"/>
    <n v="4.9353801319167259"/>
    <m/>
    <x v="1"/>
  </r>
  <r>
    <x v="0"/>
    <x v="12"/>
    <n v="22.894292964084954"/>
    <n v="8"/>
    <n v="40"/>
    <n v="1.2"/>
    <n v="27.473151556901943"/>
    <n v="12.526848443098057"/>
    <m/>
    <x v="1"/>
  </r>
  <r>
    <x v="0"/>
    <x v="13"/>
    <n v="4.834282742267213"/>
    <n v="1"/>
    <n v="5"/>
    <n v="1.2"/>
    <n v="5.8011392907206556"/>
    <n v="-0.80113929072065559"/>
    <m/>
    <x v="1"/>
  </r>
  <r>
    <x v="0"/>
    <x v="9"/>
    <n v="26.068116060132159"/>
    <n v="7"/>
    <n v="35"/>
    <n v="1.2"/>
    <n v="31.281739272158589"/>
    <n v="3.718260727841411"/>
    <m/>
    <x v="1"/>
  </r>
  <r>
    <x v="0"/>
    <x v="7"/>
    <n v="25.907506815645643"/>
    <n v="9"/>
    <n v="45"/>
    <n v="1.2"/>
    <n v="31.089008178774769"/>
    <n v="13.910991821225231"/>
    <m/>
    <x v="1"/>
  </r>
  <r>
    <x v="0"/>
    <x v="9"/>
    <n v="0.12924651172283697"/>
    <n v="1"/>
    <n v="5"/>
    <n v="1.2"/>
    <n v="0.15509581406740436"/>
    <n v="4.8449041859325952"/>
    <m/>
    <x v="1"/>
  </r>
  <r>
    <x v="0"/>
    <x v="7"/>
    <n v="25.247088912072012"/>
    <n v="9"/>
    <n v="45"/>
    <n v="1.2"/>
    <n v="30.296506694486414"/>
    <n v="14.703493305513586"/>
    <m/>
    <x v="1"/>
  </r>
  <r>
    <x v="0"/>
    <x v="13"/>
    <n v="14.520932447790965"/>
    <n v="5"/>
    <n v="25"/>
    <n v="1.2"/>
    <n v="17.425118937349158"/>
    <n v="7.5748810626508423"/>
    <m/>
    <x v="1"/>
  </r>
  <r>
    <x v="0"/>
    <x v="7"/>
    <n v="15.12240767598623"/>
    <n v="4"/>
    <n v="20"/>
    <n v="1.2"/>
    <n v="18.146889211183474"/>
    <n v="1.8531107888165259"/>
    <m/>
    <x v="1"/>
  </r>
  <r>
    <x v="0"/>
    <x v="7"/>
    <n v="20.318972028693903"/>
    <n v="5"/>
    <n v="25"/>
    <n v="1.2"/>
    <n v="24.382766434432682"/>
    <n v="0.61723356556731801"/>
    <m/>
    <x v="1"/>
  </r>
  <r>
    <x v="0"/>
    <x v="9"/>
    <n v="2.4509397676338485"/>
    <n v="1"/>
    <n v="5"/>
    <n v="1.2"/>
    <n v="2.9411277211606182"/>
    <n v="2.0588722788393818"/>
    <m/>
    <x v="1"/>
  </r>
  <r>
    <x v="0"/>
    <x v="8"/>
    <n v="10.739612601719241"/>
    <n v="3"/>
    <n v="15"/>
    <n v="1.2"/>
    <n v="12.887535122063088"/>
    <n v="2.1124648779369117"/>
    <m/>
    <x v="1"/>
  </r>
  <r>
    <x v="0"/>
    <x v="13"/>
    <n v="9.9285802706201594"/>
    <n v="2"/>
    <n v="10"/>
    <n v="1.2"/>
    <n v="11.914296324744191"/>
    <n v="-1.9142963247441909"/>
    <m/>
    <x v="1"/>
  </r>
  <r>
    <x v="0"/>
    <x v="8"/>
    <n v="22.91642103186733"/>
    <n v="8"/>
    <n v="40"/>
    <n v="1.2"/>
    <n v="27.499705238240796"/>
    <n v="12.500294761759204"/>
    <m/>
    <x v="1"/>
  </r>
  <r>
    <x v="0"/>
    <x v="9"/>
    <n v="10.125624318901643"/>
    <n v="3"/>
    <n v="15"/>
    <n v="1.2"/>
    <n v="12.150749182681972"/>
    <n v="2.849250817318028"/>
    <m/>
    <x v="1"/>
  </r>
  <r>
    <x v="0"/>
    <x v="8"/>
    <n v="13.260503805286257"/>
    <n v="5"/>
    <n v="25"/>
    <n v="1.2"/>
    <n v="15.912604566343507"/>
    <n v="9.0873954336564928"/>
    <m/>
    <x v="1"/>
  </r>
  <r>
    <x v="0"/>
    <x v="10"/>
    <n v="10.521135925408039"/>
    <n v="3"/>
    <n v="15"/>
    <n v="1.2"/>
    <n v="12.625363110489646"/>
    <n v="2.374636889510354"/>
    <m/>
    <x v="1"/>
  </r>
  <r>
    <x v="0"/>
    <x v="10"/>
    <n v="25.63865355779533"/>
    <n v="7"/>
    <n v="35"/>
    <n v="1.2"/>
    <n v="30.766384269354393"/>
    <n v="4.2336157306456066"/>
    <m/>
    <x v="1"/>
  </r>
  <r>
    <x v="0"/>
    <x v="13"/>
    <n v="2.5900734689676872"/>
    <n v="1"/>
    <n v="5"/>
    <n v="1.2"/>
    <n v="3.1080881627612245"/>
    <n v="1.8919118372387755"/>
    <m/>
    <x v="1"/>
  </r>
  <r>
    <x v="0"/>
    <x v="7"/>
    <n v="20.245477700435419"/>
    <n v="7"/>
    <n v="35"/>
    <n v="1.2"/>
    <n v="24.294573240522503"/>
    <n v="10.705426759477497"/>
    <m/>
    <x v="1"/>
  </r>
  <r>
    <x v="0"/>
    <x v="7"/>
    <n v="9.0833259953624506"/>
    <n v="3"/>
    <n v="15"/>
    <n v="1.2"/>
    <n v="10.899991194434941"/>
    <n v="4.100008805565059"/>
    <m/>
    <x v="1"/>
  </r>
  <r>
    <x v="1"/>
    <x v="12"/>
    <n v="3.8479090012867156"/>
    <n v="1"/>
    <n v="6"/>
    <n v="1.2"/>
    <n v="4.6174908015440588"/>
    <n v="1.3825091984559412"/>
    <m/>
    <x v="1"/>
  </r>
  <r>
    <x v="1"/>
    <x v="13"/>
    <n v="1.4670677100150287"/>
    <n v="1"/>
    <n v="6"/>
    <n v="1.2"/>
    <n v="1.7604812520180344"/>
    <n v="4.2395187479819656"/>
    <m/>
    <x v="1"/>
  </r>
  <r>
    <x v="1"/>
    <x v="13"/>
    <n v="18.775728091369018"/>
    <n v="5"/>
    <n v="30"/>
    <n v="1.2"/>
    <n v="22.530873709642822"/>
    <n v="7.4691262903571776"/>
    <m/>
    <x v="1"/>
  </r>
  <r>
    <x v="1"/>
    <x v="12"/>
    <n v="13.008462633968954"/>
    <n v="3"/>
    <n v="18"/>
    <n v="1.2"/>
    <n v="15.610155160762744"/>
    <n v="2.3898448392372558"/>
    <m/>
    <x v="1"/>
  </r>
  <r>
    <x v="1"/>
    <x v="10"/>
    <n v="4.0661562586286992"/>
    <n v="2"/>
    <n v="12"/>
    <n v="1.2"/>
    <n v="4.8793875103544391"/>
    <n v="7.1206124896455609"/>
    <m/>
    <x v="1"/>
  </r>
  <r>
    <x v="1"/>
    <x v="11"/>
    <n v="9.9166848620885943"/>
    <n v="4"/>
    <n v="24"/>
    <n v="1.2"/>
    <n v="11.900021834506314"/>
    <n v="12.099978165493686"/>
    <m/>
    <x v="1"/>
  </r>
  <r>
    <x v="1"/>
    <x v="8"/>
    <n v="9.7045556367593448"/>
    <n v="3"/>
    <n v="18"/>
    <n v="1.2"/>
    <n v="11.645466764111214"/>
    <n v="6.3545332358887858"/>
    <m/>
    <x v="1"/>
  </r>
  <r>
    <x v="1"/>
    <x v="11"/>
    <n v="13.908767582948389"/>
    <n v="4"/>
    <n v="24"/>
    <n v="1.2"/>
    <n v="16.690521099538067"/>
    <n v="7.3094789004619329"/>
    <m/>
    <x v="1"/>
  </r>
  <r>
    <x v="1"/>
    <x v="12"/>
    <n v="4.2070841460502262"/>
    <n v="1"/>
    <n v="6"/>
    <n v="1.2"/>
    <n v="5.0485009752602714"/>
    <n v="0.95149902473972858"/>
    <m/>
    <x v="1"/>
  </r>
  <r>
    <x v="1"/>
    <x v="12"/>
    <n v="17.43661541370869"/>
    <n v="5"/>
    <n v="30"/>
    <n v="1.2"/>
    <n v="20.923938496450429"/>
    <n v="9.0760615035495711"/>
    <m/>
    <x v="1"/>
  </r>
  <r>
    <x v="1"/>
    <x v="9"/>
    <n v="13.094859762390229"/>
    <n v="5"/>
    <n v="30"/>
    <n v="1.2"/>
    <n v="15.713831714868274"/>
    <n v="14.286168285131726"/>
    <m/>
    <x v="1"/>
  </r>
  <r>
    <x v="1"/>
    <x v="13"/>
    <n v="5.2520674460894696"/>
    <n v="2"/>
    <n v="12"/>
    <n v="1.2"/>
    <n v="6.3024809353073632"/>
    <n v="5.6975190646926368"/>
    <m/>
    <x v="1"/>
  </r>
  <r>
    <x v="1"/>
    <x v="7"/>
    <n v="8.5826291639088037"/>
    <n v="5"/>
    <n v="30"/>
    <n v="1.2"/>
    <n v="10.299154996690564"/>
    <n v="19.700845003309436"/>
    <m/>
    <x v="1"/>
  </r>
  <r>
    <x v="1"/>
    <x v="9"/>
    <n v="1.4264867706698015"/>
    <n v="1"/>
    <n v="6"/>
    <n v="1.2"/>
    <n v="1.7117841248037617"/>
    <n v="4.2882158751962383"/>
    <m/>
    <x v="1"/>
  </r>
  <r>
    <x v="1"/>
    <x v="12"/>
    <n v="13.989779562714981"/>
    <n v="7"/>
    <n v="42"/>
    <n v="1.2"/>
    <n v="16.787735475257975"/>
    <n v="25.212264524742025"/>
    <m/>
    <x v="1"/>
  </r>
  <r>
    <x v="1"/>
    <x v="7"/>
    <n v="11.544335574973063"/>
    <n v="4"/>
    <n v="24"/>
    <n v="1.2"/>
    <n v="13.853202689967675"/>
    <n v="10.146797310032325"/>
    <m/>
    <x v="1"/>
  </r>
  <r>
    <x v="1"/>
    <x v="12"/>
    <n v="6.5113013615409088"/>
    <n v="3"/>
    <n v="18"/>
    <n v="1.2"/>
    <n v="7.8135616338490905"/>
    <n v="10.186438366150909"/>
    <m/>
    <x v="1"/>
  </r>
  <r>
    <x v="1"/>
    <x v="12"/>
    <n v="1.302465490160376"/>
    <n v="1"/>
    <n v="6"/>
    <n v="1.2"/>
    <n v="1.5629585881924513"/>
    <n v="4.4370414118075487"/>
    <m/>
    <x v="1"/>
  </r>
  <r>
    <x v="1"/>
    <x v="10"/>
    <n v="14.190521780409981"/>
    <n v="4"/>
    <n v="24"/>
    <n v="1.2"/>
    <n v="17.028626136491976"/>
    <n v="6.971373863508024"/>
    <m/>
    <x v="1"/>
  </r>
  <r>
    <x v="1"/>
    <x v="9"/>
    <n v="5.6142337270206006"/>
    <n v="2"/>
    <n v="12"/>
    <n v="1.2"/>
    <n v="6.7370804724247204"/>
    <n v="5.2629195275752796"/>
    <m/>
    <x v="1"/>
  </r>
  <r>
    <x v="1"/>
    <x v="9"/>
    <n v="8.7398916432772555"/>
    <n v="3"/>
    <n v="18"/>
    <n v="1.2"/>
    <n v="10.487869971932707"/>
    <n v="7.5121300280672934"/>
    <m/>
    <x v="1"/>
  </r>
  <r>
    <x v="1"/>
    <x v="9"/>
    <n v="17.690837738481097"/>
    <n v="9"/>
    <n v="54"/>
    <n v="1.2"/>
    <n v="21.229005286177316"/>
    <n v="32.770994713822688"/>
    <m/>
    <x v="1"/>
  </r>
  <r>
    <x v="1"/>
    <x v="12"/>
    <n v="12.913706709951647"/>
    <n v="4"/>
    <n v="24"/>
    <n v="1.2"/>
    <n v="15.496448051941975"/>
    <n v="8.5035519480580248"/>
    <m/>
    <x v="1"/>
  </r>
  <r>
    <x v="1"/>
    <x v="10"/>
    <n v="2.0719171586867757"/>
    <n v="2"/>
    <n v="12"/>
    <n v="1.2"/>
    <n v="2.4863005904241309"/>
    <n v="9.5136994095758691"/>
    <m/>
    <x v="1"/>
  </r>
  <r>
    <x v="1"/>
    <x v="7"/>
    <n v="6.5628238931565246"/>
    <n v="2"/>
    <n v="12"/>
    <n v="1.2"/>
    <n v="7.875388671787829"/>
    <n v="4.124611328212171"/>
    <m/>
    <x v="1"/>
  </r>
  <r>
    <x v="1"/>
    <x v="13"/>
    <n v="16.282518737155069"/>
    <n v="4"/>
    <n v="24"/>
    <n v="1.2"/>
    <n v="19.539022484586081"/>
    <n v="4.4609775154139193"/>
    <m/>
    <x v="1"/>
  </r>
  <r>
    <x v="1"/>
    <x v="12"/>
    <n v="0.60678610344665707"/>
    <n v="1"/>
    <n v="6"/>
    <n v="1.2"/>
    <n v="0.72814332413598848"/>
    <n v="5.2718566758640115"/>
    <m/>
    <x v="1"/>
  </r>
  <r>
    <x v="1"/>
    <x v="7"/>
    <n v="14.71289059841425"/>
    <n v="3"/>
    <n v="18"/>
    <n v="1.2"/>
    <n v="17.655468718097097"/>
    <n v="0.34453128190290272"/>
    <m/>
    <x v="1"/>
  </r>
  <r>
    <x v="1"/>
    <x v="11"/>
    <n v="7.4138204785652313"/>
    <n v="2"/>
    <n v="12"/>
    <n v="1.2"/>
    <n v="8.8965845742782772"/>
    <n v="3.1034154257217228"/>
    <m/>
    <x v="1"/>
  </r>
  <r>
    <x v="1"/>
    <x v="12"/>
    <n v="1.5609732187168879"/>
    <n v="1"/>
    <n v="6"/>
    <n v="1.2"/>
    <n v="1.8731678624602655"/>
    <n v="4.1268321375397345"/>
    <m/>
    <x v="1"/>
  </r>
  <r>
    <x v="1"/>
    <x v="10"/>
    <n v="9.4985075636023168"/>
    <n v="4"/>
    <n v="24"/>
    <n v="1.2"/>
    <n v="11.398209076322781"/>
    <n v="12.601790923677219"/>
    <m/>
    <x v="1"/>
  </r>
  <r>
    <x v="1"/>
    <x v="7"/>
    <n v="16.657706946948995"/>
    <n v="6"/>
    <n v="36"/>
    <n v="1.2"/>
    <n v="19.989248336338793"/>
    <n v="16.010751663661207"/>
    <m/>
    <x v="1"/>
  </r>
  <r>
    <x v="1"/>
    <x v="11"/>
    <n v="17.065326867580872"/>
    <n v="5"/>
    <n v="30"/>
    <n v="1.2"/>
    <n v="20.478392241097044"/>
    <n v="9.521607758902956"/>
    <m/>
    <x v="1"/>
  </r>
  <r>
    <x v="1"/>
    <x v="11"/>
    <n v="18.624105046706013"/>
    <n v="5"/>
    <n v="30"/>
    <n v="1.2"/>
    <n v="22.348926056047215"/>
    <n v="7.6510739439527846"/>
    <m/>
    <x v="1"/>
  </r>
  <r>
    <x v="1"/>
    <x v="12"/>
    <n v="2.2936434246027715"/>
    <n v="2"/>
    <n v="12"/>
    <n v="1.2"/>
    <n v="2.7523721095233258"/>
    <n v="9.2476278904766751"/>
    <m/>
    <x v="1"/>
  </r>
  <r>
    <x v="1"/>
    <x v="9"/>
    <n v="0.34980702567788402"/>
    <n v="1"/>
    <n v="6"/>
    <n v="1.2"/>
    <n v="0.41976843081346082"/>
    <n v="5.5802315691865392"/>
    <m/>
    <x v="1"/>
  </r>
  <r>
    <x v="1"/>
    <x v="9"/>
    <n v="2.0858090894447168"/>
    <n v="1"/>
    <n v="6"/>
    <n v="1.2"/>
    <n v="2.5029709073336601"/>
    <n v="3.4970290926663399"/>
    <m/>
    <x v="1"/>
  </r>
  <r>
    <x v="1"/>
    <x v="7"/>
    <n v="18.57412289739273"/>
    <n v="7"/>
    <n v="42"/>
    <n v="1.2"/>
    <n v="22.288947476871275"/>
    <n v="19.711052523128725"/>
    <m/>
    <x v="1"/>
  </r>
  <r>
    <x v="1"/>
    <x v="10"/>
    <n v="2.6896989368812196"/>
    <n v="1"/>
    <n v="6"/>
    <n v="1.2"/>
    <n v="3.2276387242574636"/>
    <n v="2.7723612757425364"/>
    <m/>
    <x v="1"/>
  </r>
  <r>
    <x v="1"/>
    <x v="10"/>
    <n v="15.146710148266862"/>
    <n v="6"/>
    <n v="36"/>
    <n v="1.2"/>
    <n v="18.176052177920234"/>
    <n v="17.823947822079766"/>
    <m/>
    <x v="1"/>
  </r>
  <r>
    <x v="1"/>
    <x v="11"/>
    <n v="14.385664719001195"/>
    <n v="4"/>
    <n v="24"/>
    <n v="1.2"/>
    <n v="17.262797662801432"/>
    <n v="6.7372023371985676"/>
    <m/>
    <x v="1"/>
  </r>
  <r>
    <x v="1"/>
    <x v="10"/>
    <n v="0.71485160665790026"/>
    <n v="1"/>
    <n v="6"/>
    <n v="1.2"/>
    <n v="0.85782192798948032"/>
    <n v="5.1421780720105197"/>
    <m/>
    <x v="1"/>
  </r>
  <r>
    <x v="1"/>
    <x v="12"/>
    <n v="14.618286625136639"/>
    <n v="8"/>
    <n v="48"/>
    <n v="1.2"/>
    <n v="17.541943950163965"/>
    <n v="30.458056049836035"/>
    <m/>
    <x v="1"/>
  </r>
  <r>
    <x v="1"/>
    <x v="8"/>
    <n v="15.757377627724384"/>
    <n v="4"/>
    <n v="24"/>
    <n v="1.2"/>
    <n v="18.908853153269259"/>
    <n v="5.0911468467307408"/>
    <m/>
    <x v="1"/>
  </r>
  <r>
    <x v="1"/>
    <x v="13"/>
    <n v="2.8581073368025112"/>
    <n v="1"/>
    <n v="6"/>
    <n v="1.2"/>
    <n v="3.4297288041630134"/>
    <n v="2.5702711958369866"/>
    <m/>
    <x v="1"/>
  </r>
  <r>
    <x v="1"/>
    <x v="7"/>
    <n v="0.66975345630943872"/>
    <n v="1"/>
    <n v="6"/>
    <n v="1.2"/>
    <n v="0.80370414757132647"/>
    <n v="5.1962958524286735"/>
    <m/>
    <x v="1"/>
  </r>
  <r>
    <x v="1"/>
    <x v="12"/>
    <n v="19.071231545066812"/>
    <n v="10"/>
    <n v="60"/>
    <n v="1.2"/>
    <n v="22.885477854080175"/>
    <n v="37.114522145919821"/>
    <m/>
    <x v="1"/>
  </r>
  <r>
    <x v="2"/>
    <x v="8"/>
    <n v="6.8792967771418638"/>
    <n v="2"/>
    <n v="16"/>
    <n v="1.2"/>
    <n v="8.2551561325702369"/>
    <n v="7.7448438674297631"/>
    <m/>
    <x v="1"/>
  </r>
  <r>
    <x v="2"/>
    <x v="11"/>
    <n v="12.546249031472918"/>
    <n v="7"/>
    <n v="56"/>
    <n v="1.2"/>
    <n v="15.055498837767502"/>
    <n v="40.944501162232498"/>
    <m/>
    <x v="1"/>
  </r>
  <r>
    <x v="2"/>
    <x v="8"/>
    <n v="6.617034960713724"/>
    <n v="3"/>
    <n v="24"/>
    <n v="1.2"/>
    <n v="7.9404419528564683"/>
    <n v="16.059558047143533"/>
    <m/>
    <x v="1"/>
  </r>
  <r>
    <x v="2"/>
    <x v="10"/>
    <n v="6.4403005424347253"/>
    <n v="3"/>
    <n v="24"/>
    <n v="1.2"/>
    <n v="7.7283606509216698"/>
    <n v="16.271639349078331"/>
    <m/>
    <x v="1"/>
  </r>
  <r>
    <x v="2"/>
    <x v="7"/>
    <n v="14.232876473871791"/>
    <n v="4"/>
    <n v="32"/>
    <n v="1.2"/>
    <n v="17.079451768646148"/>
    <n v="14.920548231353852"/>
    <m/>
    <x v="1"/>
  </r>
  <r>
    <x v="2"/>
    <x v="9"/>
    <n v="15.406746391557455"/>
    <n v="8"/>
    <n v="64"/>
    <n v="1.2"/>
    <n v="18.488095669868944"/>
    <n v="45.51190433013106"/>
    <m/>
    <x v="1"/>
  </r>
  <r>
    <x v="2"/>
    <x v="8"/>
    <n v="2.5537872736038492"/>
    <n v="1"/>
    <n v="8"/>
    <n v="1.2"/>
    <n v="3.064544728324619"/>
    <n v="4.935455271675381"/>
    <m/>
    <x v="1"/>
  </r>
  <r>
    <x v="2"/>
    <x v="13"/>
    <n v="10.626476485641874"/>
    <n v="4"/>
    <n v="32"/>
    <n v="1.2"/>
    <n v="12.751771782770248"/>
    <n v="19.248228217229752"/>
    <m/>
    <x v="1"/>
  </r>
  <r>
    <x v="2"/>
    <x v="9"/>
    <n v="11.862160222110383"/>
    <n v="6"/>
    <n v="48"/>
    <n v="1.2"/>
    <n v="14.234592266532459"/>
    <n v="33.765407733467541"/>
    <m/>
    <x v="1"/>
  </r>
  <r>
    <x v="2"/>
    <x v="10"/>
    <n v="11.620385001658114"/>
    <n v="3"/>
    <n v="24"/>
    <n v="1.2"/>
    <n v="13.944462001989736"/>
    <n v="10.05553799801026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87EB0-5339-4C65-AECF-9EC199EAB0C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8" firstHeaderRow="0" firstDataRow="1" firstDataCol="1" rowPageCount="2" colPageCount="1"/>
  <pivotFields count="10">
    <pivotField axis="axisRow" showAll="0">
      <items count="4">
        <item x="0"/>
        <item x="1"/>
        <item x="2"/>
        <item t="default"/>
      </items>
    </pivotField>
    <pivotField axis="axisPage" numFmtId="14" showAll="0">
      <items count="15">
        <item x="1"/>
        <item x="6"/>
        <item x="2"/>
        <item x="0"/>
        <item x="4"/>
        <item x="5"/>
        <item x="3"/>
        <item x="11"/>
        <item x="10"/>
        <item x="9"/>
        <item x="7"/>
        <item x="13"/>
        <item x="12"/>
        <item x="8"/>
        <item t="default"/>
      </items>
    </pivotField>
    <pivotField dataField="1" numFmtId="2" showAll="0"/>
    <pivotField dataField="1" showAll="0"/>
    <pivotField dataField="1" showAll="0"/>
    <pivotField showAll="0"/>
    <pivotField dataField="1" numFmtId="2" showAll="0"/>
    <pivotField dataField="1" numFmtId="2" showAll="0"/>
    <pivotField showAll="0"/>
    <pivotField axis="axisPage" multipleItemSelectionAllowe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9" hier="-1"/>
  </pageFields>
  <dataFields count="6">
    <dataField name="Sum of Distance" fld="2" baseField="0" baseItem="0"/>
    <dataField name="Sum of Number of parcels" fld="3" baseField="0" baseItem="0"/>
    <dataField name="Sum of Выручка" fld="4" baseField="0" baseItem="0"/>
    <dataField name="Sum of Издержки" fld="6" baseField="0" baseItem="0"/>
    <dataField name="Sum of Прибыль" fld="7" baseField="0" baseItem="0"/>
    <dataField name="Count of Distance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324AC-416E-4E3B-B788-2492C3B11C4E}" name="Table1" displayName="Table1" ref="A1:J201" totalsRowCount="1" headerRowDxfId="13">
  <autoFilter ref="A1:J200" xr:uid="{AA0324AC-416E-4E3B-B788-2492C3B11C4E}"/>
  <sortState xmlns:xlrd2="http://schemas.microsoft.com/office/spreadsheetml/2017/richdata2" ref="A2:J200">
    <sortCondition ref="B1:B200"/>
  </sortState>
  <tableColumns count="10">
    <tableColumn id="1" xr3:uid="{4B7B1906-6D6A-4332-8EC4-5617F81FA645}" name="Client" totalsRowLabel="Total" dataDxfId="12">
      <calculatedColumnFormula>Delliveries!A2</calculatedColumnFormula>
    </tableColumn>
    <tableColumn id="2" xr3:uid="{7FC29B0E-B35E-4C2E-AFF7-A0F39BA28B94}" name="Week" dataDxfId="11">
      <calculatedColumnFormula>Delliveries!B2</calculatedColumnFormula>
    </tableColumn>
    <tableColumn id="3" xr3:uid="{6CC5BC32-A42D-4AB0-BA34-FBA1B8BFF705}" name="Distance" totalsRowFunction="sum" dataDxfId="10" totalsRowDxfId="9">
      <calculatedColumnFormula>Delliveries!C2</calculatedColumnFormula>
    </tableColumn>
    <tableColumn id="4" xr3:uid="{70CC7379-ACDC-448C-9E5F-EF2B15FBD225}" name="Number of parcels" totalsRowFunction="sum" dataDxfId="8">
      <calculatedColumnFormula>Delliveries!D2</calculatedColumnFormula>
    </tableColumn>
    <tableColumn id="5" xr3:uid="{6C8B11B8-C839-4005-9794-34BD66099110}" name="Выручка" totalsRowFunction="sum" dataDxfId="7">
      <calculatedColumnFormula>D2*_xlfn.XLOOKUP(A2,Tariff!A:A,Tariff!B:B)</calculatedColumnFormula>
    </tableColumn>
    <tableColumn id="6" xr3:uid="{C0356AFD-0FCD-4326-92CC-75B97672AB8D}" name="Courier price per km" dataDxfId="6">
      <calculatedColumnFormula>_xlfn.XLOOKUP($F$1,Tariff!A:A,Tariff!B:B)</calculatedColumnFormula>
    </tableColumn>
    <tableColumn id="7" xr3:uid="{3FB70B28-4B87-4569-BC74-9678E802A165}" name="Издержки" totalsRowFunction="sum" dataDxfId="5" totalsRowDxfId="4">
      <calculatedColumnFormula>F2*C2</calculatedColumnFormula>
    </tableColumn>
    <tableColumn id="8" xr3:uid="{0802132B-ED28-4241-9848-B338A62D676E}" name="Прибыль" totalsRowFunction="sum" dataDxfId="3" totalsRowDxfId="2">
      <calculatedColumnFormula>E2-G2</calculatedColumnFormula>
    </tableColumn>
    <tableColumn id="9" xr3:uid="{2882F627-03C6-40A6-88F9-A22EB1794654}" name="Take rate" totalsRowFunction="custom" totalsRowDxfId="1" totalsRowCellStyle="Percent">
      <totalsRowFormula>Table1[[#Totals],[Прибыль]]/Table1[[#Totals],[Выручка]]</totalsRowFormula>
    </tableColumn>
    <tableColumn id="10" xr3:uid="{4A7AF204-D0FA-4F2B-896A-CBBA430B05DB}" name="Номер недели" dataDxfId="0">
      <calculatedColumnFormula>WEEKNUM(B2,2)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0408-13D3-D24C-A2BC-3C8200818481}">
  <dimension ref="A1:B10"/>
  <sheetViews>
    <sheetView tabSelected="1" zoomScale="90" zoomScaleNormal="90" workbookViewId="0">
      <selection activeCell="H8" sqref="H8"/>
    </sheetView>
  </sheetViews>
  <sheetFormatPr defaultColWidth="11" defaultRowHeight="15.75" x14ac:dyDescent="0.25"/>
  <cols>
    <col min="1" max="1" width="13.625" customWidth="1"/>
  </cols>
  <sheetData>
    <row r="1" spans="1:2" x14ac:dyDescent="0.25">
      <c r="A1" t="s">
        <v>18</v>
      </c>
    </row>
    <row r="3" spans="1:2" x14ac:dyDescent="0.25">
      <c r="A3" t="s">
        <v>10</v>
      </c>
      <c r="B3" t="s">
        <v>11</v>
      </c>
    </row>
    <row r="4" spans="1:2" x14ac:dyDescent="0.25">
      <c r="A4" t="s">
        <v>12</v>
      </c>
      <c r="B4" t="s">
        <v>13</v>
      </c>
    </row>
    <row r="6" spans="1:2" x14ac:dyDescent="0.25">
      <c r="A6" t="s">
        <v>9</v>
      </c>
    </row>
    <row r="7" spans="1:2" x14ac:dyDescent="0.25">
      <c r="A7" t="s">
        <v>7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26B5-7EE2-6D45-93F6-E883019B692A}">
  <dimension ref="A1:D200"/>
  <sheetViews>
    <sheetView zoomScale="90" zoomScaleNormal="90" workbookViewId="0">
      <selection activeCell="H56" sqref="H56"/>
    </sheetView>
  </sheetViews>
  <sheetFormatPr defaultColWidth="11" defaultRowHeight="15.75" x14ac:dyDescent="0.25"/>
  <cols>
    <col min="2" max="2" width="10.875" style="1"/>
  </cols>
  <sheetData>
    <row r="1" spans="1:4" x14ac:dyDescent="0.25">
      <c r="A1" t="s">
        <v>0</v>
      </c>
      <c r="B1" s="1" t="s">
        <v>3</v>
      </c>
      <c r="C1" t="s">
        <v>1</v>
      </c>
      <c r="D1" t="s">
        <v>2</v>
      </c>
    </row>
    <row r="2" spans="1:4" x14ac:dyDescent="0.25">
      <c r="A2" t="s">
        <v>4</v>
      </c>
      <c r="B2" s="1">
        <v>45003</v>
      </c>
      <c r="C2" s="2">
        <v>0.83176422360608848</v>
      </c>
      <c r="D2">
        <v>1</v>
      </c>
    </row>
    <row r="3" spans="1:4" x14ac:dyDescent="0.25">
      <c r="A3" t="s">
        <v>4</v>
      </c>
      <c r="B3" s="1">
        <v>45001</v>
      </c>
      <c r="C3" s="2">
        <v>3.0666583850624285</v>
      </c>
      <c r="D3">
        <v>1</v>
      </c>
    </row>
    <row r="4" spans="1:4" x14ac:dyDescent="0.25">
      <c r="A4" t="s">
        <v>4</v>
      </c>
      <c r="B4" s="1">
        <v>45002</v>
      </c>
      <c r="C4" s="2">
        <v>3.0099844846859614</v>
      </c>
      <c r="D4">
        <v>1</v>
      </c>
    </row>
    <row r="5" spans="1:4" x14ac:dyDescent="0.25">
      <c r="A5" t="s">
        <v>4</v>
      </c>
      <c r="B5" s="1">
        <v>45008</v>
      </c>
      <c r="C5" s="2">
        <v>4.0917468177530179</v>
      </c>
      <c r="D5">
        <v>1</v>
      </c>
    </row>
    <row r="6" spans="1:4" x14ac:dyDescent="0.25">
      <c r="A6" t="s">
        <v>4</v>
      </c>
      <c r="B6" s="1">
        <v>45006</v>
      </c>
      <c r="C6" s="2">
        <v>1.0439021913421054</v>
      </c>
      <c r="D6">
        <v>1</v>
      </c>
    </row>
    <row r="7" spans="1:4" x14ac:dyDescent="0.25">
      <c r="A7" t="s">
        <v>4</v>
      </c>
      <c r="B7" s="1">
        <v>45005</v>
      </c>
      <c r="C7" s="2">
        <v>2.4127430707931175</v>
      </c>
      <c r="D7">
        <v>1</v>
      </c>
    </row>
    <row r="8" spans="1:4" x14ac:dyDescent="0.25">
      <c r="A8" t="s">
        <v>4</v>
      </c>
      <c r="B8" s="1">
        <v>45006</v>
      </c>
      <c r="C8" s="2">
        <v>3.5299482481573694</v>
      </c>
      <c r="D8">
        <v>1</v>
      </c>
    </row>
    <row r="9" spans="1:4" x14ac:dyDescent="0.25">
      <c r="A9" t="s">
        <v>4</v>
      </c>
      <c r="B9" s="1">
        <v>45011</v>
      </c>
      <c r="C9" s="2">
        <v>1.6727632483099164</v>
      </c>
      <c r="D9">
        <v>1</v>
      </c>
    </row>
    <row r="10" spans="1:4" x14ac:dyDescent="0.25">
      <c r="A10" t="s">
        <v>4</v>
      </c>
      <c r="B10" s="1">
        <v>45005</v>
      </c>
      <c r="C10" s="2">
        <v>5.3849890069395112E-2</v>
      </c>
      <c r="D10">
        <v>1</v>
      </c>
    </row>
    <row r="11" spans="1:4" x14ac:dyDescent="0.25">
      <c r="A11" t="s">
        <v>4</v>
      </c>
      <c r="B11" s="1">
        <v>45009</v>
      </c>
      <c r="C11" s="2">
        <v>4.834282742267213</v>
      </c>
      <c r="D11">
        <v>1</v>
      </c>
    </row>
    <row r="12" spans="1:4" x14ac:dyDescent="0.25">
      <c r="A12" t="s">
        <v>4</v>
      </c>
      <c r="B12" s="1">
        <v>45007</v>
      </c>
      <c r="C12" s="2">
        <v>0.12924651172283697</v>
      </c>
      <c r="D12">
        <v>1</v>
      </c>
    </row>
    <row r="13" spans="1:4" x14ac:dyDescent="0.25">
      <c r="A13" t="s">
        <v>4</v>
      </c>
      <c r="B13" s="1">
        <v>45007</v>
      </c>
      <c r="C13" s="2">
        <v>2.4509397676338485</v>
      </c>
      <c r="D13">
        <v>1</v>
      </c>
    </row>
    <row r="14" spans="1:4" x14ac:dyDescent="0.25">
      <c r="A14" t="s">
        <v>4</v>
      </c>
      <c r="B14" s="1">
        <v>45009</v>
      </c>
      <c r="C14" s="2">
        <v>2.5900734689676872</v>
      </c>
      <c r="D14">
        <v>1</v>
      </c>
    </row>
    <row r="15" spans="1:4" x14ac:dyDescent="0.25">
      <c r="A15" t="s">
        <v>4</v>
      </c>
      <c r="B15" s="1">
        <v>44998</v>
      </c>
      <c r="C15" s="2">
        <v>4.2014918368162597</v>
      </c>
      <c r="D15">
        <v>2</v>
      </c>
    </row>
    <row r="16" spans="1:4" x14ac:dyDescent="0.25">
      <c r="A16" t="s">
        <v>4</v>
      </c>
      <c r="B16" s="1">
        <v>45000</v>
      </c>
      <c r="C16" s="2">
        <v>3.3894242984271994</v>
      </c>
      <c r="D16">
        <v>2</v>
      </c>
    </row>
    <row r="17" spans="1:4" x14ac:dyDescent="0.25">
      <c r="A17" t="s">
        <v>4</v>
      </c>
      <c r="B17" s="1">
        <v>45000</v>
      </c>
      <c r="C17" s="2">
        <v>7.7441507034849018</v>
      </c>
      <c r="D17">
        <v>2</v>
      </c>
    </row>
    <row r="18" spans="1:4" x14ac:dyDescent="0.25">
      <c r="A18" t="s">
        <v>4</v>
      </c>
      <c r="B18" s="1">
        <v>45002</v>
      </c>
      <c r="C18" s="2">
        <v>9.6427513837564973</v>
      </c>
      <c r="D18">
        <v>2</v>
      </c>
    </row>
    <row r="19" spans="1:4" x14ac:dyDescent="0.25">
      <c r="A19" t="s">
        <v>4</v>
      </c>
      <c r="B19" s="1">
        <v>45002</v>
      </c>
      <c r="C19" s="2">
        <v>6.6372323616755535</v>
      </c>
      <c r="D19">
        <v>2</v>
      </c>
    </row>
    <row r="20" spans="1:4" x14ac:dyDescent="0.25">
      <c r="A20" t="s">
        <v>4</v>
      </c>
      <c r="B20" s="1">
        <v>45008</v>
      </c>
      <c r="C20" s="2">
        <v>5.4549218935815924</v>
      </c>
      <c r="D20">
        <v>2</v>
      </c>
    </row>
    <row r="21" spans="1:4" x14ac:dyDescent="0.25">
      <c r="A21" t="s">
        <v>4</v>
      </c>
      <c r="B21" s="1">
        <v>45009</v>
      </c>
      <c r="C21" s="2">
        <v>9.9285802706201594</v>
      </c>
      <c r="D21">
        <v>2</v>
      </c>
    </row>
    <row r="22" spans="1:4" x14ac:dyDescent="0.25">
      <c r="A22" t="s">
        <v>4</v>
      </c>
      <c r="B22" s="1">
        <v>45001</v>
      </c>
      <c r="C22" s="2">
        <v>10.017111884576135</v>
      </c>
      <c r="D22">
        <v>3</v>
      </c>
    </row>
    <row r="23" spans="1:4" x14ac:dyDescent="0.25">
      <c r="A23" t="s">
        <v>4</v>
      </c>
      <c r="B23" s="1">
        <v>45000</v>
      </c>
      <c r="C23" s="2">
        <v>6.2834810994938834</v>
      </c>
      <c r="D23">
        <v>3</v>
      </c>
    </row>
    <row r="24" spans="1:4" x14ac:dyDescent="0.25">
      <c r="A24" t="s">
        <v>4</v>
      </c>
      <c r="B24" s="1">
        <v>45004</v>
      </c>
      <c r="C24" s="2">
        <v>8.1755799017177004</v>
      </c>
      <c r="D24">
        <v>3</v>
      </c>
    </row>
    <row r="25" spans="1:4" x14ac:dyDescent="0.25">
      <c r="A25" t="s">
        <v>4</v>
      </c>
      <c r="B25" s="1">
        <v>45006</v>
      </c>
      <c r="C25" s="2">
        <v>10.346843791769839</v>
      </c>
      <c r="D25">
        <v>3</v>
      </c>
    </row>
    <row r="26" spans="1:4" x14ac:dyDescent="0.25">
      <c r="A26" t="s">
        <v>4</v>
      </c>
      <c r="B26" s="1">
        <v>45008</v>
      </c>
      <c r="C26" s="2">
        <v>6.4727667613784865</v>
      </c>
      <c r="D26">
        <v>3</v>
      </c>
    </row>
    <row r="27" spans="1:4" x14ac:dyDescent="0.25">
      <c r="A27" t="s">
        <v>4</v>
      </c>
      <c r="B27" s="1">
        <v>45008</v>
      </c>
      <c r="C27" s="2">
        <v>13.20610278047663</v>
      </c>
      <c r="D27">
        <v>3</v>
      </c>
    </row>
    <row r="28" spans="1:4" x14ac:dyDescent="0.25">
      <c r="A28" t="s">
        <v>4</v>
      </c>
      <c r="B28" s="1">
        <v>45011</v>
      </c>
      <c r="C28" s="2">
        <v>10.739612601719241</v>
      </c>
      <c r="D28">
        <v>3</v>
      </c>
    </row>
    <row r="29" spans="1:4" x14ac:dyDescent="0.25">
      <c r="A29" t="s">
        <v>4</v>
      </c>
      <c r="B29" s="1">
        <v>45007</v>
      </c>
      <c r="C29" s="2">
        <v>10.125624318901643</v>
      </c>
      <c r="D29">
        <v>3</v>
      </c>
    </row>
    <row r="30" spans="1:4" x14ac:dyDescent="0.25">
      <c r="A30" t="s">
        <v>4</v>
      </c>
      <c r="B30" s="1">
        <v>45006</v>
      </c>
      <c r="C30" s="2">
        <v>10.521135925408039</v>
      </c>
      <c r="D30">
        <v>3</v>
      </c>
    </row>
    <row r="31" spans="1:4" x14ac:dyDescent="0.25">
      <c r="A31" t="s">
        <v>4</v>
      </c>
      <c r="B31" s="1">
        <v>45008</v>
      </c>
      <c r="C31" s="2">
        <v>9.0833259953624506</v>
      </c>
      <c r="D31">
        <v>3</v>
      </c>
    </row>
    <row r="32" spans="1:4" x14ac:dyDescent="0.25">
      <c r="A32" t="s">
        <v>4</v>
      </c>
      <c r="B32" s="1">
        <v>45001</v>
      </c>
      <c r="C32" s="2">
        <v>6.4111274407611525</v>
      </c>
      <c r="D32">
        <v>4</v>
      </c>
    </row>
    <row r="33" spans="1:4" x14ac:dyDescent="0.25">
      <c r="A33" t="s">
        <v>4</v>
      </c>
      <c r="B33" s="1">
        <v>45007</v>
      </c>
      <c r="C33" s="2">
        <v>16.350785486855372</v>
      </c>
      <c r="D33">
        <v>4</v>
      </c>
    </row>
    <row r="34" spans="1:4" x14ac:dyDescent="0.25">
      <c r="A34" t="s">
        <v>4</v>
      </c>
      <c r="B34" s="1">
        <v>45008</v>
      </c>
      <c r="C34" s="2">
        <v>19.681851081725373</v>
      </c>
      <c r="D34">
        <v>4</v>
      </c>
    </row>
    <row r="35" spans="1:4" x14ac:dyDescent="0.25">
      <c r="A35" t="s">
        <v>4</v>
      </c>
      <c r="B35" s="1">
        <v>45005</v>
      </c>
      <c r="C35" s="2">
        <v>9.559175462131817</v>
      </c>
      <c r="D35">
        <v>4</v>
      </c>
    </row>
    <row r="36" spans="1:4" x14ac:dyDescent="0.25">
      <c r="A36" t="s">
        <v>4</v>
      </c>
      <c r="B36" s="1">
        <v>45008</v>
      </c>
      <c r="C36" s="2">
        <v>15.12240767598623</v>
      </c>
      <c r="D36">
        <v>4</v>
      </c>
    </row>
    <row r="37" spans="1:4" x14ac:dyDescent="0.25">
      <c r="A37" t="s">
        <v>4</v>
      </c>
      <c r="B37" s="1">
        <v>44998</v>
      </c>
      <c r="C37" s="2">
        <v>16.400595573017124</v>
      </c>
      <c r="D37">
        <v>5</v>
      </c>
    </row>
    <row r="38" spans="1:4" x14ac:dyDescent="0.25">
      <c r="A38" t="s">
        <v>4</v>
      </c>
      <c r="B38" s="1">
        <v>45004</v>
      </c>
      <c r="C38" s="2">
        <v>17.016627711798893</v>
      </c>
      <c r="D38">
        <v>5</v>
      </c>
    </row>
    <row r="39" spans="1:4" x14ac:dyDescent="0.25">
      <c r="A39" t="s">
        <v>4</v>
      </c>
      <c r="B39" s="1">
        <v>45003</v>
      </c>
      <c r="C39" s="2">
        <v>13.355342540009001</v>
      </c>
      <c r="D39">
        <v>5</v>
      </c>
    </row>
    <row r="40" spans="1:4" x14ac:dyDescent="0.25">
      <c r="A40" t="s">
        <v>4</v>
      </c>
      <c r="B40" s="1">
        <v>45005</v>
      </c>
      <c r="C40" s="2">
        <v>14.028063246803807</v>
      </c>
      <c r="D40">
        <v>5</v>
      </c>
    </row>
    <row r="41" spans="1:4" x14ac:dyDescent="0.25">
      <c r="A41" t="s">
        <v>4</v>
      </c>
      <c r="B41" s="1">
        <v>45009</v>
      </c>
      <c r="C41" s="2">
        <v>17.497459170800301</v>
      </c>
      <c r="D41">
        <v>5</v>
      </c>
    </row>
    <row r="42" spans="1:4" x14ac:dyDescent="0.25">
      <c r="A42" t="s">
        <v>4</v>
      </c>
      <c r="B42" s="1">
        <v>45009</v>
      </c>
      <c r="C42" s="2">
        <v>14.520932447790965</v>
      </c>
      <c r="D42">
        <v>5</v>
      </c>
    </row>
    <row r="43" spans="1:4" x14ac:dyDescent="0.25">
      <c r="A43" t="s">
        <v>4</v>
      </c>
      <c r="B43" s="1">
        <v>45008</v>
      </c>
      <c r="C43" s="2">
        <v>20.318972028693903</v>
      </c>
      <c r="D43">
        <v>5</v>
      </c>
    </row>
    <row r="44" spans="1:4" x14ac:dyDescent="0.25">
      <c r="A44" t="s">
        <v>4</v>
      </c>
      <c r="B44" s="1">
        <v>45011</v>
      </c>
      <c r="C44" s="2">
        <v>13.260503805286257</v>
      </c>
      <c r="D44">
        <v>5</v>
      </c>
    </row>
    <row r="45" spans="1:4" x14ac:dyDescent="0.25">
      <c r="A45" t="s">
        <v>4</v>
      </c>
      <c r="B45" s="1">
        <v>45002</v>
      </c>
      <c r="C45" s="2">
        <v>16.332418093901083</v>
      </c>
      <c r="D45">
        <v>6</v>
      </c>
    </row>
    <row r="46" spans="1:4" x14ac:dyDescent="0.25">
      <c r="A46" t="s">
        <v>4</v>
      </c>
      <c r="B46" s="1">
        <v>45005</v>
      </c>
      <c r="C46" s="2">
        <v>27.897831390325074</v>
      </c>
      <c r="D46">
        <v>6</v>
      </c>
    </row>
    <row r="47" spans="1:4" x14ac:dyDescent="0.25">
      <c r="A47" t="s">
        <v>4</v>
      </c>
      <c r="B47" s="1">
        <v>45005</v>
      </c>
      <c r="C47" s="2">
        <v>22.945586128722276</v>
      </c>
      <c r="D47">
        <v>6</v>
      </c>
    </row>
    <row r="48" spans="1:4" x14ac:dyDescent="0.25">
      <c r="A48" t="s">
        <v>4</v>
      </c>
      <c r="B48" s="1">
        <v>45005</v>
      </c>
      <c r="C48" s="2">
        <v>24.467985056954483</v>
      </c>
      <c r="D48">
        <v>7</v>
      </c>
    </row>
    <row r="49" spans="1:4" x14ac:dyDescent="0.25">
      <c r="A49" t="s">
        <v>4</v>
      </c>
      <c r="B49" s="1">
        <v>45005</v>
      </c>
      <c r="C49" s="2">
        <v>26.925756601927986</v>
      </c>
      <c r="D49">
        <v>7</v>
      </c>
    </row>
    <row r="50" spans="1:4" x14ac:dyDescent="0.25">
      <c r="A50" t="s">
        <v>4</v>
      </c>
      <c r="B50" s="1">
        <v>45007</v>
      </c>
      <c r="C50" s="2">
        <v>26.068116060132159</v>
      </c>
      <c r="D50">
        <v>7</v>
      </c>
    </row>
    <row r="51" spans="1:4" x14ac:dyDescent="0.25">
      <c r="A51" t="s">
        <v>4</v>
      </c>
      <c r="B51" s="1">
        <v>45006</v>
      </c>
      <c r="C51" s="2">
        <v>25.63865355779533</v>
      </c>
      <c r="D51">
        <v>7</v>
      </c>
    </row>
    <row r="52" spans="1:4" x14ac:dyDescent="0.25">
      <c r="A52" t="s">
        <v>4</v>
      </c>
      <c r="B52" s="1">
        <v>45008</v>
      </c>
      <c r="C52" s="2">
        <v>20.245477700435419</v>
      </c>
      <c r="D52">
        <v>7</v>
      </c>
    </row>
    <row r="53" spans="1:4" x14ac:dyDescent="0.25">
      <c r="A53" t="s">
        <v>4</v>
      </c>
      <c r="B53" s="1">
        <v>45011</v>
      </c>
      <c r="C53" s="2">
        <v>28.060224768525035</v>
      </c>
      <c r="D53">
        <v>8</v>
      </c>
    </row>
    <row r="54" spans="1:4" x14ac:dyDescent="0.25">
      <c r="A54" t="s">
        <v>4</v>
      </c>
      <c r="B54" s="1">
        <v>45010</v>
      </c>
      <c r="C54" s="2">
        <v>29.627406353538682</v>
      </c>
      <c r="D54">
        <v>8</v>
      </c>
    </row>
    <row r="55" spans="1:4" x14ac:dyDescent="0.25">
      <c r="A55" t="s">
        <v>4</v>
      </c>
      <c r="B55" s="1">
        <v>45010</v>
      </c>
      <c r="C55" s="2">
        <v>29.793031010863945</v>
      </c>
      <c r="D55">
        <v>8</v>
      </c>
    </row>
    <row r="56" spans="1:4" x14ac:dyDescent="0.25">
      <c r="A56" t="s">
        <v>4</v>
      </c>
      <c r="B56" s="1">
        <v>45010</v>
      </c>
      <c r="C56" s="2">
        <v>22.894292964084954</v>
      </c>
      <c r="D56">
        <v>8</v>
      </c>
    </row>
    <row r="57" spans="1:4" x14ac:dyDescent="0.25">
      <c r="A57" t="s">
        <v>4</v>
      </c>
      <c r="B57" s="1">
        <v>45011</v>
      </c>
      <c r="C57" s="2">
        <v>22.91642103186733</v>
      </c>
      <c r="D57">
        <v>8</v>
      </c>
    </row>
    <row r="58" spans="1:4" x14ac:dyDescent="0.25">
      <c r="A58" t="s">
        <v>4</v>
      </c>
      <c r="B58" s="1">
        <v>45003</v>
      </c>
      <c r="C58" s="2">
        <v>16.642830135390373</v>
      </c>
      <c r="D58">
        <v>9</v>
      </c>
    </row>
    <row r="59" spans="1:4" x14ac:dyDescent="0.25">
      <c r="A59" t="s">
        <v>4</v>
      </c>
      <c r="B59" s="1">
        <v>45008</v>
      </c>
      <c r="C59" s="2">
        <v>25.907506815645643</v>
      </c>
      <c r="D59">
        <v>9</v>
      </c>
    </row>
    <row r="60" spans="1:4" x14ac:dyDescent="0.25">
      <c r="A60" t="s">
        <v>4</v>
      </c>
      <c r="B60" s="1">
        <v>45008</v>
      </c>
      <c r="C60" s="2">
        <v>25.247088912072012</v>
      </c>
      <c r="D60">
        <v>9</v>
      </c>
    </row>
    <row r="61" spans="1:4" x14ac:dyDescent="0.25">
      <c r="A61" t="s">
        <v>4</v>
      </c>
      <c r="B61" s="1">
        <v>45000</v>
      </c>
      <c r="C61" s="2">
        <v>19.47772112806787</v>
      </c>
      <c r="D61">
        <v>10</v>
      </c>
    </row>
    <row r="62" spans="1:4" x14ac:dyDescent="0.25">
      <c r="A62" t="s">
        <v>4</v>
      </c>
      <c r="B62" s="1">
        <v>45002</v>
      </c>
      <c r="C62" s="2">
        <v>18.843724836286345</v>
      </c>
      <c r="D62">
        <v>10</v>
      </c>
    </row>
    <row r="63" spans="1:4" x14ac:dyDescent="0.25">
      <c r="A63" t="s">
        <v>4</v>
      </c>
      <c r="B63" s="1">
        <v>45007</v>
      </c>
      <c r="C63" s="2">
        <v>28.677089312435093</v>
      </c>
      <c r="D63">
        <v>10</v>
      </c>
    </row>
    <row r="64" spans="1:4" x14ac:dyDescent="0.25">
      <c r="A64" t="s">
        <v>5</v>
      </c>
      <c r="B64" s="1">
        <v>45001</v>
      </c>
      <c r="C64" s="2">
        <v>2.5890294338822284</v>
      </c>
      <c r="D64">
        <v>1</v>
      </c>
    </row>
    <row r="65" spans="1:4" x14ac:dyDescent="0.25">
      <c r="A65" t="s">
        <v>5</v>
      </c>
      <c r="B65" s="1">
        <v>45004</v>
      </c>
      <c r="C65" s="2">
        <v>0.88845700174610798</v>
      </c>
      <c r="D65">
        <v>1</v>
      </c>
    </row>
    <row r="66" spans="1:4" x14ac:dyDescent="0.25">
      <c r="A66" t="s">
        <v>5</v>
      </c>
      <c r="B66" s="1">
        <v>44999</v>
      </c>
      <c r="C66" s="2">
        <v>1.2352076543445967</v>
      </c>
      <c r="D66">
        <v>1</v>
      </c>
    </row>
    <row r="67" spans="1:4" x14ac:dyDescent="0.25">
      <c r="A67" t="s">
        <v>5</v>
      </c>
      <c r="B67" s="1">
        <v>45004</v>
      </c>
      <c r="C67" s="2">
        <v>1.5468261233017078</v>
      </c>
      <c r="D67">
        <v>1</v>
      </c>
    </row>
    <row r="68" spans="1:4" x14ac:dyDescent="0.25">
      <c r="A68" t="s">
        <v>5</v>
      </c>
      <c r="B68" s="1">
        <v>45004</v>
      </c>
      <c r="C68" s="2">
        <v>2.1865040509110778</v>
      </c>
      <c r="D68">
        <v>1</v>
      </c>
    </row>
    <row r="69" spans="1:4" x14ac:dyDescent="0.25">
      <c r="A69" t="s">
        <v>5</v>
      </c>
      <c r="B69" s="1">
        <v>45001</v>
      </c>
      <c r="C69" s="2">
        <v>1.4198185559092025</v>
      </c>
      <c r="D69">
        <v>1</v>
      </c>
    </row>
    <row r="70" spans="1:4" x14ac:dyDescent="0.25">
      <c r="A70" t="s">
        <v>5</v>
      </c>
      <c r="B70" s="1">
        <v>44999</v>
      </c>
      <c r="C70" s="2">
        <v>2.9992934195496823</v>
      </c>
      <c r="D70">
        <v>1</v>
      </c>
    </row>
    <row r="71" spans="1:4" x14ac:dyDescent="0.25">
      <c r="A71" t="s">
        <v>5</v>
      </c>
      <c r="B71" s="1">
        <v>45000</v>
      </c>
      <c r="C71" s="2">
        <v>0.23978501591510604</v>
      </c>
      <c r="D71">
        <v>1</v>
      </c>
    </row>
    <row r="72" spans="1:4" x14ac:dyDescent="0.25">
      <c r="A72" t="s">
        <v>5</v>
      </c>
      <c r="B72" s="1">
        <v>45010</v>
      </c>
      <c r="C72" s="2">
        <v>3.8479090012867156</v>
      </c>
      <c r="D72">
        <v>1</v>
      </c>
    </row>
    <row r="73" spans="1:4" x14ac:dyDescent="0.25">
      <c r="A73" t="s">
        <v>5</v>
      </c>
      <c r="B73" s="1">
        <v>45009</v>
      </c>
      <c r="C73" s="2">
        <v>1.4670677100150287</v>
      </c>
      <c r="D73">
        <v>1</v>
      </c>
    </row>
    <row r="74" spans="1:4" x14ac:dyDescent="0.25">
      <c r="A74" t="s">
        <v>5</v>
      </c>
      <c r="B74" s="1">
        <v>45010</v>
      </c>
      <c r="C74" s="2">
        <v>4.2070841460502262</v>
      </c>
      <c r="D74">
        <v>1</v>
      </c>
    </row>
    <row r="75" spans="1:4" x14ac:dyDescent="0.25">
      <c r="A75" t="s">
        <v>5</v>
      </c>
      <c r="B75" s="1">
        <v>45007</v>
      </c>
      <c r="C75" s="2">
        <v>1.4264867706698015</v>
      </c>
      <c r="D75">
        <v>1</v>
      </c>
    </row>
    <row r="76" spans="1:4" x14ac:dyDescent="0.25">
      <c r="A76" t="s">
        <v>5</v>
      </c>
      <c r="B76" s="1">
        <v>45010</v>
      </c>
      <c r="C76" s="2">
        <v>1.302465490160376</v>
      </c>
      <c r="D76">
        <v>1</v>
      </c>
    </row>
    <row r="77" spans="1:4" x14ac:dyDescent="0.25">
      <c r="A77" t="s">
        <v>5</v>
      </c>
      <c r="B77" s="1">
        <v>45010</v>
      </c>
      <c r="C77" s="2">
        <v>0.60678610344665707</v>
      </c>
      <c r="D77">
        <v>1</v>
      </c>
    </row>
    <row r="78" spans="1:4" x14ac:dyDescent="0.25">
      <c r="A78" t="s">
        <v>5</v>
      </c>
      <c r="B78" s="1">
        <v>45010</v>
      </c>
      <c r="C78" s="2">
        <v>1.5609732187168879</v>
      </c>
      <c r="D78">
        <v>1</v>
      </c>
    </row>
    <row r="79" spans="1:4" x14ac:dyDescent="0.25">
      <c r="A79" t="s">
        <v>5</v>
      </c>
      <c r="B79" s="1">
        <v>45007</v>
      </c>
      <c r="C79" s="2">
        <v>0.34980702567788402</v>
      </c>
      <c r="D79">
        <v>1</v>
      </c>
    </row>
    <row r="80" spans="1:4" x14ac:dyDescent="0.25">
      <c r="A80" t="s">
        <v>5</v>
      </c>
      <c r="B80" s="1">
        <v>45007</v>
      </c>
      <c r="C80" s="2">
        <v>2.0858090894447168</v>
      </c>
      <c r="D80">
        <v>1</v>
      </c>
    </row>
    <row r="81" spans="1:4" x14ac:dyDescent="0.25">
      <c r="A81" t="s">
        <v>5</v>
      </c>
      <c r="B81" s="1">
        <v>45006</v>
      </c>
      <c r="C81" s="2">
        <v>2.6896989368812196</v>
      </c>
      <c r="D81">
        <v>1</v>
      </c>
    </row>
    <row r="82" spans="1:4" x14ac:dyDescent="0.25">
      <c r="A82" t="s">
        <v>5</v>
      </c>
      <c r="B82" s="1">
        <v>45006</v>
      </c>
      <c r="C82" s="2">
        <v>0.71485160665790026</v>
      </c>
      <c r="D82">
        <v>1</v>
      </c>
    </row>
    <row r="83" spans="1:4" x14ac:dyDescent="0.25">
      <c r="A83" t="s">
        <v>5</v>
      </c>
      <c r="B83" s="1">
        <v>45009</v>
      </c>
      <c r="C83" s="2">
        <v>2.8581073368025112</v>
      </c>
      <c r="D83">
        <v>1</v>
      </c>
    </row>
    <row r="84" spans="1:4" x14ac:dyDescent="0.25">
      <c r="A84" t="s">
        <v>5</v>
      </c>
      <c r="B84" s="1">
        <v>45008</v>
      </c>
      <c r="C84" s="2">
        <v>0.66975345630943872</v>
      </c>
      <c r="D84">
        <v>1</v>
      </c>
    </row>
    <row r="85" spans="1:4" x14ac:dyDescent="0.25">
      <c r="A85" t="s">
        <v>5</v>
      </c>
      <c r="B85" s="1">
        <v>45002</v>
      </c>
      <c r="C85" s="2">
        <v>2.8728926968904123</v>
      </c>
      <c r="D85">
        <v>2</v>
      </c>
    </row>
    <row r="86" spans="1:4" x14ac:dyDescent="0.25">
      <c r="A86" t="s">
        <v>5</v>
      </c>
      <c r="B86" s="1">
        <v>45004</v>
      </c>
      <c r="C86" s="2">
        <v>5.0361493993679085</v>
      </c>
      <c r="D86">
        <v>2</v>
      </c>
    </row>
    <row r="87" spans="1:4" x14ac:dyDescent="0.25">
      <c r="A87" t="s">
        <v>5</v>
      </c>
      <c r="B87" s="1">
        <v>45003</v>
      </c>
      <c r="C87" s="2">
        <v>7.4368938994801308</v>
      </c>
      <c r="D87">
        <v>2</v>
      </c>
    </row>
    <row r="88" spans="1:4" x14ac:dyDescent="0.25">
      <c r="A88" t="s">
        <v>5</v>
      </c>
      <c r="B88" s="1">
        <v>45002</v>
      </c>
      <c r="C88" s="2">
        <v>5.7926446689944333</v>
      </c>
      <c r="D88">
        <v>2</v>
      </c>
    </row>
    <row r="89" spans="1:4" x14ac:dyDescent="0.25">
      <c r="A89" t="s">
        <v>5</v>
      </c>
      <c r="B89" s="1">
        <v>44999</v>
      </c>
      <c r="C89" s="2">
        <v>4.9399996343679327</v>
      </c>
      <c r="D89">
        <v>2</v>
      </c>
    </row>
    <row r="90" spans="1:4" x14ac:dyDescent="0.25">
      <c r="A90" t="s">
        <v>5</v>
      </c>
      <c r="B90" s="1">
        <v>45000</v>
      </c>
      <c r="C90" s="2">
        <v>7.4718449963704074</v>
      </c>
      <c r="D90">
        <v>2</v>
      </c>
    </row>
    <row r="91" spans="1:4" x14ac:dyDescent="0.25">
      <c r="A91" t="s">
        <v>5</v>
      </c>
      <c r="B91" s="1">
        <v>45006</v>
      </c>
      <c r="C91" s="2">
        <v>4.0661562586286992</v>
      </c>
      <c r="D91">
        <v>2</v>
      </c>
    </row>
    <row r="92" spans="1:4" x14ac:dyDescent="0.25">
      <c r="A92" t="s">
        <v>5</v>
      </c>
      <c r="B92" s="1">
        <v>45009</v>
      </c>
      <c r="C92" s="2">
        <v>5.2520674460894696</v>
      </c>
      <c r="D92">
        <v>2</v>
      </c>
    </row>
    <row r="93" spans="1:4" x14ac:dyDescent="0.25">
      <c r="A93" t="s">
        <v>5</v>
      </c>
      <c r="B93" s="1">
        <v>45007</v>
      </c>
      <c r="C93" s="2">
        <v>5.6142337270206006</v>
      </c>
      <c r="D93">
        <v>2</v>
      </c>
    </row>
    <row r="94" spans="1:4" x14ac:dyDescent="0.25">
      <c r="A94" t="s">
        <v>5</v>
      </c>
      <c r="B94" s="1">
        <v>45006</v>
      </c>
      <c r="C94" s="2">
        <v>2.0719171586867757</v>
      </c>
      <c r="D94">
        <v>2</v>
      </c>
    </row>
    <row r="95" spans="1:4" x14ac:dyDescent="0.25">
      <c r="A95" t="s">
        <v>5</v>
      </c>
      <c r="B95" s="1">
        <v>45008</v>
      </c>
      <c r="C95" s="2">
        <v>6.5628238931565246</v>
      </c>
      <c r="D95">
        <v>2</v>
      </c>
    </row>
    <row r="96" spans="1:4" x14ac:dyDescent="0.25">
      <c r="A96" t="s">
        <v>5</v>
      </c>
      <c r="B96" s="1">
        <v>45005</v>
      </c>
      <c r="C96" s="2">
        <v>7.4138204785652313</v>
      </c>
      <c r="D96">
        <v>2</v>
      </c>
    </row>
    <row r="97" spans="1:4" x14ac:dyDescent="0.25">
      <c r="A97" t="s">
        <v>5</v>
      </c>
      <c r="B97" s="1">
        <v>45010</v>
      </c>
      <c r="C97" s="2">
        <v>2.2936434246027715</v>
      </c>
      <c r="D97">
        <v>2</v>
      </c>
    </row>
    <row r="98" spans="1:4" x14ac:dyDescent="0.25">
      <c r="A98" t="s">
        <v>5</v>
      </c>
      <c r="B98" s="1">
        <v>44999</v>
      </c>
      <c r="C98" s="2">
        <v>7.4434787031997152</v>
      </c>
      <c r="D98">
        <v>3</v>
      </c>
    </row>
    <row r="99" spans="1:4" x14ac:dyDescent="0.25">
      <c r="A99" t="s">
        <v>5</v>
      </c>
      <c r="B99" s="1">
        <v>45000</v>
      </c>
      <c r="C99" s="2">
        <v>5.8968485879308297</v>
      </c>
      <c r="D99">
        <v>3</v>
      </c>
    </row>
    <row r="100" spans="1:4" x14ac:dyDescent="0.25">
      <c r="A100" t="s">
        <v>5</v>
      </c>
      <c r="B100" s="1">
        <v>45004</v>
      </c>
      <c r="C100" s="2">
        <v>8.7520614314716028</v>
      </c>
      <c r="D100">
        <v>3</v>
      </c>
    </row>
    <row r="101" spans="1:4" x14ac:dyDescent="0.25">
      <c r="A101" t="s">
        <v>5</v>
      </c>
      <c r="B101" s="1">
        <v>45001</v>
      </c>
      <c r="C101" s="2">
        <v>10.895048345102914</v>
      </c>
      <c r="D101">
        <v>3</v>
      </c>
    </row>
    <row r="102" spans="1:4" x14ac:dyDescent="0.25">
      <c r="A102" t="s">
        <v>5</v>
      </c>
      <c r="B102" s="1">
        <v>45002</v>
      </c>
      <c r="C102" s="2">
        <v>8.1820607074814351</v>
      </c>
      <c r="D102">
        <v>3</v>
      </c>
    </row>
    <row r="103" spans="1:4" x14ac:dyDescent="0.25">
      <c r="A103" t="s">
        <v>5</v>
      </c>
      <c r="B103" s="1">
        <v>45002</v>
      </c>
      <c r="C103" s="2">
        <v>4.0683093240203601</v>
      </c>
      <c r="D103">
        <v>3</v>
      </c>
    </row>
    <row r="104" spans="1:4" x14ac:dyDescent="0.25">
      <c r="A104" t="s">
        <v>5</v>
      </c>
      <c r="B104" s="1">
        <v>44999</v>
      </c>
      <c r="C104" s="2">
        <v>9.010962752005474</v>
      </c>
      <c r="D104">
        <v>3</v>
      </c>
    </row>
    <row r="105" spans="1:4" x14ac:dyDescent="0.25">
      <c r="A105" t="s">
        <v>5</v>
      </c>
      <c r="B105" s="1">
        <v>45000</v>
      </c>
      <c r="C105" s="2">
        <v>6.3377737253419975</v>
      </c>
      <c r="D105">
        <v>3</v>
      </c>
    </row>
    <row r="106" spans="1:4" x14ac:dyDescent="0.25">
      <c r="A106" t="s">
        <v>5</v>
      </c>
      <c r="B106" s="1">
        <v>45010</v>
      </c>
      <c r="C106" s="2">
        <v>13.008462633968954</v>
      </c>
      <c r="D106">
        <v>3</v>
      </c>
    </row>
    <row r="107" spans="1:4" x14ac:dyDescent="0.25">
      <c r="A107" t="s">
        <v>5</v>
      </c>
      <c r="B107" s="1">
        <v>45011</v>
      </c>
      <c r="C107" s="2">
        <v>9.7045556367593448</v>
      </c>
      <c r="D107">
        <v>3</v>
      </c>
    </row>
    <row r="108" spans="1:4" x14ac:dyDescent="0.25">
      <c r="A108" t="s">
        <v>5</v>
      </c>
      <c r="B108" s="1">
        <v>45010</v>
      </c>
      <c r="C108" s="2">
        <v>6.5113013615409088</v>
      </c>
      <c r="D108">
        <v>3</v>
      </c>
    </row>
    <row r="109" spans="1:4" x14ac:dyDescent="0.25">
      <c r="A109" t="s">
        <v>5</v>
      </c>
      <c r="B109" s="1">
        <v>45007</v>
      </c>
      <c r="C109" s="2">
        <v>8.7398916432772555</v>
      </c>
      <c r="D109">
        <v>3</v>
      </c>
    </row>
    <row r="110" spans="1:4" x14ac:dyDescent="0.25">
      <c r="A110" t="s">
        <v>5</v>
      </c>
      <c r="B110" s="1">
        <v>45008</v>
      </c>
      <c r="C110" s="2">
        <v>14.71289059841425</v>
      </c>
      <c r="D110">
        <v>3</v>
      </c>
    </row>
    <row r="111" spans="1:4" x14ac:dyDescent="0.25">
      <c r="A111" t="s">
        <v>5</v>
      </c>
      <c r="B111" s="1">
        <v>45004</v>
      </c>
      <c r="C111" s="2">
        <v>15.627962888933844</v>
      </c>
      <c r="D111">
        <v>4</v>
      </c>
    </row>
    <row r="112" spans="1:4" x14ac:dyDescent="0.25">
      <c r="A112" t="s">
        <v>5</v>
      </c>
      <c r="B112" s="1">
        <v>45001</v>
      </c>
      <c r="C112" s="2">
        <v>9.1249213037691881</v>
      </c>
      <c r="D112">
        <v>4</v>
      </c>
    </row>
    <row r="113" spans="1:4" x14ac:dyDescent="0.25">
      <c r="A113" t="s">
        <v>5</v>
      </c>
      <c r="B113" s="1">
        <v>45002</v>
      </c>
      <c r="C113" s="2">
        <v>19.93565849930398</v>
      </c>
      <c r="D113">
        <v>4</v>
      </c>
    </row>
    <row r="114" spans="1:4" x14ac:dyDescent="0.25">
      <c r="A114" t="s">
        <v>5</v>
      </c>
      <c r="B114" s="1">
        <v>44999</v>
      </c>
      <c r="C114" s="2">
        <v>16.525967241075136</v>
      </c>
      <c r="D114">
        <v>4</v>
      </c>
    </row>
    <row r="115" spans="1:4" x14ac:dyDescent="0.25">
      <c r="A115" t="s">
        <v>5</v>
      </c>
      <c r="B115" s="1">
        <v>45003</v>
      </c>
      <c r="C115" s="2">
        <v>14.179518897818795</v>
      </c>
      <c r="D115">
        <v>4</v>
      </c>
    </row>
    <row r="116" spans="1:4" x14ac:dyDescent="0.25">
      <c r="A116" t="s">
        <v>5</v>
      </c>
      <c r="B116" s="1">
        <v>45002</v>
      </c>
      <c r="C116" s="2">
        <v>9.1114261857412586</v>
      </c>
      <c r="D116">
        <v>4</v>
      </c>
    </row>
    <row r="117" spans="1:4" x14ac:dyDescent="0.25">
      <c r="A117" t="s">
        <v>5</v>
      </c>
      <c r="B117" s="1">
        <v>45000</v>
      </c>
      <c r="C117" s="2">
        <v>18.203783511423751</v>
      </c>
      <c r="D117">
        <v>4</v>
      </c>
    </row>
    <row r="118" spans="1:4" x14ac:dyDescent="0.25">
      <c r="A118" t="s">
        <v>5</v>
      </c>
      <c r="B118" s="1">
        <v>45001</v>
      </c>
      <c r="C118" s="2">
        <v>14.578950739481339</v>
      </c>
      <c r="D118">
        <v>4</v>
      </c>
    </row>
    <row r="119" spans="1:4" x14ac:dyDescent="0.25">
      <c r="A119" t="s">
        <v>5</v>
      </c>
      <c r="B119" s="1">
        <v>45005</v>
      </c>
      <c r="C119" s="2">
        <v>9.9166848620885943</v>
      </c>
      <c r="D119">
        <v>4</v>
      </c>
    </row>
    <row r="120" spans="1:4" x14ac:dyDescent="0.25">
      <c r="A120" t="s">
        <v>5</v>
      </c>
      <c r="B120" s="1">
        <v>45005</v>
      </c>
      <c r="C120" s="2">
        <v>13.908767582948389</v>
      </c>
      <c r="D120">
        <v>4</v>
      </c>
    </row>
    <row r="121" spans="1:4" x14ac:dyDescent="0.25">
      <c r="A121" t="s">
        <v>5</v>
      </c>
      <c r="B121" s="1">
        <v>45008</v>
      </c>
      <c r="C121" s="2">
        <v>11.544335574973063</v>
      </c>
      <c r="D121">
        <v>4</v>
      </c>
    </row>
    <row r="122" spans="1:4" x14ac:dyDescent="0.25">
      <c r="A122" t="s">
        <v>5</v>
      </c>
      <c r="B122" s="1">
        <v>45006</v>
      </c>
      <c r="C122" s="2">
        <v>14.190521780409981</v>
      </c>
      <c r="D122">
        <v>4</v>
      </c>
    </row>
    <row r="123" spans="1:4" x14ac:dyDescent="0.25">
      <c r="A123" t="s">
        <v>5</v>
      </c>
      <c r="B123" s="1">
        <v>45010</v>
      </c>
      <c r="C123" s="2">
        <v>12.913706709951647</v>
      </c>
      <c r="D123">
        <v>4</v>
      </c>
    </row>
    <row r="124" spans="1:4" x14ac:dyDescent="0.25">
      <c r="A124" t="s">
        <v>5</v>
      </c>
      <c r="B124" s="1">
        <v>45009</v>
      </c>
      <c r="C124" s="2">
        <v>16.282518737155069</v>
      </c>
      <c r="D124">
        <v>4</v>
      </c>
    </row>
    <row r="125" spans="1:4" x14ac:dyDescent="0.25">
      <c r="A125" t="s">
        <v>5</v>
      </c>
      <c r="B125" s="1">
        <v>45006</v>
      </c>
      <c r="C125" s="2">
        <v>9.4985075636023168</v>
      </c>
      <c r="D125">
        <v>4</v>
      </c>
    </row>
    <row r="126" spans="1:4" x14ac:dyDescent="0.25">
      <c r="A126" t="s">
        <v>5</v>
      </c>
      <c r="B126" s="1">
        <v>45005</v>
      </c>
      <c r="C126" s="2">
        <v>14.385664719001195</v>
      </c>
      <c r="D126">
        <v>4</v>
      </c>
    </row>
    <row r="127" spans="1:4" x14ac:dyDescent="0.25">
      <c r="A127" t="s">
        <v>5</v>
      </c>
      <c r="B127" s="1">
        <v>45011</v>
      </c>
      <c r="C127" s="2">
        <v>15.757377627724384</v>
      </c>
      <c r="D127">
        <v>4</v>
      </c>
    </row>
    <row r="128" spans="1:4" x14ac:dyDescent="0.25">
      <c r="A128" t="s">
        <v>5</v>
      </c>
      <c r="B128" s="1">
        <v>44998</v>
      </c>
      <c r="C128" s="2">
        <v>12.638196126817981</v>
      </c>
      <c r="D128">
        <v>5</v>
      </c>
    </row>
    <row r="129" spans="1:4" x14ac:dyDescent="0.25">
      <c r="A129" t="s">
        <v>5</v>
      </c>
      <c r="B129" s="1">
        <v>45004</v>
      </c>
      <c r="C129" s="2">
        <v>9.5416618497968599</v>
      </c>
      <c r="D129">
        <v>5</v>
      </c>
    </row>
    <row r="130" spans="1:4" x14ac:dyDescent="0.25">
      <c r="A130" t="s">
        <v>5</v>
      </c>
      <c r="B130" s="1">
        <v>44998</v>
      </c>
      <c r="C130" s="2">
        <v>19.181412702449379</v>
      </c>
      <c r="D130">
        <v>5</v>
      </c>
    </row>
    <row r="131" spans="1:4" x14ac:dyDescent="0.25">
      <c r="A131" t="s">
        <v>5</v>
      </c>
      <c r="B131" s="1">
        <v>45002</v>
      </c>
      <c r="C131" s="2">
        <v>19.983710348644287</v>
      </c>
      <c r="D131">
        <v>5</v>
      </c>
    </row>
    <row r="132" spans="1:4" x14ac:dyDescent="0.25">
      <c r="A132" t="s">
        <v>5</v>
      </c>
      <c r="B132" s="1">
        <v>45004</v>
      </c>
      <c r="C132" s="2">
        <v>16.102087448890007</v>
      </c>
      <c r="D132">
        <v>5</v>
      </c>
    </row>
    <row r="133" spans="1:4" x14ac:dyDescent="0.25">
      <c r="A133" t="s">
        <v>5</v>
      </c>
      <c r="B133" s="1">
        <v>45004</v>
      </c>
      <c r="C133" s="2">
        <v>19.229593165473865</v>
      </c>
      <c r="D133">
        <v>5</v>
      </c>
    </row>
    <row r="134" spans="1:4" x14ac:dyDescent="0.25">
      <c r="A134" t="s">
        <v>5</v>
      </c>
      <c r="B134" s="1">
        <v>45000</v>
      </c>
      <c r="C134" s="2">
        <v>17.26056844169058</v>
      </c>
      <c r="D134">
        <v>5</v>
      </c>
    </row>
    <row r="135" spans="1:4" x14ac:dyDescent="0.25">
      <c r="A135" t="s">
        <v>5</v>
      </c>
      <c r="B135" s="1">
        <v>44999</v>
      </c>
      <c r="C135" s="2">
        <v>12.783186050117552</v>
      </c>
      <c r="D135">
        <v>5</v>
      </c>
    </row>
    <row r="136" spans="1:4" x14ac:dyDescent="0.25">
      <c r="A136" t="s">
        <v>5</v>
      </c>
      <c r="B136" s="1">
        <v>45001</v>
      </c>
      <c r="C136" s="2">
        <v>19.62385974801693</v>
      </c>
      <c r="D136">
        <v>5</v>
      </c>
    </row>
    <row r="137" spans="1:4" x14ac:dyDescent="0.25">
      <c r="A137" t="s">
        <v>5</v>
      </c>
      <c r="B137" s="1">
        <v>45000</v>
      </c>
      <c r="C137" s="2">
        <v>8.1815870010417928</v>
      </c>
      <c r="D137">
        <v>5</v>
      </c>
    </row>
    <row r="138" spans="1:4" x14ac:dyDescent="0.25">
      <c r="A138" t="s">
        <v>5</v>
      </c>
      <c r="B138" s="1">
        <v>45009</v>
      </c>
      <c r="C138" s="2">
        <v>18.775728091369018</v>
      </c>
      <c r="D138">
        <v>5</v>
      </c>
    </row>
    <row r="139" spans="1:4" x14ac:dyDescent="0.25">
      <c r="A139" t="s">
        <v>5</v>
      </c>
      <c r="B139" s="1">
        <v>45010</v>
      </c>
      <c r="C139" s="2">
        <v>17.43661541370869</v>
      </c>
      <c r="D139">
        <v>5</v>
      </c>
    </row>
    <row r="140" spans="1:4" x14ac:dyDescent="0.25">
      <c r="A140" t="s">
        <v>5</v>
      </c>
      <c r="B140" s="1">
        <v>45007</v>
      </c>
      <c r="C140" s="2">
        <v>13.094859762390229</v>
      </c>
      <c r="D140">
        <v>5</v>
      </c>
    </row>
    <row r="141" spans="1:4" x14ac:dyDescent="0.25">
      <c r="A141" t="s">
        <v>5</v>
      </c>
      <c r="B141" s="1">
        <v>45008</v>
      </c>
      <c r="C141" s="2">
        <v>8.5826291639088037</v>
      </c>
      <c r="D141">
        <v>5</v>
      </c>
    </row>
    <row r="142" spans="1:4" x14ac:dyDescent="0.25">
      <c r="A142" t="s">
        <v>5</v>
      </c>
      <c r="B142" s="1">
        <v>45005</v>
      </c>
      <c r="C142" s="2">
        <v>17.065326867580872</v>
      </c>
      <c r="D142">
        <v>5</v>
      </c>
    </row>
    <row r="143" spans="1:4" x14ac:dyDescent="0.25">
      <c r="A143" t="s">
        <v>5</v>
      </c>
      <c r="B143" s="1">
        <v>45005</v>
      </c>
      <c r="C143" s="2">
        <v>18.624105046706013</v>
      </c>
      <c r="D143">
        <v>5</v>
      </c>
    </row>
    <row r="144" spans="1:4" x14ac:dyDescent="0.25">
      <c r="A144" t="s">
        <v>5</v>
      </c>
      <c r="B144" s="1">
        <v>45001</v>
      </c>
      <c r="C144" s="2">
        <v>10.755325702206573</v>
      </c>
      <c r="D144">
        <v>6</v>
      </c>
    </row>
    <row r="145" spans="1:4" x14ac:dyDescent="0.25">
      <c r="A145" t="s">
        <v>5</v>
      </c>
      <c r="B145" s="1">
        <v>44999</v>
      </c>
      <c r="C145" s="2">
        <v>11.919848307269906</v>
      </c>
      <c r="D145">
        <v>6</v>
      </c>
    </row>
    <row r="146" spans="1:4" x14ac:dyDescent="0.25">
      <c r="A146" t="s">
        <v>5</v>
      </c>
      <c r="B146" s="1">
        <v>45008</v>
      </c>
      <c r="C146" s="2">
        <v>16.657706946948995</v>
      </c>
      <c r="D146">
        <v>6</v>
      </c>
    </row>
    <row r="147" spans="1:4" x14ac:dyDescent="0.25">
      <c r="A147" t="s">
        <v>5</v>
      </c>
      <c r="B147" s="1">
        <v>45006</v>
      </c>
      <c r="C147" s="2">
        <v>15.146710148266862</v>
      </c>
      <c r="D147">
        <v>6</v>
      </c>
    </row>
    <row r="148" spans="1:4" x14ac:dyDescent="0.25">
      <c r="A148" t="s">
        <v>5</v>
      </c>
      <c r="B148" s="1">
        <v>45002</v>
      </c>
      <c r="C148" s="2">
        <v>13.18446103369592</v>
      </c>
      <c r="D148">
        <v>7</v>
      </c>
    </row>
    <row r="149" spans="1:4" x14ac:dyDescent="0.25">
      <c r="A149" t="s">
        <v>5</v>
      </c>
      <c r="B149" s="1">
        <v>45000</v>
      </c>
      <c r="C149" s="2">
        <v>13.885091408400855</v>
      </c>
      <c r="D149">
        <v>7</v>
      </c>
    </row>
    <row r="150" spans="1:4" x14ac:dyDescent="0.25">
      <c r="A150" t="s">
        <v>5</v>
      </c>
      <c r="B150" s="1">
        <v>45010</v>
      </c>
      <c r="C150" s="2">
        <v>13.989779562714981</v>
      </c>
      <c r="D150">
        <v>7</v>
      </c>
    </row>
    <row r="151" spans="1:4" x14ac:dyDescent="0.25">
      <c r="A151" t="s">
        <v>5</v>
      </c>
      <c r="B151" s="1">
        <v>45008</v>
      </c>
      <c r="C151" s="2">
        <v>18.57412289739273</v>
      </c>
      <c r="D151">
        <v>7</v>
      </c>
    </row>
    <row r="152" spans="1:4" x14ac:dyDescent="0.25">
      <c r="A152" t="s">
        <v>5</v>
      </c>
      <c r="B152" s="1">
        <v>45010</v>
      </c>
      <c r="C152" s="2">
        <v>14.618286625136639</v>
      </c>
      <c r="D152">
        <v>8</v>
      </c>
    </row>
    <row r="153" spans="1:4" x14ac:dyDescent="0.25">
      <c r="A153" t="s">
        <v>5</v>
      </c>
      <c r="B153" s="1">
        <v>45007</v>
      </c>
      <c r="C153" s="2">
        <v>17.690837738481097</v>
      </c>
      <c r="D153">
        <v>9</v>
      </c>
    </row>
    <row r="154" spans="1:4" x14ac:dyDescent="0.25">
      <c r="A154" t="s">
        <v>5</v>
      </c>
      <c r="B154" s="1">
        <v>45010</v>
      </c>
      <c r="C154" s="2">
        <v>19.071231545066812</v>
      </c>
      <c r="D154">
        <v>10</v>
      </c>
    </row>
    <row r="155" spans="1:4" x14ac:dyDescent="0.25">
      <c r="A155" t="s">
        <v>6</v>
      </c>
      <c r="B155" s="1">
        <v>45003</v>
      </c>
      <c r="C155" s="2">
        <v>1.2063702297957302</v>
      </c>
      <c r="D155">
        <v>1</v>
      </c>
    </row>
    <row r="156" spans="1:4" x14ac:dyDescent="0.25">
      <c r="A156" t="s">
        <v>6</v>
      </c>
      <c r="B156" s="1">
        <v>45004</v>
      </c>
      <c r="C156" s="2">
        <v>2.8396034556908112</v>
      </c>
      <c r="D156">
        <v>1</v>
      </c>
    </row>
    <row r="157" spans="1:4" x14ac:dyDescent="0.25">
      <c r="A157" t="s">
        <v>6</v>
      </c>
      <c r="B157" s="1">
        <v>45003</v>
      </c>
      <c r="C157" s="2">
        <v>1.6618673546223195</v>
      </c>
      <c r="D157">
        <v>1</v>
      </c>
    </row>
    <row r="158" spans="1:4" x14ac:dyDescent="0.25">
      <c r="A158" t="s">
        <v>6</v>
      </c>
      <c r="B158" s="1">
        <v>45000</v>
      </c>
      <c r="C158" s="2">
        <v>3.1847691532445843</v>
      </c>
      <c r="D158">
        <v>1</v>
      </c>
    </row>
    <row r="159" spans="1:4" x14ac:dyDescent="0.25">
      <c r="A159" t="s">
        <v>6</v>
      </c>
      <c r="B159" s="1">
        <v>45011</v>
      </c>
      <c r="C159" s="2">
        <v>2.5537872736038492</v>
      </c>
      <c r="D159">
        <v>1</v>
      </c>
    </row>
    <row r="160" spans="1:4" x14ac:dyDescent="0.25">
      <c r="A160" t="s">
        <v>6</v>
      </c>
      <c r="B160" s="1">
        <v>45003</v>
      </c>
      <c r="C160" s="2">
        <v>4.5498872608076528</v>
      </c>
      <c r="D160">
        <v>2</v>
      </c>
    </row>
    <row r="161" spans="1:4" x14ac:dyDescent="0.25">
      <c r="A161" t="s">
        <v>6</v>
      </c>
      <c r="B161" s="1">
        <v>45001</v>
      </c>
      <c r="C161" s="2">
        <v>3.6574132895151812</v>
      </c>
      <c r="D161">
        <v>2</v>
      </c>
    </row>
    <row r="162" spans="1:4" x14ac:dyDescent="0.25">
      <c r="A162" t="s">
        <v>6</v>
      </c>
      <c r="B162" s="1">
        <v>45000</v>
      </c>
      <c r="C162" s="2">
        <v>6.1162233036959401</v>
      </c>
      <c r="D162">
        <v>2</v>
      </c>
    </row>
    <row r="163" spans="1:4" x14ac:dyDescent="0.25">
      <c r="A163" t="s">
        <v>6</v>
      </c>
      <c r="B163" s="1">
        <v>44999</v>
      </c>
      <c r="C163" s="2">
        <v>3.3423934972474512</v>
      </c>
      <c r="D163">
        <v>2</v>
      </c>
    </row>
    <row r="164" spans="1:4" x14ac:dyDescent="0.25">
      <c r="A164" t="s">
        <v>6</v>
      </c>
      <c r="B164" s="1">
        <v>45011</v>
      </c>
      <c r="C164" s="2">
        <v>6.8792967771418638</v>
      </c>
      <c r="D164">
        <v>2</v>
      </c>
    </row>
    <row r="165" spans="1:4" x14ac:dyDescent="0.25">
      <c r="A165" t="s">
        <v>6</v>
      </c>
      <c r="B165" s="1">
        <v>45004</v>
      </c>
      <c r="C165" s="2">
        <v>11.317611083992832</v>
      </c>
      <c r="D165">
        <v>3</v>
      </c>
    </row>
    <row r="166" spans="1:4" x14ac:dyDescent="0.25">
      <c r="A166" t="s">
        <v>6</v>
      </c>
      <c r="B166" s="1">
        <v>44999</v>
      </c>
      <c r="C166" s="2">
        <v>11.68563345094684</v>
      </c>
      <c r="D166">
        <v>3</v>
      </c>
    </row>
    <row r="167" spans="1:4" x14ac:dyDescent="0.25">
      <c r="A167" t="s">
        <v>6</v>
      </c>
      <c r="B167" s="1">
        <v>45004</v>
      </c>
      <c r="C167" s="2">
        <v>11.893292911058161</v>
      </c>
      <c r="D167">
        <v>3</v>
      </c>
    </row>
    <row r="168" spans="1:4" x14ac:dyDescent="0.25">
      <c r="A168" t="s">
        <v>6</v>
      </c>
      <c r="B168" s="1">
        <v>45003</v>
      </c>
      <c r="C168" s="2">
        <v>7.8001903872427043</v>
      </c>
      <c r="D168">
        <v>3</v>
      </c>
    </row>
    <row r="169" spans="1:4" x14ac:dyDescent="0.25">
      <c r="A169" t="s">
        <v>6</v>
      </c>
      <c r="B169" s="1">
        <v>44999</v>
      </c>
      <c r="C169" s="2">
        <v>8.2629240681629028</v>
      </c>
      <c r="D169">
        <v>3</v>
      </c>
    </row>
    <row r="170" spans="1:4" x14ac:dyDescent="0.25">
      <c r="A170" t="s">
        <v>6</v>
      </c>
      <c r="B170" s="1">
        <v>45004</v>
      </c>
      <c r="C170" s="2">
        <v>8.5740615499385591</v>
      </c>
      <c r="D170">
        <v>3</v>
      </c>
    </row>
    <row r="171" spans="1:4" x14ac:dyDescent="0.25">
      <c r="A171" t="s">
        <v>6</v>
      </c>
      <c r="B171" s="1">
        <v>45003</v>
      </c>
      <c r="C171" s="2">
        <v>11.491580136558529</v>
      </c>
      <c r="D171">
        <v>3</v>
      </c>
    </row>
    <row r="172" spans="1:4" x14ac:dyDescent="0.25">
      <c r="A172" t="s">
        <v>6</v>
      </c>
      <c r="B172" s="1">
        <v>45001</v>
      </c>
      <c r="C172" s="2">
        <v>10.146979894739069</v>
      </c>
      <c r="D172">
        <v>3</v>
      </c>
    </row>
    <row r="173" spans="1:4" x14ac:dyDescent="0.25">
      <c r="A173" t="s">
        <v>6</v>
      </c>
      <c r="B173" s="1">
        <v>45003</v>
      </c>
      <c r="C173" s="2">
        <v>10.485551366150629</v>
      </c>
      <c r="D173">
        <v>3</v>
      </c>
    </row>
    <row r="174" spans="1:4" x14ac:dyDescent="0.25">
      <c r="A174" t="s">
        <v>6</v>
      </c>
      <c r="B174" s="1">
        <v>45003</v>
      </c>
      <c r="C174" s="2">
        <v>8.9272240194216828</v>
      </c>
      <c r="D174">
        <v>3</v>
      </c>
    </row>
    <row r="175" spans="1:4" x14ac:dyDescent="0.25">
      <c r="A175" t="s">
        <v>6</v>
      </c>
      <c r="B175" s="1">
        <v>45011</v>
      </c>
      <c r="C175" s="2">
        <v>6.617034960713724</v>
      </c>
      <c r="D175">
        <v>3</v>
      </c>
    </row>
    <row r="176" spans="1:4" x14ac:dyDescent="0.25">
      <c r="A176" t="s">
        <v>6</v>
      </c>
      <c r="B176" s="1">
        <v>45006</v>
      </c>
      <c r="C176" s="2">
        <v>6.4403005424347253</v>
      </c>
      <c r="D176">
        <v>3</v>
      </c>
    </row>
    <row r="177" spans="1:4" x14ac:dyDescent="0.25">
      <c r="A177" t="s">
        <v>6</v>
      </c>
      <c r="B177" s="1">
        <v>45006</v>
      </c>
      <c r="C177" s="2">
        <v>11.620385001658114</v>
      </c>
      <c r="D177">
        <v>3</v>
      </c>
    </row>
    <row r="178" spans="1:4" x14ac:dyDescent="0.25">
      <c r="A178" t="s">
        <v>6</v>
      </c>
      <c r="B178" s="1">
        <v>44998</v>
      </c>
      <c r="C178" s="2">
        <v>19.238303825531062</v>
      </c>
      <c r="D178">
        <v>4</v>
      </c>
    </row>
    <row r="179" spans="1:4" x14ac:dyDescent="0.25">
      <c r="A179" t="s">
        <v>6</v>
      </c>
      <c r="B179" s="1">
        <v>45000</v>
      </c>
      <c r="C179" s="2">
        <v>13.518013293407138</v>
      </c>
      <c r="D179">
        <v>4</v>
      </c>
    </row>
    <row r="180" spans="1:4" x14ac:dyDescent="0.25">
      <c r="A180" t="s">
        <v>6</v>
      </c>
      <c r="B180" s="1">
        <v>45000</v>
      </c>
      <c r="C180" s="2">
        <v>15.7582270800057</v>
      </c>
      <c r="D180">
        <v>4</v>
      </c>
    </row>
    <row r="181" spans="1:4" x14ac:dyDescent="0.25">
      <c r="A181" t="s">
        <v>6</v>
      </c>
      <c r="B181" s="1">
        <v>45002</v>
      </c>
      <c r="C181" s="2">
        <v>14.879426457280855</v>
      </c>
      <c r="D181">
        <v>4</v>
      </c>
    </row>
    <row r="182" spans="1:4" x14ac:dyDescent="0.25">
      <c r="A182" t="s">
        <v>6</v>
      </c>
      <c r="B182" s="1">
        <v>45002</v>
      </c>
      <c r="C182" s="2">
        <v>17.93832625183207</v>
      </c>
      <c r="D182">
        <v>4</v>
      </c>
    </row>
    <row r="183" spans="1:4" x14ac:dyDescent="0.25">
      <c r="A183" t="s">
        <v>6</v>
      </c>
      <c r="B183" s="1">
        <v>45008</v>
      </c>
      <c r="C183" s="2">
        <v>14.232876473871791</v>
      </c>
      <c r="D183">
        <v>4</v>
      </c>
    </row>
    <row r="184" spans="1:4" x14ac:dyDescent="0.25">
      <c r="A184" t="s">
        <v>6</v>
      </c>
      <c r="B184" s="1">
        <v>45009</v>
      </c>
      <c r="C184" s="2">
        <v>10.626476485641874</v>
      </c>
      <c r="D184">
        <v>4</v>
      </c>
    </row>
    <row r="185" spans="1:4" x14ac:dyDescent="0.25">
      <c r="A185" t="s">
        <v>6</v>
      </c>
      <c r="B185" s="1">
        <v>45003</v>
      </c>
      <c r="C185" s="2">
        <v>16.320083457234759</v>
      </c>
      <c r="D185">
        <v>5</v>
      </c>
    </row>
    <row r="186" spans="1:4" x14ac:dyDescent="0.25">
      <c r="A186" t="s">
        <v>6</v>
      </c>
      <c r="B186" s="1">
        <v>45001</v>
      </c>
      <c r="C186" s="2">
        <v>16.147241905131786</v>
      </c>
      <c r="D186">
        <v>5</v>
      </c>
    </row>
    <row r="187" spans="1:4" x14ac:dyDescent="0.25">
      <c r="A187" t="s">
        <v>6</v>
      </c>
      <c r="B187" s="1">
        <v>45000</v>
      </c>
      <c r="C187" s="2">
        <v>19.719255747634147</v>
      </c>
      <c r="D187">
        <v>5</v>
      </c>
    </row>
    <row r="188" spans="1:4" x14ac:dyDescent="0.25">
      <c r="A188" t="s">
        <v>6</v>
      </c>
      <c r="B188" s="1">
        <v>45001</v>
      </c>
      <c r="C188" s="2">
        <v>16.790090454595997</v>
      </c>
      <c r="D188">
        <v>5</v>
      </c>
    </row>
    <row r="189" spans="1:4" x14ac:dyDescent="0.25">
      <c r="A189" t="s">
        <v>6</v>
      </c>
      <c r="B189" s="1">
        <v>45002</v>
      </c>
      <c r="C189" s="2">
        <v>9.8026879618212881</v>
      </c>
      <c r="D189">
        <v>5</v>
      </c>
    </row>
    <row r="190" spans="1:4" x14ac:dyDescent="0.25">
      <c r="A190" t="s">
        <v>6</v>
      </c>
      <c r="B190" s="1">
        <v>45004</v>
      </c>
      <c r="C190" s="2">
        <v>15.66731671923826</v>
      </c>
      <c r="D190">
        <v>6</v>
      </c>
    </row>
    <row r="191" spans="1:4" x14ac:dyDescent="0.25">
      <c r="A191" t="s">
        <v>6</v>
      </c>
      <c r="B191" s="1">
        <v>45000</v>
      </c>
      <c r="C191" s="2">
        <v>11.403815150407308</v>
      </c>
      <c r="D191">
        <v>6</v>
      </c>
    </row>
    <row r="192" spans="1:4" x14ac:dyDescent="0.25">
      <c r="A192" t="s">
        <v>6</v>
      </c>
      <c r="B192" s="1">
        <v>45007</v>
      </c>
      <c r="C192" s="2">
        <v>11.862160222110383</v>
      </c>
      <c r="D192">
        <v>6</v>
      </c>
    </row>
    <row r="193" spans="1:4" x14ac:dyDescent="0.25">
      <c r="A193" t="s">
        <v>6</v>
      </c>
      <c r="B193" s="1">
        <v>44999</v>
      </c>
      <c r="C193" s="2">
        <v>18.657925368272444</v>
      </c>
      <c r="D193">
        <v>7</v>
      </c>
    </row>
    <row r="194" spans="1:4" x14ac:dyDescent="0.25">
      <c r="A194" t="s">
        <v>6</v>
      </c>
      <c r="B194" s="1">
        <v>44998</v>
      </c>
      <c r="C194" s="2">
        <v>19.125658814260646</v>
      </c>
      <c r="D194">
        <v>7</v>
      </c>
    </row>
    <row r="195" spans="1:4" x14ac:dyDescent="0.25">
      <c r="A195" t="s">
        <v>6</v>
      </c>
      <c r="B195" s="1">
        <v>45005</v>
      </c>
      <c r="C195" s="2">
        <v>12.546249031472918</v>
      </c>
      <c r="D195">
        <v>7</v>
      </c>
    </row>
    <row r="196" spans="1:4" x14ac:dyDescent="0.25">
      <c r="A196" t="s">
        <v>6</v>
      </c>
      <c r="B196" s="1">
        <v>45001</v>
      </c>
      <c r="C196" s="2">
        <v>14.441525395032821</v>
      </c>
      <c r="D196">
        <v>8</v>
      </c>
    </row>
    <row r="197" spans="1:4" x14ac:dyDescent="0.25">
      <c r="A197" t="s">
        <v>6</v>
      </c>
      <c r="B197" s="1">
        <v>45000</v>
      </c>
      <c r="C197" s="2">
        <v>14.352619816675743</v>
      </c>
      <c r="D197">
        <v>8</v>
      </c>
    </row>
    <row r="198" spans="1:4" x14ac:dyDescent="0.25">
      <c r="A198" t="s">
        <v>6</v>
      </c>
      <c r="B198" s="1">
        <v>45007</v>
      </c>
      <c r="C198" s="2">
        <v>15.406746391557455</v>
      </c>
      <c r="D198">
        <v>8</v>
      </c>
    </row>
    <row r="199" spans="1:4" x14ac:dyDescent="0.25">
      <c r="A199" t="s">
        <v>6</v>
      </c>
      <c r="B199" s="1">
        <v>45004</v>
      </c>
      <c r="C199" s="2">
        <v>16.138433541172784</v>
      </c>
      <c r="D199">
        <v>9</v>
      </c>
    </row>
    <row r="200" spans="1:4" x14ac:dyDescent="0.25">
      <c r="A200" t="s">
        <v>6</v>
      </c>
      <c r="B200" s="1">
        <v>45002</v>
      </c>
      <c r="C200" s="2">
        <v>16.11536589968739</v>
      </c>
      <c r="D200">
        <v>9</v>
      </c>
    </row>
  </sheetData>
  <autoFilter ref="A1:D1" xr:uid="{114826B5-7EE2-6D45-93F6-E883019B692A}">
    <sortState xmlns:xlrd2="http://schemas.microsoft.com/office/spreadsheetml/2017/richdata2" ref="A2:D200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EB3-41C4-8342-8FAC-B3805E61E362}">
  <dimension ref="A2:B6"/>
  <sheetViews>
    <sheetView zoomScale="90" zoomScaleNormal="90" workbookViewId="0">
      <selection activeCell="B7" sqref="B7"/>
    </sheetView>
  </sheetViews>
  <sheetFormatPr defaultColWidth="11" defaultRowHeight="15.75" x14ac:dyDescent="0.25"/>
  <cols>
    <col min="1" max="1" width="18.625" customWidth="1"/>
  </cols>
  <sheetData>
    <row r="2" spans="1:2" x14ac:dyDescent="0.25">
      <c r="A2" t="s">
        <v>14</v>
      </c>
    </row>
    <row r="3" spans="1:2" x14ac:dyDescent="0.25">
      <c r="A3" t="s">
        <v>4</v>
      </c>
      <c r="B3">
        <v>5</v>
      </c>
    </row>
    <row r="4" spans="1:2" x14ac:dyDescent="0.25">
      <c r="A4" t="s">
        <v>5</v>
      </c>
      <c r="B4">
        <v>6</v>
      </c>
    </row>
    <row r="5" spans="1:2" x14ac:dyDescent="0.25">
      <c r="A5" t="s">
        <v>6</v>
      </c>
      <c r="B5">
        <v>8</v>
      </c>
    </row>
    <row r="6" spans="1:2" x14ac:dyDescent="0.25">
      <c r="A6" t="s">
        <v>8</v>
      </c>
      <c r="B6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4E0F-30B3-458B-B1E7-6102E68F5BDA}">
  <dimension ref="A1:J202"/>
  <sheetViews>
    <sheetView zoomScale="85" zoomScaleNormal="85" workbookViewId="0">
      <pane ySplit="1" topLeftCell="A163" activePane="bottomLeft" state="frozen"/>
      <selection pane="bottomLeft" activeCell="J2" sqref="J2"/>
    </sheetView>
  </sheetViews>
  <sheetFormatPr defaultRowHeight="15.75" x14ac:dyDescent="0.25"/>
  <cols>
    <col min="1" max="1" width="8.625" customWidth="1"/>
    <col min="2" max="2" width="11.5" style="1" customWidth="1"/>
    <col min="3" max="3" width="10" customWidth="1"/>
    <col min="4" max="10" width="8.625" customWidth="1"/>
  </cols>
  <sheetData>
    <row r="1" spans="1:10" x14ac:dyDescent="0.25">
      <c r="A1" s="3" t="s">
        <v>0</v>
      </c>
      <c r="B1" s="4" t="s">
        <v>3</v>
      </c>
      <c r="C1" s="3" t="s">
        <v>1</v>
      </c>
      <c r="D1" s="3" t="s">
        <v>2</v>
      </c>
      <c r="E1" s="3" t="s">
        <v>19</v>
      </c>
      <c r="F1" s="3" t="s">
        <v>8</v>
      </c>
      <c r="G1" s="3" t="s">
        <v>20</v>
      </c>
      <c r="H1" s="3" t="s">
        <v>21</v>
      </c>
      <c r="I1" s="3" t="s">
        <v>22</v>
      </c>
      <c r="J1" s="3" t="s">
        <v>23</v>
      </c>
    </row>
    <row r="2" spans="1:10" x14ac:dyDescent="0.25">
      <c r="A2" t="str">
        <f>Delliveries!A15</f>
        <v>А</v>
      </c>
      <c r="B2" s="1">
        <f>Delliveries!B15</f>
        <v>44998</v>
      </c>
      <c r="C2" s="2">
        <f>Delliveries!C15</f>
        <v>4.2014918368162597</v>
      </c>
      <c r="D2">
        <f>Delliveries!D15</f>
        <v>2</v>
      </c>
      <c r="E2">
        <f>D2*_xlfn.XLOOKUP(A2,Tariff!A:A,Tariff!B:B)</f>
        <v>10</v>
      </c>
      <c r="F2">
        <f>_xlfn.XLOOKUP($F$1,Tariff!A:A,Tariff!B:B)</f>
        <v>1.2</v>
      </c>
      <c r="G2" s="2">
        <f>F2*C2</f>
        <v>5.0417902041795113</v>
      </c>
      <c r="H2" s="2">
        <f>E2-G2</f>
        <v>4.9582097958204887</v>
      </c>
      <c r="J2">
        <f>WEEKNUM(B2,2)</f>
        <v>12</v>
      </c>
    </row>
    <row r="3" spans="1:10" x14ac:dyDescent="0.25">
      <c r="A3" t="str">
        <f>Delliveries!A37</f>
        <v>А</v>
      </c>
      <c r="B3" s="1">
        <f>Delliveries!B37</f>
        <v>44998</v>
      </c>
      <c r="C3" s="2">
        <f>Delliveries!C37</f>
        <v>16.400595573017124</v>
      </c>
      <c r="D3">
        <f>Delliveries!D37</f>
        <v>5</v>
      </c>
      <c r="E3">
        <f>D3*_xlfn.XLOOKUP(A3,Tariff!A:A,Tariff!B:B)</f>
        <v>25</v>
      </c>
      <c r="F3">
        <f>_xlfn.XLOOKUP($F$1,Tariff!A:A,Tariff!B:B)</f>
        <v>1.2</v>
      </c>
      <c r="G3" s="2">
        <f>F3*C3</f>
        <v>19.680714687620547</v>
      </c>
      <c r="H3" s="2">
        <f>E3-G3</f>
        <v>5.3192853123794528</v>
      </c>
      <c r="J3">
        <f>WEEKNUM(B3,2)</f>
        <v>12</v>
      </c>
    </row>
    <row r="4" spans="1:10" x14ac:dyDescent="0.25">
      <c r="A4" t="str">
        <f>Delliveries!A128</f>
        <v>Б</v>
      </c>
      <c r="B4" s="1">
        <f>Delliveries!B128</f>
        <v>44998</v>
      </c>
      <c r="C4" s="2">
        <f>Delliveries!C128</f>
        <v>12.638196126817981</v>
      </c>
      <c r="D4">
        <f>Delliveries!D128</f>
        <v>5</v>
      </c>
      <c r="E4">
        <f>D4*_xlfn.XLOOKUP(A4,Tariff!A:A,Tariff!B:B)</f>
        <v>30</v>
      </c>
      <c r="F4">
        <f>_xlfn.XLOOKUP($F$1,Tariff!A:A,Tariff!B:B)</f>
        <v>1.2</v>
      </c>
      <c r="G4" s="2">
        <f>F4*C4</f>
        <v>15.165835352181576</v>
      </c>
      <c r="H4" s="2">
        <f>E4-G4</f>
        <v>14.834164647818424</v>
      </c>
      <c r="J4">
        <f>WEEKNUM(B4,2)</f>
        <v>12</v>
      </c>
    </row>
    <row r="5" spans="1:10" x14ac:dyDescent="0.25">
      <c r="A5" t="str">
        <f>Delliveries!A130</f>
        <v>Б</v>
      </c>
      <c r="B5" s="1">
        <f>Delliveries!B130</f>
        <v>44998</v>
      </c>
      <c r="C5" s="2">
        <f>Delliveries!C130</f>
        <v>19.181412702449379</v>
      </c>
      <c r="D5">
        <f>Delliveries!D130</f>
        <v>5</v>
      </c>
      <c r="E5">
        <f>D5*_xlfn.XLOOKUP(A5,Tariff!A:A,Tariff!B:B)</f>
        <v>30</v>
      </c>
      <c r="F5">
        <f>_xlfn.XLOOKUP($F$1,Tariff!A:A,Tariff!B:B)</f>
        <v>1.2</v>
      </c>
      <c r="G5" s="2">
        <f>F5*C5</f>
        <v>23.017695242939254</v>
      </c>
      <c r="H5" s="2">
        <f>E5-G5</f>
        <v>6.9823047570607457</v>
      </c>
      <c r="J5">
        <f>WEEKNUM(B5,2)</f>
        <v>12</v>
      </c>
    </row>
    <row r="6" spans="1:10" x14ac:dyDescent="0.25">
      <c r="A6" t="str">
        <f>Delliveries!A178</f>
        <v>С</v>
      </c>
      <c r="B6" s="1">
        <f>Delliveries!B178</f>
        <v>44998</v>
      </c>
      <c r="C6" s="2">
        <f>Delliveries!C178</f>
        <v>19.238303825531062</v>
      </c>
      <c r="D6">
        <f>Delliveries!D178</f>
        <v>4</v>
      </c>
      <c r="E6">
        <f>D6*_xlfn.XLOOKUP(A6,Tariff!A:A,Tariff!B:B)</f>
        <v>32</v>
      </c>
      <c r="F6">
        <f>_xlfn.XLOOKUP($F$1,Tariff!A:A,Tariff!B:B)</f>
        <v>1.2</v>
      </c>
      <c r="G6" s="2">
        <f>F6*C6</f>
        <v>23.085964590637275</v>
      </c>
      <c r="H6" s="2">
        <f>E6-G6</f>
        <v>8.9140354093627252</v>
      </c>
      <c r="J6">
        <f>WEEKNUM(B6,2)</f>
        <v>12</v>
      </c>
    </row>
    <row r="7" spans="1:10" x14ac:dyDescent="0.25">
      <c r="A7" t="str">
        <f>Delliveries!A194</f>
        <v>С</v>
      </c>
      <c r="B7" s="1">
        <f>Delliveries!B194</f>
        <v>44998</v>
      </c>
      <c r="C7" s="2">
        <f>Delliveries!C194</f>
        <v>19.125658814260646</v>
      </c>
      <c r="D7">
        <f>Delliveries!D194</f>
        <v>7</v>
      </c>
      <c r="E7">
        <f>D7*_xlfn.XLOOKUP(A7,Tariff!A:A,Tariff!B:B)</f>
        <v>56</v>
      </c>
      <c r="F7">
        <f>_xlfn.XLOOKUP($F$1,Tariff!A:A,Tariff!B:B)</f>
        <v>1.2</v>
      </c>
      <c r="G7" s="2">
        <f>F7*C7</f>
        <v>22.950790577112773</v>
      </c>
      <c r="H7" s="2">
        <f>E7-G7</f>
        <v>33.04920942288723</v>
      </c>
      <c r="J7">
        <f>WEEKNUM(B7,2)</f>
        <v>12</v>
      </c>
    </row>
    <row r="8" spans="1:10" x14ac:dyDescent="0.25">
      <c r="A8" t="str">
        <f>Delliveries!A66</f>
        <v>Б</v>
      </c>
      <c r="B8" s="1">
        <f>Delliveries!B66</f>
        <v>44999</v>
      </c>
      <c r="C8" s="2">
        <f>Delliveries!C66</f>
        <v>1.2352076543445967</v>
      </c>
      <c r="D8">
        <f>Delliveries!D66</f>
        <v>1</v>
      </c>
      <c r="E8">
        <f>D8*_xlfn.XLOOKUP(A8,Tariff!A:A,Tariff!B:B)</f>
        <v>6</v>
      </c>
      <c r="F8">
        <f>_xlfn.XLOOKUP($F$1,Tariff!A:A,Tariff!B:B)</f>
        <v>1.2</v>
      </c>
      <c r="G8" s="2">
        <f>F8*C8</f>
        <v>1.482249185213516</v>
      </c>
      <c r="H8" s="2">
        <f>E8-G8</f>
        <v>4.517750814786484</v>
      </c>
      <c r="J8">
        <f>WEEKNUM(B8,2)</f>
        <v>12</v>
      </c>
    </row>
    <row r="9" spans="1:10" x14ac:dyDescent="0.25">
      <c r="A9" t="str">
        <f>Delliveries!A70</f>
        <v>Б</v>
      </c>
      <c r="B9" s="1">
        <f>Delliveries!B70</f>
        <v>44999</v>
      </c>
      <c r="C9" s="2">
        <f>Delliveries!C70</f>
        <v>2.9992934195496823</v>
      </c>
      <c r="D9">
        <f>Delliveries!D70</f>
        <v>1</v>
      </c>
      <c r="E9">
        <f>D9*_xlfn.XLOOKUP(A9,Tariff!A:A,Tariff!B:B)</f>
        <v>6</v>
      </c>
      <c r="F9">
        <f>_xlfn.XLOOKUP($F$1,Tariff!A:A,Tariff!B:B)</f>
        <v>1.2</v>
      </c>
      <c r="G9" s="2">
        <f>F9*C9</f>
        <v>3.5991521034596188</v>
      </c>
      <c r="H9" s="2">
        <f>E9-G9</f>
        <v>2.4008478965403812</v>
      </c>
      <c r="J9">
        <f>WEEKNUM(B9,2)</f>
        <v>12</v>
      </c>
    </row>
    <row r="10" spans="1:10" x14ac:dyDescent="0.25">
      <c r="A10" t="str">
        <f>Delliveries!A89</f>
        <v>Б</v>
      </c>
      <c r="B10" s="1">
        <f>Delliveries!B89</f>
        <v>44999</v>
      </c>
      <c r="C10" s="2">
        <f>Delliveries!C89</f>
        <v>4.9399996343679327</v>
      </c>
      <c r="D10">
        <f>Delliveries!D89</f>
        <v>2</v>
      </c>
      <c r="E10">
        <f>D10*_xlfn.XLOOKUP(A10,Tariff!A:A,Tariff!B:B)</f>
        <v>12</v>
      </c>
      <c r="F10">
        <f>_xlfn.XLOOKUP($F$1,Tariff!A:A,Tariff!B:B)</f>
        <v>1.2</v>
      </c>
      <c r="G10" s="2">
        <f>F10*C10</f>
        <v>5.9279995612415188</v>
      </c>
      <c r="H10" s="2">
        <f>E10-G10</f>
        <v>6.0720004387584812</v>
      </c>
      <c r="J10">
        <f>WEEKNUM(B10,2)</f>
        <v>12</v>
      </c>
    </row>
    <row r="11" spans="1:10" x14ac:dyDescent="0.25">
      <c r="A11" t="str">
        <f>Delliveries!A98</f>
        <v>Б</v>
      </c>
      <c r="B11" s="1">
        <f>Delliveries!B98</f>
        <v>44999</v>
      </c>
      <c r="C11" s="2">
        <f>Delliveries!C98</f>
        <v>7.4434787031997152</v>
      </c>
      <c r="D11">
        <f>Delliveries!D98</f>
        <v>3</v>
      </c>
      <c r="E11">
        <f>D11*_xlfn.XLOOKUP(A11,Tariff!A:A,Tariff!B:B)</f>
        <v>18</v>
      </c>
      <c r="F11">
        <f>_xlfn.XLOOKUP($F$1,Tariff!A:A,Tariff!B:B)</f>
        <v>1.2</v>
      </c>
      <c r="G11" s="2">
        <f>F11*C11</f>
        <v>8.9321744438396582</v>
      </c>
      <c r="H11" s="2">
        <f>E11-G11</f>
        <v>9.0678255561603418</v>
      </c>
      <c r="J11">
        <f>WEEKNUM(B11,2)</f>
        <v>12</v>
      </c>
    </row>
    <row r="12" spans="1:10" x14ac:dyDescent="0.25">
      <c r="A12" t="str">
        <f>Delliveries!A104</f>
        <v>Б</v>
      </c>
      <c r="B12" s="1">
        <f>Delliveries!B104</f>
        <v>44999</v>
      </c>
      <c r="C12" s="2">
        <f>Delliveries!C104</f>
        <v>9.010962752005474</v>
      </c>
      <c r="D12">
        <f>Delliveries!D104</f>
        <v>3</v>
      </c>
      <c r="E12">
        <f>D12*_xlfn.XLOOKUP(A12,Tariff!A:A,Tariff!B:B)</f>
        <v>18</v>
      </c>
      <c r="F12">
        <f>_xlfn.XLOOKUP($F$1,Tariff!A:A,Tariff!B:B)</f>
        <v>1.2</v>
      </c>
      <c r="G12" s="2">
        <f>F12*C12</f>
        <v>10.813155302406569</v>
      </c>
      <c r="H12" s="2">
        <f>E12-G12</f>
        <v>7.1868446975934308</v>
      </c>
      <c r="J12">
        <f>WEEKNUM(B12,2)</f>
        <v>12</v>
      </c>
    </row>
    <row r="13" spans="1:10" x14ac:dyDescent="0.25">
      <c r="A13" t="str">
        <f>Delliveries!A114</f>
        <v>Б</v>
      </c>
      <c r="B13" s="1">
        <f>Delliveries!B114</f>
        <v>44999</v>
      </c>
      <c r="C13" s="2">
        <f>Delliveries!C114</f>
        <v>16.525967241075136</v>
      </c>
      <c r="D13">
        <f>Delliveries!D114</f>
        <v>4</v>
      </c>
      <c r="E13">
        <f>D13*_xlfn.XLOOKUP(A13,Tariff!A:A,Tariff!B:B)</f>
        <v>24</v>
      </c>
      <c r="F13">
        <f>_xlfn.XLOOKUP($F$1,Tariff!A:A,Tariff!B:B)</f>
        <v>1.2</v>
      </c>
      <c r="G13" s="2">
        <f>F13*C13</f>
        <v>19.831160689290162</v>
      </c>
      <c r="H13" s="2">
        <f>E13-G13</f>
        <v>4.1688393107098385</v>
      </c>
      <c r="J13">
        <f>WEEKNUM(B13,2)</f>
        <v>12</v>
      </c>
    </row>
    <row r="14" spans="1:10" x14ac:dyDescent="0.25">
      <c r="A14" t="str">
        <f>Delliveries!A135</f>
        <v>Б</v>
      </c>
      <c r="B14" s="1">
        <f>Delliveries!B135</f>
        <v>44999</v>
      </c>
      <c r="C14" s="2">
        <f>Delliveries!C135</f>
        <v>12.783186050117552</v>
      </c>
      <c r="D14">
        <f>Delliveries!D135</f>
        <v>5</v>
      </c>
      <c r="E14">
        <f>D14*_xlfn.XLOOKUP(A14,Tariff!A:A,Tariff!B:B)</f>
        <v>30</v>
      </c>
      <c r="F14">
        <f>_xlfn.XLOOKUP($F$1,Tariff!A:A,Tariff!B:B)</f>
        <v>1.2</v>
      </c>
      <c r="G14" s="2">
        <f>F14*C14</f>
        <v>15.339823260141062</v>
      </c>
      <c r="H14" s="2">
        <f>E14-G14</f>
        <v>14.660176739858938</v>
      </c>
      <c r="J14">
        <f>WEEKNUM(B14,2)</f>
        <v>12</v>
      </c>
    </row>
    <row r="15" spans="1:10" x14ac:dyDescent="0.25">
      <c r="A15" t="str">
        <f>Delliveries!A145</f>
        <v>Б</v>
      </c>
      <c r="B15" s="1">
        <f>Delliveries!B145</f>
        <v>44999</v>
      </c>
      <c r="C15" s="2">
        <f>Delliveries!C145</f>
        <v>11.919848307269906</v>
      </c>
      <c r="D15">
        <f>Delliveries!D145</f>
        <v>6</v>
      </c>
      <c r="E15">
        <f>D15*_xlfn.XLOOKUP(A15,Tariff!A:A,Tariff!B:B)</f>
        <v>36</v>
      </c>
      <c r="F15">
        <f>_xlfn.XLOOKUP($F$1,Tariff!A:A,Tariff!B:B)</f>
        <v>1.2</v>
      </c>
      <c r="G15" s="2">
        <f>F15*C15</f>
        <v>14.303817968723886</v>
      </c>
      <c r="H15" s="2">
        <f>E15-G15</f>
        <v>21.696182031276116</v>
      </c>
      <c r="J15">
        <f>WEEKNUM(B15,2)</f>
        <v>12</v>
      </c>
    </row>
    <row r="16" spans="1:10" x14ac:dyDescent="0.25">
      <c r="A16" t="str">
        <f>Delliveries!A163</f>
        <v>С</v>
      </c>
      <c r="B16" s="1">
        <f>Delliveries!B163</f>
        <v>44999</v>
      </c>
      <c r="C16" s="2">
        <f>Delliveries!C163</f>
        <v>3.3423934972474512</v>
      </c>
      <c r="D16">
        <f>Delliveries!D163</f>
        <v>2</v>
      </c>
      <c r="E16">
        <f>D16*_xlfn.XLOOKUP(A16,Tariff!A:A,Tariff!B:B)</f>
        <v>16</v>
      </c>
      <c r="F16">
        <f>_xlfn.XLOOKUP($F$1,Tariff!A:A,Tariff!B:B)</f>
        <v>1.2</v>
      </c>
      <c r="G16" s="2">
        <f>F16*C16</f>
        <v>4.0108721966969414</v>
      </c>
      <c r="H16" s="2">
        <f>E16-G16</f>
        <v>11.989127803303059</v>
      </c>
      <c r="J16">
        <f>WEEKNUM(B16,2)</f>
        <v>12</v>
      </c>
    </row>
    <row r="17" spans="1:10" x14ac:dyDescent="0.25">
      <c r="A17" t="str">
        <f>Delliveries!A166</f>
        <v>С</v>
      </c>
      <c r="B17" s="1">
        <f>Delliveries!B166</f>
        <v>44999</v>
      </c>
      <c r="C17" s="2">
        <f>Delliveries!C166</f>
        <v>11.68563345094684</v>
      </c>
      <c r="D17">
        <f>Delliveries!D166</f>
        <v>3</v>
      </c>
      <c r="E17">
        <f>D17*_xlfn.XLOOKUP(A17,Tariff!A:A,Tariff!B:B)</f>
        <v>24</v>
      </c>
      <c r="F17">
        <f>_xlfn.XLOOKUP($F$1,Tariff!A:A,Tariff!B:B)</f>
        <v>1.2</v>
      </c>
      <c r="G17" s="2">
        <f>F17*C17</f>
        <v>14.022760141136208</v>
      </c>
      <c r="H17" s="2">
        <f>E17-G17</f>
        <v>9.9772398588637916</v>
      </c>
      <c r="J17">
        <f>WEEKNUM(B17,2)</f>
        <v>12</v>
      </c>
    </row>
    <row r="18" spans="1:10" x14ac:dyDescent="0.25">
      <c r="A18" t="str">
        <f>Delliveries!A169</f>
        <v>С</v>
      </c>
      <c r="B18" s="1">
        <f>Delliveries!B169</f>
        <v>44999</v>
      </c>
      <c r="C18" s="2">
        <f>Delliveries!C169</f>
        <v>8.2629240681629028</v>
      </c>
      <c r="D18">
        <f>Delliveries!D169</f>
        <v>3</v>
      </c>
      <c r="E18">
        <f>D18*_xlfn.XLOOKUP(A18,Tariff!A:A,Tariff!B:B)</f>
        <v>24</v>
      </c>
      <c r="F18">
        <f>_xlfn.XLOOKUP($F$1,Tariff!A:A,Tariff!B:B)</f>
        <v>1.2</v>
      </c>
      <c r="G18" s="2">
        <f>F18*C18</f>
        <v>9.9155088817954837</v>
      </c>
      <c r="H18" s="2">
        <f>E18-G18</f>
        <v>14.084491118204516</v>
      </c>
      <c r="J18">
        <f>WEEKNUM(B18,2)</f>
        <v>12</v>
      </c>
    </row>
    <row r="19" spans="1:10" x14ac:dyDescent="0.25">
      <c r="A19" t="str">
        <f>Delliveries!A193</f>
        <v>С</v>
      </c>
      <c r="B19" s="1">
        <f>Delliveries!B193</f>
        <v>44999</v>
      </c>
      <c r="C19" s="2">
        <f>Delliveries!C193</f>
        <v>18.657925368272444</v>
      </c>
      <c r="D19">
        <f>Delliveries!D193</f>
        <v>7</v>
      </c>
      <c r="E19">
        <f>D19*_xlfn.XLOOKUP(A19,Tariff!A:A,Tariff!B:B)</f>
        <v>56</v>
      </c>
      <c r="F19">
        <f>_xlfn.XLOOKUP($F$1,Tariff!A:A,Tariff!B:B)</f>
        <v>1.2</v>
      </c>
      <c r="G19" s="2">
        <f>F19*C19</f>
        <v>22.389510441926934</v>
      </c>
      <c r="H19" s="2">
        <f>E19-G19</f>
        <v>33.61048955807307</v>
      </c>
      <c r="J19">
        <f>WEEKNUM(B19,2)</f>
        <v>12</v>
      </c>
    </row>
    <row r="20" spans="1:10" x14ac:dyDescent="0.25">
      <c r="A20" t="str">
        <f>Delliveries!A16</f>
        <v>А</v>
      </c>
      <c r="B20" s="1">
        <f>Delliveries!B16</f>
        <v>45000</v>
      </c>
      <c r="C20" s="2">
        <f>Delliveries!C16</f>
        <v>3.3894242984271994</v>
      </c>
      <c r="D20">
        <f>Delliveries!D16</f>
        <v>2</v>
      </c>
      <c r="E20">
        <f>D20*_xlfn.XLOOKUP(A20,Tariff!A:A,Tariff!B:B)</f>
        <v>10</v>
      </c>
      <c r="F20">
        <f>_xlfn.XLOOKUP($F$1,Tariff!A:A,Tariff!B:B)</f>
        <v>1.2</v>
      </c>
      <c r="G20" s="2">
        <f>F20*C20</f>
        <v>4.0673091581126393</v>
      </c>
      <c r="H20" s="2">
        <f>E20-G20</f>
        <v>5.9326908418873607</v>
      </c>
      <c r="J20">
        <f>WEEKNUM(B20,2)</f>
        <v>12</v>
      </c>
    </row>
    <row r="21" spans="1:10" x14ac:dyDescent="0.25">
      <c r="A21" t="str">
        <f>Delliveries!A17</f>
        <v>А</v>
      </c>
      <c r="B21" s="1">
        <f>Delliveries!B17</f>
        <v>45000</v>
      </c>
      <c r="C21" s="2">
        <f>Delliveries!C17</f>
        <v>7.7441507034849018</v>
      </c>
      <c r="D21">
        <f>Delliveries!D17</f>
        <v>2</v>
      </c>
      <c r="E21">
        <f>D21*_xlfn.XLOOKUP(A21,Tariff!A:A,Tariff!B:B)</f>
        <v>10</v>
      </c>
      <c r="F21">
        <f>_xlfn.XLOOKUP($F$1,Tariff!A:A,Tariff!B:B)</f>
        <v>1.2</v>
      </c>
      <c r="G21" s="2">
        <f>F21*C21</f>
        <v>9.2929808441818817</v>
      </c>
      <c r="H21" s="2">
        <f>E21-G21</f>
        <v>0.70701915581811825</v>
      </c>
      <c r="J21">
        <f>WEEKNUM(B21,2)</f>
        <v>12</v>
      </c>
    </row>
    <row r="22" spans="1:10" x14ac:dyDescent="0.25">
      <c r="A22" t="str">
        <f>Delliveries!A23</f>
        <v>А</v>
      </c>
      <c r="B22" s="1">
        <f>Delliveries!B23</f>
        <v>45000</v>
      </c>
      <c r="C22" s="2">
        <f>Delliveries!C23</f>
        <v>6.2834810994938834</v>
      </c>
      <c r="D22">
        <f>Delliveries!D23</f>
        <v>3</v>
      </c>
      <c r="E22">
        <f>D22*_xlfn.XLOOKUP(A22,Tariff!A:A,Tariff!B:B)</f>
        <v>15</v>
      </c>
      <c r="F22">
        <f>_xlfn.XLOOKUP($F$1,Tariff!A:A,Tariff!B:B)</f>
        <v>1.2</v>
      </c>
      <c r="G22" s="2">
        <f>F22*C22</f>
        <v>7.5401773193926598</v>
      </c>
      <c r="H22" s="2">
        <f>E22-G22</f>
        <v>7.4598226806073402</v>
      </c>
      <c r="J22">
        <f>WEEKNUM(B22,2)</f>
        <v>12</v>
      </c>
    </row>
    <row r="23" spans="1:10" x14ac:dyDescent="0.25">
      <c r="A23" t="str">
        <f>Delliveries!A61</f>
        <v>А</v>
      </c>
      <c r="B23" s="1">
        <f>Delliveries!B61</f>
        <v>45000</v>
      </c>
      <c r="C23" s="2">
        <f>Delliveries!C61</f>
        <v>19.47772112806787</v>
      </c>
      <c r="D23">
        <f>Delliveries!D61</f>
        <v>10</v>
      </c>
      <c r="E23">
        <f>D23*_xlfn.XLOOKUP(A23,Tariff!A:A,Tariff!B:B)</f>
        <v>50</v>
      </c>
      <c r="F23">
        <f>_xlfn.XLOOKUP($F$1,Tariff!A:A,Tariff!B:B)</f>
        <v>1.2</v>
      </c>
      <c r="G23" s="2">
        <f>F23*C23</f>
        <v>23.373265353681443</v>
      </c>
      <c r="H23" s="2">
        <f>E23-G23</f>
        <v>26.626734646318557</v>
      </c>
      <c r="J23">
        <f>WEEKNUM(B23,2)</f>
        <v>12</v>
      </c>
    </row>
    <row r="24" spans="1:10" x14ac:dyDescent="0.25">
      <c r="A24" t="str">
        <f>Delliveries!A71</f>
        <v>Б</v>
      </c>
      <c r="B24" s="1">
        <f>Delliveries!B71</f>
        <v>45000</v>
      </c>
      <c r="C24" s="2">
        <f>Delliveries!C71</f>
        <v>0.23978501591510604</v>
      </c>
      <c r="D24">
        <f>Delliveries!D71</f>
        <v>1</v>
      </c>
      <c r="E24">
        <f>D24*_xlfn.XLOOKUP(A24,Tariff!A:A,Tariff!B:B)</f>
        <v>6</v>
      </c>
      <c r="F24">
        <f>_xlfn.XLOOKUP($F$1,Tariff!A:A,Tariff!B:B)</f>
        <v>1.2</v>
      </c>
      <c r="G24" s="2">
        <f>F24*C24</f>
        <v>0.28774201909812724</v>
      </c>
      <c r="H24" s="2">
        <f>E24-G24</f>
        <v>5.7122579809018728</v>
      </c>
      <c r="J24">
        <f>WEEKNUM(B24,2)</f>
        <v>12</v>
      </c>
    </row>
    <row r="25" spans="1:10" x14ac:dyDescent="0.25">
      <c r="A25" t="str">
        <f>Delliveries!A90</f>
        <v>Б</v>
      </c>
      <c r="B25" s="1">
        <f>Delliveries!B90</f>
        <v>45000</v>
      </c>
      <c r="C25" s="2">
        <f>Delliveries!C90</f>
        <v>7.4718449963704074</v>
      </c>
      <c r="D25">
        <f>Delliveries!D90</f>
        <v>2</v>
      </c>
      <c r="E25">
        <f>D25*_xlfn.XLOOKUP(A25,Tariff!A:A,Tariff!B:B)</f>
        <v>12</v>
      </c>
      <c r="F25">
        <f>_xlfn.XLOOKUP($F$1,Tariff!A:A,Tariff!B:B)</f>
        <v>1.2</v>
      </c>
      <c r="G25" s="2">
        <f>F25*C25</f>
        <v>8.9662139956444893</v>
      </c>
      <c r="H25" s="2">
        <f>E25-G25</f>
        <v>3.0337860043555107</v>
      </c>
      <c r="J25">
        <f>WEEKNUM(B25,2)</f>
        <v>12</v>
      </c>
    </row>
    <row r="26" spans="1:10" x14ac:dyDescent="0.25">
      <c r="A26" t="str">
        <f>Delliveries!A99</f>
        <v>Б</v>
      </c>
      <c r="B26" s="1">
        <f>Delliveries!B99</f>
        <v>45000</v>
      </c>
      <c r="C26" s="2">
        <f>Delliveries!C99</f>
        <v>5.8968485879308297</v>
      </c>
      <c r="D26">
        <f>Delliveries!D99</f>
        <v>3</v>
      </c>
      <c r="E26">
        <f>D26*_xlfn.XLOOKUP(A26,Tariff!A:A,Tariff!B:B)</f>
        <v>18</v>
      </c>
      <c r="F26">
        <f>_xlfn.XLOOKUP($F$1,Tariff!A:A,Tariff!B:B)</f>
        <v>1.2</v>
      </c>
      <c r="G26" s="2">
        <f>F26*C26</f>
        <v>7.0762183055169956</v>
      </c>
      <c r="H26" s="2">
        <f>E26-G26</f>
        <v>10.923781694483004</v>
      </c>
      <c r="J26">
        <f>WEEKNUM(B26,2)</f>
        <v>12</v>
      </c>
    </row>
    <row r="27" spans="1:10" x14ac:dyDescent="0.25">
      <c r="A27" t="str">
        <f>Delliveries!A105</f>
        <v>Б</v>
      </c>
      <c r="B27" s="1">
        <f>Delliveries!B105</f>
        <v>45000</v>
      </c>
      <c r="C27" s="2">
        <f>Delliveries!C105</f>
        <v>6.3377737253419975</v>
      </c>
      <c r="D27">
        <f>Delliveries!D105</f>
        <v>3</v>
      </c>
      <c r="E27">
        <f>D27*_xlfn.XLOOKUP(A27,Tariff!A:A,Tariff!B:B)</f>
        <v>18</v>
      </c>
      <c r="F27">
        <f>_xlfn.XLOOKUP($F$1,Tariff!A:A,Tariff!B:B)</f>
        <v>1.2</v>
      </c>
      <c r="G27" s="2">
        <f>F27*C27</f>
        <v>7.6053284704103969</v>
      </c>
      <c r="H27" s="2">
        <f>E27-G27</f>
        <v>10.394671529589603</v>
      </c>
      <c r="J27">
        <f>WEEKNUM(B27,2)</f>
        <v>12</v>
      </c>
    </row>
    <row r="28" spans="1:10" x14ac:dyDescent="0.25">
      <c r="A28" t="str">
        <f>Delliveries!A117</f>
        <v>Б</v>
      </c>
      <c r="B28" s="1">
        <f>Delliveries!B117</f>
        <v>45000</v>
      </c>
      <c r="C28" s="2">
        <f>Delliveries!C117</f>
        <v>18.203783511423751</v>
      </c>
      <c r="D28">
        <f>Delliveries!D117</f>
        <v>4</v>
      </c>
      <c r="E28">
        <f>D28*_xlfn.XLOOKUP(A28,Tariff!A:A,Tariff!B:B)</f>
        <v>24</v>
      </c>
      <c r="F28">
        <f>_xlfn.XLOOKUP($F$1,Tariff!A:A,Tariff!B:B)</f>
        <v>1.2</v>
      </c>
      <c r="G28" s="2">
        <f>F28*C28</f>
        <v>21.844540213708502</v>
      </c>
      <c r="H28" s="2">
        <f>E28-G28</f>
        <v>2.1554597862914981</v>
      </c>
      <c r="J28">
        <f>WEEKNUM(B28,2)</f>
        <v>12</v>
      </c>
    </row>
    <row r="29" spans="1:10" x14ac:dyDescent="0.25">
      <c r="A29" t="str">
        <f>Delliveries!A134</f>
        <v>Б</v>
      </c>
      <c r="B29" s="1">
        <f>Delliveries!B134</f>
        <v>45000</v>
      </c>
      <c r="C29" s="2">
        <f>Delliveries!C134</f>
        <v>17.26056844169058</v>
      </c>
      <c r="D29">
        <f>Delliveries!D134</f>
        <v>5</v>
      </c>
      <c r="E29">
        <f>D29*_xlfn.XLOOKUP(A29,Tariff!A:A,Tariff!B:B)</f>
        <v>30</v>
      </c>
      <c r="F29">
        <f>_xlfn.XLOOKUP($F$1,Tariff!A:A,Tariff!B:B)</f>
        <v>1.2</v>
      </c>
      <c r="G29" s="2">
        <f>F29*C29</f>
        <v>20.712682130028696</v>
      </c>
      <c r="H29" s="2">
        <f>E29-G29</f>
        <v>9.2873178699713037</v>
      </c>
      <c r="J29">
        <f>WEEKNUM(B29,2)</f>
        <v>12</v>
      </c>
    </row>
    <row r="30" spans="1:10" x14ac:dyDescent="0.25">
      <c r="A30" t="str">
        <f>Delliveries!A137</f>
        <v>Б</v>
      </c>
      <c r="B30" s="1">
        <f>Delliveries!B137</f>
        <v>45000</v>
      </c>
      <c r="C30" s="2">
        <f>Delliveries!C137</f>
        <v>8.1815870010417928</v>
      </c>
      <c r="D30">
        <f>Delliveries!D137</f>
        <v>5</v>
      </c>
      <c r="E30">
        <f>D30*_xlfn.XLOOKUP(A30,Tariff!A:A,Tariff!B:B)</f>
        <v>30</v>
      </c>
      <c r="F30">
        <f>_xlfn.XLOOKUP($F$1,Tariff!A:A,Tariff!B:B)</f>
        <v>1.2</v>
      </c>
      <c r="G30" s="2">
        <f>F30*C30</f>
        <v>9.8179044012501517</v>
      </c>
      <c r="H30" s="2">
        <f>E30-G30</f>
        <v>20.182095598749846</v>
      </c>
      <c r="J30">
        <f>WEEKNUM(B30,2)</f>
        <v>12</v>
      </c>
    </row>
    <row r="31" spans="1:10" x14ac:dyDescent="0.25">
      <c r="A31" t="str">
        <f>Delliveries!A149</f>
        <v>Б</v>
      </c>
      <c r="B31" s="1">
        <f>Delliveries!B149</f>
        <v>45000</v>
      </c>
      <c r="C31" s="2">
        <f>Delliveries!C149</f>
        <v>13.885091408400855</v>
      </c>
      <c r="D31">
        <f>Delliveries!D149</f>
        <v>7</v>
      </c>
      <c r="E31">
        <f>D31*_xlfn.XLOOKUP(A31,Tariff!A:A,Tariff!B:B)</f>
        <v>42</v>
      </c>
      <c r="F31">
        <f>_xlfn.XLOOKUP($F$1,Tariff!A:A,Tariff!B:B)</f>
        <v>1.2</v>
      </c>
      <c r="G31" s="2">
        <f>F31*C31</f>
        <v>16.662109690081024</v>
      </c>
      <c r="H31" s="2">
        <f>E31-G31</f>
        <v>25.337890309918976</v>
      </c>
      <c r="J31">
        <f>WEEKNUM(B31,2)</f>
        <v>12</v>
      </c>
    </row>
    <row r="32" spans="1:10" x14ac:dyDescent="0.25">
      <c r="A32" t="str">
        <f>Delliveries!A158</f>
        <v>С</v>
      </c>
      <c r="B32" s="1">
        <f>Delliveries!B158</f>
        <v>45000</v>
      </c>
      <c r="C32" s="2">
        <f>Delliveries!C158</f>
        <v>3.1847691532445843</v>
      </c>
      <c r="D32">
        <f>Delliveries!D158</f>
        <v>1</v>
      </c>
      <c r="E32">
        <f>D32*_xlfn.XLOOKUP(A32,Tariff!A:A,Tariff!B:B)</f>
        <v>8</v>
      </c>
      <c r="F32">
        <f>_xlfn.XLOOKUP($F$1,Tariff!A:A,Tariff!B:B)</f>
        <v>1.2</v>
      </c>
      <c r="G32" s="2">
        <f>F32*C32</f>
        <v>3.8217229838935012</v>
      </c>
      <c r="H32" s="2">
        <f>E32-G32</f>
        <v>4.1782770161064988</v>
      </c>
      <c r="J32">
        <f>WEEKNUM(B32,2)</f>
        <v>12</v>
      </c>
    </row>
    <row r="33" spans="1:10" x14ac:dyDescent="0.25">
      <c r="A33" t="str">
        <f>Delliveries!A162</f>
        <v>С</v>
      </c>
      <c r="B33" s="1">
        <f>Delliveries!B162</f>
        <v>45000</v>
      </c>
      <c r="C33" s="2">
        <f>Delliveries!C162</f>
        <v>6.1162233036959401</v>
      </c>
      <c r="D33">
        <f>Delliveries!D162</f>
        <v>2</v>
      </c>
      <c r="E33">
        <f>D33*_xlfn.XLOOKUP(A33,Tariff!A:A,Tariff!B:B)</f>
        <v>16</v>
      </c>
      <c r="F33">
        <f>_xlfn.XLOOKUP($F$1,Tariff!A:A,Tariff!B:B)</f>
        <v>1.2</v>
      </c>
      <c r="G33" s="2">
        <f>F33*C33</f>
        <v>7.3394679644351282</v>
      </c>
      <c r="H33" s="2">
        <f>E33-G33</f>
        <v>8.6605320355648718</v>
      </c>
      <c r="J33">
        <f>WEEKNUM(B33,2)</f>
        <v>12</v>
      </c>
    </row>
    <row r="34" spans="1:10" x14ac:dyDescent="0.25">
      <c r="A34" t="str">
        <f>Delliveries!A179</f>
        <v>С</v>
      </c>
      <c r="B34" s="1">
        <f>Delliveries!B179</f>
        <v>45000</v>
      </c>
      <c r="C34" s="2">
        <f>Delliveries!C179</f>
        <v>13.518013293407138</v>
      </c>
      <c r="D34">
        <f>Delliveries!D179</f>
        <v>4</v>
      </c>
      <c r="E34">
        <f>D34*_xlfn.XLOOKUP(A34,Tariff!A:A,Tariff!B:B)</f>
        <v>32</v>
      </c>
      <c r="F34">
        <f>_xlfn.XLOOKUP($F$1,Tariff!A:A,Tariff!B:B)</f>
        <v>1.2</v>
      </c>
      <c r="G34" s="2">
        <f>F34*C34</f>
        <v>16.221615952088566</v>
      </c>
      <c r="H34" s="2">
        <f>E34-G34</f>
        <v>15.778384047911434</v>
      </c>
      <c r="J34">
        <f>WEEKNUM(B34,2)</f>
        <v>12</v>
      </c>
    </row>
    <row r="35" spans="1:10" x14ac:dyDescent="0.25">
      <c r="A35" t="str">
        <f>Delliveries!A180</f>
        <v>С</v>
      </c>
      <c r="B35" s="1">
        <f>Delliveries!B180</f>
        <v>45000</v>
      </c>
      <c r="C35" s="2">
        <f>Delliveries!C180</f>
        <v>15.7582270800057</v>
      </c>
      <c r="D35">
        <f>Delliveries!D180</f>
        <v>4</v>
      </c>
      <c r="E35">
        <f>D35*_xlfn.XLOOKUP(A35,Tariff!A:A,Tariff!B:B)</f>
        <v>32</v>
      </c>
      <c r="F35">
        <f>_xlfn.XLOOKUP($F$1,Tariff!A:A,Tariff!B:B)</f>
        <v>1.2</v>
      </c>
      <c r="G35" s="2">
        <f>F35*C35</f>
        <v>18.909872496006837</v>
      </c>
      <c r="H35" s="2">
        <f>E35-G35</f>
        <v>13.090127503993163</v>
      </c>
      <c r="J35">
        <f>WEEKNUM(B35,2)</f>
        <v>12</v>
      </c>
    </row>
    <row r="36" spans="1:10" x14ac:dyDescent="0.25">
      <c r="A36" t="str">
        <f>Delliveries!A187</f>
        <v>С</v>
      </c>
      <c r="B36" s="1">
        <f>Delliveries!B187</f>
        <v>45000</v>
      </c>
      <c r="C36" s="2">
        <f>Delliveries!C187</f>
        <v>19.719255747634147</v>
      </c>
      <c r="D36">
        <f>Delliveries!D187</f>
        <v>5</v>
      </c>
      <c r="E36">
        <f>D36*_xlfn.XLOOKUP(A36,Tariff!A:A,Tariff!B:B)</f>
        <v>40</v>
      </c>
      <c r="F36">
        <f>_xlfn.XLOOKUP($F$1,Tariff!A:A,Tariff!B:B)</f>
        <v>1.2</v>
      </c>
      <c r="G36" s="2">
        <f>F36*C36</f>
        <v>23.663106897160976</v>
      </c>
      <c r="H36" s="2">
        <f>E36-G36</f>
        <v>16.336893102839024</v>
      </c>
      <c r="J36">
        <f>WEEKNUM(B36,2)</f>
        <v>12</v>
      </c>
    </row>
    <row r="37" spans="1:10" x14ac:dyDescent="0.25">
      <c r="A37" t="str">
        <f>Delliveries!A191</f>
        <v>С</v>
      </c>
      <c r="B37" s="1">
        <f>Delliveries!B191</f>
        <v>45000</v>
      </c>
      <c r="C37" s="2">
        <f>Delliveries!C191</f>
        <v>11.403815150407308</v>
      </c>
      <c r="D37">
        <f>Delliveries!D191</f>
        <v>6</v>
      </c>
      <c r="E37">
        <f>D37*_xlfn.XLOOKUP(A37,Tariff!A:A,Tariff!B:B)</f>
        <v>48</v>
      </c>
      <c r="F37">
        <f>_xlfn.XLOOKUP($F$1,Tariff!A:A,Tariff!B:B)</f>
        <v>1.2</v>
      </c>
      <c r="G37" s="2">
        <f>F37*C37</f>
        <v>13.684578180488769</v>
      </c>
      <c r="H37" s="2">
        <f>E37-G37</f>
        <v>34.315421819511229</v>
      </c>
      <c r="J37">
        <f>WEEKNUM(B37,2)</f>
        <v>12</v>
      </c>
    </row>
    <row r="38" spans="1:10" x14ac:dyDescent="0.25">
      <c r="A38" t="str">
        <f>Delliveries!A197</f>
        <v>С</v>
      </c>
      <c r="B38" s="1">
        <f>Delliveries!B197</f>
        <v>45000</v>
      </c>
      <c r="C38" s="2">
        <f>Delliveries!C197</f>
        <v>14.352619816675743</v>
      </c>
      <c r="D38">
        <f>Delliveries!D197</f>
        <v>8</v>
      </c>
      <c r="E38">
        <f>D38*_xlfn.XLOOKUP(A38,Tariff!A:A,Tariff!B:B)</f>
        <v>64</v>
      </c>
      <c r="F38">
        <f>_xlfn.XLOOKUP($F$1,Tariff!A:A,Tariff!B:B)</f>
        <v>1.2</v>
      </c>
      <c r="G38" s="2">
        <f>F38*C38</f>
        <v>17.22314378001089</v>
      </c>
      <c r="H38" s="2">
        <f>E38-G38</f>
        <v>46.776856219989114</v>
      </c>
      <c r="J38">
        <f>WEEKNUM(B38,2)</f>
        <v>12</v>
      </c>
    </row>
    <row r="39" spans="1:10" x14ac:dyDescent="0.25">
      <c r="A39" t="str">
        <f>Delliveries!A3</f>
        <v>А</v>
      </c>
      <c r="B39" s="1">
        <f>Delliveries!B3</f>
        <v>45001</v>
      </c>
      <c r="C39" s="2">
        <f>Delliveries!C3</f>
        <v>3.0666583850624285</v>
      </c>
      <c r="D39">
        <f>Delliveries!D3</f>
        <v>1</v>
      </c>
      <c r="E39">
        <f>D39*_xlfn.XLOOKUP(A39,Tariff!A:A,Tariff!B:B)</f>
        <v>5</v>
      </c>
      <c r="F39">
        <f>_xlfn.XLOOKUP($F$1,Tariff!A:A,Tariff!B:B)</f>
        <v>1.2</v>
      </c>
      <c r="G39" s="2">
        <f>F39*C39</f>
        <v>3.6799900620749142</v>
      </c>
      <c r="H39" s="2">
        <f>E39-G39</f>
        <v>1.3200099379250858</v>
      </c>
      <c r="J39">
        <f>WEEKNUM(B39,2)</f>
        <v>12</v>
      </c>
    </row>
    <row r="40" spans="1:10" x14ac:dyDescent="0.25">
      <c r="A40" t="str">
        <f>Delliveries!A22</f>
        <v>А</v>
      </c>
      <c r="B40" s="1">
        <f>Delliveries!B22</f>
        <v>45001</v>
      </c>
      <c r="C40" s="2">
        <f>Delliveries!C22</f>
        <v>10.017111884576135</v>
      </c>
      <c r="D40">
        <f>Delliveries!D22</f>
        <v>3</v>
      </c>
      <c r="E40">
        <f>D40*_xlfn.XLOOKUP(A40,Tariff!A:A,Tariff!B:B)</f>
        <v>15</v>
      </c>
      <c r="F40">
        <f>_xlfn.XLOOKUP($F$1,Tariff!A:A,Tariff!B:B)</f>
        <v>1.2</v>
      </c>
      <c r="G40" s="2">
        <f>F40*C40</f>
        <v>12.020534261491362</v>
      </c>
      <c r="H40" s="2">
        <f>E40-G40</f>
        <v>2.9794657385086385</v>
      </c>
      <c r="J40">
        <f>WEEKNUM(B40,2)</f>
        <v>12</v>
      </c>
    </row>
    <row r="41" spans="1:10" x14ac:dyDescent="0.25">
      <c r="A41" t="str">
        <f>Delliveries!A32</f>
        <v>А</v>
      </c>
      <c r="B41" s="1">
        <f>Delliveries!B32</f>
        <v>45001</v>
      </c>
      <c r="C41" s="2">
        <f>Delliveries!C32</f>
        <v>6.4111274407611525</v>
      </c>
      <c r="D41">
        <f>Delliveries!D32</f>
        <v>4</v>
      </c>
      <c r="E41">
        <f>D41*_xlfn.XLOOKUP(A41,Tariff!A:A,Tariff!B:B)</f>
        <v>20</v>
      </c>
      <c r="F41">
        <f>_xlfn.XLOOKUP($F$1,Tariff!A:A,Tariff!B:B)</f>
        <v>1.2</v>
      </c>
      <c r="G41" s="2">
        <f>F41*C41</f>
        <v>7.6933529289133826</v>
      </c>
      <c r="H41" s="2">
        <f>E41-G41</f>
        <v>12.306647071086617</v>
      </c>
      <c r="J41">
        <f>WEEKNUM(B41,2)</f>
        <v>12</v>
      </c>
    </row>
    <row r="42" spans="1:10" x14ac:dyDescent="0.25">
      <c r="A42" t="str">
        <f>Delliveries!A64</f>
        <v>Б</v>
      </c>
      <c r="B42" s="1">
        <f>Delliveries!B64</f>
        <v>45001</v>
      </c>
      <c r="C42" s="2">
        <f>Delliveries!C64</f>
        <v>2.5890294338822284</v>
      </c>
      <c r="D42">
        <f>Delliveries!D64</f>
        <v>1</v>
      </c>
      <c r="E42">
        <f>D42*_xlfn.XLOOKUP(A42,Tariff!A:A,Tariff!B:B)</f>
        <v>6</v>
      </c>
      <c r="F42">
        <f>_xlfn.XLOOKUP($F$1,Tariff!A:A,Tariff!B:B)</f>
        <v>1.2</v>
      </c>
      <c r="G42" s="2">
        <f>F42*C42</f>
        <v>3.1068353206586741</v>
      </c>
      <c r="H42" s="2">
        <f>E42-G42</f>
        <v>2.8931646793413259</v>
      </c>
      <c r="J42">
        <f>WEEKNUM(B42,2)</f>
        <v>12</v>
      </c>
    </row>
    <row r="43" spans="1:10" x14ac:dyDescent="0.25">
      <c r="A43" t="str">
        <f>Delliveries!A69</f>
        <v>Б</v>
      </c>
      <c r="B43" s="1">
        <f>Delliveries!B69</f>
        <v>45001</v>
      </c>
      <c r="C43" s="2">
        <f>Delliveries!C69</f>
        <v>1.4198185559092025</v>
      </c>
      <c r="D43">
        <f>Delliveries!D69</f>
        <v>1</v>
      </c>
      <c r="E43">
        <f>D43*_xlfn.XLOOKUP(A43,Tariff!A:A,Tariff!B:B)</f>
        <v>6</v>
      </c>
      <c r="F43">
        <f>_xlfn.XLOOKUP($F$1,Tariff!A:A,Tariff!B:B)</f>
        <v>1.2</v>
      </c>
      <c r="G43" s="2">
        <f>F43*C43</f>
        <v>1.703782267091043</v>
      </c>
      <c r="H43" s="2">
        <f>E43-G43</f>
        <v>4.296217732908957</v>
      </c>
      <c r="J43">
        <f>WEEKNUM(B43,2)</f>
        <v>12</v>
      </c>
    </row>
    <row r="44" spans="1:10" x14ac:dyDescent="0.25">
      <c r="A44" t="str">
        <f>Delliveries!A101</f>
        <v>Б</v>
      </c>
      <c r="B44" s="1">
        <f>Delliveries!B101</f>
        <v>45001</v>
      </c>
      <c r="C44" s="2">
        <f>Delliveries!C101</f>
        <v>10.895048345102914</v>
      </c>
      <c r="D44">
        <f>Delliveries!D101</f>
        <v>3</v>
      </c>
      <c r="E44">
        <f>D44*_xlfn.XLOOKUP(A44,Tariff!A:A,Tariff!B:B)</f>
        <v>18</v>
      </c>
      <c r="F44">
        <f>_xlfn.XLOOKUP($F$1,Tariff!A:A,Tariff!B:B)</f>
        <v>1.2</v>
      </c>
      <c r="G44" s="2">
        <f>F44*C44</f>
        <v>13.074058014123496</v>
      </c>
      <c r="H44" s="2">
        <f>E44-G44</f>
        <v>4.9259419858765039</v>
      </c>
      <c r="J44">
        <f>WEEKNUM(B44,2)</f>
        <v>12</v>
      </c>
    </row>
    <row r="45" spans="1:10" x14ac:dyDescent="0.25">
      <c r="A45" t="str">
        <f>Delliveries!A112</f>
        <v>Б</v>
      </c>
      <c r="B45" s="1">
        <f>Delliveries!B112</f>
        <v>45001</v>
      </c>
      <c r="C45" s="2">
        <f>Delliveries!C112</f>
        <v>9.1249213037691881</v>
      </c>
      <c r="D45">
        <f>Delliveries!D112</f>
        <v>4</v>
      </c>
      <c r="E45">
        <f>D45*_xlfn.XLOOKUP(A45,Tariff!A:A,Tariff!B:B)</f>
        <v>24</v>
      </c>
      <c r="F45">
        <f>_xlfn.XLOOKUP($F$1,Tariff!A:A,Tariff!B:B)</f>
        <v>1.2</v>
      </c>
      <c r="G45" s="2">
        <f>F45*C45</f>
        <v>10.949905564523025</v>
      </c>
      <c r="H45" s="2">
        <f>E45-G45</f>
        <v>13.050094435476975</v>
      </c>
      <c r="J45">
        <f>WEEKNUM(B45,2)</f>
        <v>12</v>
      </c>
    </row>
    <row r="46" spans="1:10" x14ac:dyDescent="0.25">
      <c r="A46" t="str">
        <f>Delliveries!A118</f>
        <v>Б</v>
      </c>
      <c r="B46" s="1">
        <f>Delliveries!B118</f>
        <v>45001</v>
      </c>
      <c r="C46" s="2">
        <f>Delliveries!C118</f>
        <v>14.578950739481339</v>
      </c>
      <c r="D46">
        <f>Delliveries!D118</f>
        <v>4</v>
      </c>
      <c r="E46">
        <f>D46*_xlfn.XLOOKUP(A46,Tariff!A:A,Tariff!B:B)</f>
        <v>24</v>
      </c>
      <c r="F46">
        <f>_xlfn.XLOOKUP($F$1,Tariff!A:A,Tariff!B:B)</f>
        <v>1.2</v>
      </c>
      <c r="G46" s="2">
        <f>F46*C46</f>
        <v>17.494740887377606</v>
      </c>
      <c r="H46" s="2">
        <f>E46-G46</f>
        <v>6.5052591126223938</v>
      </c>
      <c r="J46">
        <f>WEEKNUM(B46,2)</f>
        <v>12</v>
      </c>
    </row>
    <row r="47" spans="1:10" x14ac:dyDescent="0.25">
      <c r="A47" t="str">
        <f>Delliveries!A136</f>
        <v>Б</v>
      </c>
      <c r="B47" s="1">
        <f>Delliveries!B136</f>
        <v>45001</v>
      </c>
      <c r="C47" s="2">
        <f>Delliveries!C136</f>
        <v>19.62385974801693</v>
      </c>
      <c r="D47">
        <f>Delliveries!D136</f>
        <v>5</v>
      </c>
      <c r="E47">
        <f>D47*_xlfn.XLOOKUP(A47,Tariff!A:A,Tariff!B:B)</f>
        <v>30</v>
      </c>
      <c r="F47">
        <f>_xlfn.XLOOKUP($F$1,Tariff!A:A,Tariff!B:B)</f>
        <v>1.2</v>
      </c>
      <c r="G47" s="2">
        <f>F47*C47</f>
        <v>23.548631697620316</v>
      </c>
      <c r="H47" s="2">
        <f>E47-G47</f>
        <v>6.4513683023796844</v>
      </c>
      <c r="J47">
        <f>WEEKNUM(B47,2)</f>
        <v>12</v>
      </c>
    </row>
    <row r="48" spans="1:10" x14ac:dyDescent="0.25">
      <c r="A48" t="str">
        <f>Delliveries!A144</f>
        <v>Б</v>
      </c>
      <c r="B48" s="1">
        <f>Delliveries!B144</f>
        <v>45001</v>
      </c>
      <c r="C48" s="2">
        <f>Delliveries!C144</f>
        <v>10.755325702206573</v>
      </c>
      <c r="D48">
        <f>Delliveries!D144</f>
        <v>6</v>
      </c>
      <c r="E48">
        <f>D48*_xlfn.XLOOKUP(A48,Tariff!A:A,Tariff!B:B)</f>
        <v>36</v>
      </c>
      <c r="F48">
        <f>_xlfn.XLOOKUP($F$1,Tariff!A:A,Tariff!B:B)</f>
        <v>1.2</v>
      </c>
      <c r="G48" s="2">
        <f>F48*C48</f>
        <v>12.906390842647887</v>
      </c>
      <c r="H48" s="2">
        <f>E48-G48</f>
        <v>23.093609157352113</v>
      </c>
      <c r="J48">
        <f>WEEKNUM(B48,2)</f>
        <v>12</v>
      </c>
    </row>
    <row r="49" spans="1:10" x14ac:dyDescent="0.25">
      <c r="A49" t="str">
        <f>Delliveries!A161</f>
        <v>С</v>
      </c>
      <c r="B49" s="1">
        <f>Delliveries!B161</f>
        <v>45001</v>
      </c>
      <c r="C49" s="2">
        <f>Delliveries!C161</f>
        <v>3.6574132895151812</v>
      </c>
      <c r="D49">
        <f>Delliveries!D161</f>
        <v>2</v>
      </c>
      <c r="E49">
        <f>D49*_xlfn.XLOOKUP(A49,Tariff!A:A,Tariff!B:B)</f>
        <v>16</v>
      </c>
      <c r="F49">
        <f>_xlfn.XLOOKUP($F$1,Tariff!A:A,Tariff!B:B)</f>
        <v>1.2</v>
      </c>
      <c r="G49" s="2">
        <f>F49*C49</f>
        <v>4.3888959474182174</v>
      </c>
      <c r="H49" s="2">
        <f>E49-G49</f>
        <v>11.611104052581783</v>
      </c>
      <c r="J49">
        <f>WEEKNUM(B49,2)</f>
        <v>12</v>
      </c>
    </row>
    <row r="50" spans="1:10" x14ac:dyDescent="0.25">
      <c r="A50" t="str">
        <f>Delliveries!A172</f>
        <v>С</v>
      </c>
      <c r="B50" s="1">
        <f>Delliveries!B172</f>
        <v>45001</v>
      </c>
      <c r="C50" s="2">
        <f>Delliveries!C172</f>
        <v>10.146979894739069</v>
      </c>
      <c r="D50">
        <f>Delliveries!D172</f>
        <v>3</v>
      </c>
      <c r="E50">
        <f>D50*_xlfn.XLOOKUP(A50,Tariff!A:A,Tariff!B:B)</f>
        <v>24</v>
      </c>
      <c r="F50">
        <f>_xlfn.XLOOKUP($F$1,Tariff!A:A,Tariff!B:B)</f>
        <v>1.2</v>
      </c>
      <c r="G50" s="2">
        <f>F50*C50</f>
        <v>12.176375873686881</v>
      </c>
      <c r="H50" s="2">
        <f>E50-G50</f>
        <v>11.823624126313119</v>
      </c>
      <c r="J50">
        <f>WEEKNUM(B50,2)</f>
        <v>12</v>
      </c>
    </row>
    <row r="51" spans="1:10" x14ac:dyDescent="0.25">
      <c r="A51" t="str">
        <f>Delliveries!A186</f>
        <v>С</v>
      </c>
      <c r="B51" s="1">
        <f>Delliveries!B186</f>
        <v>45001</v>
      </c>
      <c r="C51" s="2">
        <f>Delliveries!C186</f>
        <v>16.147241905131786</v>
      </c>
      <c r="D51">
        <f>Delliveries!D186</f>
        <v>5</v>
      </c>
      <c r="E51">
        <f>D51*_xlfn.XLOOKUP(A51,Tariff!A:A,Tariff!B:B)</f>
        <v>40</v>
      </c>
      <c r="F51">
        <f>_xlfn.XLOOKUP($F$1,Tariff!A:A,Tariff!B:B)</f>
        <v>1.2</v>
      </c>
      <c r="G51" s="2">
        <f>F51*C51</f>
        <v>19.376690286158141</v>
      </c>
      <c r="H51" s="2">
        <f>E51-G51</f>
        <v>20.623309713841859</v>
      </c>
      <c r="J51">
        <f>WEEKNUM(B51,2)</f>
        <v>12</v>
      </c>
    </row>
    <row r="52" spans="1:10" x14ac:dyDescent="0.25">
      <c r="A52" t="str">
        <f>Delliveries!A188</f>
        <v>С</v>
      </c>
      <c r="B52" s="1">
        <f>Delliveries!B188</f>
        <v>45001</v>
      </c>
      <c r="C52" s="2">
        <f>Delliveries!C188</f>
        <v>16.790090454595997</v>
      </c>
      <c r="D52">
        <f>Delliveries!D188</f>
        <v>5</v>
      </c>
      <c r="E52">
        <f>D52*_xlfn.XLOOKUP(A52,Tariff!A:A,Tariff!B:B)</f>
        <v>40</v>
      </c>
      <c r="F52">
        <f>_xlfn.XLOOKUP($F$1,Tariff!A:A,Tariff!B:B)</f>
        <v>1.2</v>
      </c>
      <c r="G52" s="2">
        <f>F52*C52</f>
        <v>20.148108545515196</v>
      </c>
      <c r="H52" s="2">
        <f>E52-G52</f>
        <v>19.851891454484804</v>
      </c>
      <c r="J52">
        <f>WEEKNUM(B52,2)</f>
        <v>12</v>
      </c>
    </row>
    <row r="53" spans="1:10" x14ac:dyDescent="0.25">
      <c r="A53" t="str">
        <f>Delliveries!A196</f>
        <v>С</v>
      </c>
      <c r="B53" s="1">
        <f>Delliveries!B196</f>
        <v>45001</v>
      </c>
      <c r="C53" s="2">
        <f>Delliveries!C196</f>
        <v>14.441525395032821</v>
      </c>
      <c r="D53">
        <f>Delliveries!D196</f>
        <v>8</v>
      </c>
      <c r="E53">
        <f>D53*_xlfn.XLOOKUP(A53,Tariff!A:A,Tariff!B:B)</f>
        <v>64</v>
      </c>
      <c r="F53">
        <f>_xlfn.XLOOKUP($F$1,Tariff!A:A,Tariff!B:B)</f>
        <v>1.2</v>
      </c>
      <c r="G53" s="2">
        <f>F53*C53</f>
        <v>17.329830474039383</v>
      </c>
      <c r="H53" s="2">
        <f>E53-G53</f>
        <v>46.670169525960617</v>
      </c>
      <c r="J53">
        <f>WEEKNUM(B53,2)</f>
        <v>12</v>
      </c>
    </row>
    <row r="54" spans="1:10" x14ac:dyDescent="0.25">
      <c r="A54" t="str">
        <f>Delliveries!A4</f>
        <v>А</v>
      </c>
      <c r="B54" s="1">
        <f>Delliveries!B4</f>
        <v>45002</v>
      </c>
      <c r="C54" s="2">
        <f>Delliveries!C4</f>
        <v>3.0099844846859614</v>
      </c>
      <c r="D54">
        <f>Delliveries!D4</f>
        <v>1</v>
      </c>
      <c r="E54">
        <f>D54*_xlfn.XLOOKUP(A54,Tariff!A:A,Tariff!B:B)</f>
        <v>5</v>
      </c>
      <c r="F54">
        <f>_xlfn.XLOOKUP($F$1,Tariff!A:A,Tariff!B:B)</f>
        <v>1.2</v>
      </c>
      <c r="G54" s="2">
        <f>F54*C54</f>
        <v>3.6119813816231536</v>
      </c>
      <c r="H54" s="2">
        <f>E54-G54</f>
        <v>1.3880186183768464</v>
      </c>
      <c r="J54">
        <f>WEEKNUM(B54,2)</f>
        <v>12</v>
      </c>
    </row>
    <row r="55" spans="1:10" x14ac:dyDescent="0.25">
      <c r="A55" t="str">
        <f>Delliveries!A18</f>
        <v>А</v>
      </c>
      <c r="B55" s="1">
        <f>Delliveries!B18</f>
        <v>45002</v>
      </c>
      <c r="C55" s="2">
        <f>Delliveries!C18</f>
        <v>9.6427513837564973</v>
      </c>
      <c r="D55">
        <f>Delliveries!D18</f>
        <v>2</v>
      </c>
      <c r="E55">
        <f>D55*_xlfn.XLOOKUP(A55,Tariff!A:A,Tariff!B:B)</f>
        <v>10</v>
      </c>
      <c r="F55">
        <f>_xlfn.XLOOKUP($F$1,Tariff!A:A,Tariff!B:B)</f>
        <v>1.2</v>
      </c>
      <c r="G55" s="2">
        <f>F55*C55</f>
        <v>11.571301660507796</v>
      </c>
      <c r="H55" s="2">
        <f>E55-G55</f>
        <v>-1.5713016605077961</v>
      </c>
      <c r="J55">
        <f>WEEKNUM(B55,2)</f>
        <v>12</v>
      </c>
    </row>
    <row r="56" spans="1:10" x14ac:dyDescent="0.25">
      <c r="A56" t="str">
        <f>Delliveries!A19</f>
        <v>А</v>
      </c>
      <c r="B56" s="1">
        <f>Delliveries!B19</f>
        <v>45002</v>
      </c>
      <c r="C56" s="2">
        <f>Delliveries!C19</f>
        <v>6.6372323616755535</v>
      </c>
      <c r="D56">
        <f>Delliveries!D19</f>
        <v>2</v>
      </c>
      <c r="E56">
        <f>D56*_xlfn.XLOOKUP(A56,Tariff!A:A,Tariff!B:B)</f>
        <v>10</v>
      </c>
      <c r="F56">
        <f>_xlfn.XLOOKUP($F$1,Tariff!A:A,Tariff!B:B)</f>
        <v>1.2</v>
      </c>
      <c r="G56" s="2">
        <f>F56*C56</f>
        <v>7.9646788340106642</v>
      </c>
      <c r="H56" s="2">
        <f>E56-G56</f>
        <v>2.0353211659893358</v>
      </c>
      <c r="J56">
        <f>WEEKNUM(B56,2)</f>
        <v>12</v>
      </c>
    </row>
    <row r="57" spans="1:10" x14ac:dyDescent="0.25">
      <c r="A57" t="str">
        <f>Delliveries!A45</f>
        <v>А</v>
      </c>
      <c r="B57" s="1">
        <f>Delliveries!B45</f>
        <v>45002</v>
      </c>
      <c r="C57" s="2">
        <f>Delliveries!C45</f>
        <v>16.332418093901083</v>
      </c>
      <c r="D57">
        <f>Delliveries!D45</f>
        <v>6</v>
      </c>
      <c r="E57">
        <f>D57*_xlfn.XLOOKUP(A57,Tariff!A:A,Tariff!B:B)</f>
        <v>30</v>
      </c>
      <c r="F57">
        <f>_xlfn.XLOOKUP($F$1,Tariff!A:A,Tariff!B:B)</f>
        <v>1.2</v>
      </c>
      <c r="G57" s="2">
        <f>F57*C57</f>
        <v>19.5989017126813</v>
      </c>
      <c r="H57" s="2">
        <f>E57-G57</f>
        <v>10.4010982873187</v>
      </c>
      <c r="J57">
        <f>WEEKNUM(B57,2)</f>
        <v>12</v>
      </c>
    </row>
    <row r="58" spans="1:10" x14ac:dyDescent="0.25">
      <c r="A58" t="str">
        <f>Delliveries!A62</f>
        <v>А</v>
      </c>
      <c r="B58" s="1">
        <f>Delliveries!B62</f>
        <v>45002</v>
      </c>
      <c r="C58" s="2">
        <f>Delliveries!C62</f>
        <v>18.843724836286345</v>
      </c>
      <c r="D58">
        <f>Delliveries!D62</f>
        <v>10</v>
      </c>
      <c r="E58">
        <f>D58*_xlfn.XLOOKUP(A58,Tariff!A:A,Tariff!B:B)</f>
        <v>50</v>
      </c>
      <c r="F58">
        <f>_xlfn.XLOOKUP($F$1,Tariff!A:A,Tariff!B:B)</f>
        <v>1.2</v>
      </c>
      <c r="G58" s="2">
        <f>F58*C58</f>
        <v>22.612469803543615</v>
      </c>
      <c r="H58" s="2">
        <f>E58-G58</f>
        <v>27.387530196456385</v>
      </c>
      <c r="J58">
        <f>WEEKNUM(B58,2)</f>
        <v>12</v>
      </c>
    </row>
    <row r="59" spans="1:10" x14ac:dyDescent="0.25">
      <c r="A59" t="str">
        <f>Delliveries!A85</f>
        <v>Б</v>
      </c>
      <c r="B59" s="1">
        <f>Delliveries!B85</f>
        <v>45002</v>
      </c>
      <c r="C59" s="2">
        <f>Delliveries!C85</f>
        <v>2.8728926968904123</v>
      </c>
      <c r="D59">
        <f>Delliveries!D85</f>
        <v>2</v>
      </c>
      <c r="E59">
        <f>D59*_xlfn.XLOOKUP(A59,Tariff!A:A,Tariff!B:B)</f>
        <v>12</v>
      </c>
      <c r="F59">
        <f>_xlfn.XLOOKUP($F$1,Tariff!A:A,Tariff!B:B)</f>
        <v>1.2</v>
      </c>
      <c r="G59" s="2">
        <f>F59*C59</f>
        <v>3.4474712362684947</v>
      </c>
      <c r="H59" s="2">
        <f>E59-G59</f>
        <v>8.5525287637315053</v>
      </c>
      <c r="J59">
        <f>WEEKNUM(B59,2)</f>
        <v>12</v>
      </c>
    </row>
    <row r="60" spans="1:10" x14ac:dyDescent="0.25">
      <c r="A60" t="str">
        <f>Delliveries!A88</f>
        <v>Б</v>
      </c>
      <c r="B60" s="1">
        <f>Delliveries!B88</f>
        <v>45002</v>
      </c>
      <c r="C60" s="2">
        <f>Delliveries!C88</f>
        <v>5.7926446689944333</v>
      </c>
      <c r="D60">
        <f>Delliveries!D88</f>
        <v>2</v>
      </c>
      <c r="E60">
        <f>D60*_xlfn.XLOOKUP(A60,Tariff!A:A,Tariff!B:B)</f>
        <v>12</v>
      </c>
      <c r="F60">
        <f>_xlfn.XLOOKUP($F$1,Tariff!A:A,Tariff!B:B)</f>
        <v>1.2</v>
      </c>
      <c r="G60" s="2">
        <f>F60*C60</f>
        <v>6.95117360279332</v>
      </c>
      <c r="H60" s="2">
        <f>E60-G60</f>
        <v>5.04882639720668</v>
      </c>
      <c r="J60">
        <f>WEEKNUM(B60,2)</f>
        <v>12</v>
      </c>
    </row>
    <row r="61" spans="1:10" x14ac:dyDescent="0.25">
      <c r="A61" t="str">
        <f>Delliveries!A102</f>
        <v>Б</v>
      </c>
      <c r="B61" s="1">
        <f>Delliveries!B102</f>
        <v>45002</v>
      </c>
      <c r="C61" s="2">
        <f>Delliveries!C102</f>
        <v>8.1820607074814351</v>
      </c>
      <c r="D61">
        <f>Delliveries!D102</f>
        <v>3</v>
      </c>
      <c r="E61">
        <f>D61*_xlfn.XLOOKUP(A61,Tariff!A:A,Tariff!B:B)</f>
        <v>18</v>
      </c>
      <c r="F61">
        <f>_xlfn.XLOOKUP($F$1,Tariff!A:A,Tariff!B:B)</f>
        <v>1.2</v>
      </c>
      <c r="G61" s="2">
        <f>F61*C61</f>
        <v>9.8184728489777218</v>
      </c>
      <c r="H61" s="2">
        <f>E61-G61</f>
        <v>8.1815271510222782</v>
      </c>
      <c r="J61">
        <f>WEEKNUM(B61,2)</f>
        <v>12</v>
      </c>
    </row>
    <row r="62" spans="1:10" x14ac:dyDescent="0.25">
      <c r="A62" t="str">
        <f>Delliveries!A103</f>
        <v>Б</v>
      </c>
      <c r="B62" s="1">
        <f>Delliveries!B103</f>
        <v>45002</v>
      </c>
      <c r="C62" s="2">
        <f>Delliveries!C103</f>
        <v>4.0683093240203601</v>
      </c>
      <c r="D62">
        <f>Delliveries!D103</f>
        <v>3</v>
      </c>
      <c r="E62">
        <f>D62*_xlfn.XLOOKUP(A62,Tariff!A:A,Tariff!B:B)</f>
        <v>18</v>
      </c>
      <c r="F62">
        <f>_xlfn.XLOOKUP($F$1,Tariff!A:A,Tariff!B:B)</f>
        <v>1.2</v>
      </c>
      <c r="G62" s="2">
        <f>F62*C62</f>
        <v>4.8819711888244317</v>
      </c>
      <c r="H62" s="2">
        <f>E62-G62</f>
        <v>13.118028811175568</v>
      </c>
      <c r="J62">
        <f>WEEKNUM(B62,2)</f>
        <v>12</v>
      </c>
    </row>
    <row r="63" spans="1:10" x14ac:dyDescent="0.25">
      <c r="A63" t="str">
        <f>Delliveries!A113</f>
        <v>Б</v>
      </c>
      <c r="B63" s="1">
        <f>Delliveries!B113</f>
        <v>45002</v>
      </c>
      <c r="C63" s="2">
        <f>Delliveries!C113</f>
        <v>19.93565849930398</v>
      </c>
      <c r="D63">
        <f>Delliveries!D113</f>
        <v>4</v>
      </c>
      <c r="E63">
        <f>D63*_xlfn.XLOOKUP(A63,Tariff!A:A,Tariff!B:B)</f>
        <v>24</v>
      </c>
      <c r="F63">
        <f>_xlfn.XLOOKUP($F$1,Tariff!A:A,Tariff!B:B)</f>
        <v>1.2</v>
      </c>
      <c r="G63" s="2">
        <f>F63*C63</f>
        <v>23.922790199164776</v>
      </c>
      <c r="H63" s="2">
        <f>E63-G63</f>
        <v>7.7209800835223774E-2</v>
      </c>
      <c r="J63">
        <f>WEEKNUM(B63,2)</f>
        <v>12</v>
      </c>
    </row>
    <row r="64" spans="1:10" x14ac:dyDescent="0.25">
      <c r="A64" t="str">
        <f>Delliveries!A116</f>
        <v>Б</v>
      </c>
      <c r="B64" s="1">
        <f>Delliveries!B116</f>
        <v>45002</v>
      </c>
      <c r="C64" s="2">
        <f>Delliveries!C116</f>
        <v>9.1114261857412586</v>
      </c>
      <c r="D64">
        <f>Delliveries!D116</f>
        <v>4</v>
      </c>
      <c r="E64">
        <f>D64*_xlfn.XLOOKUP(A64,Tariff!A:A,Tariff!B:B)</f>
        <v>24</v>
      </c>
      <c r="F64">
        <f>_xlfn.XLOOKUP($F$1,Tariff!A:A,Tariff!B:B)</f>
        <v>1.2</v>
      </c>
      <c r="G64" s="2">
        <f>F64*C64</f>
        <v>10.933711422889511</v>
      </c>
      <c r="H64" s="2">
        <f>E64-G64</f>
        <v>13.066288577110489</v>
      </c>
      <c r="J64">
        <f>WEEKNUM(B64,2)</f>
        <v>12</v>
      </c>
    </row>
    <row r="65" spans="1:10" x14ac:dyDescent="0.25">
      <c r="A65" t="str">
        <f>Delliveries!A131</f>
        <v>Б</v>
      </c>
      <c r="B65" s="1">
        <f>Delliveries!B131</f>
        <v>45002</v>
      </c>
      <c r="C65" s="2">
        <f>Delliveries!C131</f>
        <v>19.983710348644287</v>
      </c>
      <c r="D65">
        <f>Delliveries!D131</f>
        <v>5</v>
      </c>
      <c r="E65">
        <f>D65*_xlfn.XLOOKUP(A65,Tariff!A:A,Tariff!B:B)</f>
        <v>30</v>
      </c>
      <c r="F65">
        <f>_xlfn.XLOOKUP($F$1,Tariff!A:A,Tariff!B:B)</f>
        <v>1.2</v>
      </c>
      <c r="G65" s="2">
        <f>F65*C65</f>
        <v>23.980452418373144</v>
      </c>
      <c r="H65" s="2">
        <f>E65-G65</f>
        <v>6.0195475816268562</v>
      </c>
      <c r="J65">
        <f>WEEKNUM(B65,2)</f>
        <v>12</v>
      </c>
    </row>
    <row r="66" spans="1:10" x14ac:dyDescent="0.25">
      <c r="A66" t="str">
        <f>Delliveries!A148</f>
        <v>Б</v>
      </c>
      <c r="B66" s="1">
        <f>Delliveries!B148</f>
        <v>45002</v>
      </c>
      <c r="C66" s="2">
        <f>Delliveries!C148</f>
        <v>13.18446103369592</v>
      </c>
      <c r="D66">
        <f>Delliveries!D148</f>
        <v>7</v>
      </c>
      <c r="E66">
        <f>D66*_xlfn.XLOOKUP(A66,Tariff!A:A,Tariff!B:B)</f>
        <v>42</v>
      </c>
      <c r="F66">
        <f>_xlfn.XLOOKUP($F$1,Tariff!A:A,Tariff!B:B)</f>
        <v>1.2</v>
      </c>
      <c r="G66" s="2">
        <f>F66*C66</f>
        <v>15.821353240435103</v>
      </c>
      <c r="H66" s="2">
        <f>E66-G66</f>
        <v>26.178646759564899</v>
      </c>
      <c r="J66">
        <f>WEEKNUM(B66,2)</f>
        <v>12</v>
      </c>
    </row>
    <row r="67" spans="1:10" x14ac:dyDescent="0.25">
      <c r="A67" t="str">
        <f>Delliveries!A181</f>
        <v>С</v>
      </c>
      <c r="B67" s="1">
        <f>Delliveries!B181</f>
        <v>45002</v>
      </c>
      <c r="C67" s="2">
        <f>Delliveries!C181</f>
        <v>14.879426457280855</v>
      </c>
      <c r="D67">
        <f>Delliveries!D181</f>
        <v>4</v>
      </c>
      <c r="E67">
        <f>D67*_xlfn.XLOOKUP(A67,Tariff!A:A,Tariff!B:B)</f>
        <v>32</v>
      </c>
      <c r="F67">
        <f>_xlfn.XLOOKUP($F$1,Tariff!A:A,Tariff!B:B)</f>
        <v>1.2</v>
      </c>
      <c r="G67" s="2">
        <f>F67*C67</f>
        <v>17.855311748737027</v>
      </c>
      <c r="H67" s="2">
        <f>E67-G67</f>
        <v>14.144688251262973</v>
      </c>
      <c r="J67">
        <f>WEEKNUM(B67,2)</f>
        <v>12</v>
      </c>
    </row>
    <row r="68" spans="1:10" x14ac:dyDescent="0.25">
      <c r="A68" t="str">
        <f>Delliveries!A182</f>
        <v>С</v>
      </c>
      <c r="B68" s="1">
        <f>Delliveries!B182</f>
        <v>45002</v>
      </c>
      <c r="C68" s="2">
        <f>Delliveries!C182</f>
        <v>17.93832625183207</v>
      </c>
      <c r="D68">
        <f>Delliveries!D182</f>
        <v>4</v>
      </c>
      <c r="E68">
        <f>D68*_xlfn.XLOOKUP(A68,Tariff!A:A,Tariff!B:B)</f>
        <v>32</v>
      </c>
      <c r="F68">
        <f>_xlfn.XLOOKUP($F$1,Tariff!A:A,Tariff!B:B)</f>
        <v>1.2</v>
      </c>
      <c r="G68" s="2">
        <f>F68*C68</f>
        <v>21.525991502198483</v>
      </c>
      <c r="H68" s="2">
        <f>E68-G68</f>
        <v>10.474008497801517</v>
      </c>
      <c r="J68">
        <f>WEEKNUM(B68,2)</f>
        <v>12</v>
      </c>
    </row>
    <row r="69" spans="1:10" x14ac:dyDescent="0.25">
      <c r="A69" t="str">
        <f>Delliveries!A189</f>
        <v>С</v>
      </c>
      <c r="B69" s="1">
        <f>Delliveries!B189</f>
        <v>45002</v>
      </c>
      <c r="C69" s="2">
        <f>Delliveries!C189</f>
        <v>9.8026879618212881</v>
      </c>
      <c r="D69">
        <f>Delliveries!D189</f>
        <v>5</v>
      </c>
      <c r="E69">
        <f>D69*_xlfn.XLOOKUP(A69,Tariff!A:A,Tariff!B:B)</f>
        <v>40</v>
      </c>
      <c r="F69">
        <f>_xlfn.XLOOKUP($F$1,Tariff!A:A,Tariff!B:B)</f>
        <v>1.2</v>
      </c>
      <c r="G69" s="2">
        <f>F69*C69</f>
        <v>11.763225554185546</v>
      </c>
      <c r="H69" s="2">
        <f>E69-G69</f>
        <v>28.236774445814454</v>
      </c>
      <c r="J69">
        <f>WEEKNUM(B69,2)</f>
        <v>12</v>
      </c>
    </row>
    <row r="70" spans="1:10" x14ac:dyDescent="0.25">
      <c r="A70" t="str">
        <f>Delliveries!A200</f>
        <v>С</v>
      </c>
      <c r="B70" s="1">
        <f>Delliveries!B200</f>
        <v>45002</v>
      </c>
      <c r="C70" s="2">
        <f>Delliveries!C200</f>
        <v>16.11536589968739</v>
      </c>
      <c r="D70">
        <f>Delliveries!D200</f>
        <v>9</v>
      </c>
      <c r="E70">
        <f>D70*_xlfn.XLOOKUP(A70,Tariff!A:A,Tariff!B:B)</f>
        <v>72</v>
      </c>
      <c r="F70">
        <f>_xlfn.XLOOKUP($F$1,Tariff!A:A,Tariff!B:B)</f>
        <v>1.2</v>
      </c>
      <c r="G70" s="2">
        <f>F70*C70</f>
        <v>19.338439079624866</v>
      </c>
      <c r="H70" s="2">
        <f>E70-G70</f>
        <v>52.661560920375138</v>
      </c>
      <c r="J70">
        <f>WEEKNUM(B70,2)</f>
        <v>12</v>
      </c>
    </row>
    <row r="71" spans="1:10" x14ac:dyDescent="0.25">
      <c r="A71" t="str">
        <f>Delliveries!A2</f>
        <v>А</v>
      </c>
      <c r="B71" s="1">
        <f>Delliveries!B2</f>
        <v>45003</v>
      </c>
      <c r="C71" s="2">
        <f>Delliveries!C2</f>
        <v>0.83176422360608848</v>
      </c>
      <c r="D71">
        <f>Delliveries!D2</f>
        <v>1</v>
      </c>
      <c r="E71">
        <f>D71*_xlfn.XLOOKUP(A71,Tariff!A:A,Tariff!B:B)</f>
        <v>5</v>
      </c>
      <c r="F71">
        <f>_xlfn.XLOOKUP($F$1,Tariff!A:A,Tariff!B:B)</f>
        <v>1.2</v>
      </c>
      <c r="G71" s="2">
        <f>F71*C71</f>
        <v>0.99811706832730618</v>
      </c>
      <c r="H71" s="2">
        <f>E71-G71</f>
        <v>4.0018829316726938</v>
      </c>
      <c r="J71">
        <f>WEEKNUM(B71,2)</f>
        <v>12</v>
      </c>
    </row>
    <row r="72" spans="1:10" x14ac:dyDescent="0.25">
      <c r="A72" t="str">
        <f>Delliveries!A39</f>
        <v>А</v>
      </c>
      <c r="B72" s="1">
        <f>Delliveries!B39</f>
        <v>45003</v>
      </c>
      <c r="C72" s="2">
        <f>Delliveries!C39</f>
        <v>13.355342540009001</v>
      </c>
      <c r="D72">
        <f>Delliveries!D39</f>
        <v>5</v>
      </c>
      <c r="E72">
        <f>D72*_xlfn.XLOOKUP(A72,Tariff!A:A,Tariff!B:B)</f>
        <v>25</v>
      </c>
      <c r="F72">
        <f>_xlfn.XLOOKUP($F$1,Tariff!A:A,Tariff!B:B)</f>
        <v>1.2</v>
      </c>
      <c r="G72" s="2">
        <f>F72*C72</f>
        <v>16.0264110480108</v>
      </c>
      <c r="H72" s="2">
        <f>E72-G72</f>
        <v>8.9735889519891998</v>
      </c>
      <c r="J72">
        <f>WEEKNUM(B72,2)</f>
        <v>12</v>
      </c>
    </row>
    <row r="73" spans="1:10" x14ac:dyDescent="0.25">
      <c r="A73" t="str">
        <f>Delliveries!A58</f>
        <v>А</v>
      </c>
      <c r="B73" s="1">
        <f>Delliveries!B58</f>
        <v>45003</v>
      </c>
      <c r="C73" s="2">
        <f>Delliveries!C58</f>
        <v>16.642830135390373</v>
      </c>
      <c r="D73">
        <f>Delliveries!D58</f>
        <v>9</v>
      </c>
      <c r="E73">
        <f>D73*_xlfn.XLOOKUP(A73,Tariff!A:A,Tariff!B:B)</f>
        <v>45</v>
      </c>
      <c r="F73">
        <f>_xlfn.XLOOKUP($F$1,Tariff!A:A,Tariff!B:B)</f>
        <v>1.2</v>
      </c>
      <c r="G73" s="2">
        <f>F73*C73</f>
        <v>19.971396162468448</v>
      </c>
      <c r="H73" s="2">
        <f>E73-G73</f>
        <v>25.028603837531552</v>
      </c>
      <c r="J73">
        <f>WEEKNUM(B73,2)</f>
        <v>12</v>
      </c>
    </row>
    <row r="74" spans="1:10" x14ac:dyDescent="0.25">
      <c r="A74" t="str">
        <f>Delliveries!A87</f>
        <v>Б</v>
      </c>
      <c r="B74" s="1">
        <f>Delliveries!B87</f>
        <v>45003</v>
      </c>
      <c r="C74" s="2">
        <f>Delliveries!C87</f>
        <v>7.4368938994801308</v>
      </c>
      <c r="D74">
        <f>Delliveries!D87</f>
        <v>2</v>
      </c>
      <c r="E74">
        <f>D74*_xlfn.XLOOKUP(A74,Tariff!A:A,Tariff!B:B)</f>
        <v>12</v>
      </c>
      <c r="F74">
        <f>_xlfn.XLOOKUP($F$1,Tariff!A:A,Tariff!B:B)</f>
        <v>1.2</v>
      </c>
      <c r="G74" s="2">
        <f>F74*C74</f>
        <v>8.9242726793761573</v>
      </c>
      <c r="H74" s="2">
        <f>E74-G74</f>
        <v>3.0757273206238427</v>
      </c>
      <c r="J74">
        <f>WEEKNUM(B74,2)</f>
        <v>12</v>
      </c>
    </row>
    <row r="75" spans="1:10" x14ac:dyDescent="0.25">
      <c r="A75" t="str">
        <f>Delliveries!A115</f>
        <v>Б</v>
      </c>
      <c r="B75" s="1">
        <f>Delliveries!B115</f>
        <v>45003</v>
      </c>
      <c r="C75" s="2">
        <f>Delliveries!C115</f>
        <v>14.179518897818795</v>
      </c>
      <c r="D75">
        <f>Delliveries!D115</f>
        <v>4</v>
      </c>
      <c r="E75">
        <f>D75*_xlfn.XLOOKUP(A75,Tariff!A:A,Tariff!B:B)</f>
        <v>24</v>
      </c>
      <c r="F75">
        <f>_xlfn.XLOOKUP($F$1,Tariff!A:A,Tariff!B:B)</f>
        <v>1.2</v>
      </c>
      <c r="G75" s="2">
        <f>F75*C75</f>
        <v>17.015422677382553</v>
      </c>
      <c r="H75" s="2">
        <f>E75-G75</f>
        <v>6.9845773226174472</v>
      </c>
      <c r="J75">
        <f>WEEKNUM(B75,2)</f>
        <v>12</v>
      </c>
    </row>
    <row r="76" spans="1:10" x14ac:dyDescent="0.25">
      <c r="A76" t="str">
        <f>Delliveries!A155</f>
        <v>С</v>
      </c>
      <c r="B76" s="1">
        <f>Delliveries!B155</f>
        <v>45003</v>
      </c>
      <c r="C76" s="2">
        <f>Delliveries!C155</f>
        <v>1.2063702297957302</v>
      </c>
      <c r="D76">
        <f>Delliveries!D155</f>
        <v>1</v>
      </c>
      <c r="E76">
        <f>D76*_xlfn.XLOOKUP(A76,Tariff!A:A,Tariff!B:B)</f>
        <v>8</v>
      </c>
      <c r="F76">
        <f>_xlfn.XLOOKUP($F$1,Tariff!A:A,Tariff!B:B)</f>
        <v>1.2</v>
      </c>
      <c r="G76" s="2">
        <f>F76*C76</f>
        <v>1.4476442757548762</v>
      </c>
      <c r="H76" s="2">
        <f>E76-G76</f>
        <v>6.5523557242451238</v>
      </c>
      <c r="J76">
        <f>WEEKNUM(B76,2)</f>
        <v>12</v>
      </c>
    </row>
    <row r="77" spans="1:10" x14ac:dyDescent="0.25">
      <c r="A77" t="str">
        <f>Delliveries!A157</f>
        <v>С</v>
      </c>
      <c r="B77" s="1">
        <f>Delliveries!B157</f>
        <v>45003</v>
      </c>
      <c r="C77" s="2">
        <f>Delliveries!C157</f>
        <v>1.6618673546223195</v>
      </c>
      <c r="D77">
        <f>Delliveries!D157</f>
        <v>1</v>
      </c>
      <c r="E77">
        <f>D77*_xlfn.XLOOKUP(A77,Tariff!A:A,Tariff!B:B)</f>
        <v>8</v>
      </c>
      <c r="F77">
        <f>_xlfn.XLOOKUP($F$1,Tariff!A:A,Tariff!B:B)</f>
        <v>1.2</v>
      </c>
      <c r="G77" s="2">
        <f>F77*C77</f>
        <v>1.9942408255467834</v>
      </c>
      <c r="H77" s="2">
        <f>E77-G77</f>
        <v>6.0057591744532166</v>
      </c>
      <c r="J77">
        <f>WEEKNUM(B77,2)</f>
        <v>12</v>
      </c>
    </row>
    <row r="78" spans="1:10" x14ac:dyDescent="0.25">
      <c r="A78" t="str">
        <f>Delliveries!A160</f>
        <v>С</v>
      </c>
      <c r="B78" s="1">
        <f>Delliveries!B160</f>
        <v>45003</v>
      </c>
      <c r="C78" s="2">
        <f>Delliveries!C160</f>
        <v>4.5498872608076528</v>
      </c>
      <c r="D78">
        <f>Delliveries!D160</f>
        <v>2</v>
      </c>
      <c r="E78">
        <f>D78*_xlfn.XLOOKUP(A78,Tariff!A:A,Tariff!B:B)</f>
        <v>16</v>
      </c>
      <c r="F78">
        <f>_xlfn.XLOOKUP($F$1,Tariff!A:A,Tariff!B:B)</f>
        <v>1.2</v>
      </c>
      <c r="G78" s="2">
        <f>F78*C78</f>
        <v>5.4598647129691829</v>
      </c>
      <c r="H78" s="2">
        <f>E78-G78</f>
        <v>10.540135287030818</v>
      </c>
      <c r="J78">
        <f>WEEKNUM(B78,2)</f>
        <v>12</v>
      </c>
    </row>
    <row r="79" spans="1:10" x14ac:dyDescent="0.25">
      <c r="A79" t="str">
        <f>Delliveries!A168</f>
        <v>С</v>
      </c>
      <c r="B79" s="1">
        <f>Delliveries!B168</f>
        <v>45003</v>
      </c>
      <c r="C79" s="2">
        <f>Delliveries!C168</f>
        <v>7.8001903872427043</v>
      </c>
      <c r="D79">
        <f>Delliveries!D168</f>
        <v>3</v>
      </c>
      <c r="E79">
        <f>D79*_xlfn.XLOOKUP(A79,Tariff!A:A,Tariff!B:B)</f>
        <v>24</v>
      </c>
      <c r="F79">
        <f>_xlfn.XLOOKUP($F$1,Tariff!A:A,Tariff!B:B)</f>
        <v>1.2</v>
      </c>
      <c r="G79" s="2">
        <f>F79*C79</f>
        <v>9.3602284646912448</v>
      </c>
      <c r="H79" s="2">
        <f>E79-G79</f>
        <v>14.639771535308755</v>
      </c>
      <c r="J79">
        <f>WEEKNUM(B79,2)</f>
        <v>12</v>
      </c>
    </row>
    <row r="80" spans="1:10" x14ac:dyDescent="0.25">
      <c r="A80" t="str">
        <f>Delliveries!A171</f>
        <v>С</v>
      </c>
      <c r="B80" s="1">
        <f>Delliveries!B171</f>
        <v>45003</v>
      </c>
      <c r="C80" s="2">
        <f>Delliveries!C171</f>
        <v>11.491580136558529</v>
      </c>
      <c r="D80">
        <f>Delliveries!D171</f>
        <v>3</v>
      </c>
      <c r="E80">
        <f>D80*_xlfn.XLOOKUP(A80,Tariff!A:A,Tariff!B:B)</f>
        <v>24</v>
      </c>
      <c r="F80">
        <f>_xlfn.XLOOKUP($F$1,Tariff!A:A,Tariff!B:B)</f>
        <v>1.2</v>
      </c>
      <c r="G80" s="2">
        <f>F80*C80</f>
        <v>13.789896163870234</v>
      </c>
      <c r="H80" s="2">
        <f>E80-G80</f>
        <v>10.210103836129766</v>
      </c>
      <c r="J80">
        <f>WEEKNUM(B80,2)</f>
        <v>12</v>
      </c>
    </row>
    <row r="81" spans="1:10" x14ac:dyDescent="0.25">
      <c r="A81" t="str">
        <f>Delliveries!A173</f>
        <v>С</v>
      </c>
      <c r="B81" s="1">
        <f>Delliveries!B173</f>
        <v>45003</v>
      </c>
      <c r="C81" s="2">
        <f>Delliveries!C173</f>
        <v>10.485551366150629</v>
      </c>
      <c r="D81">
        <f>Delliveries!D173</f>
        <v>3</v>
      </c>
      <c r="E81">
        <f>D81*_xlfn.XLOOKUP(A81,Tariff!A:A,Tariff!B:B)</f>
        <v>24</v>
      </c>
      <c r="F81">
        <f>_xlfn.XLOOKUP($F$1,Tariff!A:A,Tariff!B:B)</f>
        <v>1.2</v>
      </c>
      <c r="G81" s="2">
        <f>F81*C81</f>
        <v>12.582661639380754</v>
      </c>
      <c r="H81" s="2">
        <f>E81-G81</f>
        <v>11.417338360619246</v>
      </c>
      <c r="J81">
        <f>WEEKNUM(B81,2)</f>
        <v>12</v>
      </c>
    </row>
    <row r="82" spans="1:10" x14ac:dyDescent="0.25">
      <c r="A82" t="str">
        <f>Delliveries!A174</f>
        <v>С</v>
      </c>
      <c r="B82" s="1">
        <f>Delliveries!B174</f>
        <v>45003</v>
      </c>
      <c r="C82" s="2">
        <f>Delliveries!C174</f>
        <v>8.9272240194216828</v>
      </c>
      <c r="D82">
        <f>Delliveries!D174</f>
        <v>3</v>
      </c>
      <c r="E82">
        <f>D82*_xlfn.XLOOKUP(A82,Tariff!A:A,Tariff!B:B)</f>
        <v>24</v>
      </c>
      <c r="F82">
        <f>_xlfn.XLOOKUP($F$1,Tariff!A:A,Tariff!B:B)</f>
        <v>1.2</v>
      </c>
      <c r="G82" s="2">
        <f>F82*C82</f>
        <v>10.71266882330602</v>
      </c>
      <c r="H82" s="2">
        <f>E82-G82</f>
        <v>13.28733117669398</v>
      </c>
      <c r="J82">
        <f>WEEKNUM(B82,2)</f>
        <v>12</v>
      </c>
    </row>
    <row r="83" spans="1:10" x14ac:dyDescent="0.25">
      <c r="A83" t="str">
        <f>Delliveries!A185</f>
        <v>С</v>
      </c>
      <c r="B83" s="1">
        <f>Delliveries!B185</f>
        <v>45003</v>
      </c>
      <c r="C83" s="2">
        <f>Delliveries!C185</f>
        <v>16.320083457234759</v>
      </c>
      <c r="D83">
        <f>Delliveries!D185</f>
        <v>5</v>
      </c>
      <c r="E83">
        <f>D83*_xlfn.XLOOKUP(A83,Tariff!A:A,Tariff!B:B)</f>
        <v>40</v>
      </c>
      <c r="F83">
        <f>_xlfn.XLOOKUP($F$1,Tariff!A:A,Tariff!B:B)</f>
        <v>1.2</v>
      </c>
      <c r="G83" s="2">
        <f>F83*C83</f>
        <v>19.58410014868171</v>
      </c>
      <c r="H83" s="2">
        <f>E83-G83</f>
        <v>20.41589985131829</v>
      </c>
      <c r="J83">
        <f>WEEKNUM(B83,2)</f>
        <v>12</v>
      </c>
    </row>
    <row r="84" spans="1:10" x14ac:dyDescent="0.25">
      <c r="A84" t="str">
        <f>Delliveries!A24</f>
        <v>А</v>
      </c>
      <c r="B84" s="1">
        <f>Delliveries!B24</f>
        <v>45004</v>
      </c>
      <c r="C84" s="2">
        <f>Delliveries!C24</f>
        <v>8.1755799017177004</v>
      </c>
      <c r="D84">
        <f>Delliveries!D24</f>
        <v>3</v>
      </c>
      <c r="E84">
        <f>D84*_xlfn.XLOOKUP(A84,Tariff!A:A,Tariff!B:B)</f>
        <v>15</v>
      </c>
      <c r="F84">
        <f>_xlfn.XLOOKUP($F$1,Tariff!A:A,Tariff!B:B)</f>
        <v>1.2</v>
      </c>
      <c r="G84" s="2">
        <f>F84*C84</f>
        <v>9.8106958820612409</v>
      </c>
      <c r="H84" s="2">
        <f>E84-G84</f>
        <v>5.1893041179387591</v>
      </c>
      <c r="J84">
        <f>WEEKNUM(B84,2)</f>
        <v>12</v>
      </c>
    </row>
    <row r="85" spans="1:10" x14ac:dyDescent="0.25">
      <c r="A85" t="str">
        <f>Delliveries!A38</f>
        <v>А</v>
      </c>
      <c r="B85" s="1">
        <f>Delliveries!B38</f>
        <v>45004</v>
      </c>
      <c r="C85" s="2">
        <f>Delliveries!C38</f>
        <v>17.016627711798893</v>
      </c>
      <c r="D85">
        <f>Delliveries!D38</f>
        <v>5</v>
      </c>
      <c r="E85">
        <f>D85*_xlfn.XLOOKUP(A85,Tariff!A:A,Tariff!B:B)</f>
        <v>25</v>
      </c>
      <c r="F85">
        <f>_xlfn.XLOOKUP($F$1,Tariff!A:A,Tariff!B:B)</f>
        <v>1.2</v>
      </c>
      <c r="G85" s="2">
        <f>F85*C85</f>
        <v>20.419953254158671</v>
      </c>
      <c r="H85" s="2">
        <f>E85-G85</f>
        <v>4.5800467458413294</v>
      </c>
      <c r="J85">
        <f>WEEKNUM(B85,2)</f>
        <v>12</v>
      </c>
    </row>
    <row r="86" spans="1:10" x14ac:dyDescent="0.25">
      <c r="A86" t="str">
        <f>Delliveries!A65</f>
        <v>Б</v>
      </c>
      <c r="B86" s="1">
        <f>Delliveries!B65</f>
        <v>45004</v>
      </c>
      <c r="C86" s="2">
        <f>Delliveries!C65</f>
        <v>0.88845700174610798</v>
      </c>
      <c r="D86">
        <f>Delliveries!D65</f>
        <v>1</v>
      </c>
      <c r="E86">
        <f>D86*_xlfn.XLOOKUP(A86,Tariff!A:A,Tariff!B:B)</f>
        <v>6</v>
      </c>
      <c r="F86">
        <f>_xlfn.XLOOKUP($F$1,Tariff!A:A,Tariff!B:B)</f>
        <v>1.2</v>
      </c>
      <c r="G86" s="2">
        <f>F86*C86</f>
        <v>1.0661484020953296</v>
      </c>
      <c r="H86" s="2">
        <f>E86-G86</f>
        <v>4.9338515979046704</v>
      </c>
      <c r="J86">
        <f>WEEKNUM(B86,2)</f>
        <v>12</v>
      </c>
    </row>
    <row r="87" spans="1:10" x14ac:dyDescent="0.25">
      <c r="A87" t="str">
        <f>Delliveries!A67</f>
        <v>Б</v>
      </c>
      <c r="B87" s="1">
        <f>Delliveries!B67</f>
        <v>45004</v>
      </c>
      <c r="C87" s="2">
        <f>Delliveries!C67</f>
        <v>1.5468261233017078</v>
      </c>
      <c r="D87">
        <f>Delliveries!D67</f>
        <v>1</v>
      </c>
      <c r="E87">
        <f>D87*_xlfn.XLOOKUP(A87,Tariff!A:A,Tariff!B:B)</f>
        <v>6</v>
      </c>
      <c r="F87">
        <f>_xlfn.XLOOKUP($F$1,Tariff!A:A,Tariff!B:B)</f>
        <v>1.2</v>
      </c>
      <c r="G87" s="2">
        <f>F87*C87</f>
        <v>1.8561913479620493</v>
      </c>
      <c r="H87" s="2">
        <f>E87-G87</f>
        <v>4.1438086520379507</v>
      </c>
      <c r="J87">
        <f>WEEKNUM(B87,2)</f>
        <v>12</v>
      </c>
    </row>
    <row r="88" spans="1:10" x14ac:dyDescent="0.25">
      <c r="A88" t="str">
        <f>Delliveries!A68</f>
        <v>Б</v>
      </c>
      <c r="B88" s="1">
        <f>Delliveries!B68</f>
        <v>45004</v>
      </c>
      <c r="C88" s="2">
        <f>Delliveries!C68</f>
        <v>2.1865040509110778</v>
      </c>
      <c r="D88">
        <f>Delliveries!D68</f>
        <v>1</v>
      </c>
      <c r="E88">
        <f>D88*_xlfn.XLOOKUP(A88,Tariff!A:A,Tariff!B:B)</f>
        <v>6</v>
      </c>
      <c r="F88">
        <f>_xlfn.XLOOKUP($F$1,Tariff!A:A,Tariff!B:B)</f>
        <v>1.2</v>
      </c>
      <c r="G88" s="2">
        <f>F88*C88</f>
        <v>2.6238048610932934</v>
      </c>
      <c r="H88" s="2">
        <f>E88-G88</f>
        <v>3.3761951389067066</v>
      </c>
      <c r="J88">
        <f>WEEKNUM(B88,2)</f>
        <v>12</v>
      </c>
    </row>
    <row r="89" spans="1:10" x14ac:dyDescent="0.25">
      <c r="A89" t="str">
        <f>Delliveries!A86</f>
        <v>Б</v>
      </c>
      <c r="B89" s="1">
        <f>Delliveries!B86</f>
        <v>45004</v>
      </c>
      <c r="C89" s="2">
        <f>Delliveries!C86</f>
        <v>5.0361493993679085</v>
      </c>
      <c r="D89">
        <f>Delliveries!D86</f>
        <v>2</v>
      </c>
      <c r="E89">
        <f>D89*_xlfn.XLOOKUP(A89,Tariff!A:A,Tariff!B:B)</f>
        <v>12</v>
      </c>
      <c r="F89">
        <f>_xlfn.XLOOKUP($F$1,Tariff!A:A,Tariff!B:B)</f>
        <v>1.2</v>
      </c>
      <c r="G89" s="2">
        <f>F89*C89</f>
        <v>6.0433792792414902</v>
      </c>
      <c r="H89" s="2">
        <f>E89-G89</f>
        <v>5.9566207207585098</v>
      </c>
      <c r="J89">
        <f>WEEKNUM(B89,2)</f>
        <v>12</v>
      </c>
    </row>
    <row r="90" spans="1:10" x14ac:dyDescent="0.25">
      <c r="A90" t="str">
        <f>Delliveries!A100</f>
        <v>Б</v>
      </c>
      <c r="B90" s="1">
        <f>Delliveries!B100</f>
        <v>45004</v>
      </c>
      <c r="C90" s="2">
        <f>Delliveries!C100</f>
        <v>8.7520614314716028</v>
      </c>
      <c r="D90">
        <f>Delliveries!D100</f>
        <v>3</v>
      </c>
      <c r="E90">
        <f>D90*_xlfn.XLOOKUP(A90,Tariff!A:A,Tariff!B:B)</f>
        <v>18</v>
      </c>
      <c r="F90">
        <f>_xlfn.XLOOKUP($F$1,Tariff!A:A,Tariff!B:B)</f>
        <v>1.2</v>
      </c>
      <c r="G90" s="2">
        <f>F90*C90</f>
        <v>10.502473717765923</v>
      </c>
      <c r="H90" s="2">
        <f>E90-G90</f>
        <v>7.4975262822340767</v>
      </c>
      <c r="J90">
        <f>WEEKNUM(B90,2)</f>
        <v>12</v>
      </c>
    </row>
    <row r="91" spans="1:10" x14ac:dyDescent="0.25">
      <c r="A91" t="str">
        <f>Delliveries!A111</f>
        <v>Б</v>
      </c>
      <c r="B91" s="1">
        <f>Delliveries!B111</f>
        <v>45004</v>
      </c>
      <c r="C91" s="2">
        <f>Delliveries!C111</f>
        <v>15.627962888933844</v>
      </c>
      <c r="D91">
        <f>Delliveries!D111</f>
        <v>4</v>
      </c>
      <c r="E91">
        <f>D91*_xlfn.XLOOKUP(A91,Tariff!A:A,Tariff!B:B)</f>
        <v>24</v>
      </c>
      <c r="F91">
        <f>_xlfn.XLOOKUP($F$1,Tariff!A:A,Tariff!B:B)</f>
        <v>1.2</v>
      </c>
      <c r="G91" s="2">
        <f>F91*C91</f>
        <v>18.753555466720613</v>
      </c>
      <c r="H91" s="2">
        <f>E91-G91</f>
        <v>5.2464445332793872</v>
      </c>
      <c r="J91">
        <f>WEEKNUM(B91,2)</f>
        <v>12</v>
      </c>
    </row>
    <row r="92" spans="1:10" x14ac:dyDescent="0.25">
      <c r="A92" t="str">
        <f>Delliveries!A129</f>
        <v>Б</v>
      </c>
      <c r="B92" s="1">
        <f>Delliveries!B129</f>
        <v>45004</v>
      </c>
      <c r="C92" s="2">
        <f>Delliveries!C129</f>
        <v>9.5416618497968599</v>
      </c>
      <c r="D92">
        <f>Delliveries!D129</f>
        <v>5</v>
      </c>
      <c r="E92">
        <f>D92*_xlfn.XLOOKUP(A92,Tariff!A:A,Tariff!B:B)</f>
        <v>30</v>
      </c>
      <c r="F92">
        <f>_xlfn.XLOOKUP($F$1,Tariff!A:A,Tariff!B:B)</f>
        <v>1.2</v>
      </c>
      <c r="G92" s="2">
        <f>F92*C92</f>
        <v>11.449994219756231</v>
      </c>
      <c r="H92" s="2">
        <f>E92-G92</f>
        <v>18.550005780243769</v>
      </c>
      <c r="J92">
        <f>WEEKNUM(B92,2)</f>
        <v>12</v>
      </c>
    </row>
    <row r="93" spans="1:10" x14ac:dyDescent="0.25">
      <c r="A93" t="str">
        <f>Delliveries!A132</f>
        <v>Б</v>
      </c>
      <c r="B93" s="1">
        <f>Delliveries!B132</f>
        <v>45004</v>
      </c>
      <c r="C93" s="2">
        <f>Delliveries!C132</f>
        <v>16.102087448890007</v>
      </c>
      <c r="D93">
        <f>Delliveries!D132</f>
        <v>5</v>
      </c>
      <c r="E93">
        <f>D93*_xlfn.XLOOKUP(A93,Tariff!A:A,Tariff!B:B)</f>
        <v>30</v>
      </c>
      <c r="F93">
        <f>_xlfn.XLOOKUP($F$1,Tariff!A:A,Tariff!B:B)</f>
        <v>1.2</v>
      </c>
      <c r="G93" s="2">
        <f>F93*C93</f>
        <v>19.322504938668008</v>
      </c>
      <c r="H93" s="2">
        <f>E93-G93</f>
        <v>10.677495061331992</v>
      </c>
      <c r="J93">
        <f>WEEKNUM(B93,2)</f>
        <v>12</v>
      </c>
    </row>
    <row r="94" spans="1:10" x14ac:dyDescent="0.25">
      <c r="A94" t="str">
        <f>Delliveries!A133</f>
        <v>Б</v>
      </c>
      <c r="B94" s="1">
        <f>Delliveries!B133</f>
        <v>45004</v>
      </c>
      <c r="C94" s="2">
        <f>Delliveries!C133</f>
        <v>19.229593165473865</v>
      </c>
      <c r="D94">
        <f>Delliveries!D133</f>
        <v>5</v>
      </c>
      <c r="E94">
        <f>D94*_xlfn.XLOOKUP(A94,Tariff!A:A,Tariff!B:B)</f>
        <v>30</v>
      </c>
      <c r="F94">
        <f>_xlfn.XLOOKUP($F$1,Tariff!A:A,Tariff!B:B)</f>
        <v>1.2</v>
      </c>
      <c r="G94" s="2">
        <f>F94*C94</f>
        <v>23.075511798568638</v>
      </c>
      <c r="H94" s="2">
        <f>E94-G94</f>
        <v>6.9244882014313625</v>
      </c>
      <c r="J94">
        <f>WEEKNUM(B94,2)</f>
        <v>12</v>
      </c>
    </row>
    <row r="95" spans="1:10" x14ac:dyDescent="0.25">
      <c r="A95" t="str">
        <f>Delliveries!A156</f>
        <v>С</v>
      </c>
      <c r="B95" s="1">
        <f>Delliveries!B156</f>
        <v>45004</v>
      </c>
      <c r="C95" s="2">
        <f>Delliveries!C156</f>
        <v>2.8396034556908112</v>
      </c>
      <c r="D95">
        <f>Delliveries!D156</f>
        <v>1</v>
      </c>
      <c r="E95">
        <f>D95*_xlfn.XLOOKUP(A95,Tariff!A:A,Tariff!B:B)</f>
        <v>8</v>
      </c>
      <c r="F95">
        <f>_xlfn.XLOOKUP($F$1,Tariff!A:A,Tariff!B:B)</f>
        <v>1.2</v>
      </c>
      <c r="G95" s="2">
        <f>F95*C95</f>
        <v>3.4075241468289734</v>
      </c>
      <c r="H95" s="2">
        <f>E95-G95</f>
        <v>4.5924758531710266</v>
      </c>
      <c r="J95">
        <f>WEEKNUM(B95,2)</f>
        <v>12</v>
      </c>
    </row>
    <row r="96" spans="1:10" x14ac:dyDescent="0.25">
      <c r="A96" t="str">
        <f>Delliveries!A165</f>
        <v>С</v>
      </c>
      <c r="B96" s="1">
        <f>Delliveries!B165</f>
        <v>45004</v>
      </c>
      <c r="C96" s="2">
        <f>Delliveries!C165</f>
        <v>11.317611083992832</v>
      </c>
      <c r="D96">
        <f>Delliveries!D165</f>
        <v>3</v>
      </c>
      <c r="E96">
        <f>D96*_xlfn.XLOOKUP(A96,Tariff!A:A,Tariff!B:B)</f>
        <v>24</v>
      </c>
      <c r="F96">
        <f>_xlfn.XLOOKUP($F$1,Tariff!A:A,Tariff!B:B)</f>
        <v>1.2</v>
      </c>
      <c r="G96" s="2">
        <f>F96*C96</f>
        <v>13.581133300791398</v>
      </c>
      <c r="H96" s="2">
        <f>E96-G96</f>
        <v>10.418866699208602</v>
      </c>
      <c r="J96">
        <f>WEEKNUM(B96,2)</f>
        <v>12</v>
      </c>
    </row>
    <row r="97" spans="1:10" x14ac:dyDescent="0.25">
      <c r="A97" t="str">
        <f>Delliveries!A167</f>
        <v>С</v>
      </c>
      <c r="B97" s="1">
        <f>Delliveries!B167</f>
        <v>45004</v>
      </c>
      <c r="C97" s="2">
        <f>Delliveries!C167</f>
        <v>11.893292911058161</v>
      </c>
      <c r="D97">
        <f>Delliveries!D167</f>
        <v>3</v>
      </c>
      <c r="E97">
        <f>D97*_xlfn.XLOOKUP(A97,Tariff!A:A,Tariff!B:B)</f>
        <v>24</v>
      </c>
      <c r="F97">
        <f>_xlfn.XLOOKUP($F$1,Tariff!A:A,Tariff!B:B)</f>
        <v>1.2</v>
      </c>
      <c r="G97" s="2">
        <f>F97*C97</f>
        <v>14.271951493269793</v>
      </c>
      <c r="H97" s="2">
        <f>E97-G97</f>
        <v>9.7280485067302074</v>
      </c>
      <c r="J97">
        <f>WEEKNUM(B97,2)</f>
        <v>12</v>
      </c>
    </row>
    <row r="98" spans="1:10" x14ac:dyDescent="0.25">
      <c r="A98" t="str">
        <f>Delliveries!A170</f>
        <v>С</v>
      </c>
      <c r="B98" s="1">
        <f>Delliveries!B170</f>
        <v>45004</v>
      </c>
      <c r="C98" s="2">
        <f>Delliveries!C170</f>
        <v>8.5740615499385591</v>
      </c>
      <c r="D98">
        <f>Delliveries!D170</f>
        <v>3</v>
      </c>
      <c r="E98">
        <f>D98*_xlfn.XLOOKUP(A98,Tariff!A:A,Tariff!B:B)</f>
        <v>24</v>
      </c>
      <c r="F98">
        <f>_xlfn.XLOOKUP($F$1,Tariff!A:A,Tariff!B:B)</f>
        <v>1.2</v>
      </c>
      <c r="G98" s="2">
        <f>F98*C98</f>
        <v>10.288873859926271</v>
      </c>
      <c r="H98" s="2">
        <f>E98-G98</f>
        <v>13.711126140073729</v>
      </c>
      <c r="J98">
        <f>WEEKNUM(B98,2)</f>
        <v>12</v>
      </c>
    </row>
    <row r="99" spans="1:10" x14ac:dyDescent="0.25">
      <c r="A99" t="str">
        <f>Delliveries!A190</f>
        <v>С</v>
      </c>
      <c r="B99" s="1">
        <f>Delliveries!B190</f>
        <v>45004</v>
      </c>
      <c r="C99" s="2">
        <f>Delliveries!C190</f>
        <v>15.66731671923826</v>
      </c>
      <c r="D99">
        <f>Delliveries!D190</f>
        <v>6</v>
      </c>
      <c r="E99">
        <f>D99*_xlfn.XLOOKUP(A99,Tariff!A:A,Tariff!B:B)</f>
        <v>48</v>
      </c>
      <c r="F99">
        <f>_xlfn.XLOOKUP($F$1,Tariff!A:A,Tariff!B:B)</f>
        <v>1.2</v>
      </c>
      <c r="G99" s="2">
        <f>F99*C99</f>
        <v>18.800780063085909</v>
      </c>
      <c r="H99" s="2">
        <f>E99-G99</f>
        <v>29.199219936914091</v>
      </c>
      <c r="J99">
        <f>WEEKNUM(B99,2)</f>
        <v>12</v>
      </c>
    </row>
    <row r="100" spans="1:10" x14ac:dyDescent="0.25">
      <c r="A100" t="str">
        <f>Delliveries!A199</f>
        <v>С</v>
      </c>
      <c r="B100" s="1">
        <f>Delliveries!B199</f>
        <v>45004</v>
      </c>
      <c r="C100" s="2">
        <f>Delliveries!C199</f>
        <v>16.138433541172784</v>
      </c>
      <c r="D100">
        <f>Delliveries!D199</f>
        <v>9</v>
      </c>
      <c r="E100">
        <f>D100*_xlfn.XLOOKUP(A100,Tariff!A:A,Tariff!B:B)</f>
        <v>72</v>
      </c>
      <c r="F100">
        <f>_xlfn.XLOOKUP($F$1,Tariff!A:A,Tariff!B:B)</f>
        <v>1.2</v>
      </c>
      <c r="G100" s="2">
        <f>F100*C100</f>
        <v>19.366120249407341</v>
      </c>
      <c r="H100" s="2">
        <f>E100-G100</f>
        <v>52.633879750592655</v>
      </c>
      <c r="J100">
        <f>WEEKNUM(B100,2)</f>
        <v>12</v>
      </c>
    </row>
    <row r="101" spans="1:10" x14ac:dyDescent="0.25">
      <c r="A101" t="str">
        <f>Delliveries!A7</f>
        <v>А</v>
      </c>
      <c r="B101" s="1">
        <f>Delliveries!B7</f>
        <v>45005</v>
      </c>
      <c r="C101" s="2">
        <f>Delliveries!C7</f>
        <v>2.4127430707931175</v>
      </c>
      <c r="D101">
        <f>Delliveries!D7</f>
        <v>1</v>
      </c>
      <c r="E101">
        <f>D101*_xlfn.XLOOKUP(A101,Tariff!A:A,Tariff!B:B)</f>
        <v>5</v>
      </c>
      <c r="F101">
        <f>_xlfn.XLOOKUP($F$1,Tariff!A:A,Tariff!B:B)</f>
        <v>1.2</v>
      </c>
      <c r="G101" s="2">
        <f>F101*C101</f>
        <v>2.8952916849517409</v>
      </c>
      <c r="H101" s="2">
        <f>E101-G101</f>
        <v>2.1047083150482591</v>
      </c>
      <c r="J101">
        <f>WEEKNUM(B101,2)</f>
        <v>13</v>
      </c>
    </row>
    <row r="102" spans="1:10" x14ac:dyDescent="0.25">
      <c r="A102" t="str">
        <f>Delliveries!A10</f>
        <v>А</v>
      </c>
      <c r="B102" s="1">
        <f>Delliveries!B10</f>
        <v>45005</v>
      </c>
      <c r="C102" s="2">
        <f>Delliveries!C10</f>
        <v>5.3849890069395112E-2</v>
      </c>
      <c r="D102">
        <f>Delliveries!D10</f>
        <v>1</v>
      </c>
      <c r="E102">
        <f>D102*_xlfn.XLOOKUP(A102,Tariff!A:A,Tariff!B:B)</f>
        <v>5</v>
      </c>
      <c r="F102">
        <f>_xlfn.XLOOKUP($F$1,Tariff!A:A,Tariff!B:B)</f>
        <v>1.2</v>
      </c>
      <c r="G102" s="2">
        <f>F102*C102</f>
        <v>6.4619868083274135E-2</v>
      </c>
      <c r="H102" s="2">
        <f>E102-G102</f>
        <v>4.9353801319167259</v>
      </c>
      <c r="J102">
        <f>WEEKNUM(B102,2)</f>
        <v>13</v>
      </c>
    </row>
    <row r="103" spans="1:10" x14ac:dyDescent="0.25">
      <c r="A103" t="str">
        <f>Delliveries!A35</f>
        <v>А</v>
      </c>
      <c r="B103" s="1">
        <f>Delliveries!B35</f>
        <v>45005</v>
      </c>
      <c r="C103" s="2">
        <f>Delliveries!C35</f>
        <v>9.559175462131817</v>
      </c>
      <c r="D103">
        <f>Delliveries!D35</f>
        <v>4</v>
      </c>
      <c r="E103">
        <f>D103*_xlfn.XLOOKUP(A103,Tariff!A:A,Tariff!B:B)</f>
        <v>20</v>
      </c>
      <c r="F103">
        <f>_xlfn.XLOOKUP($F$1,Tariff!A:A,Tariff!B:B)</f>
        <v>1.2</v>
      </c>
      <c r="G103" s="2">
        <f>F103*C103</f>
        <v>11.47101055455818</v>
      </c>
      <c r="H103" s="2">
        <f>E103-G103</f>
        <v>8.5289894454418196</v>
      </c>
      <c r="J103">
        <f>WEEKNUM(B103,2)</f>
        <v>13</v>
      </c>
    </row>
    <row r="104" spans="1:10" x14ac:dyDescent="0.25">
      <c r="A104" t="str">
        <f>Delliveries!A40</f>
        <v>А</v>
      </c>
      <c r="B104" s="1">
        <f>Delliveries!B40</f>
        <v>45005</v>
      </c>
      <c r="C104" s="2">
        <f>Delliveries!C40</f>
        <v>14.028063246803807</v>
      </c>
      <c r="D104">
        <f>Delliveries!D40</f>
        <v>5</v>
      </c>
      <c r="E104">
        <f>D104*_xlfn.XLOOKUP(A104,Tariff!A:A,Tariff!B:B)</f>
        <v>25</v>
      </c>
      <c r="F104">
        <f>_xlfn.XLOOKUP($F$1,Tariff!A:A,Tariff!B:B)</f>
        <v>1.2</v>
      </c>
      <c r="G104" s="2">
        <f>F104*C104</f>
        <v>16.833675896164568</v>
      </c>
      <c r="H104" s="2">
        <f>E104-G104</f>
        <v>8.1663241038354322</v>
      </c>
      <c r="J104">
        <f>WEEKNUM(B104,2)</f>
        <v>13</v>
      </c>
    </row>
    <row r="105" spans="1:10" x14ac:dyDescent="0.25">
      <c r="A105" t="str">
        <f>Delliveries!A46</f>
        <v>А</v>
      </c>
      <c r="B105" s="1">
        <f>Delliveries!B46</f>
        <v>45005</v>
      </c>
      <c r="C105" s="2">
        <f>Delliveries!C46</f>
        <v>27.897831390325074</v>
      </c>
      <c r="D105">
        <f>Delliveries!D46</f>
        <v>6</v>
      </c>
      <c r="E105">
        <f>D105*_xlfn.XLOOKUP(A105,Tariff!A:A,Tariff!B:B)</f>
        <v>30</v>
      </c>
      <c r="F105">
        <f>_xlfn.XLOOKUP($F$1,Tariff!A:A,Tariff!B:B)</f>
        <v>1.2</v>
      </c>
      <c r="G105" s="2">
        <f>F105*C105</f>
        <v>33.47739766839009</v>
      </c>
      <c r="H105" s="2">
        <f>E105-G105</f>
        <v>-3.4773976683900898</v>
      </c>
      <c r="J105">
        <f>WEEKNUM(B105,2)</f>
        <v>13</v>
      </c>
    </row>
    <row r="106" spans="1:10" x14ac:dyDescent="0.25">
      <c r="A106" t="str">
        <f>Delliveries!A47</f>
        <v>А</v>
      </c>
      <c r="B106" s="1">
        <f>Delliveries!B47</f>
        <v>45005</v>
      </c>
      <c r="C106" s="2">
        <f>Delliveries!C47</f>
        <v>22.945586128722276</v>
      </c>
      <c r="D106">
        <f>Delliveries!D47</f>
        <v>6</v>
      </c>
      <c r="E106">
        <f>D106*_xlfn.XLOOKUP(A106,Tariff!A:A,Tariff!B:B)</f>
        <v>30</v>
      </c>
      <c r="F106">
        <f>_xlfn.XLOOKUP($F$1,Tariff!A:A,Tariff!B:B)</f>
        <v>1.2</v>
      </c>
      <c r="G106" s="2">
        <f>F106*C106</f>
        <v>27.534703354466732</v>
      </c>
      <c r="H106" s="2">
        <f>E106-G106</f>
        <v>2.4652966455332681</v>
      </c>
      <c r="J106">
        <f>WEEKNUM(B106,2)</f>
        <v>13</v>
      </c>
    </row>
    <row r="107" spans="1:10" x14ac:dyDescent="0.25">
      <c r="A107" t="str">
        <f>Delliveries!A48</f>
        <v>А</v>
      </c>
      <c r="B107" s="1">
        <f>Delliveries!B48</f>
        <v>45005</v>
      </c>
      <c r="C107" s="2">
        <f>Delliveries!C48</f>
        <v>24.467985056954483</v>
      </c>
      <c r="D107">
        <f>Delliveries!D48</f>
        <v>7</v>
      </c>
      <c r="E107">
        <f>D107*_xlfn.XLOOKUP(A107,Tariff!A:A,Tariff!B:B)</f>
        <v>35</v>
      </c>
      <c r="F107">
        <f>_xlfn.XLOOKUP($F$1,Tariff!A:A,Tariff!B:B)</f>
        <v>1.2</v>
      </c>
      <c r="G107" s="2">
        <f>F107*C107</f>
        <v>29.361582068345378</v>
      </c>
      <c r="H107" s="2">
        <f>E107-G107</f>
        <v>5.6384179316546224</v>
      </c>
      <c r="J107">
        <f>WEEKNUM(B107,2)</f>
        <v>13</v>
      </c>
    </row>
    <row r="108" spans="1:10" x14ac:dyDescent="0.25">
      <c r="A108" t="str">
        <f>Delliveries!A49</f>
        <v>А</v>
      </c>
      <c r="B108" s="1">
        <f>Delliveries!B49</f>
        <v>45005</v>
      </c>
      <c r="C108" s="2">
        <f>Delliveries!C49</f>
        <v>26.925756601927986</v>
      </c>
      <c r="D108">
        <f>Delliveries!D49</f>
        <v>7</v>
      </c>
      <c r="E108">
        <f>D108*_xlfn.XLOOKUP(A108,Tariff!A:A,Tariff!B:B)</f>
        <v>35</v>
      </c>
      <c r="F108">
        <f>_xlfn.XLOOKUP($F$1,Tariff!A:A,Tariff!B:B)</f>
        <v>1.2</v>
      </c>
      <c r="G108" s="2">
        <f>F108*C108</f>
        <v>32.310907922313582</v>
      </c>
      <c r="H108" s="2">
        <f>E108-G108</f>
        <v>2.6890920776864178</v>
      </c>
      <c r="J108">
        <f>WEEKNUM(B108,2)</f>
        <v>13</v>
      </c>
    </row>
    <row r="109" spans="1:10" x14ac:dyDescent="0.25">
      <c r="A109" t="str">
        <f>Delliveries!A96</f>
        <v>Б</v>
      </c>
      <c r="B109" s="1">
        <f>Delliveries!B96</f>
        <v>45005</v>
      </c>
      <c r="C109" s="2">
        <f>Delliveries!C96</f>
        <v>7.4138204785652313</v>
      </c>
      <c r="D109">
        <f>Delliveries!D96</f>
        <v>2</v>
      </c>
      <c r="E109">
        <f>D109*_xlfn.XLOOKUP(A109,Tariff!A:A,Tariff!B:B)</f>
        <v>12</v>
      </c>
      <c r="F109">
        <f>_xlfn.XLOOKUP($F$1,Tariff!A:A,Tariff!B:B)</f>
        <v>1.2</v>
      </c>
      <c r="G109" s="2">
        <f>F109*C109</f>
        <v>8.8965845742782772</v>
      </c>
      <c r="H109" s="2">
        <f>E109-G109</f>
        <v>3.1034154257217228</v>
      </c>
      <c r="J109">
        <f>WEEKNUM(B109,2)</f>
        <v>13</v>
      </c>
    </row>
    <row r="110" spans="1:10" x14ac:dyDescent="0.25">
      <c r="A110" t="str">
        <f>Delliveries!A119</f>
        <v>Б</v>
      </c>
      <c r="B110" s="1">
        <f>Delliveries!B119</f>
        <v>45005</v>
      </c>
      <c r="C110" s="2">
        <f>Delliveries!C119</f>
        <v>9.9166848620885943</v>
      </c>
      <c r="D110">
        <f>Delliveries!D119</f>
        <v>4</v>
      </c>
      <c r="E110">
        <f>D110*_xlfn.XLOOKUP(A110,Tariff!A:A,Tariff!B:B)</f>
        <v>24</v>
      </c>
      <c r="F110">
        <f>_xlfn.XLOOKUP($F$1,Tariff!A:A,Tariff!B:B)</f>
        <v>1.2</v>
      </c>
      <c r="G110" s="2">
        <f>F110*C110</f>
        <v>11.900021834506314</v>
      </c>
      <c r="H110" s="2">
        <f>E110-G110</f>
        <v>12.099978165493686</v>
      </c>
      <c r="J110">
        <f>WEEKNUM(B110,2)</f>
        <v>13</v>
      </c>
    </row>
    <row r="111" spans="1:10" x14ac:dyDescent="0.25">
      <c r="A111" t="str">
        <f>Delliveries!A120</f>
        <v>Б</v>
      </c>
      <c r="B111" s="1">
        <f>Delliveries!B120</f>
        <v>45005</v>
      </c>
      <c r="C111" s="2">
        <f>Delliveries!C120</f>
        <v>13.908767582948389</v>
      </c>
      <c r="D111">
        <f>Delliveries!D120</f>
        <v>4</v>
      </c>
      <c r="E111">
        <f>D111*_xlfn.XLOOKUP(A111,Tariff!A:A,Tariff!B:B)</f>
        <v>24</v>
      </c>
      <c r="F111">
        <f>_xlfn.XLOOKUP($F$1,Tariff!A:A,Tariff!B:B)</f>
        <v>1.2</v>
      </c>
      <c r="G111" s="2">
        <f>F111*C111</f>
        <v>16.690521099538067</v>
      </c>
      <c r="H111" s="2">
        <f>E111-G111</f>
        <v>7.3094789004619329</v>
      </c>
      <c r="J111">
        <f>WEEKNUM(B111,2)</f>
        <v>13</v>
      </c>
    </row>
    <row r="112" spans="1:10" x14ac:dyDescent="0.25">
      <c r="A112" t="str">
        <f>Delliveries!A126</f>
        <v>Б</v>
      </c>
      <c r="B112" s="1">
        <f>Delliveries!B126</f>
        <v>45005</v>
      </c>
      <c r="C112" s="2">
        <f>Delliveries!C126</f>
        <v>14.385664719001195</v>
      </c>
      <c r="D112">
        <f>Delliveries!D126</f>
        <v>4</v>
      </c>
      <c r="E112">
        <f>D112*_xlfn.XLOOKUP(A112,Tariff!A:A,Tariff!B:B)</f>
        <v>24</v>
      </c>
      <c r="F112">
        <f>_xlfn.XLOOKUP($F$1,Tariff!A:A,Tariff!B:B)</f>
        <v>1.2</v>
      </c>
      <c r="G112" s="2">
        <f>F112*C112</f>
        <v>17.262797662801432</v>
      </c>
      <c r="H112" s="2">
        <f>E112-G112</f>
        <v>6.7372023371985676</v>
      </c>
      <c r="J112">
        <f>WEEKNUM(B112,2)</f>
        <v>13</v>
      </c>
    </row>
    <row r="113" spans="1:10" x14ac:dyDescent="0.25">
      <c r="A113" t="str">
        <f>Delliveries!A142</f>
        <v>Б</v>
      </c>
      <c r="B113" s="1">
        <f>Delliveries!B142</f>
        <v>45005</v>
      </c>
      <c r="C113" s="2">
        <f>Delliveries!C142</f>
        <v>17.065326867580872</v>
      </c>
      <c r="D113">
        <f>Delliveries!D142</f>
        <v>5</v>
      </c>
      <c r="E113">
        <f>D113*_xlfn.XLOOKUP(A113,Tariff!A:A,Tariff!B:B)</f>
        <v>30</v>
      </c>
      <c r="F113">
        <f>_xlfn.XLOOKUP($F$1,Tariff!A:A,Tariff!B:B)</f>
        <v>1.2</v>
      </c>
      <c r="G113" s="2">
        <f>F113*C113</f>
        <v>20.478392241097044</v>
      </c>
      <c r="H113" s="2">
        <f>E113-G113</f>
        <v>9.521607758902956</v>
      </c>
      <c r="J113">
        <f>WEEKNUM(B113,2)</f>
        <v>13</v>
      </c>
    </row>
    <row r="114" spans="1:10" x14ac:dyDescent="0.25">
      <c r="A114" t="str">
        <f>Delliveries!A143</f>
        <v>Б</v>
      </c>
      <c r="B114" s="1">
        <f>Delliveries!B143</f>
        <v>45005</v>
      </c>
      <c r="C114" s="2">
        <f>Delliveries!C143</f>
        <v>18.624105046706013</v>
      </c>
      <c r="D114">
        <f>Delliveries!D143</f>
        <v>5</v>
      </c>
      <c r="E114">
        <f>D114*_xlfn.XLOOKUP(A114,Tariff!A:A,Tariff!B:B)</f>
        <v>30</v>
      </c>
      <c r="F114">
        <f>_xlfn.XLOOKUP($F$1,Tariff!A:A,Tariff!B:B)</f>
        <v>1.2</v>
      </c>
      <c r="G114" s="2">
        <f>F114*C114</f>
        <v>22.348926056047215</v>
      </c>
      <c r="H114" s="2">
        <f>E114-G114</f>
        <v>7.6510739439527846</v>
      </c>
      <c r="J114">
        <f>WEEKNUM(B114,2)</f>
        <v>13</v>
      </c>
    </row>
    <row r="115" spans="1:10" x14ac:dyDescent="0.25">
      <c r="A115" t="str">
        <f>Delliveries!A195</f>
        <v>С</v>
      </c>
      <c r="B115" s="1">
        <f>Delliveries!B195</f>
        <v>45005</v>
      </c>
      <c r="C115" s="2">
        <f>Delliveries!C195</f>
        <v>12.546249031472918</v>
      </c>
      <c r="D115">
        <f>Delliveries!D195</f>
        <v>7</v>
      </c>
      <c r="E115">
        <f>D115*_xlfn.XLOOKUP(A115,Tariff!A:A,Tariff!B:B)</f>
        <v>56</v>
      </c>
      <c r="F115">
        <f>_xlfn.XLOOKUP($F$1,Tariff!A:A,Tariff!B:B)</f>
        <v>1.2</v>
      </c>
      <c r="G115" s="2">
        <f>F115*C115</f>
        <v>15.055498837767502</v>
      </c>
      <c r="H115" s="2">
        <f>E115-G115</f>
        <v>40.944501162232498</v>
      </c>
      <c r="J115">
        <f>WEEKNUM(B115,2)</f>
        <v>13</v>
      </c>
    </row>
    <row r="116" spans="1:10" x14ac:dyDescent="0.25">
      <c r="A116" t="str">
        <f>Delliveries!A6</f>
        <v>А</v>
      </c>
      <c r="B116" s="1">
        <f>Delliveries!B6</f>
        <v>45006</v>
      </c>
      <c r="C116" s="2">
        <f>Delliveries!C6</f>
        <v>1.0439021913421054</v>
      </c>
      <c r="D116">
        <f>Delliveries!D6</f>
        <v>1</v>
      </c>
      <c r="E116">
        <f>D116*_xlfn.XLOOKUP(A116,Tariff!A:A,Tariff!B:B)</f>
        <v>5</v>
      </c>
      <c r="F116">
        <f>_xlfn.XLOOKUP($F$1,Tariff!A:A,Tariff!B:B)</f>
        <v>1.2</v>
      </c>
      <c r="G116" s="2">
        <f>F116*C116</f>
        <v>1.2526826296105265</v>
      </c>
      <c r="H116" s="2">
        <f>E116-G116</f>
        <v>3.7473173703894735</v>
      </c>
      <c r="J116">
        <f>WEEKNUM(B116,2)</f>
        <v>13</v>
      </c>
    </row>
    <row r="117" spans="1:10" x14ac:dyDescent="0.25">
      <c r="A117" t="str">
        <f>Delliveries!A8</f>
        <v>А</v>
      </c>
      <c r="B117" s="1">
        <f>Delliveries!B8</f>
        <v>45006</v>
      </c>
      <c r="C117" s="2">
        <f>Delliveries!C8</f>
        <v>3.5299482481573694</v>
      </c>
      <c r="D117">
        <f>Delliveries!D8</f>
        <v>1</v>
      </c>
      <c r="E117">
        <f>D117*_xlfn.XLOOKUP(A117,Tariff!A:A,Tariff!B:B)</f>
        <v>5</v>
      </c>
      <c r="F117">
        <f>_xlfn.XLOOKUP($F$1,Tariff!A:A,Tariff!B:B)</f>
        <v>1.2</v>
      </c>
      <c r="G117" s="2">
        <f>F117*C117</f>
        <v>4.2359378977888431</v>
      </c>
      <c r="H117" s="2">
        <f>E117-G117</f>
        <v>0.76406210221115689</v>
      </c>
      <c r="J117">
        <f>WEEKNUM(B117,2)</f>
        <v>13</v>
      </c>
    </row>
    <row r="118" spans="1:10" x14ac:dyDescent="0.25">
      <c r="A118" t="str">
        <f>Delliveries!A25</f>
        <v>А</v>
      </c>
      <c r="B118" s="1">
        <f>Delliveries!B25</f>
        <v>45006</v>
      </c>
      <c r="C118" s="2">
        <f>Delliveries!C25</f>
        <v>10.346843791769839</v>
      </c>
      <c r="D118">
        <f>Delliveries!D25</f>
        <v>3</v>
      </c>
      <c r="E118">
        <f>D118*_xlfn.XLOOKUP(A118,Tariff!A:A,Tariff!B:B)</f>
        <v>15</v>
      </c>
      <c r="F118">
        <f>_xlfn.XLOOKUP($F$1,Tariff!A:A,Tariff!B:B)</f>
        <v>1.2</v>
      </c>
      <c r="G118" s="2">
        <f>F118*C118</f>
        <v>12.416212550123806</v>
      </c>
      <c r="H118" s="2">
        <f>E118-G118</f>
        <v>2.5837874498761941</v>
      </c>
      <c r="J118">
        <f>WEEKNUM(B118,2)</f>
        <v>13</v>
      </c>
    </row>
    <row r="119" spans="1:10" x14ac:dyDescent="0.25">
      <c r="A119" t="str">
        <f>Delliveries!A30</f>
        <v>А</v>
      </c>
      <c r="B119" s="1">
        <f>Delliveries!B30</f>
        <v>45006</v>
      </c>
      <c r="C119" s="2">
        <f>Delliveries!C30</f>
        <v>10.521135925408039</v>
      </c>
      <c r="D119">
        <f>Delliveries!D30</f>
        <v>3</v>
      </c>
      <c r="E119">
        <f>D119*_xlfn.XLOOKUP(A119,Tariff!A:A,Tariff!B:B)</f>
        <v>15</v>
      </c>
      <c r="F119">
        <f>_xlfn.XLOOKUP($F$1,Tariff!A:A,Tariff!B:B)</f>
        <v>1.2</v>
      </c>
      <c r="G119" s="2">
        <f>F119*C119</f>
        <v>12.625363110489646</v>
      </c>
      <c r="H119" s="2">
        <f>E119-G119</f>
        <v>2.374636889510354</v>
      </c>
      <c r="J119">
        <f>WEEKNUM(B119,2)</f>
        <v>13</v>
      </c>
    </row>
    <row r="120" spans="1:10" x14ac:dyDescent="0.25">
      <c r="A120" t="str">
        <f>Delliveries!A51</f>
        <v>А</v>
      </c>
      <c r="B120" s="1">
        <f>Delliveries!B51</f>
        <v>45006</v>
      </c>
      <c r="C120" s="2">
        <f>Delliveries!C51</f>
        <v>25.63865355779533</v>
      </c>
      <c r="D120">
        <f>Delliveries!D51</f>
        <v>7</v>
      </c>
      <c r="E120">
        <f>D120*_xlfn.XLOOKUP(A120,Tariff!A:A,Tariff!B:B)</f>
        <v>35</v>
      </c>
      <c r="F120">
        <f>_xlfn.XLOOKUP($F$1,Tariff!A:A,Tariff!B:B)</f>
        <v>1.2</v>
      </c>
      <c r="G120" s="2">
        <f>F120*C120</f>
        <v>30.766384269354393</v>
      </c>
      <c r="H120" s="2">
        <f>E120-G120</f>
        <v>4.2336157306456066</v>
      </c>
      <c r="J120">
        <f>WEEKNUM(B120,2)</f>
        <v>13</v>
      </c>
    </row>
    <row r="121" spans="1:10" x14ac:dyDescent="0.25">
      <c r="A121" t="str">
        <f>Delliveries!A81</f>
        <v>Б</v>
      </c>
      <c r="B121" s="1">
        <f>Delliveries!B81</f>
        <v>45006</v>
      </c>
      <c r="C121" s="2">
        <f>Delliveries!C81</f>
        <v>2.6896989368812196</v>
      </c>
      <c r="D121">
        <f>Delliveries!D81</f>
        <v>1</v>
      </c>
      <c r="E121">
        <f>D121*_xlfn.XLOOKUP(A121,Tariff!A:A,Tariff!B:B)</f>
        <v>6</v>
      </c>
      <c r="F121">
        <f>_xlfn.XLOOKUP($F$1,Tariff!A:A,Tariff!B:B)</f>
        <v>1.2</v>
      </c>
      <c r="G121" s="2">
        <f>F121*C121</f>
        <v>3.2276387242574636</v>
      </c>
      <c r="H121" s="2">
        <f>E121-G121</f>
        <v>2.7723612757425364</v>
      </c>
      <c r="J121">
        <f>WEEKNUM(B121,2)</f>
        <v>13</v>
      </c>
    </row>
    <row r="122" spans="1:10" x14ac:dyDescent="0.25">
      <c r="A122" t="str">
        <f>Delliveries!A82</f>
        <v>Б</v>
      </c>
      <c r="B122" s="1">
        <f>Delliveries!B82</f>
        <v>45006</v>
      </c>
      <c r="C122" s="2">
        <f>Delliveries!C82</f>
        <v>0.71485160665790026</v>
      </c>
      <c r="D122">
        <f>Delliveries!D82</f>
        <v>1</v>
      </c>
      <c r="E122">
        <f>D122*_xlfn.XLOOKUP(A122,Tariff!A:A,Tariff!B:B)</f>
        <v>6</v>
      </c>
      <c r="F122">
        <f>_xlfn.XLOOKUP($F$1,Tariff!A:A,Tariff!B:B)</f>
        <v>1.2</v>
      </c>
      <c r="G122" s="2">
        <f>F122*C122</f>
        <v>0.85782192798948032</v>
      </c>
      <c r="H122" s="2">
        <f>E122-G122</f>
        <v>5.1421780720105197</v>
      </c>
      <c r="J122">
        <f>WEEKNUM(B122,2)</f>
        <v>13</v>
      </c>
    </row>
    <row r="123" spans="1:10" x14ac:dyDescent="0.25">
      <c r="A123" t="str">
        <f>Delliveries!A91</f>
        <v>Б</v>
      </c>
      <c r="B123" s="1">
        <f>Delliveries!B91</f>
        <v>45006</v>
      </c>
      <c r="C123" s="2">
        <f>Delliveries!C91</f>
        <v>4.0661562586286992</v>
      </c>
      <c r="D123">
        <f>Delliveries!D91</f>
        <v>2</v>
      </c>
      <c r="E123">
        <f>D123*_xlfn.XLOOKUP(A123,Tariff!A:A,Tariff!B:B)</f>
        <v>12</v>
      </c>
      <c r="F123">
        <f>_xlfn.XLOOKUP($F$1,Tariff!A:A,Tariff!B:B)</f>
        <v>1.2</v>
      </c>
      <c r="G123" s="2">
        <f>F123*C123</f>
        <v>4.8793875103544391</v>
      </c>
      <c r="H123" s="2">
        <f>E123-G123</f>
        <v>7.1206124896455609</v>
      </c>
      <c r="J123">
        <f>WEEKNUM(B123,2)</f>
        <v>13</v>
      </c>
    </row>
    <row r="124" spans="1:10" x14ac:dyDescent="0.25">
      <c r="A124" t="str">
        <f>Delliveries!A94</f>
        <v>Б</v>
      </c>
      <c r="B124" s="1">
        <f>Delliveries!B94</f>
        <v>45006</v>
      </c>
      <c r="C124" s="2">
        <f>Delliveries!C94</f>
        <v>2.0719171586867757</v>
      </c>
      <c r="D124">
        <f>Delliveries!D94</f>
        <v>2</v>
      </c>
      <c r="E124">
        <f>D124*_xlfn.XLOOKUP(A124,Tariff!A:A,Tariff!B:B)</f>
        <v>12</v>
      </c>
      <c r="F124">
        <f>_xlfn.XLOOKUP($F$1,Tariff!A:A,Tariff!B:B)</f>
        <v>1.2</v>
      </c>
      <c r="G124" s="2">
        <f>F124*C124</f>
        <v>2.4863005904241309</v>
      </c>
      <c r="H124" s="2">
        <f>E124-G124</f>
        <v>9.5136994095758691</v>
      </c>
      <c r="J124">
        <f>WEEKNUM(B124,2)</f>
        <v>13</v>
      </c>
    </row>
    <row r="125" spans="1:10" x14ac:dyDescent="0.25">
      <c r="A125" t="str">
        <f>Delliveries!A122</f>
        <v>Б</v>
      </c>
      <c r="B125" s="1">
        <f>Delliveries!B122</f>
        <v>45006</v>
      </c>
      <c r="C125" s="2">
        <f>Delliveries!C122</f>
        <v>14.190521780409981</v>
      </c>
      <c r="D125">
        <f>Delliveries!D122</f>
        <v>4</v>
      </c>
      <c r="E125">
        <f>D125*_xlfn.XLOOKUP(A125,Tariff!A:A,Tariff!B:B)</f>
        <v>24</v>
      </c>
      <c r="F125">
        <f>_xlfn.XLOOKUP($F$1,Tariff!A:A,Tariff!B:B)</f>
        <v>1.2</v>
      </c>
      <c r="G125" s="2">
        <f>F125*C125</f>
        <v>17.028626136491976</v>
      </c>
      <c r="H125" s="2">
        <f>E125-G125</f>
        <v>6.971373863508024</v>
      </c>
      <c r="J125">
        <f>WEEKNUM(B125,2)</f>
        <v>13</v>
      </c>
    </row>
    <row r="126" spans="1:10" x14ac:dyDescent="0.25">
      <c r="A126" t="str">
        <f>Delliveries!A125</f>
        <v>Б</v>
      </c>
      <c r="B126" s="1">
        <f>Delliveries!B125</f>
        <v>45006</v>
      </c>
      <c r="C126" s="2">
        <f>Delliveries!C125</f>
        <v>9.4985075636023168</v>
      </c>
      <c r="D126">
        <f>Delliveries!D125</f>
        <v>4</v>
      </c>
      <c r="E126">
        <f>D126*_xlfn.XLOOKUP(A126,Tariff!A:A,Tariff!B:B)</f>
        <v>24</v>
      </c>
      <c r="F126">
        <f>_xlfn.XLOOKUP($F$1,Tariff!A:A,Tariff!B:B)</f>
        <v>1.2</v>
      </c>
      <c r="G126" s="2">
        <f>F126*C126</f>
        <v>11.398209076322781</v>
      </c>
      <c r="H126" s="2">
        <f>E126-G126</f>
        <v>12.601790923677219</v>
      </c>
      <c r="J126">
        <f>WEEKNUM(B126,2)</f>
        <v>13</v>
      </c>
    </row>
    <row r="127" spans="1:10" x14ac:dyDescent="0.25">
      <c r="A127" t="str">
        <f>Delliveries!A147</f>
        <v>Б</v>
      </c>
      <c r="B127" s="1">
        <f>Delliveries!B147</f>
        <v>45006</v>
      </c>
      <c r="C127" s="2">
        <f>Delliveries!C147</f>
        <v>15.146710148266862</v>
      </c>
      <c r="D127">
        <f>Delliveries!D147</f>
        <v>6</v>
      </c>
      <c r="E127">
        <f>D127*_xlfn.XLOOKUP(A127,Tariff!A:A,Tariff!B:B)</f>
        <v>36</v>
      </c>
      <c r="F127">
        <f>_xlfn.XLOOKUP($F$1,Tariff!A:A,Tariff!B:B)</f>
        <v>1.2</v>
      </c>
      <c r="G127" s="2">
        <f>F127*C127</f>
        <v>18.176052177920234</v>
      </c>
      <c r="H127" s="2">
        <f>E127-G127</f>
        <v>17.823947822079766</v>
      </c>
      <c r="J127">
        <f>WEEKNUM(B127,2)</f>
        <v>13</v>
      </c>
    </row>
    <row r="128" spans="1:10" x14ac:dyDescent="0.25">
      <c r="A128" t="str">
        <f>Delliveries!A176</f>
        <v>С</v>
      </c>
      <c r="B128" s="1">
        <f>Delliveries!B176</f>
        <v>45006</v>
      </c>
      <c r="C128" s="2">
        <f>Delliveries!C176</f>
        <v>6.4403005424347253</v>
      </c>
      <c r="D128">
        <f>Delliveries!D176</f>
        <v>3</v>
      </c>
      <c r="E128">
        <f>D128*_xlfn.XLOOKUP(A128,Tariff!A:A,Tariff!B:B)</f>
        <v>24</v>
      </c>
      <c r="F128">
        <f>_xlfn.XLOOKUP($F$1,Tariff!A:A,Tariff!B:B)</f>
        <v>1.2</v>
      </c>
      <c r="G128" s="2">
        <f>F128*C128</f>
        <v>7.7283606509216698</v>
      </c>
      <c r="H128" s="2">
        <f>E128-G128</f>
        <v>16.271639349078331</v>
      </c>
      <c r="J128">
        <f>WEEKNUM(B128,2)</f>
        <v>13</v>
      </c>
    </row>
    <row r="129" spans="1:10" x14ac:dyDescent="0.25">
      <c r="A129" t="str">
        <f>Delliveries!A177</f>
        <v>С</v>
      </c>
      <c r="B129" s="1">
        <f>Delliveries!B177</f>
        <v>45006</v>
      </c>
      <c r="C129" s="2">
        <f>Delliveries!C177</f>
        <v>11.620385001658114</v>
      </c>
      <c r="D129">
        <f>Delliveries!D177</f>
        <v>3</v>
      </c>
      <c r="E129">
        <f>D129*_xlfn.XLOOKUP(A129,Tariff!A:A,Tariff!B:B)</f>
        <v>24</v>
      </c>
      <c r="F129">
        <f>_xlfn.XLOOKUP($F$1,Tariff!A:A,Tariff!B:B)</f>
        <v>1.2</v>
      </c>
      <c r="G129" s="2">
        <f>F129*C129</f>
        <v>13.944462001989736</v>
      </c>
      <c r="H129" s="2">
        <f>E129-G129</f>
        <v>10.055537998010264</v>
      </c>
      <c r="J129">
        <f>WEEKNUM(B129,2)</f>
        <v>13</v>
      </c>
    </row>
    <row r="130" spans="1:10" x14ac:dyDescent="0.25">
      <c r="A130" t="str">
        <f>Delliveries!A12</f>
        <v>А</v>
      </c>
      <c r="B130" s="1">
        <f>Delliveries!B12</f>
        <v>45007</v>
      </c>
      <c r="C130" s="2">
        <f>Delliveries!C12</f>
        <v>0.12924651172283697</v>
      </c>
      <c r="D130">
        <f>Delliveries!D12</f>
        <v>1</v>
      </c>
      <c r="E130">
        <f>D130*_xlfn.XLOOKUP(A130,Tariff!A:A,Tariff!B:B)</f>
        <v>5</v>
      </c>
      <c r="F130">
        <f>_xlfn.XLOOKUP($F$1,Tariff!A:A,Tariff!B:B)</f>
        <v>1.2</v>
      </c>
      <c r="G130" s="2">
        <f>F130*C130</f>
        <v>0.15509581406740436</v>
      </c>
      <c r="H130" s="2">
        <f>E130-G130</f>
        <v>4.8449041859325952</v>
      </c>
      <c r="J130">
        <f>WEEKNUM(B130,2)</f>
        <v>13</v>
      </c>
    </row>
    <row r="131" spans="1:10" x14ac:dyDescent="0.25">
      <c r="A131" t="str">
        <f>Delliveries!A13</f>
        <v>А</v>
      </c>
      <c r="B131" s="1">
        <f>Delliveries!B13</f>
        <v>45007</v>
      </c>
      <c r="C131" s="2">
        <f>Delliveries!C13</f>
        <v>2.4509397676338485</v>
      </c>
      <c r="D131">
        <f>Delliveries!D13</f>
        <v>1</v>
      </c>
      <c r="E131">
        <f>D131*_xlfn.XLOOKUP(A131,Tariff!A:A,Tariff!B:B)</f>
        <v>5</v>
      </c>
      <c r="F131">
        <f>_xlfn.XLOOKUP($F$1,Tariff!A:A,Tariff!B:B)</f>
        <v>1.2</v>
      </c>
      <c r="G131" s="2">
        <f>F131*C131</f>
        <v>2.9411277211606182</v>
      </c>
      <c r="H131" s="2">
        <f>E131-G131</f>
        <v>2.0588722788393818</v>
      </c>
      <c r="J131">
        <f>WEEKNUM(B131,2)</f>
        <v>13</v>
      </c>
    </row>
    <row r="132" spans="1:10" x14ac:dyDescent="0.25">
      <c r="A132" t="str">
        <f>Delliveries!A29</f>
        <v>А</v>
      </c>
      <c r="B132" s="1">
        <f>Delliveries!B29</f>
        <v>45007</v>
      </c>
      <c r="C132" s="2">
        <f>Delliveries!C29</f>
        <v>10.125624318901643</v>
      </c>
      <c r="D132">
        <f>Delliveries!D29</f>
        <v>3</v>
      </c>
      <c r="E132">
        <f>D132*_xlfn.XLOOKUP(A132,Tariff!A:A,Tariff!B:B)</f>
        <v>15</v>
      </c>
      <c r="F132">
        <f>_xlfn.XLOOKUP($F$1,Tariff!A:A,Tariff!B:B)</f>
        <v>1.2</v>
      </c>
      <c r="G132" s="2">
        <f>F132*C132</f>
        <v>12.150749182681972</v>
      </c>
      <c r="H132" s="2">
        <f>E132-G132</f>
        <v>2.849250817318028</v>
      </c>
      <c r="J132">
        <f>WEEKNUM(B132,2)</f>
        <v>13</v>
      </c>
    </row>
    <row r="133" spans="1:10" x14ac:dyDescent="0.25">
      <c r="A133" t="str">
        <f>Delliveries!A33</f>
        <v>А</v>
      </c>
      <c r="B133" s="1">
        <f>Delliveries!B33</f>
        <v>45007</v>
      </c>
      <c r="C133" s="2">
        <f>Delliveries!C33</f>
        <v>16.350785486855372</v>
      </c>
      <c r="D133">
        <f>Delliveries!D33</f>
        <v>4</v>
      </c>
      <c r="E133">
        <f>D133*_xlfn.XLOOKUP(A133,Tariff!A:A,Tariff!B:B)</f>
        <v>20</v>
      </c>
      <c r="F133">
        <f>_xlfn.XLOOKUP($F$1,Tariff!A:A,Tariff!B:B)</f>
        <v>1.2</v>
      </c>
      <c r="G133" s="2">
        <f>F133*C133</f>
        <v>19.620942584226444</v>
      </c>
      <c r="H133" s="2">
        <f>E133-G133</f>
        <v>0.37905741577355556</v>
      </c>
      <c r="J133">
        <f>WEEKNUM(B133,2)</f>
        <v>13</v>
      </c>
    </row>
    <row r="134" spans="1:10" x14ac:dyDescent="0.25">
      <c r="A134" t="str">
        <f>Delliveries!A50</f>
        <v>А</v>
      </c>
      <c r="B134" s="1">
        <f>Delliveries!B50</f>
        <v>45007</v>
      </c>
      <c r="C134" s="2">
        <f>Delliveries!C50</f>
        <v>26.068116060132159</v>
      </c>
      <c r="D134">
        <f>Delliveries!D50</f>
        <v>7</v>
      </c>
      <c r="E134">
        <f>D134*_xlfn.XLOOKUP(A134,Tariff!A:A,Tariff!B:B)</f>
        <v>35</v>
      </c>
      <c r="F134">
        <f>_xlfn.XLOOKUP($F$1,Tariff!A:A,Tariff!B:B)</f>
        <v>1.2</v>
      </c>
      <c r="G134" s="2">
        <f>F134*C134</f>
        <v>31.281739272158589</v>
      </c>
      <c r="H134" s="2">
        <f>E134-G134</f>
        <v>3.718260727841411</v>
      </c>
      <c r="J134">
        <f>WEEKNUM(B134,2)</f>
        <v>13</v>
      </c>
    </row>
    <row r="135" spans="1:10" x14ac:dyDescent="0.25">
      <c r="A135" t="str">
        <f>Delliveries!A63</f>
        <v>А</v>
      </c>
      <c r="B135" s="1">
        <f>Delliveries!B63</f>
        <v>45007</v>
      </c>
      <c r="C135" s="2">
        <f>Delliveries!C63</f>
        <v>28.677089312435093</v>
      </c>
      <c r="D135">
        <f>Delliveries!D63</f>
        <v>10</v>
      </c>
      <c r="E135">
        <f>D135*_xlfn.XLOOKUP(A135,Tariff!A:A,Tariff!B:B)</f>
        <v>50</v>
      </c>
      <c r="F135">
        <f>_xlfn.XLOOKUP($F$1,Tariff!A:A,Tariff!B:B)</f>
        <v>1.2</v>
      </c>
      <c r="G135" s="2">
        <f>F135*C135</f>
        <v>34.412507174922112</v>
      </c>
      <c r="H135" s="2">
        <f>E135-G135</f>
        <v>15.587492825077888</v>
      </c>
      <c r="J135">
        <f>WEEKNUM(B135,2)</f>
        <v>13</v>
      </c>
    </row>
    <row r="136" spans="1:10" x14ac:dyDescent="0.25">
      <c r="A136" t="str">
        <f>Delliveries!A75</f>
        <v>Б</v>
      </c>
      <c r="B136" s="1">
        <f>Delliveries!B75</f>
        <v>45007</v>
      </c>
      <c r="C136" s="2">
        <f>Delliveries!C75</f>
        <v>1.4264867706698015</v>
      </c>
      <c r="D136">
        <f>Delliveries!D75</f>
        <v>1</v>
      </c>
      <c r="E136">
        <f>D136*_xlfn.XLOOKUP(A136,Tariff!A:A,Tariff!B:B)</f>
        <v>6</v>
      </c>
      <c r="F136">
        <f>_xlfn.XLOOKUP($F$1,Tariff!A:A,Tariff!B:B)</f>
        <v>1.2</v>
      </c>
      <c r="G136" s="2">
        <f>F136*C136</f>
        <v>1.7117841248037617</v>
      </c>
      <c r="H136" s="2">
        <f>E136-G136</f>
        <v>4.2882158751962383</v>
      </c>
      <c r="J136">
        <f>WEEKNUM(B136,2)</f>
        <v>13</v>
      </c>
    </row>
    <row r="137" spans="1:10" x14ac:dyDescent="0.25">
      <c r="A137" t="str">
        <f>Delliveries!A79</f>
        <v>Б</v>
      </c>
      <c r="B137" s="1">
        <f>Delliveries!B79</f>
        <v>45007</v>
      </c>
      <c r="C137" s="2">
        <f>Delliveries!C79</f>
        <v>0.34980702567788402</v>
      </c>
      <c r="D137">
        <f>Delliveries!D79</f>
        <v>1</v>
      </c>
      <c r="E137">
        <f>D137*_xlfn.XLOOKUP(A137,Tariff!A:A,Tariff!B:B)</f>
        <v>6</v>
      </c>
      <c r="F137">
        <f>_xlfn.XLOOKUP($F$1,Tariff!A:A,Tariff!B:B)</f>
        <v>1.2</v>
      </c>
      <c r="G137" s="2">
        <f>F137*C137</f>
        <v>0.41976843081346082</v>
      </c>
      <c r="H137" s="2">
        <f>E137-G137</f>
        <v>5.5802315691865392</v>
      </c>
      <c r="J137">
        <f>WEEKNUM(B137,2)</f>
        <v>13</v>
      </c>
    </row>
    <row r="138" spans="1:10" x14ac:dyDescent="0.25">
      <c r="A138" t="str">
        <f>Delliveries!A80</f>
        <v>Б</v>
      </c>
      <c r="B138" s="1">
        <f>Delliveries!B80</f>
        <v>45007</v>
      </c>
      <c r="C138" s="2">
        <f>Delliveries!C80</f>
        <v>2.0858090894447168</v>
      </c>
      <c r="D138">
        <f>Delliveries!D80</f>
        <v>1</v>
      </c>
      <c r="E138">
        <f>D138*_xlfn.XLOOKUP(A138,Tariff!A:A,Tariff!B:B)</f>
        <v>6</v>
      </c>
      <c r="F138">
        <f>_xlfn.XLOOKUP($F$1,Tariff!A:A,Tariff!B:B)</f>
        <v>1.2</v>
      </c>
      <c r="G138" s="2">
        <f>F138*C138</f>
        <v>2.5029709073336601</v>
      </c>
      <c r="H138" s="2">
        <f>E138-G138</f>
        <v>3.4970290926663399</v>
      </c>
      <c r="J138">
        <f>WEEKNUM(B138,2)</f>
        <v>13</v>
      </c>
    </row>
    <row r="139" spans="1:10" x14ac:dyDescent="0.25">
      <c r="A139" t="str">
        <f>Delliveries!A93</f>
        <v>Б</v>
      </c>
      <c r="B139" s="1">
        <f>Delliveries!B93</f>
        <v>45007</v>
      </c>
      <c r="C139" s="2">
        <f>Delliveries!C93</f>
        <v>5.6142337270206006</v>
      </c>
      <c r="D139">
        <f>Delliveries!D93</f>
        <v>2</v>
      </c>
      <c r="E139">
        <f>D139*_xlfn.XLOOKUP(A139,Tariff!A:A,Tariff!B:B)</f>
        <v>12</v>
      </c>
      <c r="F139">
        <f>_xlfn.XLOOKUP($F$1,Tariff!A:A,Tariff!B:B)</f>
        <v>1.2</v>
      </c>
      <c r="G139" s="2">
        <f>F139*C139</f>
        <v>6.7370804724247204</v>
      </c>
      <c r="H139" s="2">
        <f>E139-G139</f>
        <v>5.2629195275752796</v>
      </c>
      <c r="J139">
        <f>WEEKNUM(B139,2)</f>
        <v>13</v>
      </c>
    </row>
    <row r="140" spans="1:10" x14ac:dyDescent="0.25">
      <c r="A140" t="str">
        <f>Delliveries!A109</f>
        <v>Б</v>
      </c>
      <c r="B140" s="1">
        <f>Delliveries!B109</f>
        <v>45007</v>
      </c>
      <c r="C140" s="2">
        <f>Delliveries!C109</f>
        <v>8.7398916432772555</v>
      </c>
      <c r="D140">
        <f>Delliveries!D109</f>
        <v>3</v>
      </c>
      <c r="E140">
        <f>D140*_xlfn.XLOOKUP(A140,Tariff!A:A,Tariff!B:B)</f>
        <v>18</v>
      </c>
      <c r="F140">
        <f>_xlfn.XLOOKUP($F$1,Tariff!A:A,Tariff!B:B)</f>
        <v>1.2</v>
      </c>
      <c r="G140" s="2">
        <f>F140*C140</f>
        <v>10.487869971932707</v>
      </c>
      <c r="H140" s="2">
        <f>E140-G140</f>
        <v>7.5121300280672934</v>
      </c>
      <c r="J140">
        <f>WEEKNUM(B140,2)</f>
        <v>13</v>
      </c>
    </row>
    <row r="141" spans="1:10" x14ac:dyDescent="0.25">
      <c r="A141" t="str">
        <f>Delliveries!A140</f>
        <v>Б</v>
      </c>
      <c r="B141" s="1">
        <f>Delliveries!B140</f>
        <v>45007</v>
      </c>
      <c r="C141" s="2">
        <f>Delliveries!C140</f>
        <v>13.094859762390229</v>
      </c>
      <c r="D141">
        <f>Delliveries!D140</f>
        <v>5</v>
      </c>
      <c r="E141">
        <f>D141*_xlfn.XLOOKUP(A141,Tariff!A:A,Tariff!B:B)</f>
        <v>30</v>
      </c>
      <c r="F141">
        <f>_xlfn.XLOOKUP($F$1,Tariff!A:A,Tariff!B:B)</f>
        <v>1.2</v>
      </c>
      <c r="G141" s="2">
        <f>F141*C141</f>
        <v>15.713831714868274</v>
      </c>
      <c r="H141" s="2">
        <f>E141-G141</f>
        <v>14.286168285131726</v>
      </c>
      <c r="J141">
        <f>WEEKNUM(B141,2)</f>
        <v>13</v>
      </c>
    </row>
    <row r="142" spans="1:10" x14ac:dyDescent="0.25">
      <c r="A142" t="str">
        <f>Delliveries!A153</f>
        <v>Б</v>
      </c>
      <c r="B142" s="1">
        <f>Delliveries!B153</f>
        <v>45007</v>
      </c>
      <c r="C142" s="2">
        <f>Delliveries!C153</f>
        <v>17.690837738481097</v>
      </c>
      <c r="D142">
        <f>Delliveries!D153</f>
        <v>9</v>
      </c>
      <c r="E142">
        <f>D142*_xlfn.XLOOKUP(A142,Tariff!A:A,Tariff!B:B)</f>
        <v>54</v>
      </c>
      <c r="F142">
        <f>_xlfn.XLOOKUP($F$1,Tariff!A:A,Tariff!B:B)</f>
        <v>1.2</v>
      </c>
      <c r="G142" s="2">
        <f>F142*C142</f>
        <v>21.229005286177316</v>
      </c>
      <c r="H142" s="2">
        <f>E142-G142</f>
        <v>32.770994713822688</v>
      </c>
      <c r="J142">
        <f>WEEKNUM(B142,2)</f>
        <v>13</v>
      </c>
    </row>
    <row r="143" spans="1:10" x14ac:dyDescent="0.25">
      <c r="A143" t="str">
        <f>Delliveries!A192</f>
        <v>С</v>
      </c>
      <c r="B143" s="1">
        <f>Delliveries!B192</f>
        <v>45007</v>
      </c>
      <c r="C143" s="2">
        <f>Delliveries!C192</f>
        <v>11.862160222110383</v>
      </c>
      <c r="D143">
        <f>Delliveries!D192</f>
        <v>6</v>
      </c>
      <c r="E143">
        <f>D143*_xlfn.XLOOKUP(A143,Tariff!A:A,Tariff!B:B)</f>
        <v>48</v>
      </c>
      <c r="F143">
        <f>_xlfn.XLOOKUP($F$1,Tariff!A:A,Tariff!B:B)</f>
        <v>1.2</v>
      </c>
      <c r="G143" s="2">
        <f>F143*C143</f>
        <v>14.234592266532459</v>
      </c>
      <c r="H143" s="2">
        <f>E143-G143</f>
        <v>33.765407733467541</v>
      </c>
      <c r="J143">
        <f>WEEKNUM(B143,2)</f>
        <v>13</v>
      </c>
    </row>
    <row r="144" spans="1:10" x14ac:dyDescent="0.25">
      <c r="A144" t="str">
        <f>Delliveries!A198</f>
        <v>С</v>
      </c>
      <c r="B144" s="1">
        <f>Delliveries!B198</f>
        <v>45007</v>
      </c>
      <c r="C144" s="2">
        <f>Delliveries!C198</f>
        <v>15.406746391557455</v>
      </c>
      <c r="D144">
        <f>Delliveries!D198</f>
        <v>8</v>
      </c>
      <c r="E144">
        <f>D144*_xlfn.XLOOKUP(A144,Tariff!A:A,Tariff!B:B)</f>
        <v>64</v>
      </c>
      <c r="F144">
        <f>_xlfn.XLOOKUP($F$1,Tariff!A:A,Tariff!B:B)</f>
        <v>1.2</v>
      </c>
      <c r="G144" s="2">
        <f>F144*C144</f>
        <v>18.488095669868944</v>
      </c>
      <c r="H144" s="2">
        <f>E144-G144</f>
        <v>45.51190433013106</v>
      </c>
      <c r="J144">
        <f>WEEKNUM(B144,2)</f>
        <v>13</v>
      </c>
    </row>
    <row r="145" spans="1:10" x14ac:dyDescent="0.25">
      <c r="A145" t="str">
        <f>Delliveries!A5</f>
        <v>А</v>
      </c>
      <c r="B145" s="1">
        <f>Delliveries!B5</f>
        <v>45008</v>
      </c>
      <c r="C145" s="2">
        <f>Delliveries!C5</f>
        <v>4.0917468177530179</v>
      </c>
      <c r="D145">
        <f>Delliveries!D5</f>
        <v>1</v>
      </c>
      <c r="E145">
        <f>D145*_xlfn.XLOOKUP(A145,Tariff!A:A,Tariff!B:B)</f>
        <v>5</v>
      </c>
      <c r="F145">
        <f>_xlfn.XLOOKUP($F$1,Tariff!A:A,Tariff!B:B)</f>
        <v>1.2</v>
      </c>
      <c r="G145" s="2">
        <f>F145*C145</f>
        <v>4.9100961813036212</v>
      </c>
      <c r="H145" s="2">
        <f>E145-G145</f>
        <v>8.9903818696378757E-2</v>
      </c>
      <c r="J145">
        <f>WEEKNUM(B145,2)</f>
        <v>13</v>
      </c>
    </row>
    <row r="146" spans="1:10" x14ac:dyDescent="0.25">
      <c r="A146" t="str">
        <f>Delliveries!A20</f>
        <v>А</v>
      </c>
      <c r="B146" s="1">
        <f>Delliveries!B20</f>
        <v>45008</v>
      </c>
      <c r="C146" s="2">
        <f>Delliveries!C20</f>
        <v>5.4549218935815924</v>
      </c>
      <c r="D146">
        <f>Delliveries!D20</f>
        <v>2</v>
      </c>
      <c r="E146">
        <f>D146*_xlfn.XLOOKUP(A146,Tariff!A:A,Tariff!B:B)</f>
        <v>10</v>
      </c>
      <c r="F146">
        <f>_xlfn.XLOOKUP($F$1,Tariff!A:A,Tariff!B:B)</f>
        <v>1.2</v>
      </c>
      <c r="G146" s="2">
        <f>F146*C146</f>
        <v>6.5459062722979109</v>
      </c>
      <c r="H146" s="2">
        <f>E146-G146</f>
        <v>3.4540937277020891</v>
      </c>
      <c r="J146">
        <f>WEEKNUM(B146,2)</f>
        <v>13</v>
      </c>
    </row>
    <row r="147" spans="1:10" x14ac:dyDescent="0.25">
      <c r="A147" t="str">
        <f>Delliveries!A26</f>
        <v>А</v>
      </c>
      <c r="B147" s="1">
        <f>Delliveries!B26</f>
        <v>45008</v>
      </c>
      <c r="C147" s="2">
        <f>Delliveries!C26</f>
        <v>6.4727667613784865</v>
      </c>
      <c r="D147">
        <f>Delliveries!D26</f>
        <v>3</v>
      </c>
      <c r="E147">
        <f>D147*_xlfn.XLOOKUP(A147,Tariff!A:A,Tariff!B:B)</f>
        <v>15</v>
      </c>
      <c r="F147">
        <f>_xlfn.XLOOKUP($F$1,Tariff!A:A,Tariff!B:B)</f>
        <v>1.2</v>
      </c>
      <c r="G147" s="2">
        <f>F147*C147</f>
        <v>7.7673201136541836</v>
      </c>
      <c r="H147" s="2">
        <f>E147-G147</f>
        <v>7.2326798863458164</v>
      </c>
      <c r="J147">
        <f>WEEKNUM(B147,2)</f>
        <v>13</v>
      </c>
    </row>
    <row r="148" spans="1:10" x14ac:dyDescent="0.25">
      <c r="A148" t="str">
        <f>Delliveries!A27</f>
        <v>А</v>
      </c>
      <c r="B148" s="1">
        <f>Delliveries!B27</f>
        <v>45008</v>
      </c>
      <c r="C148" s="2">
        <f>Delliveries!C27</f>
        <v>13.20610278047663</v>
      </c>
      <c r="D148">
        <f>Delliveries!D27</f>
        <v>3</v>
      </c>
      <c r="E148">
        <f>D148*_xlfn.XLOOKUP(A148,Tariff!A:A,Tariff!B:B)</f>
        <v>15</v>
      </c>
      <c r="F148">
        <f>_xlfn.XLOOKUP($F$1,Tariff!A:A,Tariff!B:B)</f>
        <v>1.2</v>
      </c>
      <c r="G148" s="2">
        <f>F148*C148</f>
        <v>15.847323336571955</v>
      </c>
      <c r="H148" s="2">
        <f>E148-G148</f>
        <v>-0.84732333657195547</v>
      </c>
      <c r="J148">
        <f>WEEKNUM(B148,2)</f>
        <v>13</v>
      </c>
    </row>
    <row r="149" spans="1:10" x14ac:dyDescent="0.25">
      <c r="A149" t="str">
        <f>Delliveries!A31</f>
        <v>А</v>
      </c>
      <c r="B149" s="1">
        <f>Delliveries!B31</f>
        <v>45008</v>
      </c>
      <c r="C149" s="2">
        <f>Delliveries!C31</f>
        <v>9.0833259953624506</v>
      </c>
      <c r="D149">
        <f>Delliveries!D31</f>
        <v>3</v>
      </c>
      <c r="E149">
        <f>D149*_xlfn.XLOOKUP(A149,Tariff!A:A,Tariff!B:B)</f>
        <v>15</v>
      </c>
      <c r="F149">
        <f>_xlfn.XLOOKUP($F$1,Tariff!A:A,Tariff!B:B)</f>
        <v>1.2</v>
      </c>
      <c r="G149" s="2">
        <f>F149*C149</f>
        <v>10.899991194434941</v>
      </c>
      <c r="H149" s="2">
        <f>E149-G149</f>
        <v>4.100008805565059</v>
      </c>
      <c r="J149">
        <f>WEEKNUM(B149,2)</f>
        <v>13</v>
      </c>
    </row>
    <row r="150" spans="1:10" x14ac:dyDescent="0.25">
      <c r="A150" t="str">
        <f>Delliveries!A34</f>
        <v>А</v>
      </c>
      <c r="B150" s="1">
        <f>Delliveries!B34</f>
        <v>45008</v>
      </c>
      <c r="C150" s="2">
        <f>Delliveries!C34</f>
        <v>19.681851081725373</v>
      </c>
      <c r="D150">
        <f>Delliveries!D34</f>
        <v>4</v>
      </c>
      <c r="E150">
        <f>D150*_xlfn.XLOOKUP(A150,Tariff!A:A,Tariff!B:B)</f>
        <v>20</v>
      </c>
      <c r="F150">
        <f>_xlfn.XLOOKUP($F$1,Tariff!A:A,Tariff!B:B)</f>
        <v>1.2</v>
      </c>
      <c r="G150" s="2">
        <f>F150*C150</f>
        <v>23.618221298070448</v>
      </c>
      <c r="H150" s="2">
        <f>E150-G150</f>
        <v>-3.6182212980704485</v>
      </c>
      <c r="J150">
        <f>WEEKNUM(B150,2)</f>
        <v>13</v>
      </c>
    </row>
    <row r="151" spans="1:10" x14ac:dyDescent="0.25">
      <c r="A151" t="str">
        <f>Delliveries!A36</f>
        <v>А</v>
      </c>
      <c r="B151" s="1">
        <f>Delliveries!B36</f>
        <v>45008</v>
      </c>
      <c r="C151" s="2">
        <f>Delliveries!C36</f>
        <v>15.12240767598623</v>
      </c>
      <c r="D151">
        <f>Delliveries!D36</f>
        <v>4</v>
      </c>
      <c r="E151">
        <f>D151*_xlfn.XLOOKUP(A151,Tariff!A:A,Tariff!B:B)</f>
        <v>20</v>
      </c>
      <c r="F151">
        <f>_xlfn.XLOOKUP($F$1,Tariff!A:A,Tariff!B:B)</f>
        <v>1.2</v>
      </c>
      <c r="G151" s="2">
        <f>F151*C151</f>
        <v>18.146889211183474</v>
      </c>
      <c r="H151" s="2">
        <f>E151-G151</f>
        <v>1.8531107888165259</v>
      </c>
      <c r="J151">
        <f>WEEKNUM(B151,2)</f>
        <v>13</v>
      </c>
    </row>
    <row r="152" spans="1:10" x14ac:dyDescent="0.25">
      <c r="A152" t="str">
        <f>Delliveries!A43</f>
        <v>А</v>
      </c>
      <c r="B152" s="1">
        <f>Delliveries!B43</f>
        <v>45008</v>
      </c>
      <c r="C152" s="2">
        <f>Delliveries!C43</f>
        <v>20.318972028693903</v>
      </c>
      <c r="D152">
        <f>Delliveries!D43</f>
        <v>5</v>
      </c>
      <c r="E152">
        <f>D152*_xlfn.XLOOKUP(A152,Tariff!A:A,Tariff!B:B)</f>
        <v>25</v>
      </c>
      <c r="F152">
        <f>_xlfn.XLOOKUP($F$1,Tariff!A:A,Tariff!B:B)</f>
        <v>1.2</v>
      </c>
      <c r="G152" s="2">
        <f>F152*C152</f>
        <v>24.382766434432682</v>
      </c>
      <c r="H152" s="2">
        <f>E152-G152</f>
        <v>0.61723356556731801</v>
      </c>
      <c r="J152">
        <f>WEEKNUM(B152,2)</f>
        <v>13</v>
      </c>
    </row>
    <row r="153" spans="1:10" x14ac:dyDescent="0.25">
      <c r="A153" t="str">
        <f>Delliveries!A52</f>
        <v>А</v>
      </c>
      <c r="B153" s="1">
        <f>Delliveries!B52</f>
        <v>45008</v>
      </c>
      <c r="C153" s="2">
        <f>Delliveries!C52</f>
        <v>20.245477700435419</v>
      </c>
      <c r="D153">
        <f>Delliveries!D52</f>
        <v>7</v>
      </c>
      <c r="E153">
        <f>D153*_xlfn.XLOOKUP(A153,Tariff!A:A,Tariff!B:B)</f>
        <v>35</v>
      </c>
      <c r="F153">
        <f>_xlfn.XLOOKUP($F$1,Tariff!A:A,Tariff!B:B)</f>
        <v>1.2</v>
      </c>
      <c r="G153" s="2">
        <f>F153*C153</f>
        <v>24.294573240522503</v>
      </c>
      <c r="H153" s="2">
        <f>E153-G153</f>
        <v>10.705426759477497</v>
      </c>
      <c r="J153">
        <f>WEEKNUM(B153,2)</f>
        <v>13</v>
      </c>
    </row>
    <row r="154" spans="1:10" x14ac:dyDescent="0.25">
      <c r="A154" t="str">
        <f>Delliveries!A59</f>
        <v>А</v>
      </c>
      <c r="B154" s="1">
        <f>Delliveries!B59</f>
        <v>45008</v>
      </c>
      <c r="C154" s="2">
        <f>Delliveries!C59</f>
        <v>25.907506815645643</v>
      </c>
      <c r="D154">
        <f>Delliveries!D59</f>
        <v>9</v>
      </c>
      <c r="E154">
        <f>D154*_xlfn.XLOOKUP(A154,Tariff!A:A,Tariff!B:B)</f>
        <v>45</v>
      </c>
      <c r="F154">
        <f>_xlfn.XLOOKUP($F$1,Tariff!A:A,Tariff!B:B)</f>
        <v>1.2</v>
      </c>
      <c r="G154" s="2">
        <f>F154*C154</f>
        <v>31.089008178774769</v>
      </c>
      <c r="H154" s="2">
        <f>E154-G154</f>
        <v>13.910991821225231</v>
      </c>
      <c r="J154">
        <f>WEEKNUM(B154,2)</f>
        <v>13</v>
      </c>
    </row>
    <row r="155" spans="1:10" x14ac:dyDescent="0.25">
      <c r="A155" t="str">
        <f>Delliveries!A60</f>
        <v>А</v>
      </c>
      <c r="B155" s="1">
        <f>Delliveries!B60</f>
        <v>45008</v>
      </c>
      <c r="C155" s="2">
        <f>Delliveries!C60</f>
        <v>25.247088912072012</v>
      </c>
      <c r="D155">
        <f>Delliveries!D60</f>
        <v>9</v>
      </c>
      <c r="E155">
        <f>D155*_xlfn.XLOOKUP(A155,Tariff!A:A,Tariff!B:B)</f>
        <v>45</v>
      </c>
      <c r="F155">
        <f>_xlfn.XLOOKUP($F$1,Tariff!A:A,Tariff!B:B)</f>
        <v>1.2</v>
      </c>
      <c r="G155" s="2">
        <f>F155*C155</f>
        <v>30.296506694486414</v>
      </c>
      <c r="H155" s="2">
        <f>E155-G155</f>
        <v>14.703493305513586</v>
      </c>
      <c r="J155">
        <f>WEEKNUM(B155,2)</f>
        <v>13</v>
      </c>
    </row>
    <row r="156" spans="1:10" x14ac:dyDescent="0.25">
      <c r="A156" t="str">
        <f>Delliveries!A84</f>
        <v>Б</v>
      </c>
      <c r="B156" s="1">
        <f>Delliveries!B84</f>
        <v>45008</v>
      </c>
      <c r="C156" s="2">
        <f>Delliveries!C84</f>
        <v>0.66975345630943872</v>
      </c>
      <c r="D156">
        <f>Delliveries!D84</f>
        <v>1</v>
      </c>
      <c r="E156">
        <f>D156*_xlfn.XLOOKUP(A156,Tariff!A:A,Tariff!B:B)</f>
        <v>6</v>
      </c>
      <c r="F156">
        <f>_xlfn.XLOOKUP($F$1,Tariff!A:A,Tariff!B:B)</f>
        <v>1.2</v>
      </c>
      <c r="G156" s="2">
        <f>F156*C156</f>
        <v>0.80370414757132647</v>
      </c>
      <c r="H156" s="2">
        <f>E156-G156</f>
        <v>5.1962958524286735</v>
      </c>
      <c r="J156">
        <f>WEEKNUM(B156,2)</f>
        <v>13</v>
      </c>
    </row>
    <row r="157" spans="1:10" x14ac:dyDescent="0.25">
      <c r="A157" t="str">
        <f>Delliveries!A95</f>
        <v>Б</v>
      </c>
      <c r="B157" s="1">
        <f>Delliveries!B95</f>
        <v>45008</v>
      </c>
      <c r="C157" s="2">
        <f>Delliveries!C95</f>
        <v>6.5628238931565246</v>
      </c>
      <c r="D157">
        <f>Delliveries!D95</f>
        <v>2</v>
      </c>
      <c r="E157">
        <f>D157*_xlfn.XLOOKUP(A157,Tariff!A:A,Tariff!B:B)</f>
        <v>12</v>
      </c>
      <c r="F157">
        <f>_xlfn.XLOOKUP($F$1,Tariff!A:A,Tariff!B:B)</f>
        <v>1.2</v>
      </c>
      <c r="G157" s="2">
        <f>F157*C157</f>
        <v>7.875388671787829</v>
      </c>
      <c r="H157" s="2">
        <f>E157-G157</f>
        <v>4.124611328212171</v>
      </c>
      <c r="J157">
        <f>WEEKNUM(B157,2)</f>
        <v>13</v>
      </c>
    </row>
    <row r="158" spans="1:10" x14ac:dyDescent="0.25">
      <c r="A158" t="str">
        <f>Delliveries!A110</f>
        <v>Б</v>
      </c>
      <c r="B158" s="1">
        <f>Delliveries!B110</f>
        <v>45008</v>
      </c>
      <c r="C158" s="2">
        <f>Delliveries!C110</f>
        <v>14.71289059841425</v>
      </c>
      <c r="D158">
        <f>Delliveries!D110</f>
        <v>3</v>
      </c>
      <c r="E158">
        <f>D158*_xlfn.XLOOKUP(A158,Tariff!A:A,Tariff!B:B)</f>
        <v>18</v>
      </c>
      <c r="F158">
        <f>_xlfn.XLOOKUP($F$1,Tariff!A:A,Tariff!B:B)</f>
        <v>1.2</v>
      </c>
      <c r="G158" s="2">
        <f>F158*C158</f>
        <v>17.655468718097097</v>
      </c>
      <c r="H158" s="2">
        <f>E158-G158</f>
        <v>0.34453128190290272</v>
      </c>
      <c r="J158">
        <f>WEEKNUM(B158,2)</f>
        <v>13</v>
      </c>
    </row>
    <row r="159" spans="1:10" x14ac:dyDescent="0.25">
      <c r="A159" t="str">
        <f>Delliveries!A121</f>
        <v>Б</v>
      </c>
      <c r="B159" s="1">
        <f>Delliveries!B121</f>
        <v>45008</v>
      </c>
      <c r="C159" s="2">
        <f>Delliveries!C121</f>
        <v>11.544335574973063</v>
      </c>
      <c r="D159">
        <f>Delliveries!D121</f>
        <v>4</v>
      </c>
      <c r="E159">
        <f>D159*_xlfn.XLOOKUP(A159,Tariff!A:A,Tariff!B:B)</f>
        <v>24</v>
      </c>
      <c r="F159">
        <f>_xlfn.XLOOKUP($F$1,Tariff!A:A,Tariff!B:B)</f>
        <v>1.2</v>
      </c>
      <c r="G159" s="2">
        <f>F159*C159</f>
        <v>13.853202689967675</v>
      </c>
      <c r="H159" s="2">
        <f>E159-G159</f>
        <v>10.146797310032325</v>
      </c>
      <c r="J159">
        <f>WEEKNUM(B159,2)</f>
        <v>13</v>
      </c>
    </row>
    <row r="160" spans="1:10" x14ac:dyDescent="0.25">
      <c r="A160" t="str">
        <f>Delliveries!A141</f>
        <v>Б</v>
      </c>
      <c r="B160" s="1">
        <f>Delliveries!B141</f>
        <v>45008</v>
      </c>
      <c r="C160" s="2">
        <f>Delliveries!C141</f>
        <v>8.5826291639088037</v>
      </c>
      <c r="D160">
        <f>Delliveries!D141</f>
        <v>5</v>
      </c>
      <c r="E160">
        <f>D160*_xlfn.XLOOKUP(A160,Tariff!A:A,Tariff!B:B)</f>
        <v>30</v>
      </c>
      <c r="F160">
        <f>_xlfn.XLOOKUP($F$1,Tariff!A:A,Tariff!B:B)</f>
        <v>1.2</v>
      </c>
      <c r="G160" s="2">
        <f>F160*C160</f>
        <v>10.299154996690564</v>
      </c>
      <c r="H160" s="2">
        <f>E160-G160</f>
        <v>19.700845003309436</v>
      </c>
      <c r="J160">
        <f>WEEKNUM(B160,2)</f>
        <v>13</v>
      </c>
    </row>
    <row r="161" spans="1:10" x14ac:dyDescent="0.25">
      <c r="A161" t="str">
        <f>Delliveries!A146</f>
        <v>Б</v>
      </c>
      <c r="B161" s="1">
        <f>Delliveries!B146</f>
        <v>45008</v>
      </c>
      <c r="C161" s="2">
        <f>Delliveries!C146</f>
        <v>16.657706946948995</v>
      </c>
      <c r="D161">
        <f>Delliveries!D146</f>
        <v>6</v>
      </c>
      <c r="E161">
        <f>D161*_xlfn.XLOOKUP(A161,Tariff!A:A,Tariff!B:B)</f>
        <v>36</v>
      </c>
      <c r="F161">
        <f>_xlfn.XLOOKUP($F$1,Tariff!A:A,Tariff!B:B)</f>
        <v>1.2</v>
      </c>
      <c r="G161" s="2">
        <f>F161*C161</f>
        <v>19.989248336338793</v>
      </c>
      <c r="H161" s="2">
        <f>E161-G161</f>
        <v>16.010751663661207</v>
      </c>
      <c r="J161">
        <f>WEEKNUM(B161,2)</f>
        <v>13</v>
      </c>
    </row>
    <row r="162" spans="1:10" x14ac:dyDescent="0.25">
      <c r="A162" t="str">
        <f>Delliveries!A151</f>
        <v>Б</v>
      </c>
      <c r="B162" s="1">
        <f>Delliveries!B151</f>
        <v>45008</v>
      </c>
      <c r="C162" s="2">
        <f>Delliveries!C151</f>
        <v>18.57412289739273</v>
      </c>
      <c r="D162">
        <f>Delliveries!D151</f>
        <v>7</v>
      </c>
      <c r="E162">
        <f>D162*_xlfn.XLOOKUP(A162,Tariff!A:A,Tariff!B:B)</f>
        <v>42</v>
      </c>
      <c r="F162">
        <f>_xlfn.XLOOKUP($F$1,Tariff!A:A,Tariff!B:B)</f>
        <v>1.2</v>
      </c>
      <c r="G162" s="2">
        <f>F162*C162</f>
        <v>22.288947476871275</v>
      </c>
      <c r="H162" s="2">
        <f>E162-G162</f>
        <v>19.711052523128725</v>
      </c>
      <c r="J162">
        <f>WEEKNUM(B162,2)</f>
        <v>13</v>
      </c>
    </row>
    <row r="163" spans="1:10" x14ac:dyDescent="0.25">
      <c r="A163" t="str">
        <f>Delliveries!A183</f>
        <v>С</v>
      </c>
      <c r="B163" s="1">
        <f>Delliveries!B183</f>
        <v>45008</v>
      </c>
      <c r="C163" s="2">
        <f>Delliveries!C183</f>
        <v>14.232876473871791</v>
      </c>
      <c r="D163">
        <f>Delliveries!D183</f>
        <v>4</v>
      </c>
      <c r="E163">
        <f>D163*_xlfn.XLOOKUP(A163,Tariff!A:A,Tariff!B:B)</f>
        <v>32</v>
      </c>
      <c r="F163">
        <f>_xlfn.XLOOKUP($F$1,Tariff!A:A,Tariff!B:B)</f>
        <v>1.2</v>
      </c>
      <c r="G163" s="2">
        <f>F163*C163</f>
        <v>17.079451768646148</v>
      </c>
      <c r="H163" s="2">
        <f>E163-G163</f>
        <v>14.920548231353852</v>
      </c>
      <c r="J163">
        <f>WEEKNUM(B163,2)</f>
        <v>13</v>
      </c>
    </row>
    <row r="164" spans="1:10" x14ac:dyDescent="0.25">
      <c r="A164" t="str">
        <f>Delliveries!A11</f>
        <v>А</v>
      </c>
      <c r="B164" s="1">
        <f>Delliveries!B11</f>
        <v>45009</v>
      </c>
      <c r="C164" s="2">
        <f>Delliveries!C11</f>
        <v>4.834282742267213</v>
      </c>
      <c r="D164">
        <f>Delliveries!D11</f>
        <v>1</v>
      </c>
      <c r="E164">
        <f>D164*_xlfn.XLOOKUP(A164,Tariff!A:A,Tariff!B:B)</f>
        <v>5</v>
      </c>
      <c r="F164">
        <f>_xlfn.XLOOKUP($F$1,Tariff!A:A,Tariff!B:B)</f>
        <v>1.2</v>
      </c>
      <c r="G164" s="2">
        <f>F164*C164</f>
        <v>5.8011392907206556</v>
      </c>
      <c r="H164" s="2">
        <f>E164-G164</f>
        <v>-0.80113929072065559</v>
      </c>
      <c r="J164">
        <f>WEEKNUM(B164,2)</f>
        <v>13</v>
      </c>
    </row>
    <row r="165" spans="1:10" x14ac:dyDescent="0.25">
      <c r="A165" t="str">
        <f>Delliveries!A14</f>
        <v>А</v>
      </c>
      <c r="B165" s="1">
        <f>Delliveries!B14</f>
        <v>45009</v>
      </c>
      <c r="C165" s="2">
        <f>Delliveries!C14</f>
        <v>2.5900734689676872</v>
      </c>
      <c r="D165">
        <f>Delliveries!D14</f>
        <v>1</v>
      </c>
      <c r="E165">
        <f>D165*_xlfn.XLOOKUP(A165,Tariff!A:A,Tariff!B:B)</f>
        <v>5</v>
      </c>
      <c r="F165">
        <f>_xlfn.XLOOKUP($F$1,Tariff!A:A,Tariff!B:B)</f>
        <v>1.2</v>
      </c>
      <c r="G165" s="2">
        <f>F165*C165</f>
        <v>3.1080881627612245</v>
      </c>
      <c r="H165" s="2">
        <f>E165-G165</f>
        <v>1.8919118372387755</v>
      </c>
      <c r="J165">
        <f>WEEKNUM(B165,2)</f>
        <v>13</v>
      </c>
    </row>
    <row r="166" spans="1:10" x14ac:dyDescent="0.25">
      <c r="A166" t="str">
        <f>Delliveries!A21</f>
        <v>А</v>
      </c>
      <c r="B166" s="1">
        <f>Delliveries!B21</f>
        <v>45009</v>
      </c>
      <c r="C166" s="2">
        <f>Delliveries!C21</f>
        <v>9.9285802706201594</v>
      </c>
      <c r="D166">
        <f>Delliveries!D21</f>
        <v>2</v>
      </c>
      <c r="E166">
        <f>D166*_xlfn.XLOOKUP(A166,Tariff!A:A,Tariff!B:B)</f>
        <v>10</v>
      </c>
      <c r="F166">
        <f>_xlfn.XLOOKUP($F$1,Tariff!A:A,Tariff!B:B)</f>
        <v>1.2</v>
      </c>
      <c r="G166" s="2">
        <f>F166*C166</f>
        <v>11.914296324744191</v>
      </c>
      <c r="H166" s="2">
        <f>E166-G166</f>
        <v>-1.9142963247441909</v>
      </c>
      <c r="J166">
        <f>WEEKNUM(B166,2)</f>
        <v>13</v>
      </c>
    </row>
    <row r="167" spans="1:10" x14ac:dyDescent="0.25">
      <c r="A167" t="str">
        <f>Delliveries!A41</f>
        <v>А</v>
      </c>
      <c r="B167" s="1">
        <f>Delliveries!B41</f>
        <v>45009</v>
      </c>
      <c r="C167" s="2">
        <f>Delliveries!C41</f>
        <v>17.497459170800301</v>
      </c>
      <c r="D167">
        <f>Delliveries!D41</f>
        <v>5</v>
      </c>
      <c r="E167">
        <f>D167*_xlfn.XLOOKUP(A167,Tariff!A:A,Tariff!B:B)</f>
        <v>25</v>
      </c>
      <c r="F167">
        <f>_xlfn.XLOOKUP($F$1,Tariff!A:A,Tariff!B:B)</f>
        <v>1.2</v>
      </c>
      <c r="G167" s="2">
        <f>F167*C167</f>
        <v>20.996951004960362</v>
      </c>
      <c r="H167" s="2">
        <f>E167-G167</f>
        <v>4.003048995039638</v>
      </c>
      <c r="J167">
        <f>WEEKNUM(B167,2)</f>
        <v>13</v>
      </c>
    </row>
    <row r="168" spans="1:10" x14ac:dyDescent="0.25">
      <c r="A168" t="str">
        <f>Delliveries!A42</f>
        <v>А</v>
      </c>
      <c r="B168" s="1">
        <f>Delliveries!B42</f>
        <v>45009</v>
      </c>
      <c r="C168" s="2">
        <f>Delliveries!C42</f>
        <v>14.520932447790965</v>
      </c>
      <c r="D168">
        <f>Delliveries!D42</f>
        <v>5</v>
      </c>
      <c r="E168">
        <f>D168*_xlfn.XLOOKUP(A168,Tariff!A:A,Tariff!B:B)</f>
        <v>25</v>
      </c>
      <c r="F168">
        <f>_xlfn.XLOOKUP($F$1,Tariff!A:A,Tariff!B:B)</f>
        <v>1.2</v>
      </c>
      <c r="G168" s="2">
        <f>F168*C168</f>
        <v>17.425118937349158</v>
      </c>
      <c r="H168" s="2">
        <f>E168-G168</f>
        <v>7.5748810626508423</v>
      </c>
      <c r="J168">
        <f>WEEKNUM(B168,2)</f>
        <v>13</v>
      </c>
    </row>
    <row r="169" spans="1:10" x14ac:dyDescent="0.25">
      <c r="A169" t="str">
        <f>Delliveries!A73</f>
        <v>Б</v>
      </c>
      <c r="B169" s="1">
        <f>Delliveries!B73</f>
        <v>45009</v>
      </c>
      <c r="C169" s="2">
        <f>Delliveries!C73</f>
        <v>1.4670677100150287</v>
      </c>
      <c r="D169">
        <f>Delliveries!D73</f>
        <v>1</v>
      </c>
      <c r="E169">
        <f>D169*_xlfn.XLOOKUP(A169,Tariff!A:A,Tariff!B:B)</f>
        <v>6</v>
      </c>
      <c r="F169">
        <f>_xlfn.XLOOKUP($F$1,Tariff!A:A,Tariff!B:B)</f>
        <v>1.2</v>
      </c>
      <c r="G169" s="2">
        <f>F169*C169</f>
        <v>1.7604812520180344</v>
      </c>
      <c r="H169" s="2">
        <f>E169-G169</f>
        <v>4.2395187479819656</v>
      </c>
      <c r="J169">
        <f>WEEKNUM(B169,2)</f>
        <v>13</v>
      </c>
    </row>
    <row r="170" spans="1:10" x14ac:dyDescent="0.25">
      <c r="A170" t="str">
        <f>Delliveries!A83</f>
        <v>Б</v>
      </c>
      <c r="B170" s="1">
        <f>Delliveries!B83</f>
        <v>45009</v>
      </c>
      <c r="C170" s="2">
        <f>Delliveries!C83</f>
        <v>2.8581073368025112</v>
      </c>
      <c r="D170">
        <f>Delliveries!D83</f>
        <v>1</v>
      </c>
      <c r="E170">
        <f>D170*_xlfn.XLOOKUP(A170,Tariff!A:A,Tariff!B:B)</f>
        <v>6</v>
      </c>
      <c r="F170">
        <f>_xlfn.XLOOKUP($F$1,Tariff!A:A,Tariff!B:B)</f>
        <v>1.2</v>
      </c>
      <c r="G170" s="2">
        <f>F170*C170</f>
        <v>3.4297288041630134</v>
      </c>
      <c r="H170" s="2">
        <f>E170-G170</f>
        <v>2.5702711958369866</v>
      </c>
      <c r="J170">
        <f>WEEKNUM(B170,2)</f>
        <v>13</v>
      </c>
    </row>
    <row r="171" spans="1:10" x14ac:dyDescent="0.25">
      <c r="A171" t="str">
        <f>Delliveries!A92</f>
        <v>Б</v>
      </c>
      <c r="B171" s="1">
        <f>Delliveries!B92</f>
        <v>45009</v>
      </c>
      <c r="C171" s="2">
        <f>Delliveries!C92</f>
        <v>5.2520674460894696</v>
      </c>
      <c r="D171">
        <f>Delliveries!D92</f>
        <v>2</v>
      </c>
      <c r="E171">
        <f>D171*_xlfn.XLOOKUP(A171,Tariff!A:A,Tariff!B:B)</f>
        <v>12</v>
      </c>
      <c r="F171">
        <f>_xlfn.XLOOKUP($F$1,Tariff!A:A,Tariff!B:B)</f>
        <v>1.2</v>
      </c>
      <c r="G171" s="2">
        <f>F171*C171</f>
        <v>6.3024809353073632</v>
      </c>
      <c r="H171" s="2">
        <f>E171-G171</f>
        <v>5.6975190646926368</v>
      </c>
      <c r="J171">
        <f>WEEKNUM(B171,2)</f>
        <v>13</v>
      </c>
    </row>
    <row r="172" spans="1:10" x14ac:dyDescent="0.25">
      <c r="A172" t="str">
        <f>Delliveries!A124</f>
        <v>Б</v>
      </c>
      <c r="B172" s="1">
        <f>Delliveries!B124</f>
        <v>45009</v>
      </c>
      <c r="C172" s="2">
        <f>Delliveries!C124</f>
        <v>16.282518737155069</v>
      </c>
      <c r="D172">
        <f>Delliveries!D124</f>
        <v>4</v>
      </c>
      <c r="E172">
        <f>D172*_xlfn.XLOOKUP(A172,Tariff!A:A,Tariff!B:B)</f>
        <v>24</v>
      </c>
      <c r="F172">
        <f>_xlfn.XLOOKUP($F$1,Tariff!A:A,Tariff!B:B)</f>
        <v>1.2</v>
      </c>
      <c r="G172" s="2">
        <f>F172*C172</f>
        <v>19.539022484586081</v>
      </c>
      <c r="H172" s="2">
        <f>E172-G172</f>
        <v>4.4609775154139193</v>
      </c>
      <c r="J172">
        <f>WEEKNUM(B172,2)</f>
        <v>13</v>
      </c>
    </row>
    <row r="173" spans="1:10" x14ac:dyDescent="0.25">
      <c r="A173" t="str">
        <f>Delliveries!A138</f>
        <v>Б</v>
      </c>
      <c r="B173" s="1">
        <f>Delliveries!B138</f>
        <v>45009</v>
      </c>
      <c r="C173" s="2">
        <f>Delliveries!C138</f>
        <v>18.775728091369018</v>
      </c>
      <c r="D173">
        <f>Delliveries!D138</f>
        <v>5</v>
      </c>
      <c r="E173">
        <f>D173*_xlfn.XLOOKUP(A173,Tariff!A:A,Tariff!B:B)</f>
        <v>30</v>
      </c>
      <c r="F173">
        <f>_xlfn.XLOOKUP($F$1,Tariff!A:A,Tariff!B:B)</f>
        <v>1.2</v>
      </c>
      <c r="G173" s="2">
        <f>F173*C173</f>
        <v>22.530873709642822</v>
      </c>
      <c r="H173" s="2">
        <f>E173-G173</f>
        <v>7.4691262903571776</v>
      </c>
      <c r="J173">
        <f>WEEKNUM(B173,2)</f>
        <v>13</v>
      </c>
    </row>
    <row r="174" spans="1:10" x14ac:dyDescent="0.25">
      <c r="A174" t="str">
        <f>Delliveries!A184</f>
        <v>С</v>
      </c>
      <c r="B174" s="1">
        <f>Delliveries!B184</f>
        <v>45009</v>
      </c>
      <c r="C174" s="2">
        <f>Delliveries!C184</f>
        <v>10.626476485641874</v>
      </c>
      <c r="D174">
        <f>Delliveries!D184</f>
        <v>4</v>
      </c>
      <c r="E174">
        <f>D174*_xlfn.XLOOKUP(A174,Tariff!A:A,Tariff!B:B)</f>
        <v>32</v>
      </c>
      <c r="F174">
        <f>_xlfn.XLOOKUP($F$1,Tariff!A:A,Tariff!B:B)</f>
        <v>1.2</v>
      </c>
      <c r="G174" s="2">
        <f>F174*C174</f>
        <v>12.751771782770248</v>
      </c>
      <c r="H174" s="2">
        <f>E174-G174</f>
        <v>19.248228217229752</v>
      </c>
      <c r="J174">
        <f>WEEKNUM(B174,2)</f>
        <v>13</v>
      </c>
    </row>
    <row r="175" spans="1:10" x14ac:dyDescent="0.25">
      <c r="A175" t="str">
        <f>Delliveries!A54</f>
        <v>А</v>
      </c>
      <c r="B175" s="1">
        <f>Delliveries!B54</f>
        <v>45010</v>
      </c>
      <c r="C175" s="2">
        <f>Delliveries!C54</f>
        <v>29.627406353538682</v>
      </c>
      <c r="D175">
        <f>Delliveries!D54</f>
        <v>8</v>
      </c>
      <c r="E175">
        <f>D175*_xlfn.XLOOKUP(A175,Tariff!A:A,Tariff!B:B)</f>
        <v>40</v>
      </c>
      <c r="F175">
        <f>_xlfn.XLOOKUP($F$1,Tariff!A:A,Tariff!B:B)</f>
        <v>1.2</v>
      </c>
      <c r="G175" s="2">
        <f>F175*C175</f>
        <v>35.552887624246416</v>
      </c>
      <c r="H175" s="2">
        <f>E175-G175</f>
        <v>4.4471123757535835</v>
      </c>
      <c r="J175">
        <f>WEEKNUM(B175,2)</f>
        <v>13</v>
      </c>
    </row>
    <row r="176" spans="1:10" x14ac:dyDescent="0.25">
      <c r="A176" t="str">
        <f>Delliveries!A55</f>
        <v>А</v>
      </c>
      <c r="B176" s="1">
        <f>Delliveries!B55</f>
        <v>45010</v>
      </c>
      <c r="C176" s="2">
        <f>Delliveries!C55</f>
        <v>29.793031010863945</v>
      </c>
      <c r="D176">
        <f>Delliveries!D55</f>
        <v>8</v>
      </c>
      <c r="E176">
        <f>D176*_xlfn.XLOOKUP(A176,Tariff!A:A,Tariff!B:B)</f>
        <v>40</v>
      </c>
      <c r="F176">
        <f>_xlfn.XLOOKUP($F$1,Tariff!A:A,Tariff!B:B)</f>
        <v>1.2</v>
      </c>
      <c r="G176" s="2">
        <f>F176*C176</f>
        <v>35.75163721303673</v>
      </c>
      <c r="H176" s="2">
        <f>E176-G176</f>
        <v>4.2483627869632699</v>
      </c>
      <c r="J176">
        <f>WEEKNUM(B176,2)</f>
        <v>13</v>
      </c>
    </row>
    <row r="177" spans="1:10" x14ac:dyDescent="0.25">
      <c r="A177" t="str">
        <f>Delliveries!A56</f>
        <v>А</v>
      </c>
      <c r="B177" s="1">
        <f>Delliveries!B56</f>
        <v>45010</v>
      </c>
      <c r="C177" s="2">
        <f>Delliveries!C56</f>
        <v>22.894292964084954</v>
      </c>
      <c r="D177">
        <f>Delliveries!D56</f>
        <v>8</v>
      </c>
      <c r="E177">
        <f>D177*_xlfn.XLOOKUP(A177,Tariff!A:A,Tariff!B:B)</f>
        <v>40</v>
      </c>
      <c r="F177">
        <f>_xlfn.XLOOKUP($F$1,Tariff!A:A,Tariff!B:B)</f>
        <v>1.2</v>
      </c>
      <c r="G177" s="2">
        <f>F177*C177</f>
        <v>27.473151556901943</v>
      </c>
      <c r="H177" s="2">
        <f>E177-G177</f>
        <v>12.526848443098057</v>
      </c>
      <c r="J177">
        <f>WEEKNUM(B177,2)</f>
        <v>13</v>
      </c>
    </row>
    <row r="178" spans="1:10" x14ac:dyDescent="0.25">
      <c r="A178" t="str">
        <f>Delliveries!A72</f>
        <v>Б</v>
      </c>
      <c r="B178" s="1">
        <f>Delliveries!B72</f>
        <v>45010</v>
      </c>
      <c r="C178" s="2">
        <f>Delliveries!C72</f>
        <v>3.8479090012867156</v>
      </c>
      <c r="D178">
        <f>Delliveries!D72</f>
        <v>1</v>
      </c>
      <c r="E178">
        <f>D178*_xlfn.XLOOKUP(A178,Tariff!A:A,Tariff!B:B)</f>
        <v>6</v>
      </c>
      <c r="F178">
        <f>_xlfn.XLOOKUP($F$1,Tariff!A:A,Tariff!B:B)</f>
        <v>1.2</v>
      </c>
      <c r="G178" s="2">
        <f>F178*C178</f>
        <v>4.6174908015440588</v>
      </c>
      <c r="H178" s="2">
        <f>E178-G178</f>
        <v>1.3825091984559412</v>
      </c>
      <c r="J178">
        <f>WEEKNUM(B178,2)</f>
        <v>13</v>
      </c>
    </row>
    <row r="179" spans="1:10" x14ac:dyDescent="0.25">
      <c r="A179" t="str">
        <f>Delliveries!A74</f>
        <v>Б</v>
      </c>
      <c r="B179" s="1">
        <f>Delliveries!B74</f>
        <v>45010</v>
      </c>
      <c r="C179" s="2">
        <f>Delliveries!C74</f>
        <v>4.2070841460502262</v>
      </c>
      <c r="D179">
        <f>Delliveries!D74</f>
        <v>1</v>
      </c>
      <c r="E179">
        <f>D179*_xlfn.XLOOKUP(A179,Tariff!A:A,Tariff!B:B)</f>
        <v>6</v>
      </c>
      <c r="F179">
        <f>_xlfn.XLOOKUP($F$1,Tariff!A:A,Tariff!B:B)</f>
        <v>1.2</v>
      </c>
      <c r="G179" s="2">
        <f>F179*C179</f>
        <v>5.0485009752602714</v>
      </c>
      <c r="H179" s="2">
        <f>E179-G179</f>
        <v>0.95149902473972858</v>
      </c>
      <c r="J179">
        <f>WEEKNUM(B179,2)</f>
        <v>13</v>
      </c>
    </row>
    <row r="180" spans="1:10" x14ac:dyDescent="0.25">
      <c r="A180" t="str">
        <f>Delliveries!A76</f>
        <v>Б</v>
      </c>
      <c r="B180" s="1">
        <f>Delliveries!B76</f>
        <v>45010</v>
      </c>
      <c r="C180" s="2">
        <f>Delliveries!C76</f>
        <v>1.302465490160376</v>
      </c>
      <c r="D180">
        <f>Delliveries!D76</f>
        <v>1</v>
      </c>
      <c r="E180">
        <f>D180*_xlfn.XLOOKUP(A180,Tariff!A:A,Tariff!B:B)</f>
        <v>6</v>
      </c>
      <c r="F180">
        <f>_xlfn.XLOOKUP($F$1,Tariff!A:A,Tariff!B:B)</f>
        <v>1.2</v>
      </c>
      <c r="G180" s="2">
        <f>F180*C180</f>
        <v>1.5629585881924513</v>
      </c>
      <c r="H180" s="2">
        <f>E180-G180</f>
        <v>4.4370414118075487</v>
      </c>
      <c r="J180">
        <f>WEEKNUM(B180,2)</f>
        <v>13</v>
      </c>
    </row>
    <row r="181" spans="1:10" x14ac:dyDescent="0.25">
      <c r="A181" t="str">
        <f>Delliveries!A77</f>
        <v>Б</v>
      </c>
      <c r="B181" s="1">
        <f>Delliveries!B77</f>
        <v>45010</v>
      </c>
      <c r="C181" s="2">
        <f>Delliveries!C77</f>
        <v>0.60678610344665707</v>
      </c>
      <c r="D181">
        <f>Delliveries!D77</f>
        <v>1</v>
      </c>
      <c r="E181">
        <f>D181*_xlfn.XLOOKUP(A181,Tariff!A:A,Tariff!B:B)</f>
        <v>6</v>
      </c>
      <c r="F181">
        <f>_xlfn.XLOOKUP($F$1,Tariff!A:A,Tariff!B:B)</f>
        <v>1.2</v>
      </c>
      <c r="G181" s="2">
        <f>F181*C181</f>
        <v>0.72814332413598848</v>
      </c>
      <c r="H181" s="2">
        <f>E181-G181</f>
        <v>5.2718566758640115</v>
      </c>
      <c r="J181">
        <f>WEEKNUM(B181,2)</f>
        <v>13</v>
      </c>
    </row>
    <row r="182" spans="1:10" x14ac:dyDescent="0.25">
      <c r="A182" t="str">
        <f>Delliveries!A78</f>
        <v>Б</v>
      </c>
      <c r="B182" s="1">
        <f>Delliveries!B78</f>
        <v>45010</v>
      </c>
      <c r="C182" s="2">
        <f>Delliveries!C78</f>
        <v>1.5609732187168879</v>
      </c>
      <c r="D182">
        <f>Delliveries!D78</f>
        <v>1</v>
      </c>
      <c r="E182">
        <f>D182*_xlfn.XLOOKUP(A182,Tariff!A:A,Tariff!B:B)</f>
        <v>6</v>
      </c>
      <c r="F182">
        <f>_xlfn.XLOOKUP($F$1,Tariff!A:A,Tariff!B:B)</f>
        <v>1.2</v>
      </c>
      <c r="G182" s="2">
        <f>F182*C182</f>
        <v>1.8731678624602655</v>
      </c>
      <c r="H182" s="2">
        <f>E182-G182</f>
        <v>4.1268321375397345</v>
      </c>
      <c r="J182">
        <f>WEEKNUM(B182,2)</f>
        <v>13</v>
      </c>
    </row>
    <row r="183" spans="1:10" x14ac:dyDescent="0.25">
      <c r="A183" t="str">
        <f>Delliveries!A97</f>
        <v>Б</v>
      </c>
      <c r="B183" s="1">
        <f>Delliveries!B97</f>
        <v>45010</v>
      </c>
      <c r="C183" s="2">
        <f>Delliveries!C97</f>
        <v>2.2936434246027715</v>
      </c>
      <c r="D183">
        <f>Delliveries!D97</f>
        <v>2</v>
      </c>
      <c r="E183">
        <f>D183*_xlfn.XLOOKUP(A183,Tariff!A:A,Tariff!B:B)</f>
        <v>12</v>
      </c>
      <c r="F183">
        <f>_xlfn.XLOOKUP($F$1,Tariff!A:A,Tariff!B:B)</f>
        <v>1.2</v>
      </c>
      <c r="G183" s="2">
        <f>F183*C183</f>
        <v>2.7523721095233258</v>
      </c>
      <c r="H183" s="2">
        <f>E183-G183</f>
        <v>9.2476278904766751</v>
      </c>
      <c r="J183">
        <f>WEEKNUM(B183,2)</f>
        <v>13</v>
      </c>
    </row>
    <row r="184" spans="1:10" x14ac:dyDescent="0.25">
      <c r="A184" t="str">
        <f>Delliveries!A106</f>
        <v>Б</v>
      </c>
      <c r="B184" s="1">
        <f>Delliveries!B106</f>
        <v>45010</v>
      </c>
      <c r="C184" s="2">
        <f>Delliveries!C106</f>
        <v>13.008462633968954</v>
      </c>
      <c r="D184">
        <f>Delliveries!D106</f>
        <v>3</v>
      </c>
      <c r="E184">
        <f>D184*_xlfn.XLOOKUP(A184,Tariff!A:A,Tariff!B:B)</f>
        <v>18</v>
      </c>
      <c r="F184">
        <f>_xlfn.XLOOKUP($F$1,Tariff!A:A,Tariff!B:B)</f>
        <v>1.2</v>
      </c>
      <c r="G184" s="2">
        <f>F184*C184</f>
        <v>15.610155160762744</v>
      </c>
      <c r="H184" s="2">
        <f>E184-G184</f>
        <v>2.3898448392372558</v>
      </c>
      <c r="J184">
        <f>WEEKNUM(B184,2)</f>
        <v>13</v>
      </c>
    </row>
    <row r="185" spans="1:10" x14ac:dyDescent="0.25">
      <c r="A185" t="str">
        <f>Delliveries!A108</f>
        <v>Б</v>
      </c>
      <c r="B185" s="1">
        <f>Delliveries!B108</f>
        <v>45010</v>
      </c>
      <c r="C185" s="2">
        <f>Delliveries!C108</f>
        <v>6.5113013615409088</v>
      </c>
      <c r="D185">
        <f>Delliveries!D108</f>
        <v>3</v>
      </c>
      <c r="E185">
        <f>D185*_xlfn.XLOOKUP(A185,Tariff!A:A,Tariff!B:B)</f>
        <v>18</v>
      </c>
      <c r="F185">
        <f>_xlfn.XLOOKUP($F$1,Tariff!A:A,Tariff!B:B)</f>
        <v>1.2</v>
      </c>
      <c r="G185" s="2">
        <f>F185*C185</f>
        <v>7.8135616338490905</v>
      </c>
      <c r="H185" s="2">
        <f>E185-G185</f>
        <v>10.186438366150909</v>
      </c>
      <c r="J185">
        <f>WEEKNUM(B185,2)</f>
        <v>13</v>
      </c>
    </row>
    <row r="186" spans="1:10" x14ac:dyDescent="0.25">
      <c r="A186" t="str">
        <f>Delliveries!A123</f>
        <v>Б</v>
      </c>
      <c r="B186" s="1">
        <f>Delliveries!B123</f>
        <v>45010</v>
      </c>
      <c r="C186" s="2">
        <f>Delliveries!C123</f>
        <v>12.913706709951647</v>
      </c>
      <c r="D186">
        <f>Delliveries!D123</f>
        <v>4</v>
      </c>
      <c r="E186">
        <f>D186*_xlfn.XLOOKUP(A186,Tariff!A:A,Tariff!B:B)</f>
        <v>24</v>
      </c>
      <c r="F186">
        <f>_xlfn.XLOOKUP($F$1,Tariff!A:A,Tariff!B:B)</f>
        <v>1.2</v>
      </c>
      <c r="G186" s="2">
        <f>F186*C186</f>
        <v>15.496448051941975</v>
      </c>
      <c r="H186" s="2">
        <f>E186-G186</f>
        <v>8.5035519480580248</v>
      </c>
      <c r="J186">
        <f>WEEKNUM(B186,2)</f>
        <v>13</v>
      </c>
    </row>
    <row r="187" spans="1:10" x14ac:dyDescent="0.25">
      <c r="A187" t="str">
        <f>Delliveries!A139</f>
        <v>Б</v>
      </c>
      <c r="B187" s="1">
        <f>Delliveries!B139</f>
        <v>45010</v>
      </c>
      <c r="C187" s="2">
        <f>Delliveries!C139</f>
        <v>17.43661541370869</v>
      </c>
      <c r="D187">
        <f>Delliveries!D139</f>
        <v>5</v>
      </c>
      <c r="E187">
        <f>D187*_xlfn.XLOOKUP(A187,Tariff!A:A,Tariff!B:B)</f>
        <v>30</v>
      </c>
      <c r="F187">
        <f>_xlfn.XLOOKUP($F$1,Tariff!A:A,Tariff!B:B)</f>
        <v>1.2</v>
      </c>
      <c r="G187" s="2">
        <f>F187*C187</f>
        <v>20.923938496450429</v>
      </c>
      <c r="H187" s="2">
        <f>E187-G187</f>
        <v>9.0760615035495711</v>
      </c>
      <c r="J187">
        <f>WEEKNUM(B187,2)</f>
        <v>13</v>
      </c>
    </row>
    <row r="188" spans="1:10" x14ac:dyDescent="0.25">
      <c r="A188" t="str">
        <f>Delliveries!A150</f>
        <v>Б</v>
      </c>
      <c r="B188" s="1">
        <f>Delliveries!B150</f>
        <v>45010</v>
      </c>
      <c r="C188" s="2">
        <f>Delliveries!C150</f>
        <v>13.989779562714981</v>
      </c>
      <c r="D188">
        <f>Delliveries!D150</f>
        <v>7</v>
      </c>
      <c r="E188">
        <f>D188*_xlfn.XLOOKUP(A188,Tariff!A:A,Tariff!B:B)</f>
        <v>42</v>
      </c>
      <c r="F188">
        <f>_xlfn.XLOOKUP($F$1,Tariff!A:A,Tariff!B:B)</f>
        <v>1.2</v>
      </c>
      <c r="G188" s="2">
        <f>F188*C188</f>
        <v>16.787735475257975</v>
      </c>
      <c r="H188" s="2">
        <f>E188-G188</f>
        <v>25.212264524742025</v>
      </c>
      <c r="J188">
        <f>WEEKNUM(B188,2)</f>
        <v>13</v>
      </c>
    </row>
    <row r="189" spans="1:10" x14ac:dyDescent="0.25">
      <c r="A189" t="str">
        <f>Delliveries!A152</f>
        <v>Б</v>
      </c>
      <c r="B189" s="1">
        <f>Delliveries!B152</f>
        <v>45010</v>
      </c>
      <c r="C189" s="2">
        <f>Delliveries!C152</f>
        <v>14.618286625136639</v>
      </c>
      <c r="D189">
        <f>Delliveries!D152</f>
        <v>8</v>
      </c>
      <c r="E189">
        <f>D189*_xlfn.XLOOKUP(A189,Tariff!A:A,Tariff!B:B)</f>
        <v>48</v>
      </c>
      <c r="F189">
        <f>_xlfn.XLOOKUP($F$1,Tariff!A:A,Tariff!B:B)</f>
        <v>1.2</v>
      </c>
      <c r="G189" s="2">
        <f>F189*C189</f>
        <v>17.541943950163965</v>
      </c>
      <c r="H189" s="2">
        <f>E189-G189</f>
        <v>30.458056049836035</v>
      </c>
      <c r="J189">
        <f>WEEKNUM(B189,2)</f>
        <v>13</v>
      </c>
    </row>
    <row r="190" spans="1:10" x14ac:dyDescent="0.25">
      <c r="A190" t="str">
        <f>Delliveries!A154</f>
        <v>Б</v>
      </c>
      <c r="B190" s="1">
        <f>Delliveries!B154</f>
        <v>45010</v>
      </c>
      <c r="C190" s="2">
        <f>Delliveries!C154</f>
        <v>19.071231545066812</v>
      </c>
      <c r="D190">
        <f>Delliveries!D154</f>
        <v>10</v>
      </c>
      <c r="E190">
        <f>D190*_xlfn.XLOOKUP(A190,Tariff!A:A,Tariff!B:B)</f>
        <v>60</v>
      </c>
      <c r="F190">
        <f>_xlfn.XLOOKUP($F$1,Tariff!A:A,Tariff!B:B)</f>
        <v>1.2</v>
      </c>
      <c r="G190" s="2">
        <f>F190*C190</f>
        <v>22.885477854080175</v>
      </c>
      <c r="H190" s="2">
        <f>E190-G190</f>
        <v>37.114522145919821</v>
      </c>
      <c r="J190">
        <f>WEEKNUM(B190,2)</f>
        <v>13</v>
      </c>
    </row>
    <row r="191" spans="1:10" x14ac:dyDescent="0.25">
      <c r="A191" t="str">
        <f>Delliveries!A9</f>
        <v>А</v>
      </c>
      <c r="B191" s="1">
        <f>Delliveries!B9</f>
        <v>45011</v>
      </c>
      <c r="C191" s="2">
        <f>Delliveries!C9</f>
        <v>1.6727632483099164</v>
      </c>
      <c r="D191">
        <f>Delliveries!D9</f>
        <v>1</v>
      </c>
      <c r="E191">
        <f>D191*_xlfn.XLOOKUP(A191,Tariff!A:A,Tariff!B:B)</f>
        <v>5</v>
      </c>
      <c r="F191">
        <f>_xlfn.XLOOKUP($F$1,Tariff!A:A,Tariff!B:B)</f>
        <v>1.2</v>
      </c>
      <c r="G191" s="2">
        <f>F191*C191</f>
        <v>2.0073158979718997</v>
      </c>
      <c r="H191" s="2">
        <f>E191-G191</f>
        <v>2.9926841020281003</v>
      </c>
      <c r="J191">
        <f>WEEKNUM(B191,2)</f>
        <v>13</v>
      </c>
    </row>
    <row r="192" spans="1:10" x14ac:dyDescent="0.25">
      <c r="A192" t="str">
        <f>Delliveries!A28</f>
        <v>А</v>
      </c>
      <c r="B192" s="1">
        <f>Delliveries!B28</f>
        <v>45011</v>
      </c>
      <c r="C192" s="2">
        <f>Delliveries!C28</f>
        <v>10.739612601719241</v>
      </c>
      <c r="D192">
        <f>Delliveries!D28</f>
        <v>3</v>
      </c>
      <c r="E192">
        <f>D192*_xlfn.XLOOKUP(A192,Tariff!A:A,Tariff!B:B)</f>
        <v>15</v>
      </c>
      <c r="F192">
        <f>_xlfn.XLOOKUP($F$1,Tariff!A:A,Tariff!B:B)</f>
        <v>1.2</v>
      </c>
      <c r="G192" s="2">
        <f>F192*C192</f>
        <v>12.887535122063088</v>
      </c>
      <c r="H192" s="2">
        <f>E192-G192</f>
        <v>2.1124648779369117</v>
      </c>
      <c r="J192">
        <f>WEEKNUM(B192,2)</f>
        <v>13</v>
      </c>
    </row>
    <row r="193" spans="1:10" x14ac:dyDescent="0.25">
      <c r="A193" t="str">
        <f>Delliveries!A44</f>
        <v>А</v>
      </c>
      <c r="B193" s="1">
        <f>Delliveries!B44</f>
        <v>45011</v>
      </c>
      <c r="C193" s="2">
        <f>Delliveries!C44</f>
        <v>13.260503805286257</v>
      </c>
      <c r="D193">
        <f>Delliveries!D44</f>
        <v>5</v>
      </c>
      <c r="E193">
        <f>D193*_xlfn.XLOOKUP(A193,Tariff!A:A,Tariff!B:B)</f>
        <v>25</v>
      </c>
      <c r="F193">
        <f>_xlfn.XLOOKUP($F$1,Tariff!A:A,Tariff!B:B)</f>
        <v>1.2</v>
      </c>
      <c r="G193" s="2">
        <f>F193*C193</f>
        <v>15.912604566343507</v>
      </c>
      <c r="H193" s="2">
        <f>E193-G193</f>
        <v>9.0873954336564928</v>
      </c>
      <c r="J193">
        <f>WEEKNUM(B193,2)</f>
        <v>13</v>
      </c>
    </row>
    <row r="194" spans="1:10" x14ac:dyDescent="0.25">
      <c r="A194" t="str">
        <f>Delliveries!A53</f>
        <v>А</v>
      </c>
      <c r="B194" s="1">
        <f>Delliveries!B53</f>
        <v>45011</v>
      </c>
      <c r="C194" s="2">
        <f>Delliveries!C53</f>
        <v>28.060224768525035</v>
      </c>
      <c r="D194">
        <f>Delliveries!D53</f>
        <v>8</v>
      </c>
      <c r="E194">
        <f>D194*_xlfn.XLOOKUP(A194,Tariff!A:A,Tariff!B:B)</f>
        <v>40</v>
      </c>
      <c r="F194">
        <f>_xlfn.XLOOKUP($F$1,Tariff!A:A,Tariff!B:B)</f>
        <v>1.2</v>
      </c>
      <c r="G194" s="2">
        <f>F194*C194</f>
        <v>33.672269722230041</v>
      </c>
      <c r="H194" s="2">
        <f>E194-G194</f>
        <v>6.3277302777699589</v>
      </c>
      <c r="J194">
        <f>WEEKNUM(B194,2)</f>
        <v>13</v>
      </c>
    </row>
    <row r="195" spans="1:10" x14ac:dyDescent="0.25">
      <c r="A195" t="str">
        <f>Delliveries!A57</f>
        <v>А</v>
      </c>
      <c r="B195" s="1">
        <f>Delliveries!B57</f>
        <v>45011</v>
      </c>
      <c r="C195" s="2">
        <f>Delliveries!C57</f>
        <v>22.91642103186733</v>
      </c>
      <c r="D195">
        <f>Delliveries!D57</f>
        <v>8</v>
      </c>
      <c r="E195">
        <f>D195*_xlfn.XLOOKUP(A195,Tariff!A:A,Tariff!B:B)</f>
        <v>40</v>
      </c>
      <c r="F195">
        <f>_xlfn.XLOOKUP($F$1,Tariff!A:A,Tariff!B:B)</f>
        <v>1.2</v>
      </c>
      <c r="G195" s="2">
        <f>F195*C195</f>
        <v>27.499705238240796</v>
      </c>
      <c r="H195" s="2">
        <f>E195-G195</f>
        <v>12.500294761759204</v>
      </c>
      <c r="J195">
        <f>WEEKNUM(B195,2)</f>
        <v>13</v>
      </c>
    </row>
    <row r="196" spans="1:10" x14ac:dyDescent="0.25">
      <c r="A196" t="str">
        <f>Delliveries!A107</f>
        <v>Б</v>
      </c>
      <c r="B196" s="1">
        <f>Delliveries!B107</f>
        <v>45011</v>
      </c>
      <c r="C196" s="2">
        <f>Delliveries!C107</f>
        <v>9.7045556367593448</v>
      </c>
      <c r="D196">
        <f>Delliveries!D107</f>
        <v>3</v>
      </c>
      <c r="E196">
        <f>D196*_xlfn.XLOOKUP(A196,Tariff!A:A,Tariff!B:B)</f>
        <v>18</v>
      </c>
      <c r="F196">
        <f>_xlfn.XLOOKUP($F$1,Tariff!A:A,Tariff!B:B)</f>
        <v>1.2</v>
      </c>
      <c r="G196" s="2">
        <f>F196*C196</f>
        <v>11.645466764111214</v>
      </c>
      <c r="H196" s="2">
        <f>E196-G196</f>
        <v>6.3545332358887858</v>
      </c>
      <c r="J196">
        <f>WEEKNUM(B196,2)</f>
        <v>13</v>
      </c>
    </row>
    <row r="197" spans="1:10" x14ac:dyDescent="0.25">
      <c r="A197" t="str">
        <f>Delliveries!A127</f>
        <v>Б</v>
      </c>
      <c r="B197" s="1">
        <f>Delliveries!B127</f>
        <v>45011</v>
      </c>
      <c r="C197" s="2">
        <f>Delliveries!C127</f>
        <v>15.757377627724384</v>
      </c>
      <c r="D197">
        <f>Delliveries!D127</f>
        <v>4</v>
      </c>
      <c r="E197">
        <f>D197*_xlfn.XLOOKUP(A197,Tariff!A:A,Tariff!B:B)</f>
        <v>24</v>
      </c>
      <c r="F197">
        <f>_xlfn.XLOOKUP($F$1,Tariff!A:A,Tariff!B:B)</f>
        <v>1.2</v>
      </c>
      <c r="G197" s="2">
        <f>F197*C197</f>
        <v>18.908853153269259</v>
      </c>
      <c r="H197" s="2">
        <f>E197-G197</f>
        <v>5.0911468467307408</v>
      </c>
      <c r="J197">
        <f>WEEKNUM(B197,2)</f>
        <v>13</v>
      </c>
    </row>
    <row r="198" spans="1:10" x14ac:dyDescent="0.25">
      <c r="A198" t="str">
        <f>Delliveries!A159</f>
        <v>С</v>
      </c>
      <c r="B198" s="1">
        <f>Delliveries!B159</f>
        <v>45011</v>
      </c>
      <c r="C198" s="2">
        <f>Delliveries!C159</f>
        <v>2.5537872736038492</v>
      </c>
      <c r="D198">
        <f>Delliveries!D159</f>
        <v>1</v>
      </c>
      <c r="E198">
        <f>D198*_xlfn.XLOOKUP(A198,Tariff!A:A,Tariff!B:B)</f>
        <v>8</v>
      </c>
      <c r="F198">
        <f>_xlfn.XLOOKUP($F$1,Tariff!A:A,Tariff!B:B)</f>
        <v>1.2</v>
      </c>
      <c r="G198" s="2">
        <f>F198*C198</f>
        <v>3.064544728324619</v>
      </c>
      <c r="H198" s="2">
        <f>E198-G198</f>
        <v>4.935455271675381</v>
      </c>
      <c r="J198">
        <f>WEEKNUM(B198,2)</f>
        <v>13</v>
      </c>
    </row>
    <row r="199" spans="1:10" x14ac:dyDescent="0.25">
      <c r="A199" t="str">
        <f>Delliveries!A164</f>
        <v>С</v>
      </c>
      <c r="B199" s="1">
        <f>Delliveries!B164</f>
        <v>45011</v>
      </c>
      <c r="C199" s="2">
        <f>Delliveries!C164</f>
        <v>6.8792967771418638</v>
      </c>
      <c r="D199">
        <f>Delliveries!D164</f>
        <v>2</v>
      </c>
      <c r="E199">
        <f>D199*_xlfn.XLOOKUP(A199,Tariff!A:A,Tariff!B:B)</f>
        <v>16</v>
      </c>
      <c r="F199">
        <f>_xlfn.XLOOKUP($F$1,Tariff!A:A,Tariff!B:B)</f>
        <v>1.2</v>
      </c>
      <c r="G199" s="2">
        <f>F199*C199</f>
        <v>8.2551561325702369</v>
      </c>
      <c r="H199" s="2">
        <f>E199-G199</f>
        <v>7.7448438674297631</v>
      </c>
      <c r="J199">
        <f>WEEKNUM(B199,2)</f>
        <v>13</v>
      </c>
    </row>
    <row r="200" spans="1:10" x14ac:dyDescent="0.25">
      <c r="A200" t="str">
        <f>Delliveries!A175</f>
        <v>С</v>
      </c>
      <c r="B200" s="1">
        <f>Delliveries!B175</f>
        <v>45011</v>
      </c>
      <c r="C200" s="2">
        <f>Delliveries!C175</f>
        <v>6.617034960713724</v>
      </c>
      <c r="D200">
        <f>Delliveries!D175</f>
        <v>3</v>
      </c>
      <c r="E200">
        <f>D200*_xlfn.XLOOKUP(A200,Tariff!A:A,Tariff!B:B)</f>
        <v>24</v>
      </c>
      <c r="F200">
        <f>_xlfn.XLOOKUP($F$1,Tariff!A:A,Tariff!B:B)</f>
        <v>1.2</v>
      </c>
      <c r="G200" s="2">
        <f>F200*C200</f>
        <v>7.9404419528564683</v>
      </c>
      <c r="H200" s="2">
        <f>E200-G200</f>
        <v>16.059558047143533</v>
      </c>
      <c r="J200">
        <f>WEEKNUM(B200,2)</f>
        <v>13</v>
      </c>
    </row>
    <row r="201" spans="1:10" x14ac:dyDescent="0.25">
      <c r="A201" t="s">
        <v>24</v>
      </c>
      <c r="B201"/>
      <c r="C201">
        <f>SUBTOTAL(109,Table1[Distance])</f>
        <v>2202.0295109524309</v>
      </c>
      <c r="D201">
        <f>SUBTOTAL(109,Table1[Number of parcels])</f>
        <v>768</v>
      </c>
      <c r="E201">
        <f>SUBTOTAL(109,Table1[Выручка])</f>
        <v>4717</v>
      </c>
      <c r="G201" s="2">
        <f>SUBTOTAL(109,Table1[Издержки])</f>
        <v>2642.4354131429159</v>
      </c>
      <c r="H201" s="2">
        <f>SUBTOTAL(109,Table1[Прибыль])</f>
        <v>2074.5645868570832</v>
      </c>
      <c r="I201" s="5">
        <f>Table1[[#Totals],[Прибыль]]/Table1[[#Totals],[Выручка]]</f>
        <v>0.43980593318996886</v>
      </c>
    </row>
    <row r="202" spans="1:10" x14ac:dyDescent="0.25">
      <c r="A202" t="str">
        <f>Delliveries!A201&amp;""</f>
        <v/>
      </c>
      <c r="B202" s="1" t="str">
        <f>IF(Delliveries!B201="","",Delliveries!B201)</f>
        <v/>
      </c>
      <c r="C202" t="str">
        <f>Delliveries!C201&amp;""</f>
        <v/>
      </c>
      <c r="D202" t="str">
        <f>Delliveries!D201&amp;""</f>
        <v/>
      </c>
      <c r="E202" t="str">
        <f>IF(D202="","",D202*_xlfn.XLOOKUP(A202,Tariff!A:A,Tariff!B:B))</f>
        <v/>
      </c>
      <c r="F202" t="str">
        <f>IF(E202="","",_xlfn.XLOOKUP($F$1,Tariff!A:A,Tariff!B:B))</f>
        <v/>
      </c>
      <c r="G202" s="2" t="str">
        <f>IF(E202="","",F202*C202)</f>
        <v/>
      </c>
      <c r="H202" s="2" t="str">
        <f>IF(F202="","",E202-G202)</f>
        <v/>
      </c>
      <c r="J202" t="str">
        <f>IF(F202="","",WEEKNUM(B202,2))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07A7-C3EA-49B0-9162-558F29806AD4}">
  <dimension ref="A1:H63"/>
  <sheetViews>
    <sheetView topLeftCell="A6" zoomScale="85" zoomScaleNormal="85" workbookViewId="0">
      <selection activeCell="F18" sqref="F18"/>
    </sheetView>
  </sheetViews>
  <sheetFormatPr defaultRowHeight="15.75" x14ac:dyDescent="0.25"/>
  <cols>
    <col min="1" max="1" width="13.75" bestFit="1" customWidth="1"/>
    <col min="2" max="2" width="14.75" bestFit="1" customWidth="1"/>
    <col min="3" max="3" width="23.5" bestFit="1" customWidth="1"/>
    <col min="4" max="4" width="15.125" bestFit="1" customWidth="1"/>
    <col min="5" max="5" width="16.5" bestFit="1" customWidth="1"/>
    <col min="6" max="6" width="15.5" bestFit="1" customWidth="1"/>
    <col min="7" max="7" width="17.25" bestFit="1" customWidth="1"/>
    <col min="8" max="8" width="16.875" bestFit="1" customWidth="1"/>
    <col min="9" max="9" width="20.375" bestFit="1" customWidth="1"/>
  </cols>
  <sheetData>
    <row r="1" spans="1:8" x14ac:dyDescent="0.25">
      <c r="A1" s="6" t="s">
        <v>3</v>
      </c>
      <c r="B1" t="s">
        <v>25</v>
      </c>
    </row>
    <row r="2" spans="1:8" x14ac:dyDescent="0.25">
      <c r="A2" s="6" t="s">
        <v>23</v>
      </c>
      <c r="B2" t="s">
        <v>25</v>
      </c>
    </row>
    <row r="4" spans="1:8" x14ac:dyDescent="0.25">
      <c r="A4" s="6" t="s">
        <v>26</v>
      </c>
      <c r="B4" t="s">
        <v>31</v>
      </c>
      <c r="C4" t="s">
        <v>32</v>
      </c>
      <c r="D4" t="s">
        <v>29</v>
      </c>
      <c r="E4" t="s">
        <v>30</v>
      </c>
      <c r="F4" t="s">
        <v>28</v>
      </c>
      <c r="G4" t="s">
        <v>38</v>
      </c>
    </row>
    <row r="5" spans="1:8" x14ac:dyDescent="0.25">
      <c r="A5" s="7" t="s">
        <v>4</v>
      </c>
      <c r="B5">
        <v>823.82104639016859</v>
      </c>
      <c r="C5">
        <v>267</v>
      </c>
      <c r="D5">
        <v>1335</v>
      </c>
      <c r="E5">
        <v>988.58525566820231</v>
      </c>
      <c r="F5">
        <v>346.41474433179786</v>
      </c>
      <c r="G5">
        <v>62</v>
      </c>
    </row>
    <row r="6" spans="1:8" x14ac:dyDescent="0.25">
      <c r="A6" s="7" t="s">
        <v>5</v>
      </c>
      <c r="B6">
        <v>866.2652578500016</v>
      </c>
      <c r="C6">
        <v>313</v>
      </c>
      <c r="D6">
        <v>1878</v>
      </c>
      <c r="E6">
        <v>1039.518309420002</v>
      </c>
      <c r="F6">
        <v>838.48169057999837</v>
      </c>
      <c r="G6">
        <v>91</v>
      </c>
    </row>
    <row r="7" spans="1:8" x14ac:dyDescent="0.25">
      <c r="A7" s="7" t="s">
        <v>6</v>
      </c>
      <c r="B7">
        <v>511.94320671226041</v>
      </c>
      <c r="C7">
        <v>188</v>
      </c>
      <c r="D7">
        <v>1504</v>
      </c>
      <c r="E7">
        <v>614.33184805471251</v>
      </c>
      <c r="F7">
        <v>889.6681519452876</v>
      </c>
      <c r="G7">
        <v>46</v>
      </c>
    </row>
    <row r="8" spans="1:8" x14ac:dyDescent="0.25">
      <c r="A8" s="7" t="s">
        <v>27</v>
      </c>
      <c r="B8">
        <v>2202.0295109524327</v>
      </c>
      <c r="C8">
        <v>768</v>
      </c>
      <c r="D8">
        <v>4717</v>
      </c>
      <c r="E8">
        <v>2642.4354131429186</v>
      </c>
      <c r="F8">
        <v>2074.5645868570828</v>
      </c>
      <c r="G8">
        <v>199</v>
      </c>
    </row>
    <row r="11" spans="1:8" x14ac:dyDescent="0.25">
      <c r="A11" s="7"/>
    </row>
    <row r="12" spans="1:8" x14ac:dyDescent="0.25">
      <c r="A12" s="7"/>
    </row>
    <row r="13" spans="1:8" x14ac:dyDescent="0.25">
      <c r="A13" s="7"/>
    </row>
    <row r="14" spans="1:8" x14ac:dyDescent="0.25">
      <c r="A14" s="12" t="s">
        <v>39</v>
      </c>
      <c r="B14" s="13"/>
      <c r="C14" s="13"/>
      <c r="D14" s="13"/>
      <c r="E14" s="13"/>
      <c r="F14" s="13"/>
      <c r="G14" s="13"/>
      <c r="H14" s="13"/>
    </row>
    <row r="15" spans="1:8" x14ac:dyDescent="0.25">
      <c r="A15" s="8" t="s">
        <v>26</v>
      </c>
      <c r="B15" s="8" t="s">
        <v>31</v>
      </c>
      <c r="C15" s="8" t="s">
        <v>32</v>
      </c>
      <c r="D15" s="8" t="s">
        <v>29</v>
      </c>
      <c r="E15" s="8" t="s">
        <v>30</v>
      </c>
      <c r="F15" s="8" t="s">
        <v>28</v>
      </c>
      <c r="G15" s="8" t="s">
        <v>33</v>
      </c>
      <c r="H15" s="8" t="s">
        <v>22</v>
      </c>
    </row>
    <row r="16" spans="1:8" x14ac:dyDescent="0.25">
      <c r="A16" s="8" t="s">
        <v>4</v>
      </c>
      <c r="B16" s="9">
        <v>187.48001802253447</v>
      </c>
      <c r="C16" s="9">
        <v>76</v>
      </c>
      <c r="D16" s="9">
        <v>380</v>
      </c>
      <c r="E16" s="9">
        <v>224.97602162704135</v>
      </c>
      <c r="F16" s="9">
        <v>155.02397837295862</v>
      </c>
      <c r="G16" s="10">
        <f>D16/SUM($D$16:$D$18)</f>
        <v>0.1539708265802269</v>
      </c>
      <c r="H16" s="10">
        <f>F16/D16</f>
        <v>0.40795783782357531</v>
      </c>
    </row>
    <row r="17" spans="1:8" x14ac:dyDescent="0.25">
      <c r="A17" s="8" t="s">
        <v>5</v>
      </c>
      <c r="B17" s="9">
        <v>428.80066872964511</v>
      </c>
      <c r="C17" s="9">
        <v>152</v>
      </c>
      <c r="D17" s="9">
        <v>912</v>
      </c>
      <c r="E17" s="9">
        <v>514.56080247557406</v>
      </c>
      <c r="F17" s="9">
        <v>397.43919752442599</v>
      </c>
      <c r="G17" s="10">
        <f>D17/SUM($D$16:$D$18)</f>
        <v>0.36952998379254459</v>
      </c>
      <c r="H17" s="10">
        <f>F17/D17</f>
        <v>0.43578859377678286</v>
      </c>
    </row>
    <row r="18" spans="1:8" x14ac:dyDescent="0.25">
      <c r="A18" s="8" t="s">
        <v>6</v>
      </c>
      <c r="B18" s="9">
        <v>413.15789355205362</v>
      </c>
      <c r="C18" s="9">
        <v>147</v>
      </c>
      <c r="D18" s="9">
        <v>1176</v>
      </c>
      <c r="E18" s="9">
        <v>495.78947226246464</v>
      </c>
      <c r="F18" s="9">
        <v>680.21052773753547</v>
      </c>
      <c r="G18" s="10">
        <f>D18/SUM($D$16:$D$18)</f>
        <v>0.47649918962722854</v>
      </c>
      <c r="H18" s="10">
        <f>F18/D18</f>
        <v>0.57841031270198595</v>
      </c>
    </row>
    <row r="19" spans="1:8" x14ac:dyDescent="0.25">
      <c r="A19" s="8" t="s">
        <v>27</v>
      </c>
      <c r="B19" s="9">
        <f t="shared" ref="B19:G19" si="0">SUM(B16:B18)</f>
        <v>1029.4385803042333</v>
      </c>
      <c r="C19" s="9">
        <f t="shared" si="0"/>
        <v>375</v>
      </c>
      <c r="D19" s="9">
        <f t="shared" si="0"/>
        <v>2468</v>
      </c>
      <c r="E19" s="9">
        <f t="shared" si="0"/>
        <v>1235.32629636508</v>
      </c>
      <c r="F19" s="9">
        <f t="shared" si="0"/>
        <v>1232.67370363492</v>
      </c>
      <c r="G19" s="10">
        <f t="shared" si="0"/>
        <v>1</v>
      </c>
      <c r="H19" s="11">
        <f>F19/D19</f>
        <v>0.49946260276941651</v>
      </c>
    </row>
    <row r="21" spans="1:8" x14ac:dyDescent="0.25">
      <c r="A21" s="12" t="s">
        <v>40</v>
      </c>
      <c r="B21" s="13"/>
      <c r="C21" s="13"/>
      <c r="D21" s="13"/>
      <c r="E21" s="13"/>
      <c r="F21" s="13"/>
      <c r="G21" s="13"/>
      <c r="H21" s="13"/>
    </row>
    <row r="22" spans="1:8" x14ac:dyDescent="0.25">
      <c r="A22" s="8" t="s">
        <v>26</v>
      </c>
      <c r="B22" s="8" t="s">
        <v>31</v>
      </c>
      <c r="C22" s="8" t="s">
        <v>32</v>
      </c>
      <c r="D22" s="8" t="s">
        <v>29</v>
      </c>
      <c r="E22" s="8" t="s">
        <v>30</v>
      </c>
      <c r="F22" s="8" t="s">
        <v>28</v>
      </c>
      <c r="G22" s="8" t="s">
        <v>33</v>
      </c>
      <c r="H22" s="8" t="s">
        <v>22</v>
      </c>
    </row>
    <row r="23" spans="1:8" x14ac:dyDescent="0.25">
      <c r="A23" s="8" t="s">
        <v>4</v>
      </c>
      <c r="B23" s="9">
        <v>636.34102836763395</v>
      </c>
      <c r="C23" s="9">
        <v>191</v>
      </c>
      <c r="D23" s="9">
        <v>955</v>
      </c>
      <c r="E23" s="9">
        <v>763.60923404116068</v>
      </c>
      <c r="F23" s="9">
        <v>191.39076595883921</v>
      </c>
      <c r="G23" s="10">
        <f>D23/SUM($D$23:$D$25)</f>
        <v>0.4246331702979102</v>
      </c>
      <c r="H23" s="10">
        <f>F23/D23</f>
        <v>0.20040917901449132</v>
      </c>
    </row>
    <row r="24" spans="1:8" x14ac:dyDescent="0.25">
      <c r="A24" s="8" t="s">
        <v>5</v>
      </c>
      <c r="B24" s="9">
        <v>437.46458912035661</v>
      </c>
      <c r="C24" s="9">
        <v>161</v>
      </c>
      <c r="D24" s="9">
        <v>966</v>
      </c>
      <c r="E24" s="9">
        <v>524.95750694442779</v>
      </c>
      <c r="F24" s="9">
        <v>441.04249305557209</v>
      </c>
      <c r="G24" s="10">
        <f>D24/SUM($D$23:$D$25)</f>
        <v>0.42952423299244108</v>
      </c>
      <c r="H24" s="10">
        <f>F24/D24</f>
        <v>0.45656572780079929</v>
      </c>
    </row>
    <row r="25" spans="1:8" x14ac:dyDescent="0.25">
      <c r="A25" s="8" t="s">
        <v>6</v>
      </c>
      <c r="B25" s="9">
        <v>98.785313160206698</v>
      </c>
      <c r="C25" s="9">
        <v>41</v>
      </c>
      <c r="D25" s="9">
        <v>328</v>
      </c>
      <c r="E25" s="9">
        <v>118.54237579224804</v>
      </c>
      <c r="F25" s="9">
        <v>209.45762420775193</v>
      </c>
      <c r="G25" s="10">
        <f>D25/SUM($D$23:$D$25)</f>
        <v>0.14584259670964872</v>
      </c>
      <c r="H25" s="10">
        <f>F25/D25</f>
        <v>0.63859031770656083</v>
      </c>
    </row>
    <row r="26" spans="1:8" x14ac:dyDescent="0.25">
      <c r="A26" s="8" t="s">
        <v>27</v>
      </c>
      <c r="B26" s="9">
        <f t="shared" ref="B26:G26" si="1">SUM(B23:B25)</f>
        <v>1172.5909306481972</v>
      </c>
      <c r="C26" s="9">
        <f t="shared" si="1"/>
        <v>393</v>
      </c>
      <c r="D26" s="9">
        <f t="shared" si="1"/>
        <v>2249</v>
      </c>
      <c r="E26" s="9">
        <f t="shared" si="1"/>
        <v>1407.1091167778366</v>
      </c>
      <c r="F26" s="9">
        <f t="shared" si="1"/>
        <v>841.89088322216321</v>
      </c>
      <c r="G26" s="10">
        <f t="shared" si="1"/>
        <v>1</v>
      </c>
      <c r="H26" s="11">
        <f>F26/D26</f>
        <v>0.37434009925396317</v>
      </c>
    </row>
    <row r="27" spans="1:8" x14ac:dyDescent="0.25">
      <c r="A27" s="14"/>
      <c r="B27" s="15"/>
      <c r="C27" s="15"/>
      <c r="D27" s="15"/>
      <c r="E27" s="15"/>
      <c r="F27" s="15"/>
      <c r="G27" s="16"/>
      <c r="H27" s="17"/>
    </row>
    <row r="29" spans="1:8" x14ac:dyDescent="0.25">
      <c r="A29" s="12" t="s">
        <v>41</v>
      </c>
      <c r="B29" s="13"/>
      <c r="C29" s="13"/>
      <c r="D29" s="13"/>
      <c r="E29" s="13"/>
      <c r="F29" s="13"/>
      <c r="G29" s="13"/>
      <c r="H29" s="13"/>
    </row>
    <row r="30" spans="1:8" x14ac:dyDescent="0.25">
      <c r="A30" s="8" t="s">
        <v>26</v>
      </c>
      <c r="B30" s="8" t="s">
        <v>31</v>
      </c>
      <c r="C30" s="8" t="s">
        <v>32</v>
      </c>
      <c r="D30" s="8" t="s">
        <v>29</v>
      </c>
      <c r="E30" s="8" t="s">
        <v>30</v>
      </c>
      <c r="F30" s="8" t="s">
        <v>28</v>
      </c>
      <c r="G30" s="8" t="s">
        <v>33</v>
      </c>
      <c r="H30" s="8" t="s">
        <v>22</v>
      </c>
    </row>
    <row r="31" spans="1:8" x14ac:dyDescent="0.25">
      <c r="A31" s="8" t="s">
        <v>4</v>
      </c>
      <c r="B31" s="9">
        <v>823.82104639016859</v>
      </c>
      <c r="C31" s="9">
        <v>267</v>
      </c>
      <c r="D31" s="9">
        <v>1335</v>
      </c>
      <c r="E31" s="9">
        <v>988.58525566820231</v>
      </c>
      <c r="F31" s="9">
        <v>346.41474433179786</v>
      </c>
      <c r="G31" s="10">
        <f>D31/SUM($D$31:$D$33)</f>
        <v>0.28301886792452829</v>
      </c>
      <c r="H31" s="10">
        <f>F31/D31</f>
        <v>0.25948669987400591</v>
      </c>
    </row>
    <row r="32" spans="1:8" x14ac:dyDescent="0.25">
      <c r="A32" s="8" t="s">
        <v>5</v>
      </c>
      <c r="B32" s="9">
        <v>866.2652578500016</v>
      </c>
      <c r="C32" s="9">
        <v>313</v>
      </c>
      <c r="D32" s="9">
        <v>1878</v>
      </c>
      <c r="E32" s="9">
        <v>1039.518309420002</v>
      </c>
      <c r="F32" s="9">
        <v>838.48169057999837</v>
      </c>
      <c r="G32" s="10">
        <f>D32/SUM($D$31:$D$33)</f>
        <v>0.39813440746237017</v>
      </c>
      <c r="H32" s="10">
        <f>F32/D32</f>
        <v>0.4464758735782739</v>
      </c>
    </row>
    <row r="33" spans="1:8" x14ac:dyDescent="0.25">
      <c r="A33" s="8" t="s">
        <v>6</v>
      </c>
      <c r="B33" s="9">
        <v>511.94320671226041</v>
      </c>
      <c r="C33" s="9">
        <v>188</v>
      </c>
      <c r="D33" s="9">
        <v>1504</v>
      </c>
      <c r="E33" s="9">
        <v>614.33184805471251</v>
      </c>
      <c r="F33" s="9">
        <v>889.6681519452876</v>
      </c>
      <c r="G33" s="10">
        <f>D33/SUM($D$31:$D$33)</f>
        <v>0.31884672461310154</v>
      </c>
      <c r="H33" s="10">
        <f>F33/D33</f>
        <v>0.59153467549553695</v>
      </c>
    </row>
    <row r="34" spans="1:8" x14ac:dyDescent="0.25">
      <c r="A34" s="8" t="s">
        <v>27</v>
      </c>
      <c r="B34" s="9">
        <f t="shared" ref="B34:G34" si="2">SUM(B31:B33)</f>
        <v>2202.0295109524304</v>
      </c>
      <c r="C34" s="9">
        <f t="shared" si="2"/>
        <v>768</v>
      </c>
      <c r="D34" s="9">
        <f t="shared" si="2"/>
        <v>4717</v>
      </c>
      <c r="E34" s="9">
        <f t="shared" si="2"/>
        <v>2642.4354131429168</v>
      </c>
      <c r="F34" s="9">
        <f t="shared" si="2"/>
        <v>2074.5645868570837</v>
      </c>
      <c r="G34" s="10">
        <f t="shared" si="2"/>
        <v>1</v>
      </c>
      <c r="H34" s="11">
        <f>F34/D34</f>
        <v>0.43980593318996897</v>
      </c>
    </row>
    <row r="36" spans="1:8" x14ac:dyDescent="0.25">
      <c r="A36" s="12" t="s">
        <v>34</v>
      </c>
      <c r="B36" s="13"/>
      <c r="C36" s="13"/>
      <c r="D36" s="13"/>
      <c r="E36" s="13"/>
      <c r="F36" s="13"/>
      <c r="G36" s="13"/>
      <c r="H36" s="13"/>
    </row>
    <row r="37" spans="1:8" x14ac:dyDescent="0.25">
      <c r="A37" s="8" t="s">
        <v>26</v>
      </c>
      <c r="B37" s="8" t="s">
        <v>31</v>
      </c>
      <c r="C37" s="8" t="s">
        <v>32</v>
      </c>
      <c r="D37" s="8" t="s">
        <v>29</v>
      </c>
      <c r="E37" s="8" t="s">
        <v>30</v>
      </c>
      <c r="F37" s="8" t="s">
        <v>28</v>
      </c>
      <c r="G37" s="8" t="s">
        <v>33</v>
      </c>
      <c r="H37" s="8" t="s">
        <v>22</v>
      </c>
    </row>
    <row r="38" spans="1:8" x14ac:dyDescent="0.25">
      <c r="A38" s="8" t="s">
        <v>4</v>
      </c>
      <c r="B38" s="9">
        <v>823.82104639016859</v>
      </c>
      <c r="C38" s="9">
        <v>267</v>
      </c>
      <c r="D38" s="9">
        <v>1602</v>
      </c>
      <c r="E38" s="9">
        <v>988.58525566820231</v>
      </c>
      <c r="F38" s="9">
        <v>613.41474433179781</v>
      </c>
      <c r="G38" s="10">
        <f>D38/SUM($D$38:$D$40)</f>
        <v>0.32142857142857145</v>
      </c>
      <c r="H38" s="10">
        <f>F38/D38</f>
        <v>0.38290558322833823</v>
      </c>
    </row>
    <row r="39" spans="1:8" x14ac:dyDescent="0.25">
      <c r="A39" s="8" t="s">
        <v>5</v>
      </c>
      <c r="B39" s="9">
        <v>866.2652578500016</v>
      </c>
      <c r="C39" s="9">
        <v>313</v>
      </c>
      <c r="D39" s="9">
        <v>1878</v>
      </c>
      <c r="E39" s="9">
        <v>1039.518309420002</v>
      </c>
      <c r="F39" s="9">
        <v>838.48169057999837</v>
      </c>
      <c r="G39" s="10">
        <f t="shared" ref="G39:G40" si="3">D39/SUM($D$38:$D$40)</f>
        <v>0.37680577849117175</v>
      </c>
      <c r="H39" s="10">
        <f>F39/D39</f>
        <v>0.4464758735782739</v>
      </c>
    </row>
    <row r="40" spans="1:8" x14ac:dyDescent="0.25">
      <c r="A40" s="8" t="s">
        <v>6</v>
      </c>
      <c r="B40" s="9">
        <v>511.94320671226041</v>
      </c>
      <c r="C40" s="9">
        <v>188</v>
      </c>
      <c r="D40" s="9">
        <v>1504</v>
      </c>
      <c r="E40" s="9">
        <v>614.33184805471251</v>
      </c>
      <c r="F40" s="9">
        <v>889.6681519452876</v>
      </c>
      <c r="G40" s="10">
        <f t="shared" si="3"/>
        <v>0.3017656500802568</v>
      </c>
      <c r="H40" s="10">
        <f>F40/D40</f>
        <v>0.59153467549553695</v>
      </c>
    </row>
    <row r="41" spans="1:8" x14ac:dyDescent="0.25">
      <c r="A41" s="8" t="s">
        <v>27</v>
      </c>
      <c r="B41" s="9">
        <f t="shared" ref="B41:G41" si="4">SUM(B38:B40)</f>
        <v>2202.0295109524304</v>
      </c>
      <c r="C41" s="9">
        <f t="shared" si="4"/>
        <v>768</v>
      </c>
      <c r="D41" s="9">
        <f t="shared" si="4"/>
        <v>4984</v>
      </c>
      <c r="E41" s="9">
        <f t="shared" si="4"/>
        <v>2642.4354131429168</v>
      </c>
      <c r="F41" s="9">
        <f t="shared" si="4"/>
        <v>2341.5645868570837</v>
      </c>
      <c r="G41" s="10">
        <f t="shared" si="4"/>
        <v>1</v>
      </c>
      <c r="H41" s="11">
        <f>F41/D41</f>
        <v>0.46981632962622066</v>
      </c>
    </row>
    <row r="44" spans="1:8" x14ac:dyDescent="0.25">
      <c r="A44" s="12" t="s">
        <v>35</v>
      </c>
      <c r="B44" s="13"/>
      <c r="C44" s="13"/>
      <c r="D44" s="13"/>
      <c r="E44" s="13"/>
      <c r="F44" s="13"/>
      <c r="G44" s="13"/>
      <c r="H44" s="13"/>
    </row>
    <row r="45" spans="1:8" x14ac:dyDescent="0.25">
      <c r="A45" s="8" t="s">
        <v>26</v>
      </c>
      <c r="B45" s="8" t="s">
        <v>31</v>
      </c>
      <c r="C45" s="8" t="s">
        <v>32</v>
      </c>
      <c r="D45" s="8" t="s">
        <v>29</v>
      </c>
      <c r="E45" s="8" t="s">
        <v>30</v>
      </c>
      <c r="F45" s="8" t="s">
        <v>28</v>
      </c>
      <c r="G45" s="8" t="s">
        <v>33</v>
      </c>
      <c r="H45" s="8" t="s">
        <v>22</v>
      </c>
    </row>
    <row r="46" spans="1:8" x14ac:dyDescent="0.25">
      <c r="A46" s="8" t="s">
        <v>4</v>
      </c>
      <c r="B46" s="9">
        <v>823.82104639016859</v>
      </c>
      <c r="C46" s="9">
        <v>267</v>
      </c>
      <c r="D46" s="9">
        <v>1335</v>
      </c>
      <c r="E46" s="9">
        <v>906.20315102918528</v>
      </c>
      <c r="F46" s="9">
        <v>428.79684897081455</v>
      </c>
      <c r="G46" s="10">
        <f>D46/SUM($D$46:$D$48)</f>
        <v>0.28301886792452829</v>
      </c>
      <c r="H46" s="10">
        <f>F46/D46</f>
        <v>0.32119614155117193</v>
      </c>
    </row>
    <row r="47" spans="1:8" x14ac:dyDescent="0.25">
      <c r="A47" s="8" t="s">
        <v>5</v>
      </c>
      <c r="B47" s="9">
        <v>866.2652578500016</v>
      </c>
      <c r="C47" s="9">
        <v>313</v>
      </c>
      <c r="D47" s="9">
        <v>1878</v>
      </c>
      <c r="E47" s="9">
        <v>952.89178363500184</v>
      </c>
      <c r="F47" s="9">
        <v>925.10821636499838</v>
      </c>
      <c r="G47" s="10">
        <f>D47/SUM($D$46:$D$48)</f>
        <v>0.39813440746237017</v>
      </c>
      <c r="H47" s="10">
        <f>F47/D47</f>
        <v>0.49260288411341768</v>
      </c>
    </row>
    <row r="48" spans="1:8" x14ac:dyDescent="0.25">
      <c r="A48" s="8" t="s">
        <v>6</v>
      </c>
      <c r="B48" s="9">
        <v>511.94320671226041</v>
      </c>
      <c r="C48" s="9">
        <v>188</v>
      </c>
      <c r="D48" s="9">
        <v>1504</v>
      </c>
      <c r="E48" s="9">
        <v>563.1375273834866</v>
      </c>
      <c r="F48" s="9">
        <v>940.86247261651363</v>
      </c>
      <c r="G48" s="10">
        <f>D48/SUM($D$46:$D$48)</f>
        <v>0.31884672461310154</v>
      </c>
      <c r="H48" s="10">
        <f>F48/D48</f>
        <v>0.62557345253757557</v>
      </c>
    </row>
    <row r="49" spans="1:8" x14ac:dyDescent="0.25">
      <c r="A49" s="8" t="s">
        <v>27</v>
      </c>
      <c r="B49" s="9">
        <f t="shared" ref="B49:G49" si="5">SUM(B46:B48)</f>
        <v>2202.0295109524304</v>
      </c>
      <c r="C49" s="9">
        <f t="shared" si="5"/>
        <v>768</v>
      </c>
      <c r="D49" s="9">
        <f t="shared" si="5"/>
        <v>4717</v>
      </c>
      <c r="E49" s="9">
        <f t="shared" si="5"/>
        <v>2422.2324620476738</v>
      </c>
      <c r="F49" s="9">
        <f t="shared" si="5"/>
        <v>2294.7675379523266</v>
      </c>
      <c r="G49" s="10">
        <f t="shared" si="5"/>
        <v>1</v>
      </c>
      <c r="H49" s="11">
        <f>F49/D49</f>
        <v>0.48648877209080488</v>
      </c>
    </row>
    <row r="51" spans="1:8" x14ac:dyDescent="0.25">
      <c r="A51" s="12" t="s">
        <v>36</v>
      </c>
      <c r="B51" s="13"/>
      <c r="C51" s="13"/>
      <c r="D51" s="13"/>
      <c r="E51" s="13"/>
      <c r="F51" s="13"/>
      <c r="G51" s="13"/>
      <c r="H51" s="13"/>
    </row>
    <row r="52" spans="1:8" x14ac:dyDescent="0.25">
      <c r="A52" s="8" t="s">
        <v>26</v>
      </c>
      <c r="B52" s="8" t="s">
        <v>31</v>
      </c>
      <c r="C52" s="8" t="s">
        <v>32</v>
      </c>
      <c r="D52" s="8" t="s">
        <v>29</v>
      </c>
      <c r="E52" s="8" t="s">
        <v>30</v>
      </c>
      <c r="F52" s="8" t="s">
        <v>28</v>
      </c>
      <c r="G52" s="8" t="s">
        <v>33</v>
      </c>
      <c r="H52" s="8" t="s">
        <v>22</v>
      </c>
    </row>
    <row r="53" spans="1:8" x14ac:dyDescent="0.25">
      <c r="A53" s="8" t="s">
        <v>4</v>
      </c>
      <c r="B53" s="9">
        <v>823.82104639016859</v>
      </c>
      <c r="C53" s="9">
        <v>267</v>
      </c>
      <c r="D53" s="9">
        <v>1468.5</v>
      </c>
      <c r="E53" s="9">
        <v>947.39420334869362</v>
      </c>
      <c r="F53" s="9">
        <v>521.10579665130638</v>
      </c>
      <c r="G53" s="10">
        <f>D53/SUM($D$53:$D$55)</f>
        <v>0.30275229357798167</v>
      </c>
      <c r="H53" s="10">
        <f>F53/D53</f>
        <v>0.35485583701144457</v>
      </c>
    </row>
    <row r="54" spans="1:8" x14ac:dyDescent="0.25">
      <c r="A54" s="8" t="s">
        <v>5</v>
      </c>
      <c r="B54" s="9">
        <v>866.2652578500016</v>
      </c>
      <c r="C54" s="9">
        <v>313</v>
      </c>
      <c r="D54" s="9">
        <v>1878</v>
      </c>
      <c r="E54" s="9">
        <v>996.20504652750151</v>
      </c>
      <c r="F54" s="9">
        <v>881.79495347249838</v>
      </c>
      <c r="G54" s="10">
        <f>D54/SUM($D$53:$D$55)</f>
        <v>0.38717657973404801</v>
      </c>
      <c r="H54" s="10">
        <f>F54/D54</f>
        <v>0.46953937884584579</v>
      </c>
    </row>
    <row r="55" spans="1:8" x14ac:dyDescent="0.25">
      <c r="A55" s="8" t="s">
        <v>6</v>
      </c>
      <c r="B55" s="9">
        <v>511.94320671226041</v>
      </c>
      <c r="C55" s="9">
        <v>188</v>
      </c>
      <c r="D55" s="9">
        <v>1504</v>
      </c>
      <c r="E55" s="9">
        <v>588.73468771909961</v>
      </c>
      <c r="F55" s="9">
        <v>915.26531228090062</v>
      </c>
      <c r="G55" s="10">
        <f>D55/SUM($D$53:$D$55)</f>
        <v>0.31007112668797032</v>
      </c>
      <c r="H55" s="10">
        <f>F55/D55</f>
        <v>0.60855406401655621</v>
      </c>
    </row>
    <row r="56" spans="1:8" x14ac:dyDescent="0.25">
      <c r="A56" s="8" t="s">
        <v>27</v>
      </c>
      <c r="B56" s="9">
        <f t="shared" ref="B56:G56" si="6">SUM(B53:B55)</f>
        <v>2202.0295109524304</v>
      </c>
      <c r="C56" s="9">
        <f t="shared" si="6"/>
        <v>768</v>
      </c>
      <c r="D56" s="9">
        <f t="shared" si="6"/>
        <v>4850.5</v>
      </c>
      <c r="E56" s="9">
        <f t="shared" si="6"/>
        <v>2532.3339375952946</v>
      </c>
      <c r="F56" s="9">
        <f t="shared" si="6"/>
        <v>2318.1660624047054</v>
      </c>
      <c r="G56" s="10">
        <f t="shared" si="6"/>
        <v>1</v>
      </c>
      <c r="H56" s="11">
        <f>F56/D56</f>
        <v>0.4779231135768901</v>
      </c>
    </row>
    <row r="58" spans="1:8" x14ac:dyDescent="0.25">
      <c r="A58" s="12" t="s">
        <v>37</v>
      </c>
      <c r="B58" s="13"/>
      <c r="C58" s="13"/>
      <c r="D58" s="13"/>
      <c r="E58" s="13"/>
      <c r="F58" s="13"/>
      <c r="G58" s="13"/>
      <c r="H58" s="13"/>
    </row>
    <row r="59" spans="1:8" x14ac:dyDescent="0.25">
      <c r="A59" s="8" t="s">
        <v>26</v>
      </c>
      <c r="B59" s="8" t="s">
        <v>31</v>
      </c>
      <c r="C59" s="8" t="s">
        <v>32</v>
      </c>
      <c r="D59" s="8" t="s">
        <v>29</v>
      </c>
      <c r="E59" s="8" t="s">
        <v>30</v>
      </c>
      <c r="F59" s="8" t="s">
        <v>28</v>
      </c>
      <c r="G59" s="8" t="s">
        <v>33</v>
      </c>
      <c r="H59" s="8" t="s">
        <v>22</v>
      </c>
    </row>
    <row r="60" spans="1:8" x14ac:dyDescent="0.25">
      <c r="A60" s="8" t="s">
        <v>4</v>
      </c>
      <c r="B60" s="9">
        <v>823.82104639016859</v>
      </c>
      <c r="C60" s="9">
        <v>267</v>
      </c>
      <c r="D60" s="9">
        <v>1602</v>
      </c>
      <c r="E60" s="9">
        <v>1070.9673603072192</v>
      </c>
      <c r="F60" s="9">
        <v>531.03263969278089</v>
      </c>
      <c r="G60" s="10">
        <f>D60/SUM($D$60:$D$62)</f>
        <v>0.29206927985414766</v>
      </c>
      <c r="H60" s="10">
        <f>F60/D60</f>
        <v>0.33148104849736637</v>
      </c>
    </row>
    <row r="61" spans="1:8" x14ac:dyDescent="0.25">
      <c r="A61" s="8" t="s">
        <v>5</v>
      </c>
      <c r="B61" s="9">
        <v>866.2652578500016</v>
      </c>
      <c r="C61" s="9">
        <v>313</v>
      </c>
      <c r="D61" s="9">
        <v>2191</v>
      </c>
      <c r="E61" s="9">
        <v>1126.1448352050027</v>
      </c>
      <c r="F61" s="9">
        <v>1064.855164794998</v>
      </c>
      <c r="G61" s="10">
        <f>D61/SUM($D$60:$D$62)</f>
        <v>0.39945305378304469</v>
      </c>
      <c r="H61" s="10">
        <f>F61/D61</f>
        <v>0.48601331117982566</v>
      </c>
    </row>
    <row r="62" spans="1:8" x14ac:dyDescent="0.25">
      <c r="A62" s="8" t="s">
        <v>6</v>
      </c>
      <c r="B62" s="9">
        <v>511.94320671226041</v>
      </c>
      <c r="C62" s="9">
        <v>188</v>
      </c>
      <c r="D62" s="9">
        <v>1692</v>
      </c>
      <c r="E62" s="9">
        <v>665.52616872593853</v>
      </c>
      <c r="F62" s="9">
        <v>1026.4738312740615</v>
      </c>
      <c r="G62" s="10">
        <f>D62/SUM($D$60:$D$62)</f>
        <v>0.30847766636280766</v>
      </c>
      <c r="H62" s="10">
        <f>F62/D62</f>
        <v>0.60666302084755408</v>
      </c>
    </row>
    <row r="63" spans="1:8" x14ac:dyDescent="0.25">
      <c r="A63" s="8" t="s">
        <v>27</v>
      </c>
      <c r="B63" s="9">
        <f t="shared" ref="B63:G63" si="7">SUM(B60:B62)</f>
        <v>2202.0295109524304</v>
      </c>
      <c r="C63" s="9">
        <f t="shared" si="7"/>
        <v>768</v>
      </c>
      <c r="D63" s="9">
        <f t="shared" si="7"/>
        <v>5485</v>
      </c>
      <c r="E63" s="9">
        <f t="shared" si="7"/>
        <v>2862.6383642381602</v>
      </c>
      <c r="F63" s="9">
        <f t="shared" si="7"/>
        <v>2622.3616357618403</v>
      </c>
      <c r="G63" s="10">
        <f t="shared" si="7"/>
        <v>1</v>
      </c>
      <c r="H63" s="11">
        <f>F63/D63</f>
        <v>0.47809692538957888</v>
      </c>
    </row>
  </sheetData>
  <mergeCells count="7">
    <mergeCell ref="A51:H51"/>
    <mergeCell ref="A58:H58"/>
    <mergeCell ref="A14:H14"/>
    <mergeCell ref="A21:H21"/>
    <mergeCell ref="A36:H36"/>
    <mergeCell ref="A44:H44"/>
    <mergeCell ref="A29:H29"/>
  </mergeCells>
  <conditionalFormatting sqref="H31:H33 H38:H40 H46:H48 H53:H55 H60:H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 E34 E49 E56 E6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{710BA06D-417C-40DB-ACFC-0FDF25D50E78}</x14:id>
        </ext>
      </extLst>
    </cfRule>
  </conditionalFormatting>
  <conditionalFormatting sqref="D41 D34 D49 D56 D6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{C2032804-CBA6-46CE-9B55-CB5344C60ABE}</x14:id>
        </ext>
      </extLst>
    </cfRule>
  </conditionalFormatting>
  <conditionalFormatting sqref="F41 F34 F49 F56 F63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{BF7082CD-05C8-41B8-A02A-CAD0B4AB06DA}</x14:id>
        </ext>
      </extLst>
    </cfRule>
  </conditionalFormatting>
  <conditionalFormatting sqref="H16:H18 H23:H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6:E18 E23:E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{82B3B5C0-0ECE-4E26-A4BE-8BB68C3F6284}</x14:id>
        </ext>
      </extLst>
    </cfRule>
  </conditionalFormatting>
  <conditionalFormatting sqref="F16:F18 F23:F2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{976E3495-E473-4280-9C02-43E83BFF3F3A}</x14:id>
        </ext>
      </extLst>
    </cfRule>
  </conditionalFormatting>
  <conditionalFormatting sqref="D16:D18 D23:D2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{33E3A50A-ECEC-45E5-B966-23543532D985}</x14:id>
        </ext>
      </extLst>
    </cfRule>
  </conditionalFormatting>
  <conditionalFormatting sqref="C16:C18 C23:C2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{9FC1C2FA-E802-4288-9A01-A0929FAA924D}</x14:id>
        </ext>
      </extLst>
    </cfRule>
  </conditionalFormatting>
  <conditionalFormatting sqref="B16:B18 B23:B2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{0D7C4D88-9E70-4EE3-AB49-502CEF0EEB87}</x14:id>
        </ext>
      </extLst>
    </cfRule>
  </conditionalFormatting>
  <conditionalFormatting sqref="D31:D33 D38:D40 D46:D48 D53:D55 D60:D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33 E38:E40 E46:E48 E53:E55 E60:E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62 F53:F55 F46:F48 F38:F40 F31: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33 G38:G40 G46:G48 G53:G55 G60:G62">
    <cfRule type="colorScale" priority="4">
      <colorScale>
        <cfvo type="min"/>
        <cfvo type="max"/>
        <color rgb="FFFCFCFF"/>
        <color rgb="FF63BE7B"/>
      </colorScale>
    </cfRule>
  </conditionalFormatting>
  <conditionalFormatting sqref="H56 H63 H49 H41 H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{50300105-91BA-486A-A0EA-D02D73C3A03C}</x14:id>
        </ext>
      </extLst>
    </cfRule>
  </conditionalFormatting>
  <conditionalFormatting sqref="G16:G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{5D8711CB-1A4C-4F0F-AA88-4CE24249A5BE}</x14:id>
        </ext>
      </extLst>
    </cfRule>
  </conditionalFormatting>
  <conditionalFormatting sqref="G23:G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{514E3A2F-D227-44DA-8622-4090E3FFA477}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BA06D-417C-40DB-ACFC-0FDF25D5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 E34 E49 E56 E63</xm:sqref>
        </x14:conditionalFormatting>
        <x14:conditionalFormatting xmlns:xm="http://schemas.microsoft.com/office/excel/2006/main">
          <x14:cfRule type="dataBar" id="{C2032804-CBA6-46CE-9B55-CB5344C60A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D41 D34 D49 D56 D63</xm:sqref>
        </x14:conditionalFormatting>
        <x14:conditionalFormatting xmlns:xm="http://schemas.microsoft.com/office/excel/2006/main">
          <x14:cfRule type="dataBar" id="{BF7082CD-05C8-41B8-A02A-CAD0B4AB06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F41 F34 F49 F56 F63</xm:sqref>
        </x14:conditionalFormatting>
        <x14:conditionalFormatting xmlns:xm="http://schemas.microsoft.com/office/excel/2006/main">
          <x14:cfRule type="dataBar" id="{82B3B5C0-0ECE-4E26-A4BE-8BB68C3F6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E16:E18 E23:E25</xm:sqref>
        </x14:conditionalFormatting>
        <x14:conditionalFormatting xmlns:xm="http://schemas.microsoft.com/office/excel/2006/main">
          <x14:cfRule type="dataBar" id="{976E3495-E473-4280-9C02-43E83BFF3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F16:F18 F23:F25</xm:sqref>
        </x14:conditionalFormatting>
        <x14:conditionalFormatting xmlns:xm="http://schemas.microsoft.com/office/excel/2006/main">
          <x14:cfRule type="dataBar" id="{33E3A50A-ECEC-45E5-B966-23543532D9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D16:D18 D23:D25</xm:sqref>
        </x14:conditionalFormatting>
        <x14:conditionalFormatting xmlns:xm="http://schemas.microsoft.com/office/excel/2006/main">
          <x14:cfRule type="dataBar" id="{9FC1C2FA-E802-4288-9A01-A0929FAA9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C16:C18 C23:C25</xm:sqref>
        </x14:conditionalFormatting>
        <x14:conditionalFormatting xmlns:xm="http://schemas.microsoft.com/office/excel/2006/main">
          <x14:cfRule type="dataBar" id="{0D7C4D88-9E70-4EE3-AB49-502CEF0EEB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B16:B18 B23:B25</xm:sqref>
        </x14:conditionalFormatting>
        <x14:conditionalFormatting xmlns:xm="http://schemas.microsoft.com/office/excel/2006/main">
          <x14:cfRule type="dataBar" id="{50300105-91BA-486A-A0EA-D02D73C3A0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H56 H63 H49 H41 H34</xm:sqref>
        </x14:conditionalFormatting>
        <x14:conditionalFormatting xmlns:xm="http://schemas.microsoft.com/office/excel/2006/main">
          <x14:cfRule type="dataBar" id="{5D8711CB-1A4C-4F0F-AA88-4CE24249A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G16:G18</xm:sqref>
        </x14:conditionalFormatting>
        <x14:conditionalFormatting xmlns:xm="http://schemas.microsoft.com/office/excel/2006/main">
          <x14:cfRule type="dataBar" id="{514E3A2F-D227-44DA-8622-4090E3FFA4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Delliveries</vt:lpstr>
      <vt:lpstr>Tariff</vt:lpstr>
      <vt:lpstr>Обработанные данные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Karpov</dc:creator>
  <cp:lastModifiedBy>Амир Иминов</cp:lastModifiedBy>
  <dcterms:created xsi:type="dcterms:W3CDTF">2023-03-31T09:51:49Z</dcterms:created>
  <dcterms:modified xsi:type="dcterms:W3CDTF">2023-05-31T05:51:16Z</dcterms:modified>
</cp:coreProperties>
</file>